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ür excel-vorlage​\Kleinunternehmer\ohne umsatzsteuer\"/>
    </mc:Choice>
  </mc:AlternateContent>
  <xr:revisionPtr revIDLastSave="0" documentId="8_{A4966EFF-B0A5-47CC-93F0-05255CDFE517}" xr6:coauthVersionLast="47" xr6:coauthVersionMax="47" xr10:uidLastSave="{00000000-0000-0000-0000-000000000000}"/>
  <bookViews>
    <workbookView xWindow="1560" yWindow="1560" windowWidth="23790" windowHeight="14265" xr2:uid="{00000000-000D-0000-FFFF-FFFF00000000}"/>
  </bookViews>
  <sheets>
    <sheet name="Start" sheetId="1" r:id="rId1"/>
    <sheet name="Buchungen" sheetId="2" r:id="rId2"/>
    <sheet name="Kategorien" sheetId="3" r:id="rId3"/>
    <sheet name="EÜR_Jahresübersicht" sheetId="4" r:id="rId4"/>
  </sheets>
  <definedNames>
    <definedName name="AusgabeKategorien">Kategorien!$I$2:INDEX(Kategorien!$I:$I,MATCH("zzz",Kategorien!$I:$I))</definedName>
    <definedName name="EinnahmeKategorien">Kategorien!$H$2:INDEX(Kategorien!$H:$H,MATCH("zzz",Kategorien!$H:$H))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9" i="3" l="1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H24" i="3"/>
  <c r="I23" i="3"/>
  <c r="H23" i="3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3" i="3"/>
  <c r="H13" i="3"/>
  <c r="I12" i="3"/>
  <c r="H12" i="3"/>
  <c r="I11" i="3"/>
  <c r="H11" i="3"/>
  <c r="I10" i="3"/>
  <c r="H10" i="3"/>
  <c r="I9" i="3"/>
  <c r="H9" i="3"/>
  <c r="I8" i="3"/>
  <c r="H8" i="3"/>
  <c r="I7" i="3"/>
  <c r="H7" i="3"/>
  <c r="I6" i="3"/>
  <c r="H6" i="3"/>
  <c r="I5" i="3"/>
  <c r="H5" i="3"/>
  <c r="I4" i="3"/>
  <c r="H4" i="3"/>
  <c r="I3" i="3"/>
  <c r="H3" i="3"/>
  <c r="I2" i="3"/>
  <c r="H2" i="3"/>
  <c r="O33" i="2"/>
  <c r="N33" i="2"/>
  <c r="K33" i="2"/>
  <c r="M33" i="2" s="1"/>
  <c r="E28" i="1" s="1"/>
  <c r="J33" i="2"/>
  <c r="O32" i="2"/>
  <c r="N32" i="2"/>
  <c r="K32" i="2"/>
  <c r="M32" i="2" s="1"/>
  <c r="E29" i="1" s="1"/>
  <c r="J32" i="2"/>
  <c r="O31" i="2"/>
  <c r="N31" i="2"/>
  <c r="K31" i="2"/>
  <c r="M31" i="2" s="1"/>
  <c r="J31" i="2"/>
  <c r="O30" i="2"/>
  <c r="N30" i="2"/>
  <c r="K30" i="2"/>
  <c r="M30" i="2" s="1"/>
  <c r="J30" i="2"/>
  <c r="O29" i="2"/>
  <c r="N29" i="2"/>
  <c r="K29" i="2"/>
  <c r="M29" i="2" s="1"/>
  <c r="E32" i="1" s="1"/>
  <c r="J29" i="2"/>
  <c r="O28" i="2"/>
  <c r="N28" i="2"/>
  <c r="K28" i="2"/>
  <c r="M28" i="2" s="1"/>
  <c r="J28" i="2"/>
  <c r="O27" i="2"/>
  <c r="N27" i="2"/>
  <c r="K27" i="2"/>
  <c r="M27" i="2" s="1"/>
  <c r="J27" i="2"/>
  <c r="O26" i="2"/>
  <c r="N26" i="2"/>
  <c r="K26" i="2"/>
  <c r="M26" i="2" s="1"/>
  <c r="E35" i="1" s="1"/>
  <c r="J26" i="2"/>
  <c r="O25" i="2"/>
  <c r="N25" i="2"/>
  <c r="K25" i="2"/>
  <c r="M25" i="2" s="1"/>
  <c r="E36" i="1" s="1"/>
  <c r="J25" i="2"/>
  <c r="O24" i="2"/>
  <c r="N24" i="2"/>
  <c r="K24" i="2"/>
  <c r="M24" i="2" s="1"/>
  <c r="E37" i="1" s="1"/>
  <c r="J24" i="2"/>
  <c r="O23" i="2"/>
  <c r="N23" i="2"/>
  <c r="K23" i="2"/>
  <c r="M23" i="2" s="1"/>
  <c r="O13" i="1" s="1"/>
  <c r="J23" i="2"/>
  <c r="O22" i="2"/>
  <c r="N22" i="2"/>
  <c r="K22" i="2"/>
  <c r="M22" i="2" s="1"/>
  <c r="J22" i="2"/>
  <c r="O21" i="2"/>
  <c r="N21" i="2"/>
  <c r="K21" i="2"/>
  <c r="M21" i="2" s="1"/>
  <c r="J21" i="2"/>
  <c r="O20" i="2"/>
  <c r="N20" i="2"/>
  <c r="K20" i="2"/>
  <c r="M20" i="2" s="1"/>
  <c r="J20" i="2"/>
  <c r="O19" i="2"/>
  <c r="N19" i="2"/>
  <c r="K19" i="2"/>
  <c r="M19" i="2" s="1"/>
  <c r="J19" i="2"/>
  <c r="O18" i="2"/>
  <c r="N18" i="2"/>
  <c r="K18" i="2"/>
  <c r="M18" i="2" s="1"/>
  <c r="J18" i="2"/>
  <c r="O17" i="2"/>
  <c r="N17" i="2"/>
  <c r="K17" i="2"/>
  <c r="M17" i="2" s="1"/>
  <c r="J17" i="2"/>
  <c r="O16" i="2"/>
  <c r="N16" i="2"/>
  <c r="K16" i="2"/>
  <c r="M16" i="2" s="1"/>
  <c r="O25" i="1" s="1"/>
  <c r="J16" i="2"/>
  <c r="O15" i="2"/>
  <c r="N15" i="2"/>
  <c r="K15" i="2"/>
  <c r="M15" i="2" s="1"/>
  <c r="J15" i="2"/>
  <c r="O14" i="2"/>
  <c r="N14" i="2"/>
  <c r="K14" i="2"/>
  <c r="M14" i="2" s="1"/>
  <c r="C14" i="1" s="1"/>
  <c r="J14" i="2"/>
  <c r="O13" i="2"/>
  <c r="N13" i="2"/>
  <c r="K13" i="2"/>
  <c r="M13" i="2" s="1"/>
  <c r="B14" i="1" s="1"/>
  <c r="J13" i="2"/>
  <c r="O12" i="2"/>
  <c r="N12" i="2"/>
  <c r="K12" i="2"/>
  <c r="M12" i="2" s="1"/>
  <c r="O26" i="1" s="1"/>
  <c r="J12" i="2"/>
  <c r="O11" i="2"/>
  <c r="N11" i="2"/>
  <c r="K11" i="2"/>
  <c r="M11" i="2" s="1"/>
  <c r="J11" i="2"/>
  <c r="O10" i="2"/>
  <c r="N10" i="2"/>
  <c r="K10" i="2"/>
  <c r="M10" i="2" s="1"/>
  <c r="O31" i="1" s="1"/>
  <c r="J10" i="2"/>
  <c r="O9" i="2"/>
  <c r="N9" i="2"/>
  <c r="K9" i="2"/>
  <c r="M9" i="2" s="1"/>
  <c r="J9" i="2"/>
  <c r="O8" i="2"/>
  <c r="N8" i="2"/>
  <c r="K8" i="2"/>
  <c r="M8" i="2" s="1"/>
  <c r="J8" i="2"/>
  <c r="O7" i="2"/>
  <c r="N7" i="2"/>
  <c r="K7" i="2"/>
  <c r="M7" i="2" s="1"/>
  <c r="O20" i="1" s="1"/>
  <c r="J7" i="2"/>
  <c r="O6" i="2"/>
  <c r="N6" i="2"/>
  <c r="K6" i="2"/>
  <c r="M6" i="2" s="1"/>
  <c r="J6" i="2"/>
  <c r="O5" i="2"/>
  <c r="N5" i="2"/>
  <c r="K5" i="2"/>
  <c r="M5" i="2" s="1"/>
  <c r="J5" i="2"/>
  <c r="O4" i="2"/>
  <c r="B35" i="4" s="1"/>
  <c r="N4" i="2"/>
  <c r="K4" i="2"/>
  <c r="M4" i="2" s="1"/>
  <c r="A6" i="1" s="1"/>
  <c r="J4" i="2"/>
  <c r="O48" i="1"/>
  <c r="O47" i="1"/>
  <c r="O46" i="1"/>
  <c r="O45" i="1"/>
  <c r="O41" i="1"/>
  <c r="O40" i="1"/>
  <c r="D37" i="1"/>
  <c r="C37" i="1"/>
  <c r="B37" i="1"/>
  <c r="D36" i="1"/>
  <c r="C36" i="1"/>
  <c r="B36" i="1"/>
  <c r="O35" i="1"/>
  <c r="D35" i="1"/>
  <c r="C35" i="1"/>
  <c r="B35" i="1"/>
  <c r="D34" i="1"/>
  <c r="C34" i="1"/>
  <c r="B34" i="1"/>
  <c r="D33" i="1"/>
  <c r="C33" i="1"/>
  <c r="B33" i="1"/>
  <c r="D32" i="1"/>
  <c r="C32" i="1"/>
  <c r="B32" i="1"/>
  <c r="D31" i="1"/>
  <c r="C31" i="1"/>
  <c r="B31" i="1"/>
  <c r="D30" i="1"/>
  <c r="C30" i="1"/>
  <c r="B30" i="1"/>
  <c r="D29" i="1"/>
  <c r="C29" i="1"/>
  <c r="B29" i="1"/>
  <c r="D28" i="1"/>
  <c r="C28" i="1"/>
  <c r="B28" i="1"/>
  <c r="O27" i="1"/>
  <c r="B23" i="1"/>
  <c r="O22" i="1"/>
  <c r="C21" i="1"/>
  <c r="B21" i="1"/>
  <c r="O19" i="1"/>
  <c r="O18" i="1"/>
  <c r="O17" i="1"/>
  <c r="O16" i="1"/>
  <c r="O15" i="1"/>
  <c r="O14" i="1"/>
  <c r="O12" i="1"/>
  <c r="G9" i="1"/>
  <c r="J6" i="1"/>
  <c r="E34" i="1" l="1"/>
  <c r="B18" i="1"/>
  <c r="E30" i="1"/>
  <c r="C19" i="1"/>
  <c r="B19" i="1"/>
  <c r="E31" i="1"/>
  <c r="C15" i="1"/>
  <c r="O49" i="1"/>
  <c r="C18" i="1"/>
  <c r="E33" i="1"/>
  <c r="B16" i="4"/>
  <c r="B36" i="4"/>
  <c r="B17" i="4"/>
  <c r="B37" i="4"/>
  <c r="D6" i="1"/>
  <c r="G6" i="1" s="1"/>
  <c r="B18" i="4"/>
  <c r="B38" i="4"/>
  <c r="B20" i="1"/>
  <c r="O28" i="1"/>
  <c r="O32" i="1"/>
  <c r="O36" i="1"/>
  <c r="B15" i="1"/>
  <c r="C20" i="1"/>
  <c r="B19" i="4"/>
  <c r="B39" i="4"/>
  <c r="B20" i="4"/>
  <c r="B40" i="4"/>
  <c r="B21" i="4"/>
  <c r="B41" i="4"/>
  <c r="B22" i="4"/>
  <c r="B42" i="4"/>
  <c r="O21" i="1"/>
  <c r="O29" i="1"/>
  <c r="O33" i="1"/>
  <c r="O37" i="1"/>
  <c r="B23" i="4"/>
  <c r="B43" i="4"/>
  <c r="B12" i="1"/>
  <c r="B16" i="1"/>
  <c r="B22" i="1"/>
  <c r="O38" i="1"/>
  <c r="B24" i="4"/>
  <c r="B44" i="4"/>
  <c r="C12" i="1"/>
  <c r="C16" i="1"/>
  <c r="C22" i="1"/>
  <c r="O39" i="1"/>
  <c r="B25" i="4"/>
  <c r="B45" i="4"/>
  <c r="B26" i="4"/>
  <c r="B46" i="4"/>
  <c r="B27" i="4"/>
  <c r="B47" i="4"/>
  <c r="B28" i="4"/>
  <c r="B48" i="4"/>
  <c r="B13" i="1"/>
  <c r="B17" i="1"/>
  <c r="O23" i="1"/>
  <c r="O43" i="1"/>
  <c r="B29" i="4"/>
  <c r="B49" i="4"/>
  <c r="C23" i="1"/>
  <c r="O30" i="1"/>
  <c r="O34" i="1"/>
  <c r="O42" i="1"/>
  <c r="C13" i="1"/>
  <c r="C17" i="1"/>
  <c r="O24" i="1"/>
  <c r="O44" i="1"/>
  <c r="B7" i="4"/>
  <c r="B30" i="4"/>
  <c r="B50" i="4"/>
  <c r="B8" i="4"/>
  <c r="B31" i="4"/>
  <c r="B51" i="4"/>
  <c r="B9" i="4"/>
  <c r="B32" i="4"/>
  <c r="B52" i="4"/>
  <c r="B10" i="4"/>
  <c r="B33" i="4"/>
  <c r="B53" i="4"/>
  <c r="B11" i="4"/>
  <c r="B34" i="4"/>
  <c r="R12" i="1" l="1"/>
  <c r="Q12" i="1" s="1"/>
  <c r="R14" i="1"/>
  <c r="Q14" i="1" s="1"/>
  <c r="R16" i="1"/>
  <c r="Q16" i="1" s="1"/>
  <c r="C9" i="1"/>
  <c r="R13" i="1"/>
  <c r="Q13" i="1" s="1"/>
  <c r="A9" i="1"/>
  <c r="B12" i="4"/>
  <c r="D3" i="4" s="1"/>
  <c r="R15" i="1"/>
  <c r="Q15" i="1" s="1"/>
  <c r="B54" i="4"/>
  <c r="G3" i="4" s="1"/>
  <c r="J3" i="4" l="1"/>
  <c r="B61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Diese Liste kann frei erweitert oder angepasst werden.</t>
        </r>
      </text>
    </comment>
  </commentList>
</comments>
</file>

<file path=xl/sharedStrings.xml><?xml version="1.0" encoding="utf-8"?>
<sst xmlns="http://schemas.openxmlformats.org/spreadsheetml/2006/main" count="599" uniqueCount="232">
  <si>
    <t>EÜR Kleinunternehmer ohne Umsatzsteuer</t>
  </si>
  <si>
    <t>Jahre</t>
  </si>
  <si>
    <t>Auswertungsjahr</t>
  </si>
  <si>
    <t>Betriebseinnahmen</t>
  </si>
  <si>
    <t>Betriebsausgaben</t>
  </si>
  <si>
    <t>Gewinn</t>
  </si>
  <si>
    <t>Anzahl Buchungen</t>
  </si>
  <si>
    <t>Monat mit höchsten Einnahmen</t>
  </si>
  <si>
    <t>Monat mit höchsten Ausgaben</t>
  </si>
  <si>
    <t>Prüfung</t>
  </si>
  <si>
    <t>Monat</t>
  </si>
  <si>
    <t>Einnahmen</t>
  </si>
  <si>
    <t>Ausgaben</t>
  </si>
  <si>
    <t>Ausgabenkategorie</t>
  </si>
  <si>
    <t>Summe</t>
  </si>
  <si>
    <t>Top 5 Ausgabenkategorien</t>
  </si>
  <si>
    <t>Betrag</t>
  </si>
  <si>
    <t>Jan</t>
  </si>
  <si>
    <t>Waren / Materialien / Verbrauch</t>
  </si>
  <si>
    <t>Feb</t>
  </si>
  <si>
    <t>Fremdleistungen / Freelancer / Provisionen</t>
  </si>
  <si>
    <t>Mrz</t>
  </si>
  <si>
    <t>Personal</t>
  </si>
  <si>
    <t>Apr</t>
  </si>
  <si>
    <t>AfA immaterielle Wirtschaftsgüter</t>
  </si>
  <si>
    <t>Mai</t>
  </si>
  <si>
    <t>AfA Sachanlagen</t>
  </si>
  <si>
    <t>Jun</t>
  </si>
  <si>
    <t>Sonderabschreibungen</t>
  </si>
  <si>
    <t>Jul</t>
  </si>
  <si>
    <t>GWG</t>
  </si>
  <si>
    <t>Aug</t>
  </si>
  <si>
    <t>Restbuchwert bei Abgang</t>
  </si>
  <si>
    <t>Sep</t>
  </si>
  <si>
    <t>Miete Büro / Coworking</t>
  </si>
  <si>
    <t>Okt</t>
  </si>
  <si>
    <t>Doppelte Haushaltsführung</t>
  </si>
  <si>
    <t>Nov</t>
  </si>
  <si>
    <t>Sonstige Raumkosten</t>
  </si>
  <si>
    <t>Dez</t>
  </si>
  <si>
    <t>Telefon / Internet</t>
  </si>
  <si>
    <t>Reisekosten / Übernachtung</t>
  </si>
  <si>
    <t>Fortbildung</t>
  </si>
  <si>
    <t>Letzte 10 Buchungen</t>
  </si>
  <si>
    <t>Steuerberatung / Buchhaltung / Recht</t>
  </si>
  <si>
    <t>Datum</t>
  </si>
  <si>
    <t>Typ</t>
  </si>
  <si>
    <t>Beschreibung</t>
  </si>
  <si>
    <t>Kategorie</t>
  </si>
  <si>
    <t>Leasing bewegliche Güter</t>
  </si>
  <si>
    <t>26.08.2025</t>
  </si>
  <si>
    <t>Reparaturen / Instandhaltung</t>
  </si>
  <si>
    <t>14.08.2025</t>
  </si>
  <si>
    <t>Beiträge / Gebühren / Versicherungen</t>
  </si>
  <si>
    <t>07.08.2025</t>
  </si>
  <si>
    <t>Software / IT / EDV</t>
  </si>
  <si>
    <t>01.08.2025</t>
  </si>
  <si>
    <t>Büromaterial / Porto / Fachliteratur</t>
  </si>
  <si>
    <t>15.07.2025</t>
  </si>
  <si>
    <t>Entsorgung</t>
  </si>
  <si>
    <t>08.07.2025</t>
  </si>
  <si>
    <t>Verpackung / Versand</t>
  </si>
  <si>
    <t>03.07.2025</t>
  </si>
  <si>
    <t>Werbung / Marketing</t>
  </si>
  <si>
    <t>21.06.2025</t>
  </si>
  <si>
    <t>Zinsen Anlagefinanzierung</t>
  </si>
  <si>
    <t>10.06.2025</t>
  </si>
  <si>
    <t>Sonstige Schuldzinsen</t>
  </si>
  <si>
    <t>04.06.2025</t>
  </si>
  <si>
    <t>Sonstige abziehbare Betriebsausgaben</t>
  </si>
  <si>
    <t>Geschenke</t>
  </si>
  <si>
    <t>Bewirtung</t>
  </si>
  <si>
    <t>Verpflegungsmehraufwand</t>
  </si>
  <si>
    <t>Häusliches Arbeitszimmer</t>
  </si>
  <si>
    <t>Homeoffice-Pauschale</t>
  </si>
  <si>
    <t>Sonstige beschränkt abziehbare Kosten</t>
  </si>
  <si>
    <t>Kfz-Leasing</t>
  </si>
  <si>
    <t>Kfz-Steuer / Versicherung / Maut</t>
  </si>
  <si>
    <t>Sonstige Kfz-Kosten</t>
  </si>
  <si>
    <t>Kilometerpauschale (Privatfahrzeug)</t>
  </si>
  <si>
    <t>Fahrten Wohnung – Betrieb</t>
  </si>
  <si>
    <t>Nicht abzugsfähige Kosten</t>
  </si>
  <si>
    <t>Buchungen</t>
  </si>
  <si>
    <t>Hinweise</t>
  </si>
  <si>
    <t>ID</t>
  </si>
  <si>
    <t>Gegenpartei</t>
  </si>
  <si>
    <t>Beleg-Nr.</t>
  </si>
  <si>
    <t>Zahlungsart</t>
  </si>
  <si>
    <t>Konto/Kasse</t>
  </si>
  <si>
    <t>EÜR-Zeile</t>
  </si>
  <si>
    <t>Steuerl. %</t>
  </si>
  <si>
    <t>Bruttobetrag</t>
  </si>
  <si>
    <t>Steuerl. Betrag</t>
  </si>
  <si>
    <t>Jahr</t>
  </si>
  <si>
    <t>Notizen</t>
  </si>
  <si>
    <t>Nur blau hinterlegte Felder werden normal erfasst.</t>
  </si>
  <si>
    <t>Einnahme</t>
  </si>
  <si>
    <t>Logo- und Branding-Paket</t>
  </si>
  <si>
    <t>Studio Nord GmbH</t>
  </si>
  <si>
    <t>RE-2025-001</t>
  </si>
  <si>
    <t>Überweisung</t>
  </si>
  <si>
    <t>Geschäftskonto</t>
  </si>
  <si>
    <t>Umsätze / Dienstleistungen</t>
  </si>
  <si>
    <t/>
  </si>
  <si>
    <t>Kategorie steuert EÜR-Zeile und Standard-% abziehbar.</t>
  </si>
  <si>
    <t>Ausgabe</t>
  </si>
  <si>
    <t>Adobe Creative Cloud</t>
  </si>
  <si>
    <t>Adobe</t>
  </si>
  <si>
    <t>BE-2025-001</t>
  </si>
  <si>
    <t>Lastschrift</t>
  </si>
  <si>
    <t>Jahresabo anteilig</t>
  </si>
  <si>
    <t>Steuerl. % kann je Buchung überschrieben werden.</t>
  </si>
  <si>
    <t>Mobilfunk und Internet</t>
  </si>
  <si>
    <t>Telekom</t>
  </si>
  <si>
    <t>BE-2025-002</t>
  </si>
  <si>
    <t>Gelb = Kategorie fehlt. Hellblau = teilweise abziehbar. Rot = nicht abzugsfähig.</t>
  </si>
  <si>
    <t>Coworking Januar</t>
  </si>
  <si>
    <t>WorkHub Berlin</t>
  </si>
  <si>
    <t>BE-2025-003</t>
  </si>
  <si>
    <t>Karte</t>
  </si>
  <si>
    <t>Website-Redesign Abschlag</t>
  </si>
  <si>
    <t>Bergmann OHG</t>
  </si>
  <si>
    <t>RE-2025-002</t>
  </si>
  <si>
    <t>Google Ads Kampagne</t>
  </si>
  <si>
    <t>Google Ireland</t>
  </si>
  <si>
    <t>BE-2025-004</t>
  </si>
  <si>
    <t>Büromaterial</t>
  </si>
  <si>
    <t>Staples</t>
  </si>
  <si>
    <t>BE-2025-005</t>
  </si>
  <si>
    <t>Website-Redesign Restzahlung</t>
  </si>
  <si>
    <t>RE-2025-003</t>
  </si>
  <si>
    <t>Steuerberater Q1</t>
  </si>
  <si>
    <t>Kanzlei Vogt</t>
  </si>
  <si>
    <t>BE-2025-006</t>
  </si>
  <si>
    <t>Monatlicher Design-Support</t>
  </si>
  <si>
    <t>RE-2025-004</t>
  </si>
  <si>
    <t>Bahnfahrt zu Kundentermin</t>
  </si>
  <si>
    <t>Deutsche Bahn</t>
  </si>
  <si>
    <t>BE-2025-007</t>
  </si>
  <si>
    <t>Geschäftsessen</t>
  </si>
  <si>
    <t>Restaurant Morgenrot</t>
  </si>
  <si>
    <t>BE-2025-008</t>
  </si>
  <si>
    <t>Online-Kurs UI/UX</t>
  </si>
  <si>
    <t>Udemy</t>
  </si>
  <si>
    <t>BE-2025-009</t>
  </si>
  <si>
    <t>Illustrationsprojekt</t>
  </si>
  <si>
    <t>Klein &amp; Co. KG</t>
  </si>
  <si>
    <t>RE-2025-005</t>
  </si>
  <si>
    <t>Berufshaftpflicht</t>
  </si>
  <si>
    <t>AXA</t>
  </si>
  <si>
    <t>BE-2025-010</t>
  </si>
  <si>
    <t>Landingpage-Konzept</t>
  </si>
  <si>
    <t>Fjordlab UG</t>
  </si>
  <si>
    <t>RE-2025-006</t>
  </si>
  <si>
    <t>Druck Flyer</t>
  </si>
  <si>
    <t>Flyeralarm</t>
  </si>
  <si>
    <t>BE-2025-011</t>
  </si>
  <si>
    <t>Retainer Mai</t>
  </si>
  <si>
    <t>RE-2025-007</t>
  </si>
  <si>
    <t>Homeoffice-Pauschale Mai</t>
  </si>
  <si>
    <t>Eigenbeleg</t>
  </si>
  <si>
    <t>BE-2025-012</t>
  </si>
  <si>
    <t>Umbuchung</t>
  </si>
  <si>
    <t>Kasse</t>
  </si>
  <si>
    <t>Freelancer Animation</t>
  </si>
  <si>
    <t>Marta Klein</t>
  </si>
  <si>
    <t>BE-2025-013</t>
  </si>
  <si>
    <t>Retainer Juni</t>
  </si>
  <si>
    <t>RE-2025-008</t>
  </si>
  <si>
    <t>Software-Tool Figma</t>
  </si>
  <si>
    <t>Figma</t>
  </si>
  <si>
    <t>BE-2025-014</t>
  </si>
  <si>
    <t>Kundengeschenk</t>
  </si>
  <si>
    <t>Papeterie Blum</t>
  </si>
  <si>
    <t>BE-2025-015</t>
  </si>
  <si>
    <t>Retainer Juli</t>
  </si>
  <si>
    <t>RE-2025-009</t>
  </si>
  <si>
    <t>Private Parkstrafe auf Dienstfahrt</t>
  </si>
  <si>
    <t>Stadt Berlin</t>
  </si>
  <si>
    <t>BE-2025-016</t>
  </si>
  <si>
    <t>Kaffee mit Kunde</t>
  </si>
  <si>
    <t>Café Dialog</t>
  </si>
  <si>
    <t>BE-2025-017</t>
  </si>
  <si>
    <t>Retainer August</t>
  </si>
  <si>
    <t>RE-2025-010</t>
  </si>
  <si>
    <t>Domain und Hosting</t>
  </si>
  <si>
    <t>IONOS</t>
  </si>
  <si>
    <t>BE-2025-018</t>
  </si>
  <si>
    <t>Fachbuch Branding</t>
  </si>
  <si>
    <t>Thalia</t>
  </si>
  <si>
    <t>BE-2025-019</t>
  </si>
  <si>
    <t>Sonstige betriebliche Erstattung</t>
  </si>
  <si>
    <t>Versicherung Rückerstattung</t>
  </si>
  <si>
    <t>RE-2025-011</t>
  </si>
  <si>
    <t>Sonstige betriebliche Einnahmen</t>
  </si>
  <si>
    <t>Kategorien und Zuordnung</t>
  </si>
  <si>
    <t>Aktive Einnahmen</t>
  </si>
  <si>
    <t>Aktive Ausgaben</t>
  </si>
  <si>
    <t>Hinweis</t>
  </si>
  <si>
    <t>Standard-% abziehbar kann bei einzelnen Buchungen manuell überschrieben werden.</t>
  </si>
  <si>
    <t>Gruppe</t>
  </si>
  <si>
    <t>Standard-% abziehbar</t>
  </si>
  <si>
    <t>Aktiv</t>
  </si>
  <si>
    <t>Sortierung</t>
  </si>
  <si>
    <t>Zeile 74 ist als nicht abzugsfähig mit 0% vorbelegt.</t>
  </si>
  <si>
    <t>Ja</t>
  </si>
  <si>
    <t>Bewirtung ist beispielhaft mit 70% hinterlegt.</t>
  </si>
  <si>
    <t>Verkauf Anlagevermögen</t>
  </si>
  <si>
    <t>Private Kfz-Nutzung</t>
  </si>
  <si>
    <t>Sachentnahmen / sonstige Entnahmen</t>
  </si>
  <si>
    <t>Wareneinsatz</t>
  </si>
  <si>
    <t>Fremdleistungen</t>
  </si>
  <si>
    <t>Abschreibungen</t>
  </si>
  <si>
    <t>Raumkosten</t>
  </si>
  <si>
    <t>Allgemeine Kosten</t>
  </si>
  <si>
    <t>Finanzierung</t>
  </si>
  <si>
    <t>Teilweise / besondere Regeln</t>
  </si>
  <si>
    <t>Kfz</t>
  </si>
  <si>
    <t>Nicht abzugsfähig</t>
  </si>
  <si>
    <t>EÜR Jahresübersicht</t>
  </si>
  <si>
    <t>Betriebseinnahmen gesamt</t>
  </si>
  <si>
    <t>Betriebsausgaben gesamt</t>
  </si>
  <si>
    <t>Summe Betriebseinnahmen</t>
  </si>
  <si>
    <t>Summe Betriebsausgaben</t>
  </si>
  <si>
    <t>Quelle Struktur: https://www.excelvorlage.de/euer-kleinunternehmer-ohne-umsatzsteuer/</t>
  </si>
  <si>
    <t>Optionale manuelle Anpassungen</t>
  </si>
  <si>
    <t>Offizielle EÜR-Logik: https://www.bundesfinanzministerium.de/</t>
  </si>
  <si>
    <t>Steuerfreie Zusatzeinnahmen</t>
  </si>
  <si>
    <t>Optional</t>
  </si>
  <si>
    <t>Zusätzliche nicht abzugsfähige Beträge</t>
  </si>
  <si>
    <t>Sonstige manuelle Anpassungen</t>
  </si>
  <si>
    <t>Bereinigter Gewinn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</si>
</sst>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.00;[Red]\(\€\ #,##0.00\);\-"/>
    <numFmt numFmtId="165" formatCode="dd\.mm\.yyyy"/>
  </numFmts>
  <fonts count="12" x14ac:knownFonts="1">
    <font>
      <sz val="11"/>
      <color theme="1"/>
      <name val="Calibri"/>
      <family val="2"/>
      <scheme val="minor"/>
    </font>
    <font>
      <b/>
      <sz val="16"/>
      <color rgb="FF00484E"/>
      <name val="Calibri"/>
    </font>
    <font>
      <b/>
      <sz val="11"/>
      <color rgb="FFFFFFFF"/>
      <name val="Calibri"/>
    </font>
    <font>
      <sz val="11"/>
      <color rgb="FF000000"/>
      <name val="Calibri"/>
    </font>
    <font>
      <sz val="11"/>
      <color rgb="FF008000"/>
      <name val="Calibri"/>
    </font>
    <font>
      <sz val="9"/>
      <color rgb="FF6E7781"/>
      <name val="Calibri"/>
    </font>
    <font>
      <sz val="11"/>
      <color rgb="FF0000FF"/>
      <name val="Calibri"/>
    </font>
    <font>
      <b/>
      <sz val="18"/>
      <color rgb="FF00484E"/>
      <name val="Calibri"/>
    </font>
    <font>
      <b/>
      <sz val="11"/>
      <color rgb="FF000000"/>
      <name val="Calibri"/>
    </font>
    <font>
      <sz val="11"/>
      <color rgb="FF7030A0"/>
      <name val="Calibri"/>
    </font>
    <font>
      <b/>
      <sz val="15"/>
      <color rgb="FF00484E"/>
      <name val="Calibri"/>
    </font>
    <font>
      <b/>
      <sz val="11"/>
      <color rgb="FF1F415A"/>
      <name val="Calibri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FAFA"/>
      </patternFill>
    </fill>
    <fill>
      <patternFill patternType="solid">
        <fgColor rgb="FFEAF3F3"/>
      </patternFill>
    </fill>
    <fill>
      <patternFill patternType="solid">
        <fgColor rgb="FFEEF4F8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C7D3D4"/>
      </left>
      <right style="thin">
        <color rgb="FFC7D3D4"/>
      </right>
      <top style="thin">
        <color rgb="FFC7D3D4"/>
      </top>
      <bottom style="thin">
        <color rgb="FFC7D3D4"/>
      </bottom>
      <diagonal/>
    </border>
    <border>
      <left/>
      <right/>
      <top/>
      <bottom style="thin">
        <color rgb="FFC7D3D4"/>
      </bottom>
      <diagonal/>
    </border>
    <border>
      <left/>
      <right/>
      <top style="thin">
        <color rgb="FFC7D3D4"/>
      </top>
      <bottom style="thin">
        <color rgb="FFC7D3D4"/>
      </bottom>
      <diagonal/>
    </border>
    <border>
      <left/>
      <right style="thin">
        <color rgb="FFC7D3D4"/>
      </right>
      <top style="thin">
        <color rgb="FFC7D3D4"/>
      </top>
      <bottom style="thin">
        <color rgb="FFC7D3D4"/>
      </bottom>
      <diagonal/>
    </border>
    <border>
      <left style="thin">
        <color rgb="FFC7D3D4"/>
      </left>
      <right/>
      <top style="thin">
        <color rgb="FFC7D3D4"/>
      </top>
      <bottom style="thin">
        <color rgb="FFC7D3D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9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0" fontId="2" fillId="3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165" fontId="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165" fontId="6" fillId="4" borderId="2" xfId="0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9" fontId="3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9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10" fillId="5" borderId="1" xfId="0" applyFont="1" applyFill="1" applyBorder="1" applyAlignment="1">
      <alignment horizontal="center" vertical="center"/>
    </xf>
    <xf numFmtId="164" fontId="10" fillId="5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0" fillId="6" borderId="5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0" fontId="0" fillId="7" borderId="6" xfId="0" applyFill="1" applyBorder="1" applyAlignment="1">
      <alignment vertical="center"/>
    </xf>
    <xf numFmtId="0" fontId="7" fillId="8" borderId="6" xfId="0" applyFont="1" applyFill="1" applyBorder="1" applyAlignment="1">
      <alignment horizontal="left" vertical="center"/>
    </xf>
  </cellXfs>
  <cellStyles count="1">
    <cellStyle name="Normal" xfId="0" builtinId="0"/>
  </cellStyles>
  <dxfs count="3">
    <dxf>
      <fill>
        <patternFill>
          <bgColor rgb="FFFDECEC"/>
        </patternFill>
      </fill>
    </dxf>
    <dxf>
      <fill>
        <patternFill>
          <bgColor rgb="FFEEF4F8"/>
        </patternFill>
      </fill>
    </dxf>
    <dxf>
      <fill>
        <patternFill>
          <bgColor rgb="FFFFF3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Einnahmen vs. Ausgaben pro Monat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Start!$B$11</c:f>
              <c:strCache>
                <c:ptCount val="1"/>
                <c:pt idx="0">
                  <c:v>Einnahmen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Start!$A$12:$A$23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Start!$B$12:$B$23</c:f>
              <c:numCache>
                <c:formatCode>\€\ #,##0.00;[Red]\(\€\ #,##0.00\);\-</c:formatCode>
                <c:ptCount val="12"/>
                <c:pt idx="0">
                  <c:v>4000</c:v>
                </c:pt>
                <c:pt idx="1">
                  <c:v>2500</c:v>
                </c:pt>
                <c:pt idx="2">
                  <c:v>2700</c:v>
                </c:pt>
                <c:pt idx="3">
                  <c:v>1400</c:v>
                </c:pt>
                <c:pt idx="4">
                  <c:v>950</c:v>
                </c:pt>
                <c:pt idx="5">
                  <c:v>950</c:v>
                </c:pt>
                <c:pt idx="6">
                  <c:v>950</c:v>
                </c:pt>
                <c:pt idx="7">
                  <c:v>1070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F3-47A7-8237-627A848CDCFB}"/>
            </c:ext>
          </c:extLst>
        </c:ser>
        <c:ser>
          <c:idx val="1"/>
          <c:order val="1"/>
          <c:tx>
            <c:strRef>
              <c:f>Start!$C$11</c:f>
              <c:strCache>
                <c:ptCount val="1"/>
                <c:pt idx="0">
                  <c:v>Ausgaben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Start!$A$12:$A$23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Start!$C$12:$C$23</c:f>
              <c:numCache>
                <c:formatCode>\€\ #,##0.00;[Red]\(\€\ #,##0.00\);\-</c:formatCode>
                <c:ptCount val="12"/>
                <c:pt idx="0">
                  <c:v>344.94</c:v>
                </c:pt>
                <c:pt idx="1">
                  <c:v>462.6</c:v>
                </c:pt>
                <c:pt idx="2">
                  <c:v>271.49</c:v>
                </c:pt>
                <c:pt idx="3">
                  <c:v>264.39999999999998</c:v>
                </c:pt>
                <c:pt idx="4">
                  <c:v>576</c:v>
                </c:pt>
                <c:pt idx="5">
                  <c:v>60.9</c:v>
                </c:pt>
                <c:pt idx="6">
                  <c:v>29.4</c:v>
                </c:pt>
                <c:pt idx="7">
                  <c:v>50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F3-47A7-8237-627A848CDC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EUR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Top 5 Ausgabenkategorien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Start!$R$11</c:f>
              <c:strCache>
                <c:ptCount val="1"/>
                <c:pt idx="0">
                  <c:v>Betrag</c:v>
                </c:pt>
              </c:strCache>
            </c:strRef>
          </c:tx>
          <c:spPr>
            <a:ln>
              <a:prstDash val="solid"/>
            </a:ln>
          </c:spPr>
          <c:dLbls>
            <c:dLbl>
              <c:idx val="0"/>
              <c:layout>
                <c:manualLayout>
                  <c:x val="1.2873405722973543E-2"/>
                  <c:y val="-8.6136841590453372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EEB-445D-822F-42A0ADDE2D28}"/>
                </c:ext>
              </c:extLst>
            </c:dLbl>
            <c:dLbl>
              <c:idx val="3"/>
              <c:layout>
                <c:manualLayout>
                  <c:x val="-0.13545415583481146"/>
                  <c:y val="3.3646011639849364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EEB-445D-822F-42A0ADDE2D28}"/>
                </c:ext>
              </c:extLst>
            </c:dLbl>
            <c:dLbl>
              <c:idx val="4"/>
              <c:layout>
                <c:manualLayout>
                  <c:x val="-0.18674812847440553"/>
                  <c:y val="1.1705384653005331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layout>
                    <c:manualLayout>
                      <c:w val="0.2476352613253498"/>
                      <c:h val="0.1640374301038457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3EEB-445D-822F-42A0ADDE2D2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Start!$Q$12:$Q$16</c:f>
              <c:strCache>
                <c:ptCount val="5"/>
                <c:pt idx="0">
                  <c:v>Fremdleistungen / Freelancer / Provisionen</c:v>
                </c:pt>
                <c:pt idx="1">
                  <c:v>Werbung / Marketing</c:v>
                </c:pt>
                <c:pt idx="2">
                  <c:v>Steuerberatung / Buchhaltung / Recht</c:v>
                </c:pt>
                <c:pt idx="3">
                  <c:v>Miete Büro / Coworking</c:v>
                </c:pt>
                <c:pt idx="4">
                  <c:v>Beiträge / Gebühren / Versicherungen</c:v>
                </c:pt>
              </c:strCache>
            </c:strRef>
          </c:cat>
          <c:val>
            <c:numRef>
              <c:f>Start!$R$12:$R$16</c:f>
              <c:numCache>
                <c:formatCode>\€\ #,##0.00;[Red]\(\€\ #,##0.00\);\-</c:formatCode>
                <c:ptCount val="5"/>
                <c:pt idx="0">
                  <c:v>450</c:v>
                </c:pt>
                <c:pt idx="1">
                  <c:v>276.39999999999998</c:v>
                </c:pt>
                <c:pt idx="2">
                  <c:v>240</c:v>
                </c:pt>
                <c:pt idx="3">
                  <c:v>220</c:v>
                </c:pt>
                <c:pt idx="4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B-445D-822F-42A0ADDE2D28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9</xdr:row>
      <xdr:rowOff>0</xdr:rowOff>
    </xdr:from>
    <xdr:to>
      <xdr:col>4</xdr:col>
      <xdr:colOff>0</xdr:colOff>
      <xdr:row>9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495299</xdr:colOff>
      <xdr:row>9</xdr:row>
      <xdr:rowOff>133350</xdr:rowOff>
    </xdr:from>
    <xdr:to>
      <xdr:col>12</xdr:col>
      <xdr:colOff>352424</xdr:colOff>
      <xdr:row>24</xdr:row>
      <xdr:rowOff>114300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1390650</xdr:colOff>
      <xdr:row>49</xdr:row>
      <xdr:rowOff>114300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E02ABA92-2CC6-3EFD-8A4B-D9DE16302E29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Buchungen" displayName="tblBuchungen" ref="A3:P33">
  <autoFilter ref="A3:P33" xr:uid="{00000000-0009-0000-0100-000001000000}"/>
  <tableColumns count="16">
    <tableColumn id="1" xr3:uid="{00000000-0010-0000-0000-000001000000}" name="ID"/>
    <tableColumn id="2" xr3:uid="{00000000-0010-0000-0000-000002000000}" name="Datum"/>
    <tableColumn id="3" xr3:uid="{00000000-0010-0000-0000-000003000000}" name="Typ"/>
    <tableColumn id="4" xr3:uid="{00000000-0010-0000-0000-000004000000}" name="Beschreibung"/>
    <tableColumn id="5" xr3:uid="{00000000-0010-0000-0000-000005000000}" name="Gegenpartei"/>
    <tableColumn id="6" xr3:uid="{00000000-0010-0000-0000-000006000000}" name="Beleg-Nr."/>
    <tableColumn id="7" xr3:uid="{00000000-0010-0000-0000-000007000000}" name="Zahlungsart"/>
    <tableColumn id="8" xr3:uid="{00000000-0010-0000-0000-000008000000}" name="Konto/Kasse"/>
    <tableColumn id="9" xr3:uid="{00000000-0010-0000-0000-000009000000}" name="Kategorie"/>
    <tableColumn id="10" xr3:uid="{00000000-0010-0000-0000-00000A000000}" name="EÜR-Zeile"/>
    <tableColumn id="11" xr3:uid="{00000000-0010-0000-0000-00000B000000}" name="Steuerl. %"/>
    <tableColumn id="12" xr3:uid="{00000000-0010-0000-0000-00000C000000}" name="Bruttobetrag"/>
    <tableColumn id="13" xr3:uid="{00000000-0010-0000-0000-00000D000000}" name="Steuerl. Betrag"/>
    <tableColumn id="14" xr3:uid="{00000000-0010-0000-0000-00000E000000}" name="Monat"/>
    <tableColumn id="15" xr3:uid="{00000000-0010-0000-0000-00000F000000}" name="Jahr"/>
    <tableColumn id="16" xr3:uid="{00000000-0010-0000-0000-000010000000}" name="Notize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Kategorien" displayName="tblKategorien" ref="A3:G46">
  <autoFilter ref="A3:G46" xr:uid="{00000000-0009-0000-0100-000002000000}"/>
  <tableColumns count="7">
    <tableColumn id="1" xr3:uid="{00000000-0010-0000-0100-000001000000}" name="Typ"/>
    <tableColumn id="2" xr3:uid="{00000000-0010-0000-0100-000002000000}" name="Kategorie"/>
    <tableColumn id="3" xr3:uid="{00000000-0010-0000-0100-000003000000}" name="EÜR-Zeile"/>
    <tableColumn id="4" xr3:uid="{00000000-0010-0000-0100-000004000000}" name="Gruppe"/>
    <tableColumn id="5" xr3:uid="{00000000-0010-0000-0100-000005000000}" name="Standard-% abziehbar"/>
    <tableColumn id="6" xr3:uid="{00000000-0010-0000-0100-000006000000}" name="Aktiv"/>
    <tableColumn id="7" xr3:uid="{00000000-0010-0000-0100-000007000000}" name="Sortieru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9"/>
  <sheetViews>
    <sheetView showGridLines="0" tabSelected="1" workbookViewId="0">
      <selection activeCell="M4" sqref="M4"/>
    </sheetView>
  </sheetViews>
  <sheetFormatPr baseColWidth="10" defaultColWidth="9.140625" defaultRowHeight="15" x14ac:dyDescent="0.25"/>
  <cols>
    <col min="1" max="1" width="16" customWidth="1"/>
    <col min="2" max="2" width="14" customWidth="1"/>
    <col min="3" max="3" width="18" customWidth="1"/>
    <col min="4" max="5" width="14" customWidth="1"/>
    <col min="6" max="6" width="6" customWidth="1"/>
    <col min="7" max="7" width="20" customWidth="1"/>
    <col min="8" max="8" width="26" customWidth="1"/>
    <col min="9" max="9" width="12" customWidth="1"/>
    <col min="10" max="12" width="10" customWidth="1"/>
    <col min="14" max="14" width="30" customWidth="1"/>
    <col min="15" max="15" width="14" customWidth="1"/>
    <col min="17" max="17" width="28" customWidth="1"/>
    <col min="18" max="18" width="14" customWidth="1"/>
  </cols>
  <sheetData>
    <row r="1" spans="1:18" ht="23.25" customHeight="1" x14ac:dyDescent="0.2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6" t="s">
        <v>1</v>
      </c>
    </row>
    <row r="2" spans="1:18" x14ac:dyDescent="0.25">
      <c r="A2" s="47"/>
      <c r="B2" s="47"/>
      <c r="C2" s="47"/>
      <c r="D2" s="47"/>
      <c r="E2" s="47"/>
      <c r="F2" s="47"/>
      <c r="G2" s="47"/>
      <c r="H2" s="47"/>
      <c r="I2" s="47"/>
      <c r="J2" s="46">
        <v>2025</v>
      </c>
    </row>
    <row r="3" spans="1:18" x14ac:dyDescent="0.25">
      <c r="A3" s="3" t="s">
        <v>2</v>
      </c>
      <c r="B3" s="4">
        <v>2025</v>
      </c>
    </row>
    <row r="5" spans="1:18" x14ac:dyDescent="0.25">
      <c r="A5" s="29" t="s">
        <v>3</v>
      </c>
      <c r="B5" s="30"/>
      <c r="C5" s="31"/>
      <c r="D5" s="29" t="s">
        <v>4</v>
      </c>
      <c r="E5" s="30"/>
      <c r="F5" s="31"/>
      <c r="G5" s="29" t="s">
        <v>5</v>
      </c>
      <c r="H5" s="30"/>
      <c r="I5" s="31"/>
      <c r="J5" s="29" t="s">
        <v>6</v>
      </c>
      <c r="K5" s="30"/>
      <c r="L5" s="31"/>
    </row>
    <row r="6" spans="1:18" ht="19.5" x14ac:dyDescent="0.25">
      <c r="A6" s="33">
        <f>SUMIFS(Buchungen!$M$4:$M$200,Buchungen!$O$4:$O$200,$B$3,Buchungen!$C$4:$C$200,"Einnahme")</f>
        <v>14520</v>
      </c>
      <c r="B6" s="30"/>
      <c r="C6" s="31"/>
      <c r="D6" s="33">
        <f>SUMIFS(Buchungen!$M$4:$M$200,Buchungen!$O$4:$O$200,$B$3,Buchungen!$C$4:$C$200,"Ausgabe")</f>
        <v>2059.7300000000005</v>
      </c>
      <c r="E6" s="30"/>
      <c r="F6" s="31"/>
      <c r="G6" s="33">
        <f>A6-D6</f>
        <v>12460.27</v>
      </c>
      <c r="H6" s="30"/>
      <c r="I6" s="31"/>
      <c r="J6" s="32">
        <f>COUNTIFS(Buchungen!$O$4:$O$200,$B$3)</f>
        <v>30</v>
      </c>
      <c r="K6" s="30"/>
      <c r="L6" s="31"/>
    </row>
    <row r="8" spans="1:18" x14ac:dyDescent="0.25">
      <c r="A8" s="40" t="s">
        <v>7</v>
      </c>
      <c r="B8" s="41"/>
      <c r="C8" s="6"/>
      <c r="D8" s="5" t="s">
        <v>8</v>
      </c>
      <c r="E8" s="38"/>
      <c r="F8" s="39"/>
      <c r="G8" s="40" t="s">
        <v>9</v>
      </c>
      <c r="H8" s="42"/>
      <c r="I8" s="41"/>
    </row>
    <row r="9" spans="1:18" ht="19.5" x14ac:dyDescent="0.25">
      <c r="A9" s="35" t="str">
        <f>INDEX($A$12:$A$23,MATCH(MAX($B$12:$B$23),$B$12:$B$23,0))</f>
        <v>Jan</v>
      </c>
      <c r="B9" s="36"/>
      <c r="C9" s="35" t="str">
        <f>INDEX($A$12:$A$23,MATCH(MAX($C$12:$C$23),$C$12:$C$23,0))</f>
        <v>Mai</v>
      </c>
      <c r="D9" s="37"/>
      <c r="E9" s="37"/>
      <c r="F9" s="36"/>
      <c r="G9" s="43" t="str">
        <f>IF(COUNTIFS(Buchungen!$C$4:$C$200,"&lt;&gt;",Buchungen!$I$4:$I$200,"")&gt;0,"Es gibt Buchungen ohne Kategorie","Alle Buchungen sind kategorisiert")</f>
        <v>Alle Buchungen sind kategorisiert</v>
      </c>
      <c r="H9" s="44"/>
      <c r="I9" s="45"/>
    </row>
    <row r="11" spans="1:18" x14ac:dyDescent="0.25">
      <c r="A11" s="7" t="s">
        <v>10</v>
      </c>
      <c r="B11" s="7" t="s">
        <v>11</v>
      </c>
      <c r="C11" s="7" t="s">
        <v>12</v>
      </c>
      <c r="N11" s="7" t="s">
        <v>13</v>
      </c>
      <c r="O11" s="7" t="s">
        <v>14</v>
      </c>
      <c r="Q11" s="7" t="s">
        <v>15</v>
      </c>
      <c r="R11" s="7" t="s">
        <v>16</v>
      </c>
    </row>
    <row r="12" spans="1:18" x14ac:dyDescent="0.25">
      <c r="A12" s="2" t="s">
        <v>17</v>
      </c>
      <c r="B12" s="8">
        <f>SUMIFS(Buchungen!$M$4:$M$200,Buchungen!$O$4:$O$200,$B$3,Buchungen!$N$4:$N$200,1,Buchungen!$C$4:$C$200,"Einnahme")</f>
        <v>4000</v>
      </c>
      <c r="C12" s="8">
        <f>SUMIFS(Buchungen!$M$4:$M$200,Buchungen!$O$4:$O$200,$B$3,Buchungen!$N$4:$N$200,1,Buchungen!$C$4:$C$200,"Ausgabe")</f>
        <v>344.94</v>
      </c>
      <c r="N12" s="2" t="s">
        <v>18</v>
      </c>
      <c r="O12" s="8">
        <f>SUMIFS(Buchungen!$M$4:$M$200,Buchungen!$O$4:$O$200,$B$3,Buchungen!$C$4:$C$200,"Ausgabe",Buchungen!$I$4:$I$200,N12)</f>
        <v>0</v>
      </c>
      <c r="Q12" s="2" t="str">
        <f>IF(R12=0,"",INDEX($N$12:$N$49,MATCH(R12,$O$12:$O$49,0)))</f>
        <v>Fremdleistungen / Freelancer / Provisionen</v>
      </c>
      <c r="R12" s="8">
        <f>LARGE($O$12:$O$49,1)</f>
        <v>450</v>
      </c>
    </row>
    <row r="13" spans="1:18" x14ac:dyDescent="0.25">
      <c r="A13" s="2" t="s">
        <v>19</v>
      </c>
      <c r="B13" s="8">
        <f>SUMIFS(Buchungen!$M$4:$M$200,Buchungen!$O$4:$O$200,$B$3,Buchungen!$N$4:$N$200,2,Buchungen!$C$4:$C$200,"Einnahme")</f>
        <v>2500</v>
      </c>
      <c r="C13" s="8">
        <f>SUMIFS(Buchungen!$M$4:$M$200,Buchungen!$O$4:$O$200,$B$3,Buchungen!$N$4:$N$200,2,Buchungen!$C$4:$C$200,"Ausgabe")</f>
        <v>462.6</v>
      </c>
      <c r="N13" s="2" t="s">
        <v>20</v>
      </c>
      <c r="O13" s="8">
        <f>SUMIFS(Buchungen!$M$4:$M$200,Buchungen!$O$4:$O$200,$B$3,Buchungen!$C$4:$C$200,"Ausgabe",Buchungen!$I$4:$I$200,N13)</f>
        <v>450</v>
      </c>
      <c r="Q13" s="2" t="str">
        <f>IF(R13=0,"",INDEX($N$12:$N$49,MATCH(R13,$O$12:$O$49,0)))</f>
        <v>Werbung / Marketing</v>
      </c>
      <c r="R13" s="8">
        <f>LARGE($O$12:$O$49,2)</f>
        <v>276.39999999999998</v>
      </c>
    </row>
    <row r="14" spans="1:18" x14ac:dyDescent="0.25">
      <c r="A14" s="2" t="s">
        <v>21</v>
      </c>
      <c r="B14" s="8">
        <f>SUMIFS(Buchungen!$M$4:$M$200,Buchungen!$O$4:$O$200,$B$3,Buchungen!$N$4:$N$200,3,Buchungen!$C$4:$C$200,"Einnahme")</f>
        <v>2700</v>
      </c>
      <c r="C14" s="8">
        <f>SUMIFS(Buchungen!$M$4:$M$200,Buchungen!$O$4:$O$200,$B$3,Buchungen!$N$4:$N$200,3,Buchungen!$C$4:$C$200,"Ausgabe")</f>
        <v>271.49</v>
      </c>
      <c r="N14" s="2" t="s">
        <v>22</v>
      </c>
      <c r="O14" s="8">
        <f>SUMIFS(Buchungen!$M$4:$M$200,Buchungen!$O$4:$O$200,$B$3,Buchungen!$C$4:$C$200,"Ausgabe",Buchungen!$I$4:$I$200,N14)</f>
        <v>0</v>
      </c>
      <c r="Q14" s="2" t="str">
        <f>IF(R14=0,"",INDEX($N$12:$N$49,MATCH(R14,$O$12:$O$49,0)))</f>
        <v>Steuerberatung / Buchhaltung / Recht</v>
      </c>
      <c r="R14" s="8">
        <f>LARGE($O$12:$O$49,3)</f>
        <v>240</v>
      </c>
    </row>
    <row r="15" spans="1:18" x14ac:dyDescent="0.25">
      <c r="A15" s="2" t="s">
        <v>23</v>
      </c>
      <c r="B15" s="8">
        <f>SUMIFS(Buchungen!$M$4:$M$200,Buchungen!$O$4:$O$200,$B$3,Buchungen!$N$4:$N$200,4,Buchungen!$C$4:$C$200,"Einnahme")</f>
        <v>1400</v>
      </c>
      <c r="C15" s="8">
        <f>SUMIFS(Buchungen!$M$4:$M$200,Buchungen!$O$4:$O$200,$B$3,Buchungen!$N$4:$N$200,4,Buchungen!$C$4:$C$200,"Ausgabe")</f>
        <v>264.39999999999998</v>
      </c>
      <c r="N15" s="2" t="s">
        <v>24</v>
      </c>
      <c r="O15" s="8">
        <f>SUMIFS(Buchungen!$M$4:$M$200,Buchungen!$O$4:$O$200,$B$3,Buchungen!$C$4:$C$200,"Ausgabe",Buchungen!$I$4:$I$200,N15)</f>
        <v>0</v>
      </c>
      <c r="Q15" s="2" t="str">
        <f>IF(R15=0,"",INDEX($N$12:$N$49,MATCH(R15,$O$12:$O$49,0)))</f>
        <v>Miete Büro / Coworking</v>
      </c>
      <c r="R15" s="8">
        <f>LARGE($O$12:$O$49,4)</f>
        <v>220</v>
      </c>
    </row>
    <row r="16" spans="1:18" x14ac:dyDescent="0.25">
      <c r="A16" s="2" t="s">
        <v>25</v>
      </c>
      <c r="B16" s="8">
        <f>SUMIFS(Buchungen!$M$4:$M$200,Buchungen!$O$4:$O$200,$B$3,Buchungen!$N$4:$N$200,5,Buchungen!$C$4:$C$200,"Einnahme")</f>
        <v>950</v>
      </c>
      <c r="C16" s="8">
        <f>SUMIFS(Buchungen!$M$4:$M$200,Buchungen!$O$4:$O$200,$B$3,Buchungen!$N$4:$N$200,5,Buchungen!$C$4:$C$200,"Ausgabe")</f>
        <v>576</v>
      </c>
      <c r="N16" s="2" t="s">
        <v>26</v>
      </c>
      <c r="O16" s="8">
        <f>SUMIFS(Buchungen!$M$4:$M$200,Buchungen!$O$4:$O$200,$B$3,Buchungen!$C$4:$C$200,"Ausgabe",Buchungen!$I$4:$I$200,N16)</f>
        <v>0</v>
      </c>
      <c r="Q16" s="2" t="str">
        <f>IF(R16=0,"",INDEX($N$12:$N$49,MATCH(R16,$O$12:$O$49,0)))</f>
        <v>Beiträge / Gebühren / Versicherungen</v>
      </c>
      <c r="R16" s="8">
        <f>LARGE($O$12:$O$49,5)</f>
        <v>168</v>
      </c>
    </row>
    <row r="17" spans="1:15" x14ac:dyDescent="0.25">
      <c r="A17" s="2" t="s">
        <v>27</v>
      </c>
      <c r="B17" s="8">
        <f>SUMIFS(Buchungen!$M$4:$M$200,Buchungen!$O$4:$O$200,$B$3,Buchungen!$N$4:$N$200,6,Buchungen!$C$4:$C$200,"Einnahme")</f>
        <v>950</v>
      </c>
      <c r="C17" s="8">
        <f>SUMIFS(Buchungen!$M$4:$M$200,Buchungen!$O$4:$O$200,$B$3,Buchungen!$N$4:$N$200,6,Buchungen!$C$4:$C$200,"Ausgabe")</f>
        <v>60.9</v>
      </c>
      <c r="N17" s="2" t="s">
        <v>28</v>
      </c>
      <c r="O17" s="8">
        <f>SUMIFS(Buchungen!$M$4:$M$200,Buchungen!$O$4:$O$200,$B$3,Buchungen!$C$4:$C$200,"Ausgabe",Buchungen!$I$4:$I$200,N17)</f>
        <v>0</v>
      </c>
    </row>
    <row r="18" spans="1:15" x14ac:dyDescent="0.25">
      <c r="A18" s="2" t="s">
        <v>29</v>
      </c>
      <c r="B18" s="8">
        <f>SUMIFS(Buchungen!$M$4:$M$200,Buchungen!$O$4:$O$200,$B$3,Buchungen!$N$4:$N$200,7,Buchungen!$C$4:$C$200,"Einnahme")</f>
        <v>950</v>
      </c>
      <c r="C18" s="8">
        <f>SUMIFS(Buchungen!$M$4:$M$200,Buchungen!$O$4:$O$200,$B$3,Buchungen!$N$4:$N$200,7,Buchungen!$C$4:$C$200,"Ausgabe")</f>
        <v>29.4</v>
      </c>
      <c r="N18" s="2" t="s">
        <v>30</v>
      </c>
      <c r="O18" s="8">
        <f>SUMIFS(Buchungen!$M$4:$M$200,Buchungen!$O$4:$O$200,$B$3,Buchungen!$C$4:$C$200,"Ausgabe",Buchungen!$I$4:$I$200,N18)</f>
        <v>0</v>
      </c>
    </row>
    <row r="19" spans="1:15" x14ac:dyDescent="0.25">
      <c r="A19" s="2" t="s">
        <v>31</v>
      </c>
      <c r="B19" s="8">
        <f>SUMIFS(Buchungen!$M$4:$M$200,Buchungen!$O$4:$O$200,$B$3,Buchungen!$N$4:$N$200,8,Buchungen!$C$4:$C$200,"Einnahme")</f>
        <v>1070</v>
      </c>
      <c r="C19" s="8">
        <f>SUMIFS(Buchungen!$M$4:$M$200,Buchungen!$O$4:$O$200,$B$3,Buchungen!$N$4:$N$200,8,Buchungen!$C$4:$C$200,"Ausgabe")</f>
        <v>50</v>
      </c>
      <c r="N19" s="2" t="s">
        <v>32</v>
      </c>
      <c r="O19" s="8">
        <f>SUMIFS(Buchungen!$M$4:$M$200,Buchungen!$O$4:$O$200,$B$3,Buchungen!$C$4:$C$200,"Ausgabe",Buchungen!$I$4:$I$200,N19)</f>
        <v>0</v>
      </c>
    </row>
    <row r="20" spans="1:15" x14ac:dyDescent="0.25">
      <c r="A20" s="2" t="s">
        <v>33</v>
      </c>
      <c r="B20" s="8">
        <f>SUMIFS(Buchungen!$M$4:$M$200,Buchungen!$O$4:$O$200,$B$3,Buchungen!$N$4:$N$200,9,Buchungen!$C$4:$C$200,"Einnahme")</f>
        <v>0</v>
      </c>
      <c r="C20" s="8">
        <f>SUMIFS(Buchungen!$M$4:$M$200,Buchungen!$O$4:$O$200,$B$3,Buchungen!$N$4:$N$200,9,Buchungen!$C$4:$C$200,"Ausgabe")</f>
        <v>0</v>
      </c>
      <c r="N20" s="2" t="s">
        <v>34</v>
      </c>
      <c r="O20" s="8">
        <f>SUMIFS(Buchungen!$M$4:$M$200,Buchungen!$O$4:$O$200,$B$3,Buchungen!$C$4:$C$200,"Ausgabe",Buchungen!$I$4:$I$200,N20)</f>
        <v>220</v>
      </c>
    </row>
    <row r="21" spans="1:15" x14ac:dyDescent="0.25">
      <c r="A21" s="2" t="s">
        <v>35</v>
      </c>
      <c r="B21" s="8">
        <f>SUMIFS(Buchungen!$M$4:$M$200,Buchungen!$O$4:$O$200,$B$3,Buchungen!$N$4:$N$200,10,Buchungen!$C$4:$C$200,"Einnahme")</f>
        <v>0</v>
      </c>
      <c r="C21" s="8">
        <f>SUMIFS(Buchungen!$M$4:$M$200,Buchungen!$O$4:$O$200,$B$3,Buchungen!$N$4:$N$200,10,Buchungen!$C$4:$C$200,"Ausgabe")</f>
        <v>0</v>
      </c>
      <c r="N21" s="2" t="s">
        <v>36</v>
      </c>
      <c r="O21" s="8">
        <f>SUMIFS(Buchungen!$M$4:$M$200,Buchungen!$O$4:$O$200,$B$3,Buchungen!$C$4:$C$200,"Ausgabe",Buchungen!$I$4:$I$200,N21)</f>
        <v>0</v>
      </c>
    </row>
    <row r="22" spans="1:15" x14ac:dyDescent="0.25">
      <c r="A22" s="2" t="s">
        <v>37</v>
      </c>
      <c r="B22" s="8">
        <f>SUMIFS(Buchungen!$M$4:$M$200,Buchungen!$O$4:$O$200,$B$3,Buchungen!$N$4:$N$200,11,Buchungen!$C$4:$C$200,"Einnahme")</f>
        <v>0</v>
      </c>
      <c r="C22" s="8">
        <f>SUMIFS(Buchungen!$M$4:$M$200,Buchungen!$O$4:$O$200,$B$3,Buchungen!$N$4:$N$200,11,Buchungen!$C$4:$C$200,"Ausgabe")</f>
        <v>0</v>
      </c>
      <c r="N22" s="2" t="s">
        <v>38</v>
      </c>
      <c r="O22" s="8">
        <f>SUMIFS(Buchungen!$M$4:$M$200,Buchungen!$O$4:$O$200,$B$3,Buchungen!$C$4:$C$200,"Ausgabe",Buchungen!$I$4:$I$200,N22)</f>
        <v>0</v>
      </c>
    </row>
    <row r="23" spans="1:15" x14ac:dyDescent="0.25">
      <c r="A23" s="2" t="s">
        <v>39</v>
      </c>
      <c r="B23" s="8">
        <f>SUMIFS(Buchungen!$M$4:$M$200,Buchungen!$O$4:$O$200,$B$3,Buchungen!$N$4:$N$200,12,Buchungen!$C$4:$C$200,"Einnahme")</f>
        <v>0</v>
      </c>
      <c r="C23" s="8">
        <f>SUMIFS(Buchungen!$M$4:$M$200,Buchungen!$O$4:$O$200,$B$3,Buchungen!$N$4:$N$200,12,Buchungen!$C$4:$C$200,"Ausgabe")</f>
        <v>0</v>
      </c>
      <c r="N23" s="2" t="s">
        <v>40</v>
      </c>
      <c r="O23" s="8">
        <f>SUMIFS(Buchungen!$M$4:$M$200,Buchungen!$O$4:$O$200,$B$3,Buchungen!$C$4:$C$200,"Ausgabe",Buchungen!$I$4:$I$200,N23)</f>
        <v>54.95</v>
      </c>
    </row>
    <row r="24" spans="1:15" x14ac:dyDescent="0.25">
      <c r="N24" s="2" t="s">
        <v>41</v>
      </c>
      <c r="O24" s="8">
        <f>SUMIFS(Buchungen!$M$4:$M$200,Buchungen!$O$4:$O$200,$B$3,Buchungen!$C$4:$C$200,"Ausgabe",Buchungen!$I$4:$I$200,N24)</f>
        <v>79.900000000000006</v>
      </c>
    </row>
    <row r="25" spans="1:15" x14ac:dyDescent="0.25">
      <c r="N25" s="2" t="s">
        <v>42</v>
      </c>
      <c r="O25" s="8">
        <f>SUMIFS(Buchungen!$M$4:$M$200,Buchungen!$O$4:$O$200,$B$3,Buchungen!$C$4:$C$200,"Ausgabe",Buchungen!$I$4:$I$200,N25)</f>
        <v>129.99</v>
      </c>
    </row>
    <row r="26" spans="1:15" x14ac:dyDescent="0.25">
      <c r="A26" s="34" t="s">
        <v>43</v>
      </c>
      <c r="B26" s="34"/>
      <c r="C26" s="34"/>
      <c r="D26" s="34"/>
      <c r="E26" s="34"/>
      <c r="N26" s="2" t="s">
        <v>44</v>
      </c>
      <c r="O26" s="8">
        <f>SUMIFS(Buchungen!$M$4:$M$200,Buchungen!$O$4:$O$200,$B$3,Buchungen!$C$4:$C$200,"Ausgabe",Buchungen!$I$4:$I$200,N26)</f>
        <v>240</v>
      </c>
    </row>
    <row r="27" spans="1:15" x14ac:dyDescent="0.25">
      <c r="A27" s="7" t="s">
        <v>45</v>
      </c>
      <c r="B27" s="7" t="s">
        <v>46</v>
      </c>
      <c r="C27" s="7" t="s">
        <v>47</v>
      </c>
      <c r="D27" s="7" t="s">
        <v>48</v>
      </c>
      <c r="E27" s="7" t="s">
        <v>16</v>
      </c>
      <c r="N27" s="2" t="s">
        <v>49</v>
      </c>
      <c r="O27" s="8">
        <f>SUMIFS(Buchungen!$M$4:$M$200,Buchungen!$O$4:$O$200,$B$3,Buchungen!$C$4:$C$200,"Ausgabe",Buchungen!$I$4:$I$200,N27)</f>
        <v>0</v>
      </c>
    </row>
    <row r="28" spans="1:15" x14ac:dyDescent="0.25">
      <c r="A28" s="11" t="s">
        <v>50</v>
      </c>
      <c r="B28" s="2" t="str">
        <f>Buchungen!C33</f>
        <v>Einnahme</v>
      </c>
      <c r="C28" s="2" t="str">
        <f>Buchungen!D33</f>
        <v>Sonstige betriebliche Erstattung</v>
      </c>
      <c r="D28" s="2" t="str">
        <f>Buchungen!I33</f>
        <v>Sonstige betriebliche Einnahmen</v>
      </c>
      <c r="E28" s="8">
        <f>Buchungen!M33</f>
        <v>120</v>
      </c>
      <c r="N28" s="2" t="s">
        <v>51</v>
      </c>
      <c r="O28" s="8">
        <f>SUMIFS(Buchungen!$M$4:$M$200,Buchungen!$O$4:$O$200,$B$3,Buchungen!$C$4:$C$200,"Ausgabe",Buchungen!$I$4:$I$200,N28)</f>
        <v>0</v>
      </c>
    </row>
    <row r="29" spans="1:15" x14ac:dyDescent="0.25">
      <c r="A29" s="11" t="s">
        <v>52</v>
      </c>
      <c r="B29" s="2" t="str">
        <f>Buchungen!C32</f>
        <v>Ausgabe</v>
      </c>
      <c r="C29" s="2" t="str">
        <f>Buchungen!D32</f>
        <v>Fachbuch Branding</v>
      </c>
      <c r="D29" s="2" t="str">
        <f>Buchungen!I32</f>
        <v>Büromaterial / Porto / Fachliteratur</v>
      </c>
      <c r="E29" s="8">
        <f>Buchungen!M32</f>
        <v>32</v>
      </c>
      <c r="N29" s="2" t="s">
        <v>53</v>
      </c>
      <c r="O29" s="8">
        <f>SUMIFS(Buchungen!$M$4:$M$200,Buchungen!$O$4:$O$200,$B$3,Buchungen!$C$4:$C$200,"Ausgabe",Buchungen!$I$4:$I$200,N29)</f>
        <v>168</v>
      </c>
    </row>
    <row r="30" spans="1:15" x14ac:dyDescent="0.25">
      <c r="A30" s="11" t="s">
        <v>54</v>
      </c>
      <c r="B30" s="2" t="str">
        <f>Buchungen!C31</f>
        <v>Ausgabe</v>
      </c>
      <c r="C30" s="2" t="str">
        <f>Buchungen!D31</f>
        <v>Domain und Hosting</v>
      </c>
      <c r="D30" s="2" t="str">
        <f>Buchungen!I31</f>
        <v>Software / IT / EDV</v>
      </c>
      <c r="E30" s="8">
        <f>Buchungen!M31</f>
        <v>18</v>
      </c>
      <c r="N30" s="2" t="s">
        <v>55</v>
      </c>
      <c r="O30" s="8">
        <f>SUMIFS(Buchungen!$M$4:$M$200,Buchungen!$O$4:$O$200,$B$3,Buchungen!$C$4:$C$200,"Ausgabe",Buchungen!$I$4:$I$200,N30)</f>
        <v>123.99</v>
      </c>
    </row>
    <row r="31" spans="1:15" x14ac:dyDescent="0.25">
      <c r="A31" s="11" t="s">
        <v>56</v>
      </c>
      <c r="B31" s="2" t="str">
        <f>Buchungen!C30</f>
        <v>Einnahme</v>
      </c>
      <c r="C31" s="2" t="str">
        <f>Buchungen!D30</f>
        <v>Retainer August</v>
      </c>
      <c r="D31" s="2" t="str">
        <f>Buchungen!I30</f>
        <v>Umsätze / Dienstleistungen</v>
      </c>
      <c r="E31" s="8">
        <f>Buchungen!M30</f>
        <v>950</v>
      </c>
      <c r="N31" s="2" t="s">
        <v>57</v>
      </c>
      <c r="O31" s="8">
        <f>SUMIFS(Buchungen!$M$4:$M$200,Buchungen!$O$4:$O$200,$B$3,Buchungen!$C$4:$C$200,"Ausgabe",Buchungen!$I$4:$I$200,N31)</f>
        <v>74.599999999999994</v>
      </c>
    </row>
    <row r="32" spans="1:15" x14ac:dyDescent="0.25">
      <c r="A32" s="11" t="s">
        <v>58</v>
      </c>
      <c r="B32" s="2" t="str">
        <f>Buchungen!C29</f>
        <v>Ausgabe</v>
      </c>
      <c r="C32" s="2" t="str">
        <f>Buchungen!D29</f>
        <v>Kaffee mit Kunde</v>
      </c>
      <c r="D32" s="2" t="str">
        <f>Buchungen!I29</f>
        <v>Bewirtung</v>
      </c>
      <c r="E32" s="8">
        <f>Buchungen!M29</f>
        <v>29.4</v>
      </c>
      <c r="N32" s="2" t="s">
        <v>59</v>
      </c>
      <c r="O32" s="8">
        <f>SUMIFS(Buchungen!$M$4:$M$200,Buchungen!$O$4:$O$200,$B$3,Buchungen!$C$4:$C$200,"Ausgabe",Buchungen!$I$4:$I$200,N32)</f>
        <v>0</v>
      </c>
    </row>
    <row r="33" spans="1:15" x14ac:dyDescent="0.25">
      <c r="A33" s="11" t="s">
        <v>60</v>
      </c>
      <c r="B33" s="2" t="str">
        <f>Buchungen!C28</f>
        <v>Ausgabe</v>
      </c>
      <c r="C33" s="2" t="str">
        <f>Buchungen!D28</f>
        <v>Private Parkstrafe auf Dienstfahrt</v>
      </c>
      <c r="D33" s="2" t="str">
        <f>Buchungen!I28</f>
        <v>Nicht abzugsfähige Kosten</v>
      </c>
      <c r="E33" s="8">
        <f>Buchungen!M28</f>
        <v>0</v>
      </c>
      <c r="N33" s="2" t="s">
        <v>61</v>
      </c>
      <c r="O33" s="8">
        <f>SUMIFS(Buchungen!$M$4:$M$200,Buchungen!$O$4:$O$200,$B$3,Buchungen!$C$4:$C$200,"Ausgabe",Buchungen!$I$4:$I$200,N33)</f>
        <v>0</v>
      </c>
    </row>
    <row r="34" spans="1:15" x14ac:dyDescent="0.25">
      <c r="A34" s="11" t="s">
        <v>62</v>
      </c>
      <c r="B34" s="2" t="str">
        <f>Buchungen!C27</f>
        <v>Einnahme</v>
      </c>
      <c r="C34" s="2" t="str">
        <f>Buchungen!D27</f>
        <v>Retainer Juli</v>
      </c>
      <c r="D34" s="2" t="str">
        <f>Buchungen!I27</f>
        <v>Umsätze / Dienstleistungen</v>
      </c>
      <c r="E34" s="8">
        <f>Buchungen!M27</f>
        <v>950</v>
      </c>
      <c r="N34" s="2" t="s">
        <v>63</v>
      </c>
      <c r="O34" s="8">
        <f>SUMIFS(Buchungen!$M$4:$M$200,Buchungen!$O$4:$O$200,$B$3,Buchungen!$C$4:$C$200,"Ausgabe",Buchungen!$I$4:$I$200,N34)</f>
        <v>276.39999999999998</v>
      </c>
    </row>
    <row r="35" spans="1:15" x14ac:dyDescent="0.25">
      <c r="A35" s="11" t="s">
        <v>64</v>
      </c>
      <c r="B35" s="2" t="str">
        <f>Buchungen!C26</f>
        <v>Ausgabe</v>
      </c>
      <c r="C35" s="2" t="str">
        <f>Buchungen!D26</f>
        <v>Kundengeschenk</v>
      </c>
      <c r="D35" s="2" t="str">
        <f>Buchungen!I26</f>
        <v>Geschenke</v>
      </c>
      <c r="E35" s="8">
        <f>Buchungen!M26</f>
        <v>24.9</v>
      </c>
      <c r="N35" s="2" t="s">
        <v>65</v>
      </c>
      <c r="O35" s="8">
        <f>SUMIFS(Buchungen!$M$4:$M$200,Buchungen!$O$4:$O$200,$B$3,Buchungen!$C$4:$C$200,"Ausgabe",Buchungen!$I$4:$I$200,N35)</f>
        <v>0</v>
      </c>
    </row>
    <row r="36" spans="1:15" x14ac:dyDescent="0.25">
      <c r="A36" s="11" t="s">
        <v>66</v>
      </c>
      <c r="B36" s="2" t="str">
        <f>Buchungen!C25</f>
        <v>Ausgabe</v>
      </c>
      <c r="C36" s="2" t="str">
        <f>Buchungen!D25</f>
        <v>Software-Tool Figma</v>
      </c>
      <c r="D36" s="2" t="str">
        <f>Buchungen!I25</f>
        <v>Software / IT / EDV</v>
      </c>
      <c r="E36" s="8">
        <f>Buchungen!M25</f>
        <v>36</v>
      </c>
      <c r="N36" s="2" t="s">
        <v>67</v>
      </c>
      <c r="O36" s="8">
        <f>SUMIFS(Buchungen!$M$4:$M$200,Buchungen!$O$4:$O$200,$B$3,Buchungen!$C$4:$C$200,"Ausgabe",Buchungen!$I$4:$I$200,N36)</f>
        <v>0</v>
      </c>
    </row>
    <row r="37" spans="1:15" x14ac:dyDescent="0.25">
      <c r="A37" s="12" t="s">
        <v>68</v>
      </c>
      <c r="B37" s="2" t="str">
        <f>Buchungen!C24</f>
        <v>Einnahme</v>
      </c>
      <c r="C37" s="2" t="str">
        <f>Buchungen!D24</f>
        <v>Retainer Juni</v>
      </c>
      <c r="D37" s="2" t="str">
        <f>Buchungen!I24</f>
        <v>Umsätze / Dienstleistungen</v>
      </c>
      <c r="E37" s="8">
        <f>Buchungen!M24</f>
        <v>950</v>
      </c>
      <c r="N37" s="2" t="s">
        <v>69</v>
      </c>
      <c r="O37" s="8">
        <f>SUMIFS(Buchungen!$M$4:$M$200,Buchungen!$O$4:$O$200,$B$3,Buchungen!$C$4:$C$200,"Ausgabe",Buchungen!$I$4:$I$200,N37)</f>
        <v>0</v>
      </c>
    </row>
    <row r="38" spans="1:15" x14ac:dyDescent="0.25">
      <c r="N38" s="2" t="s">
        <v>70</v>
      </c>
      <c r="O38" s="8">
        <f>SUMIFS(Buchungen!$M$4:$M$200,Buchungen!$O$4:$O$200,$B$3,Buchungen!$C$4:$C$200,"Ausgabe",Buchungen!$I$4:$I$200,N38)</f>
        <v>24.9</v>
      </c>
    </row>
    <row r="39" spans="1:15" x14ac:dyDescent="0.25">
      <c r="N39" s="2" t="s">
        <v>71</v>
      </c>
      <c r="O39" s="8">
        <f>SUMIFS(Buchungen!$M$4:$M$200,Buchungen!$O$4:$O$200,$B$3,Buchungen!$C$4:$C$200,"Ausgabe",Buchungen!$I$4:$I$200,N39)</f>
        <v>91</v>
      </c>
    </row>
    <row r="40" spans="1:15" x14ac:dyDescent="0.25">
      <c r="N40" s="2" t="s">
        <v>72</v>
      </c>
      <c r="O40" s="8">
        <f>SUMIFS(Buchungen!$M$4:$M$200,Buchungen!$O$4:$O$200,$B$3,Buchungen!$C$4:$C$200,"Ausgabe",Buchungen!$I$4:$I$200,N40)</f>
        <v>0</v>
      </c>
    </row>
    <row r="41" spans="1:15" x14ac:dyDescent="0.25">
      <c r="N41" s="2" t="s">
        <v>73</v>
      </c>
      <c r="O41" s="8">
        <f>SUMIFS(Buchungen!$M$4:$M$200,Buchungen!$O$4:$O$200,$B$3,Buchungen!$C$4:$C$200,"Ausgabe",Buchungen!$I$4:$I$200,N41)</f>
        <v>0</v>
      </c>
    </row>
    <row r="42" spans="1:15" x14ac:dyDescent="0.25">
      <c r="N42" s="2" t="s">
        <v>74</v>
      </c>
      <c r="O42" s="8">
        <f>SUMIFS(Buchungen!$M$4:$M$200,Buchungen!$O$4:$O$200,$B$3,Buchungen!$C$4:$C$200,"Ausgabe",Buchungen!$I$4:$I$200,N42)</f>
        <v>126</v>
      </c>
    </row>
    <row r="43" spans="1:15" x14ac:dyDescent="0.25">
      <c r="N43" s="2" t="s">
        <v>75</v>
      </c>
      <c r="O43" s="8">
        <f>SUMIFS(Buchungen!$M$4:$M$200,Buchungen!$O$4:$O$200,$B$3,Buchungen!$C$4:$C$200,"Ausgabe",Buchungen!$I$4:$I$200,N43)</f>
        <v>0</v>
      </c>
    </row>
    <row r="44" spans="1:15" x14ac:dyDescent="0.25">
      <c r="N44" s="2" t="s">
        <v>76</v>
      </c>
      <c r="O44" s="8">
        <f>SUMIFS(Buchungen!$M$4:$M$200,Buchungen!$O$4:$O$200,$B$3,Buchungen!$C$4:$C$200,"Ausgabe",Buchungen!$I$4:$I$200,N44)</f>
        <v>0</v>
      </c>
    </row>
    <row r="45" spans="1:15" x14ac:dyDescent="0.25">
      <c r="N45" s="2" t="s">
        <v>77</v>
      </c>
      <c r="O45" s="8">
        <f>SUMIFS(Buchungen!$M$4:$M$200,Buchungen!$O$4:$O$200,$B$3,Buchungen!$C$4:$C$200,"Ausgabe",Buchungen!$I$4:$I$200,N45)</f>
        <v>0</v>
      </c>
    </row>
    <row r="46" spans="1:15" x14ac:dyDescent="0.25">
      <c r="N46" s="2" t="s">
        <v>78</v>
      </c>
      <c r="O46" s="8">
        <f>SUMIFS(Buchungen!$M$4:$M$200,Buchungen!$O$4:$O$200,$B$3,Buchungen!$C$4:$C$200,"Ausgabe",Buchungen!$I$4:$I$200,N46)</f>
        <v>0</v>
      </c>
    </row>
    <row r="47" spans="1:15" x14ac:dyDescent="0.25">
      <c r="N47" s="2" t="s">
        <v>79</v>
      </c>
      <c r="O47" s="8">
        <f>SUMIFS(Buchungen!$M$4:$M$200,Buchungen!$O$4:$O$200,$B$3,Buchungen!$C$4:$C$200,"Ausgabe",Buchungen!$I$4:$I$200,N47)</f>
        <v>0</v>
      </c>
    </row>
    <row r="48" spans="1:15" x14ac:dyDescent="0.25">
      <c r="N48" s="2" t="s">
        <v>80</v>
      </c>
      <c r="O48" s="8">
        <f>SUMIFS(Buchungen!$M$4:$M$200,Buchungen!$O$4:$O$200,$B$3,Buchungen!$C$4:$C$200,"Ausgabe",Buchungen!$I$4:$I$200,N48)</f>
        <v>0</v>
      </c>
    </row>
    <row r="49" spans="14:15" x14ac:dyDescent="0.25">
      <c r="N49" s="2" t="s">
        <v>81</v>
      </c>
      <c r="O49" s="8">
        <f>SUMIFS(Buchungen!$M$4:$M$200,Buchungen!$O$4:$O$200,$B$3,Buchungen!$C$4:$C$200,"Ausgabe",Buchungen!$I$4:$I$200,N49)</f>
        <v>0</v>
      </c>
    </row>
  </sheetData>
  <mergeCells count="15">
    <mergeCell ref="G8:I8"/>
    <mergeCell ref="G9:I9"/>
    <mergeCell ref="A1:I2"/>
    <mergeCell ref="A26:E26"/>
    <mergeCell ref="A9:B9"/>
    <mergeCell ref="A8:B8"/>
    <mergeCell ref="C9:F9"/>
    <mergeCell ref="J5:L5"/>
    <mergeCell ref="J6:L6"/>
    <mergeCell ref="D5:F5"/>
    <mergeCell ref="A5:C5"/>
    <mergeCell ref="G5:I5"/>
    <mergeCell ref="G6:I6"/>
    <mergeCell ref="A6:C6"/>
    <mergeCell ref="D6:F6"/>
  </mergeCells>
  <dataValidations count="1">
    <dataValidation type="list" sqref="B3" xr:uid="{00000000-0002-0000-0000-000000000000}">
      <formula1>$J$2:$J$9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3"/>
  <sheetViews>
    <sheetView showGridLines="0" workbookViewId="0"/>
  </sheetViews>
  <sheetFormatPr baseColWidth="10" defaultColWidth="9.140625" defaultRowHeight="15" x14ac:dyDescent="0.25"/>
  <cols>
    <col min="1" max="1" width="8" customWidth="1"/>
    <col min="2" max="3" width="12" customWidth="1"/>
    <col min="4" max="4" width="28" customWidth="1"/>
    <col min="5" max="5" width="24" customWidth="1"/>
    <col min="6" max="7" width="14" customWidth="1"/>
    <col min="8" max="8" width="16" customWidth="1"/>
    <col min="9" max="9" width="30" customWidth="1"/>
    <col min="10" max="10" width="10" customWidth="1"/>
    <col min="11" max="11" width="11" customWidth="1"/>
    <col min="12" max="13" width="14" customWidth="1"/>
    <col min="14" max="15" width="8" customWidth="1"/>
    <col min="16" max="16" width="24" customWidth="1"/>
    <col min="18" max="18" width="68" customWidth="1"/>
  </cols>
  <sheetData>
    <row r="1" spans="1:18" ht="21" x14ac:dyDescent="0.25">
      <c r="A1" s="13" t="s">
        <v>82</v>
      </c>
    </row>
    <row r="2" spans="1:18" x14ac:dyDescent="0.25">
      <c r="R2" s="9" t="s">
        <v>83</v>
      </c>
    </row>
    <row r="3" spans="1:18" x14ac:dyDescent="0.25">
      <c r="A3" s="7" t="s">
        <v>84</v>
      </c>
      <c r="B3" s="7" t="s">
        <v>45</v>
      </c>
      <c r="C3" s="7" t="s">
        <v>46</v>
      </c>
      <c r="D3" s="7" t="s">
        <v>47</v>
      </c>
      <c r="E3" s="7" t="s">
        <v>85</v>
      </c>
      <c r="F3" s="7" t="s">
        <v>86</v>
      </c>
      <c r="G3" s="7" t="s">
        <v>87</v>
      </c>
      <c r="H3" s="7" t="s">
        <v>88</v>
      </c>
      <c r="I3" s="7" t="s">
        <v>48</v>
      </c>
      <c r="J3" s="7" t="s">
        <v>89</v>
      </c>
      <c r="K3" s="7" t="s">
        <v>90</v>
      </c>
      <c r="L3" s="7" t="s">
        <v>91</v>
      </c>
      <c r="M3" s="7" t="s">
        <v>92</v>
      </c>
      <c r="N3" s="7" t="s">
        <v>10</v>
      </c>
      <c r="O3" s="7" t="s">
        <v>93</v>
      </c>
      <c r="P3" s="7" t="s">
        <v>94</v>
      </c>
      <c r="R3" s="10" t="s">
        <v>95</v>
      </c>
    </row>
    <row r="4" spans="1:18" x14ac:dyDescent="0.25">
      <c r="A4" s="14">
        <v>1</v>
      </c>
      <c r="B4" s="15">
        <v>45660</v>
      </c>
      <c r="C4" s="16" t="s">
        <v>96</v>
      </c>
      <c r="D4" s="16" t="s">
        <v>97</v>
      </c>
      <c r="E4" s="16" t="s">
        <v>98</v>
      </c>
      <c r="F4" s="16" t="s">
        <v>99</v>
      </c>
      <c r="G4" s="16" t="s">
        <v>100</v>
      </c>
      <c r="H4" s="16" t="s">
        <v>101</v>
      </c>
      <c r="I4" s="17" t="s">
        <v>102</v>
      </c>
      <c r="J4" s="18">
        <f>IFERROR(INDEX(Kategorien!$C$4:$C$46,MATCH(I4,Kategorien!$B$4:$B$46,0)),"")</f>
        <v>12</v>
      </c>
      <c r="K4" s="19">
        <f>IFERROR(INDEX(Kategorien!$E$4:$E$46,MATCH(I4,Kategorien!$B$4:$B$46,0)),0)</f>
        <v>1</v>
      </c>
      <c r="L4" s="20">
        <v>2200</v>
      </c>
      <c r="M4" s="21">
        <f t="shared" ref="M4:M33" si="0">ROUND(L4*K4,2)</f>
        <v>2200</v>
      </c>
      <c r="N4" s="18">
        <f t="shared" ref="N4:N33" si="1">MONTH(B4)</f>
        <v>1</v>
      </c>
      <c r="O4" s="18">
        <f t="shared" ref="O4:O33" si="2">YEAR(B4)</f>
        <v>2025</v>
      </c>
      <c r="P4" s="16" t="s">
        <v>103</v>
      </c>
      <c r="R4" s="10" t="s">
        <v>104</v>
      </c>
    </row>
    <row r="5" spans="1:18" x14ac:dyDescent="0.25">
      <c r="A5" s="14">
        <v>2</v>
      </c>
      <c r="B5" s="15">
        <v>45664</v>
      </c>
      <c r="C5" s="16" t="s">
        <v>105</v>
      </c>
      <c r="D5" s="16" t="s">
        <v>106</v>
      </c>
      <c r="E5" s="16" t="s">
        <v>107</v>
      </c>
      <c r="F5" s="16" t="s">
        <v>108</v>
      </c>
      <c r="G5" s="16" t="s">
        <v>109</v>
      </c>
      <c r="H5" s="16" t="s">
        <v>101</v>
      </c>
      <c r="I5" s="17" t="s">
        <v>55</v>
      </c>
      <c r="J5" s="18">
        <f>IFERROR(INDEX(Kategorien!$C$4:$C$46,MATCH(I5,Kategorien!$B$4:$B$46,0)),"")</f>
        <v>50</v>
      </c>
      <c r="K5" s="19">
        <f>IFERROR(INDEX(Kategorien!$E$4:$E$46,MATCH(I5,Kategorien!$B$4:$B$46,0)),0)</f>
        <v>1</v>
      </c>
      <c r="L5" s="20">
        <v>69.989999999999995</v>
      </c>
      <c r="M5" s="21">
        <f t="shared" si="0"/>
        <v>69.989999999999995</v>
      </c>
      <c r="N5" s="18">
        <f t="shared" si="1"/>
        <v>1</v>
      </c>
      <c r="O5" s="18">
        <f t="shared" si="2"/>
        <v>2025</v>
      </c>
      <c r="P5" s="16" t="s">
        <v>110</v>
      </c>
      <c r="R5" s="10" t="s">
        <v>111</v>
      </c>
    </row>
    <row r="6" spans="1:18" x14ac:dyDescent="0.25">
      <c r="A6" s="14">
        <v>3</v>
      </c>
      <c r="B6" s="15">
        <v>45666</v>
      </c>
      <c r="C6" s="16" t="s">
        <v>105</v>
      </c>
      <c r="D6" s="16" t="s">
        <v>112</v>
      </c>
      <c r="E6" s="16" t="s">
        <v>113</v>
      </c>
      <c r="F6" s="16" t="s">
        <v>114</v>
      </c>
      <c r="G6" s="16" t="s">
        <v>109</v>
      </c>
      <c r="H6" s="16" t="s">
        <v>101</v>
      </c>
      <c r="I6" s="17" t="s">
        <v>40</v>
      </c>
      <c r="J6" s="18">
        <f>IFERROR(INDEX(Kategorien!$C$4:$C$46,MATCH(I6,Kategorien!$B$4:$B$46,0)),"")</f>
        <v>43</v>
      </c>
      <c r="K6" s="19">
        <f>IFERROR(INDEX(Kategorien!$E$4:$E$46,MATCH(I6,Kategorien!$B$4:$B$46,0)),0)</f>
        <v>1</v>
      </c>
      <c r="L6" s="20">
        <v>54.95</v>
      </c>
      <c r="M6" s="21">
        <f t="shared" si="0"/>
        <v>54.95</v>
      </c>
      <c r="N6" s="18">
        <f t="shared" si="1"/>
        <v>1</v>
      </c>
      <c r="O6" s="18">
        <f t="shared" si="2"/>
        <v>2025</v>
      </c>
      <c r="P6" s="16" t="s">
        <v>103</v>
      </c>
      <c r="R6" s="10" t="s">
        <v>115</v>
      </c>
    </row>
    <row r="7" spans="1:18" x14ac:dyDescent="0.25">
      <c r="A7" s="14">
        <v>4</v>
      </c>
      <c r="B7" s="15">
        <v>45669</v>
      </c>
      <c r="C7" s="16" t="s">
        <v>105</v>
      </c>
      <c r="D7" s="16" t="s">
        <v>116</v>
      </c>
      <c r="E7" s="16" t="s">
        <v>117</v>
      </c>
      <c r="F7" s="16" t="s">
        <v>118</v>
      </c>
      <c r="G7" s="16" t="s">
        <v>119</v>
      </c>
      <c r="H7" s="16" t="s">
        <v>101</v>
      </c>
      <c r="I7" s="17" t="s">
        <v>34</v>
      </c>
      <c r="J7" s="18">
        <f>IFERROR(INDEX(Kategorien!$C$4:$C$46,MATCH(I7,Kategorien!$B$4:$B$46,0)),"")</f>
        <v>39</v>
      </c>
      <c r="K7" s="19">
        <f>IFERROR(INDEX(Kategorien!$E$4:$E$46,MATCH(I7,Kategorien!$B$4:$B$46,0)),0)</f>
        <v>1</v>
      </c>
      <c r="L7" s="20">
        <v>220</v>
      </c>
      <c r="M7" s="21">
        <f t="shared" si="0"/>
        <v>220</v>
      </c>
      <c r="N7" s="18">
        <f t="shared" si="1"/>
        <v>1</v>
      </c>
      <c r="O7" s="18">
        <f t="shared" si="2"/>
        <v>2025</v>
      </c>
      <c r="P7" s="16" t="s">
        <v>103</v>
      </c>
    </row>
    <row r="8" spans="1:18" x14ac:dyDescent="0.25">
      <c r="A8" s="14">
        <v>5</v>
      </c>
      <c r="B8" s="15">
        <v>45679</v>
      </c>
      <c r="C8" s="16" t="s">
        <v>96</v>
      </c>
      <c r="D8" s="16" t="s">
        <v>120</v>
      </c>
      <c r="E8" s="16" t="s">
        <v>121</v>
      </c>
      <c r="F8" s="16" t="s">
        <v>122</v>
      </c>
      <c r="G8" s="16" t="s">
        <v>100</v>
      </c>
      <c r="H8" s="16" t="s">
        <v>101</v>
      </c>
      <c r="I8" s="17" t="s">
        <v>102</v>
      </c>
      <c r="J8" s="18">
        <f>IFERROR(INDEX(Kategorien!$C$4:$C$46,MATCH(I8,Kategorien!$B$4:$B$46,0)),"")</f>
        <v>12</v>
      </c>
      <c r="K8" s="19">
        <f>IFERROR(INDEX(Kategorien!$E$4:$E$46,MATCH(I8,Kategorien!$B$4:$B$46,0)),0)</f>
        <v>1</v>
      </c>
      <c r="L8" s="20">
        <v>1800</v>
      </c>
      <c r="M8" s="21">
        <f t="shared" si="0"/>
        <v>1800</v>
      </c>
      <c r="N8" s="18">
        <f t="shared" si="1"/>
        <v>1</v>
      </c>
      <c r="O8" s="18">
        <f t="shared" si="2"/>
        <v>2025</v>
      </c>
      <c r="P8" s="16" t="s">
        <v>103</v>
      </c>
    </row>
    <row r="9" spans="1:18" x14ac:dyDescent="0.25">
      <c r="A9" s="14">
        <v>6</v>
      </c>
      <c r="B9" s="15">
        <v>45693</v>
      </c>
      <c r="C9" s="16" t="s">
        <v>105</v>
      </c>
      <c r="D9" s="16" t="s">
        <v>123</v>
      </c>
      <c r="E9" s="16" t="s">
        <v>124</v>
      </c>
      <c r="F9" s="16" t="s">
        <v>125</v>
      </c>
      <c r="G9" s="16" t="s">
        <v>119</v>
      </c>
      <c r="H9" s="16" t="s">
        <v>101</v>
      </c>
      <c r="I9" s="17" t="s">
        <v>63</v>
      </c>
      <c r="J9" s="18">
        <f>IFERROR(INDEX(Kategorien!$C$4:$C$46,MATCH(I9,Kategorien!$B$4:$B$46,0)),"")</f>
        <v>54</v>
      </c>
      <c r="K9" s="19">
        <f>IFERROR(INDEX(Kategorien!$E$4:$E$46,MATCH(I9,Kategorien!$B$4:$B$46,0)),0)</f>
        <v>1</v>
      </c>
      <c r="L9" s="20">
        <v>180</v>
      </c>
      <c r="M9" s="21">
        <f t="shared" si="0"/>
        <v>180</v>
      </c>
      <c r="N9" s="18">
        <f t="shared" si="1"/>
        <v>2</v>
      </c>
      <c r="O9" s="18">
        <f t="shared" si="2"/>
        <v>2025</v>
      </c>
      <c r="P9" s="16" t="s">
        <v>103</v>
      </c>
    </row>
    <row r="10" spans="1:18" x14ac:dyDescent="0.25">
      <c r="A10" s="14">
        <v>7</v>
      </c>
      <c r="B10" s="15">
        <v>45699</v>
      </c>
      <c r="C10" s="16" t="s">
        <v>105</v>
      </c>
      <c r="D10" s="16" t="s">
        <v>126</v>
      </c>
      <c r="E10" s="16" t="s">
        <v>127</v>
      </c>
      <c r="F10" s="16" t="s">
        <v>128</v>
      </c>
      <c r="G10" s="16" t="s">
        <v>119</v>
      </c>
      <c r="H10" s="16" t="s">
        <v>101</v>
      </c>
      <c r="I10" s="17" t="s">
        <v>57</v>
      </c>
      <c r="J10" s="18">
        <f>IFERROR(INDEX(Kategorien!$C$4:$C$46,MATCH(I10,Kategorien!$B$4:$B$46,0)),"")</f>
        <v>51</v>
      </c>
      <c r="K10" s="19">
        <f>IFERROR(INDEX(Kategorien!$E$4:$E$46,MATCH(I10,Kategorien!$B$4:$B$46,0)),0)</f>
        <v>1</v>
      </c>
      <c r="L10" s="20">
        <v>42.6</v>
      </c>
      <c r="M10" s="21">
        <f t="shared" si="0"/>
        <v>42.6</v>
      </c>
      <c r="N10" s="18">
        <f t="shared" si="1"/>
        <v>2</v>
      </c>
      <c r="O10" s="18">
        <f t="shared" si="2"/>
        <v>2025</v>
      </c>
      <c r="P10" s="16" t="s">
        <v>103</v>
      </c>
    </row>
    <row r="11" spans="1:18" x14ac:dyDescent="0.25">
      <c r="A11" s="14">
        <v>8</v>
      </c>
      <c r="B11" s="15">
        <v>45705</v>
      </c>
      <c r="C11" s="16" t="s">
        <v>96</v>
      </c>
      <c r="D11" s="16" t="s">
        <v>129</v>
      </c>
      <c r="E11" s="16" t="s">
        <v>121</v>
      </c>
      <c r="F11" s="16" t="s">
        <v>130</v>
      </c>
      <c r="G11" s="16" t="s">
        <v>100</v>
      </c>
      <c r="H11" s="16" t="s">
        <v>101</v>
      </c>
      <c r="I11" s="17" t="s">
        <v>102</v>
      </c>
      <c r="J11" s="18">
        <f>IFERROR(INDEX(Kategorien!$C$4:$C$46,MATCH(I11,Kategorien!$B$4:$B$46,0)),"")</f>
        <v>12</v>
      </c>
      <c r="K11" s="19">
        <f>IFERROR(INDEX(Kategorien!$E$4:$E$46,MATCH(I11,Kategorien!$B$4:$B$46,0)),0)</f>
        <v>1</v>
      </c>
      <c r="L11" s="20">
        <v>2500</v>
      </c>
      <c r="M11" s="21">
        <f t="shared" si="0"/>
        <v>2500</v>
      </c>
      <c r="N11" s="18">
        <f t="shared" si="1"/>
        <v>2</v>
      </c>
      <c r="O11" s="18">
        <f t="shared" si="2"/>
        <v>2025</v>
      </c>
      <c r="P11" s="16" t="s">
        <v>103</v>
      </c>
    </row>
    <row r="12" spans="1:18" x14ac:dyDescent="0.25">
      <c r="A12" s="14">
        <v>9</v>
      </c>
      <c r="B12" s="15">
        <v>45708</v>
      </c>
      <c r="C12" s="16" t="s">
        <v>105</v>
      </c>
      <c r="D12" s="16" t="s">
        <v>131</v>
      </c>
      <c r="E12" s="16" t="s">
        <v>132</v>
      </c>
      <c r="F12" s="16" t="s">
        <v>133</v>
      </c>
      <c r="G12" s="16" t="s">
        <v>100</v>
      </c>
      <c r="H12" s="16" t="s">
        <v>101</v>
      </c>
      <c r="I12" s="17" t="s">
        <v>44</v>
      </c>
      <c r="J12" s="18">
        <f>IFERROR(INDEX(Kategorien!$C$4:$C$46,MATCH(I12,Kategorien!$B$4:$B$46,0)),"")</f>
        <v>46</v>
      </c>
      <c r="K12" s="19">
        <f>IFERROR(INDEX(Kategorien!$E$4:$E$46,MATCH(I12,Kategorien!$B$4:$B$46,0)),0)</f>
        <v>1</v>
      </c>
      <c r="L12" s="20">
        <v>240</v>
      </c>
      <c r="M12" s="21">
        <f t="shared" si="0"/>
        <v>240</v>
      </c>
      <c r="N12" s="18">
        <f t="shared" si="1"/>
        <v>2</v>
      </c>
      <c r="O12" s="18">
        <f t="shared" si="2"/>
        <v>2025</v>
      </c>
      <c r="P12" s="16" t="s">
        <v>103</v>
      </c>
    </row>
    <row r="13" spans="1:18" x14ac:dyDescent="0.25">
      <c r="A13" s="14">
        <v>10</v>
      </c>
      <c r="B13" s="15">
        <v>45720</v>
      </c>
      <c r="C13" s="16" t="s">
        <v>96</v>
      </c>
      <c r="D13" s="16" t="s">
        <v>134</v>
      </c>
      <c r="E13" s="16" t="s">
        <v>98</v>
      </c>
      <c r="F13" s="16" t="s">
        <v>135</v>
      </c>
      <c r="G13" s="16" t="s">
        <v>100</v>
      </c>
      <c r="H13" s="16" t="s">
        <v>101</v>
      </c>
      <c r="I13" s="17" t="s">
        <v>102</v>
      </c>
      <c r="J13" s="18">
        <f>IFERROR(INDEX(Kategorien!$C$4:$C$46,MATCH(I13,Kategorien!$B$4:$B$46,0)),"")</f>
        <v>12</v>
      </c>
      <c r="K13" s="19">
        <f>IFERROR(INDEX(Kategorien!$E$4:$E$46,MATCH(I13,Kategorien!$B$4:$B$46,0)),0)</f>
        <v>1</v>
      </c>
      <c r="L13" s="20">
        <v>950</v>
      </c>
      <c r="M13" s="21">
        <f t="shared" si="0"/>
        <v>950</v>
      </c>
      <c r="N13" s="18">
        <f t="shared" si="1"/>
        <v>3</v>
      </c>
      <c r="O13" s="18">
        <f t="shared" si="2"/>
        <v>2025</v>
      </c>
      <c r="P13" s="16" t="s">
        <v>103</v>
      </c>
    </row>
    <row r="14" spans="1:18" x14ac:dyDescent="0.25">
      <c r="A14" s="14">
        <v>11</v>
      </c>
      <c r="B14" s="15">
        <v>45722</v>
      </c>
      <c r="C14" s="16" t="s">
        <v>105</v>
      </c>
      <c r="D14" s="16" t="s">
        <v>136</v>
      </c>
      <c r="E14" s="16" t="s">
        <v>137</v>
      </c>
      <c r="F14" s="16" t="s">
        <v>138</v>
      </c>
      <c r="G14" s="16" t="s">
        <v>119</v>
      </c>
      <c r="H14" s="16" t="s">
        <v>101</v>
      </c>
      <c r="I14" s="17" t="s">
        <v>41</v>
      </c>
      <c r="J14" s="18">
        <f>IFERROR(INDEX(Kategorien!$C$4:$C$46,MATCH(I14,Kategorien!$B$4:$B$46,0)),"")</f>
        <v>44</v>
      </c>
      <c r="K14" s="19">
        <f>IFERROR(INDEX(Kategorien!$E$4:$E$46,MATCH(I14,Kategorien!$B$4:$B$46,0)),0)</f>
        <v>1</v>
      </c>
      <c r="L14" s="20">
        <v>79.900000000000006</v>
      </c>
      <c r="M14" s="21">
        <f t="shared" si="0"/>
        <v>79.900000000000006</v>
      </c>
      <c r="N14" s="18">
        <f t="shared" si="1"/>
        <v>3</v>
      </c>
      <c r="O14" s="18">
        <f t="shared" si="2"/>
        <v>2025</v>
      </c>
      <c r="P14" s="16" t="s">
        <v>103</v>
      </c>
    </row>
    <row r="15" spans="1:18" x14ac:dyDescent="0.25">
      <c r="A15" s="14">
        <v>12</v>
      </c>
      <c r="B15" s="15">
        <v>45722</v>
      </c>
      <c r="C15" s="16" t="s">
        <v>105</v>
      </c>
      <c r="D15" s="16" t="s">
        <v>139</v>
      </c>
      <c r="E15" s="16" t="s">
        <v>140</v>
      </c>
      <c r="F15" s="16" t="s">
        <v>141</v>
      </c>
      <c r="G15" s="16" t="s">
        <v>119</v>
      </c>
      <c r="H15" s="16" t="s">
        <v>101</v>
      </c>
      <c r="I15" s="17" t="s">
        <v>71</v>
      </c>
      <c r="J15" s="18">
        <f>IFERROR(INDEX(Kategorien!$C$4:$C$46,MATCH(I15,Kategorien!$B$4:$B$46,0)),"")</f>
        <v>63</v>
      </c>
      <c r="K15" s="19">
        <f>IFERROR(INDEX(Kategorien!$E$4:$E$46,MATCH(I15,Kategorien!$B$4:$B$46,0)),0)</f>
        <v>0.7</v>
      </c>
      <c r="L15" s="20">
        <v>88</v>
      </c>
      <c r="M15" s="21">
        <f t="shared" si="0"/>
        <v>61.6</v>
      </c>
      <c r="N15" s="18">
        <f t="shared" si="1"/>
        <v>3</v>
      </c>
      <c r="O15" s="18">
        <f t="shared" si="2"/>
        <v>2025</v>
      </c>
      <c r="P15" s="16" t="s">
        <v>103</v>
      </c>
    </row>
    <row r="16" spans="1:18" x14ac:dyDescent="0.25">
      <c r="A16" s="14">
        <v>13</v>
      </c>
      <c r="B16" s="15">
        <v>45731</v>
      </c>
      <c r="C16" s="16" t="s">
        <v>105</v>
      </c>
      <c r="D16" s="16" t="s">
        <v>142</v>
      </c>
      <c r="E16" s="16" t="s">
        <v>143</v>
      </c>
      <c r="F16" s="16" t="s">
        <v>144</v>
      </c>
      <c r="G16" s="16" t="s">
        <v>119</v>
      </c>
      <c r="H16" s="16" t="s">
        <v>101</v>
      </c>
      <c r="I16" s="17" t="s">
        <v>42</v>
      </c>
      <c r="J16" s="18">
        <f>IFERROR(INDEX(Kategorien!$C$4:$C$46,MATCH(I16,Kategorien!$B$4:$B$46,0)),"")</f>
        <v>45</v>
      </c>
      <c r="K16" s="19">
        <f>IFERROR(INDEX(Kategorien!$E$4:$E$46,MATCH(I16,Kategorien!$B$4:$B$46,0)),0)</f>
        <v>1</v>
      </c>
      <c r="L16" s="20">
        <v>129.99</v>
      </c>
      <c r="M16" s="21">
        <f t="shared" si="0"/>
        <v>129.99</v>
      </c>
      <c r="N16" s="18">
        <f t="shared" si="1"/>
        <v>3</v>
      </c>
      <c r="O16" s="18">
        <f t="shared" si="2"/>
        <v>2025</v>
      </c>
      <c r="P16" s="16" t="s">
        <v>103</v>
      </c>
    </row>
    <row r="17" spans="1:16" x14ac:dyDescent="0.25">
      <c r="A17" s="14">
        <v>14</v>
      </c>
      <c r="B17" s="15">
        <v>45744</v>
      </c>
      <c r="C17" s="16" t="s">
        <v>96</v>
      </c>
      <c r="D17" s="16" t="s">
        <v>145</v>
      </c>
      <c r="E17" s="16" t="s">
        <v>146</v>
      </c>
      <c r="F17" s="16" t="s">
        <v>147</v>
      </c>
      <c r="G17" s="16" t="s">
        <v>100</v>
      </c>
      <c r="H17" s="16" t="s">
        <v>101</v>
      </c>
      <c r="I17" s="17" t="s">
        <v>102</v>
      </c>
      <c r="J17" s="18">
        <f>IFERROR(INDEX(Kategorien!$C$4:$C$46,MATCH(I17,Kategorien!$B$4:$B$46,0)),"")</f>
        <v>12</v>
      </c>
      <c r="K17" s="19">
        <f>IFERROR(INDEX(Kategorien!$E$4:$E$46,MATCH(I17,Kategorien!$B$4:$B$46,0)),0)</f>
        <v>1</v>
      </c>
      <c r="L17" s="20">
        <v>1750</v>
      </c>
      <c r="M17" s="21">
        <f t="shared" si="0"/>
        <v>1750</v>
      </c>
      <c r="N17" s="18">
        <f t="shared" si="1"/>
        <v>3</v>
      </c>
      <c r="O17" s="18">
        <f t="shared" si="2"/>
        <v>2025</v>
      </c>
      <c r="P17" s="16" t="s">
        <v>103</v>
      </c>
    </row>
    <row r="18" spans="1:16" x14ac:dyDescent="0.25">
      <c r="A18" s="14">
        <v>15</v>
      </c>
      <c r="B18" s="15">
        <v>45750</v>
      </c>
      <c r="C18" s="16" t="s">
        <v>105</v>
      </c>
      <c r="D18" s="16" t="s">
        <v>148</v>
      </c>
      <c r="E18" s="16" t="s">
        <v>149</v>
      </c>
      <c r="F18" s="16" t="s">
        <v>150</v>
      </c>
      <c r="G18" s="16" t="s">
        <v>109</v>
      </c>
      <c r="H18" s="16" t="s">
        <v>101</v>
      </c>
      <c r="I18" s="17" t="s">
        <v>53</v>
      </c>
      <c r="J18" s="18">
        <f>IFERROR(INDEX(Kategorien!$C$4:$C$46,MATCH(I18,Kategorien!$B$4:$B$46,0)),"")</f>
        <v>49</v>
      </c>
      <c r="K18" s="19">
        <f>IFERROR(INDEX(Kategorien!$E$4:$E$46,MATCH(I18,Kategorien!$B$4:$B$46,0)),0)</f>
        <v>1</v>
      </c>
      <c r="L18" s="20">
        <v>168</v>
      </c>
      <c r="M18" s="21">
        <f t="shared" si="0"/>
        <v>168</v>
      </c>
      <c r="N18" s="18">
        <f t="shared" si="1"/>
        <v>4</v>
      </c>
      <c r="O18" s="18">
        <f t="shared" si="2"/>
        <v>2025</v>
      </c>
      <c r="P18" s="16" t="s">
        <v>103</v>
      </c>
    </row>
    <row r="19" spans="1:16" x14ac:dyDescent="0.25">
      <c r="A19" s="14">
        <v>16</v>
      </c>
      <c r="B19" s="15">
        <v>45757</v>
      </c>
      <c r="C19" s="16" t="s">
        <v>96</v>
      </c>
      <c r="D19" s="16" t="s">
        <v>151</v>
      </c>
      <c r="E19" s="16" t="s">
        <v>152</v>
      </c>
      <c r="F19" s="16" t="s">
        <v>153</v>
      </c>
      <c r="G19" s="16" t="s">
        <v>100</v>
      </c>
      <c r="H19" s="16" t="s">
        <v>101</v>
      </c>
      <c r="I19" s="17" t="s">
        <v>102</v>
      </c>
      <c r="J19" s="18">
        <f>IFERROR(INDEX(Kategorien!$C$4:$C$46,MATCH(I19,Kategorien!$B$4:$B$46,0)),"")</f>
        <v>12</v>
      </c>
      <c r="K19" s="19">
        <f>IFERROR(INDEX(Kategorien!$E$4:$E$46,MATCH(I19,Kategorien!$B$4:$B$46,0)),0)</f>
        <v>1</v>
      </c>
      <c r="L19" s="20">
        <v>1400</v>
      </c>
      <c r="M19" s="21">
        <f t="shared" si="0"/>
        <v>1400</v>
      </c>
      <c r="N19" s="18">
        <f t="shared" si="1"/>
        <v>4</v>
      </c>
      <c r="O19" s="18">
        <f t="shared" si="2"/>
        <v>2025</v>
      </c>
      <c r="P19" s="16" t="s">
        <v>103</v>
      </c>
    </row>
    <row r="20" spans="1:16" x14ac:dyDescent="0.25">
      <c r="A20" s="14">
        <v>17</v>
      </c>
      <c r="B20" s="15">
        <v>45765</v>
      </c>
      <c r="C20" s="16" t="s">
        <v>105</v>
      </c>
      <c r="D20" s="16" t="s">
        <v>154</v>
      </c>
      <c r="E20" s="16" t="s">
        <v>155</v>
      </c>
      <c r="F20" s="16" t="s">
        <v>156</v>
      </c>
      <c r="G20" s="16" t="s">
        <v>119</v>
      </c>
      <c r="H20" s="16" t="s">
        <v>101</v>
      </c>
      <c r="I20" s="17" t="s">
        <v>63</v>
      </c>
      <c r="J20" s="18">
        <f>IFERROR(INDEX(Kategorien!$C$4:$C$46,MATCH(I20,Kategorien!$B$4:$B$46,0)),"")</f>
        <v>54</v>
      </c>
      <c r="K20" s="19">
        <f>IFERROR(INDEX(Kategorien!$E$4:$E$46,MATCH(I20,Kategorien!$B$4:$B$46,0)),0)</f>
        <v>1</v>
      </c>
      <c r="L20" s="20">
        <v>96.4</v>
      </c>
      <c r="M20" s="21">
        <f t="shared" si="0"/>
        <v>96.4</v>
      </c>
      <c r="N20" s="18">
        <f t="shared" si="1"/>
        <v>4</v>
      </c>
      <c r="O20" s="18">
        <f t="shared" si="2"/>
        <v>2025</v>
      </c>
      <c r="P20" s="16" t="s">
        <v>103</v>
      </c>
    </row>
    <row r="21" spans="1:16" x14ac:dyDescent="0.25">
      <c r="A21" s="14">
        <v>18</v>
      </c>
      <c r="B21" s="15">
        <v>45779</v>
      </c>
      <c r="C21" s="16" t="s">
        <v>96</v>
      </c>
      <c r="D21" s="16" t="s">
        <v>157</v>
      </c>
      <c r="E21" s="16" t="s">
        <v>98</v>
      </c>
      <c r="F21" s="16" t="s">
        <v>158</v>
      </c>
      <c r="G21" s="16" t="s">
        <v>100</v>
      </c>
      <c r="H21" s="16" t="s">
        <v>101</v>
      </c>
      <c r="I21" s="17" t="s">
        <v>102</v>
      </c>
      <c r="J21" s="18">
        <f>IFERROR(INDEX(Kategorien!$C$4:$C$46,MATCH(I21,Kategorien!$B$4:$B$46,0)),"")</f>
        <v>12</v>
      </c>
      <c r="K21" s="19">
        <f>IFERROR(INDEX(Kategorien!$E$4:$E$46,MATCH(I21,Kategorien!$B$4:$B$46,0)),0)</f>
        <v>1</v>
      </c>
      <c r="L21" s="20">
        <v>950</v>
      </c>
      <c r="M21" s="21">
        <f t="shared" si="0"/>
        <v>950</v>
      </c>
      <c r="N21" s="18">
        <f t="shared" si="1"/>
        <v>5</v>
      </c>
      <c r="O21" s="18">
        <f t="shared" si="2"/>
        <v>2025</v>
      </c>
      <c r="P21" s="16" t="s">
        <v>103</v>
      </c>
    </row>
    <row r="22" spans="1:16" x14ac:dyDescent="0.25">
      <c r="A22" s="14">
        <v>19</v>
      </c>
      <c r="B22" s="15">
        <v>45789</v>
      </c>
      <c r="C22" s="16" t="s">
        <v>105</v>
      </c>
      <c r="D22" s="16" t="s">
        <v>159</v>
      </c>
      <c r="E22" s="16" t="s">
        <v>160</v>
      </c>
      <c r="F22" s="16" t="s">
        <v>161</v>
      </c>
      <c r="G22" s="16" t="s">
        <v>162</v>
      </c>
      <c r="H22" s="16" t="s">
        <v>163</v>
      </c>
      <c r="I22" s="17" t="s">
        <v>74</v>
      </c>
      <c r="J22" s="18">
        <f>IFERROR(INDEX(Kategorien!$C$4:$C$46,MATCH(I22,Kategorien!$B$4:$B$46,0)),"")</f>
        <v>66</v>
      </c>
      <c r="K22" s="19">
        <f>IFERROR(INDEX(Kategorien!$E$4:$E$46,MATCH(I22,Kategorien!$B$4:$B$46,0)),0)</f>
        <v>1</v>
      </c>
      <c r="L22" s="20">
        <v>126</v>
      </c>
      <c r="M22" s="21">
        <f t="shared" si="0"/>
        <v>126</v>
      </c>
      <c r="N22" s="18">
        <f t="shared" si="1"/>
        <v>5</v>
      </c>
      <c r="O22" s="18">
        <f t="shared" si="2"/>
        <v>2025</v>
      </c>
      <c r="P22" s="16" t="s">
        <v>103</v>
      </c>
    </row>
    <row r="23" spans="1:16" x14ac:dyDescent="0.25">
      <c r="A23" s="14">
        <v>20</v>
      </c>
      <c r="B23" s="15">
        <v>45796</v>
      </c>
      <c r="C23" s="16" t="s">
        <v>105</v>
      </c>
      <c r="D23" s="16" t="s">
        <v>164</v>
      </c>
      <c r="E23" s="16" t="s">
        <v>165</v>
      </c>
      <c r="F23" s="16" t="s">
        <v>166</v>
      </c>
      <c r="G23" s="16" t="s">
        <v>100</v>
      </c>
      <c r="H23" s="16" t="s">
        <v>101</v>
      </c>
      <c r="I23" s="17" t="s">
        <v>20</v>
      </c>
      <c r="J23" s="18">
        <f>IFERROR(INDEX(Kategorien!$C$4:$C$46,MATCH(I23,Kategorien!$B$4:$B$46,0)),"")</f>
        <v>29</v>
      </c>
      <c r="K23" s="19">
        <f>IFERROR(INDEX(Kategorien!$E$4:$E$46,MATCH(I23,Kategorien!$B$4:$B$46,0)),0)</f>
        <v>1</v>
      </c>
      <c r="L23" s="20">
        <v>450</v>
      </c>
      <c r="M23" s="21">
        <f t="shared" si="0"/>
        <v>450</v>
      </c>
      <c r="N23" s="18">
        <f t="shared" si="1"/>
        <v>5</v>
      </c>
      <c r="O23" s="18">
        <f t="shared" si="2"/>
        <v>2025</v>
      </c>
      <c r="P23" s="16" t="s">
        <v>103</v>
      </c>
    </row>
    <row r="24" spans="1:16" x14ac:dyDescent="0.25">
      <c r="A24" s="14">
        <v>21</v>
      </c>
      <c r="B24" s="15">
        <v>45812</v>
      </c>
      <c r="C24" s="16" t="s">
        <v>96</v>
      </c>
      <c r="D24" s="16" t="s">
        <v>167</v>
      </c>
      <c r="E24" s="16" t="s">
        <v>98</v>
      </c>
      <c r="F24" s="16" t="s">
        <v>168</v>
      </c>
      <c r="G24" s="16" t="s">
        <v>100</v>
      </c>
      <c r="H24" s="16" t="s">
        <v>101</v>
      </c>
      <c r="I24" s="17" t="s">
        <v>102</v>
      </c>
      <c r="J24" s="18">
        <f>IFERROR(INDEX(Kategorien!$C$4:$C$46,MATCH(I24,Kategorien!$B$4:$B$46,0)),"")</f>
        <v>12</v>
      </c>
      <c r="K24" s="19">
        <f>IFERROR(INDEX(Kategorien!$E$4:$E$46,MATCH(I24,Kategorien!$B$4:$B$46,0)),0)</f>
        <v>1</v>
      </c>
      <c r="L24" s="20">
        <v>950</v>
      </c>
      <c r="M24" s="21">
        <f t="shared" si="0"/>
        <v>950</v>
      </c>
      <c r="N24" s="18">
        <f t="shared" si="1"/>
        <v>6</v>
      </c>
      <c r="O24" s="18">
        <f t="shared" si="2"/>
        <v>2025</v>
      </c>
      <c r="P24" s="16" t="s">
        <v>103</v>
      </c>
    </row>
    <row r="25" spans="1:16" x14ac:dyDescent="0.25">
      <c r="A25" s="14">
        <v>22</v>
      </c>
      <c r="B25" s="15">
        <v>45818</v>
      </c>
      <c r="C25" s="16" t="s">
        <v>105</v>
      </c>
      <c r="D25" s="16" t="s">
        <v>169</v>
      </c>
      <c r="E25" s="16" t="s">
        <v>170</v>
      </c>
      <c r="F25" s="16" t="s">
        <v>171</v>
      </c>
      <c r="G25" s="16" t="s">
        <v>119</v>
      </c>
      <c r="H25" s="16" t="s">
        <v>101</v>
      </c>
      <c r="I25" s="17" t="s">
        <v>55</v>
      </c>
      <c r="J25" s="18">
        <f>IFERROR(INDEX(Kategorien!$C$4:$C$46,MATCH(I25,Kategorien!$B$4:$B$46,0)),"")</f>
        <v>50</v>
      </c>
      <c r="K25" s="19">
        <f>IFERROR(INDEX(Kategorien!$E$4:$E$46,MATCH(I25,Kategorien!$B$4:$B$46,0)),0)</f>
        <v>1</v>
      </c>
      <c r="L25" s="20">
        <v>36</v>
      </c>
      <c r="M25" s="21">
        <f t="shared" si="0"/>
        <v>36</v>
      </c>
      <c r="N25" s="18">
        <f t="shared" si="1"/>
        <v>6</v>
      </c>
      <c r="O25" s="18">
        <f t="shared" si="2"/>
        <v>2025</v>
      </c>
      <c r="P25" s="16" t="s">
        <v>103</v>
      </c>
    </row>
    <row r="26" spans="1:16" x14ac:dyDescent="0.25">
      <c r="A26" s="14">
        <v>23</v>
      </c>
      <c r="B26" s="15">
        <v>45829</v>
      </c>
      <c r="C26" s="16" t="s">
        <v>105</v>
      </c>
      <c r="D26" s="16" t="s">
        <v>172</v>
      </c>
      <c r="E26" s="16" t="s">
        <v>173</v>
      </c>
      <c r="F26" s="16" t="s">
        <v>174</v>
      </c>
      <c r="G26" s="16" t="s">
        <v>119</v>
      </c>
      <c r="H26" s="16" t="s">
        <v>101</v>
      </c>
      <c r="I26" s="17" t="s">
        <v>70</v>
      </c>
      <c r="J26" s="18">
        <f>IFERROR(INDEX(Kategorien!$C$4:$C$46,MATCH(I26,Kategorien!$B$4:$B$46,0)),"")</f>
        <v>62</v>
      </c>
      <c r="K26" s="19">
        <f>IFERROR(INDEX(Kategorien!$E$4:$E$46,MATCH(I26,Kategorien!$B$4:$B$46,0)),0)</f>
        <v>1</v>
      </c>
      <c r="L26" s="20">
        <v>24.9</v>
      </c>
      <c r="M26" s="21">
        <f t="shared" si="0"/>
        <v>24.9</v>
      </c>
      <c r="N26" s="18">
        <f t="shared" si="1"/>
        <v>6</v>
      </c>
      <c r="O26" s="18">
        <f t="shared" si="2"/>
        <v>2025</v>
      </c>
      <c r="P26" s="16" t="s">
        <v>103</v>
      </c>
    </row>
    <row r="27" spans="1:16" x14ac:dyDescent="0.25">
      <c r="A27" s="14">
        <v>24</v>
      </c>
      <c r="B27" s="15">
        <v>45841</v>
      </c>
      <c r="C27" s="16" t="s">
        <v>96</v>
      </c>
      <c r="D27" s="16" t="s">
        <v>175</v>
      </c>
      <c r="E27" s="16" t="s">
        <v>98</v>
      </c>
      <c r="F27" s="16" t="s">
        <v>176</v>
      </c>
      <c r="G27" s="16" t="s">
        <v>100</v>
      </c>
      <c r="H27" s="16" t="s">
        <v>101</v>
      </c>
      <c r="I27" s="17" t="s">
        <v>102</v>
      </c>
      <c r="J27" s="18">
        <f>IFERROR(INDEX(Kategorien!$C$4:$C$46,MATCH(I27,Kategorien!$B$4:$B$46,0)),"")</f>
        <v>12</v>
      </c>
      <c r="K27" s="19">
        <f>IFERROR(INDEX(Kategorien!$E$4:$E$46,MATCH(I27,Kategorien!$B$4:$B$46,0)),0)</f>
        <v>1</v>
      </c>
      <c r="L27" s="20">
        <v>950</v>
      </c>
      <c r="M27" s="21">
        <f t="shared" si="0"/>
        <v>950</v>
      </c>
      <c r="N27" s="18">
        <f t="shared" si="1"/>
        <v>7</v>
      </c>
      <c r="O27" s="18">
        <f t="shared" si="2"/>
        <v>2025</v>
      </c>
      <c r="P27" s="16" t="s">
        <v>103</v>
      </c>
    </row>
    <row r="28" spans="1:16" x14ac:dyDescent="0.25">
      <c r="A28" s="14">
        <v>25</v>
      </c>
      <c r="B28" s="15">
        <v>45846</v>
      </c>
      <c r="C28" s="16" t="s">
        <v>105</v>
      </c>
      <c r="D28" s="16" t="s">
        <v>177</v>
      </c>
      <c r="E28" s="16" t="s">
        <v>178</v>
      </c>
      <c r="F28" s="16" t="s">
        <v>179</v>
      </c>
      <c r="G28" s="16" t="s">
        <v>119</v>
      </c>
      <c r="H28" s="16" t="s">
        <v>101</v>
      </c>
      <c r="I28" s="17" t="s">
        <v>81</v>
      </c>
      <c r="J28" s="18">
        <f>IFERROR(INDEX(Kategorien!$C$4:$C$46,MATCH(I28,Kategorien!$B$4:$B$46,0)),"")</f>
        <v>74</v>
      </c>
      <c r="K28" s="19">
        <f>IFERROR(INDEX(Kategorien!$E$4:$E$46,MATCH(I28,Kategorien!$B$4:$B$46,0)),0)</f>
        <v>0</v>
      </c>
      <c r="L28" s="20">
        <v>35</v>
      </c>
      <c r="M28" s="21">
        <f t="shared" si="0"/>
        <v>0</v>
      </c>
      <c r="N28" s="18">
        <f t="shared" si="1"/>
        <v>7</v>
      </c>
      <c r="O28" s="18">
        <f t="shared" si="2"/>
        <v>2025</v>
      </c>
      <c r="P28" s="16" t="s">
        <v>103</v>
      </c>
    </row>
    <row r="29" spans="1:16" x14ac:dyDescent="0.25">
      <c r="A29" s="14">
        <v>26</v>
      </c>
      <c r="B29" s="15">
        <v>45853</v>
      </c>
      <c r="C29" s="16" t="s">
        <v>105</v>
      </c>
      <c r="D29" s="16" t="s">
        <v>180</v>
      </c>
      <c r="E29" s="16" t="s">
        <v>181</v>
      </c>
      <c r="F29" s="16" t="s">
        <v>182</v>
      </c>
      <c r="G29" s="16" t="s">
        <v>119</v>
      </c>
      <c r="H29" s="16" t="s">
        <v>101</v>
      </c>
      <c r="I29" s="17" t="s">
        <v>71</v>
      </c>
      <c r="J29" s="18">
        <f>IFERROR(INDEX(Kategorien!$C$4:$C$46,MATCH(I29,Kategorien!$B$4:$B$46,0)),"")</f>
        <v>63</v>
      </c>
      <c r="K29" s="19">
        <f>IFERROR(INDEX(Kategorien!$E$4:$E$46,MATCH(I29,Kategorien!$B$4:$B$46,0)),0)</f>
        <v>0.7</v>
      </c>
      <c r="L29" s="20">
        <v>42</v>
      </c>
      <c r="M29" s="21">
        <f t="shared" si="0"/>
        <v>29.4</v>
      </c>
      <c r="N29" s="18">
        <f t="shared" si="1"/>
        <v>7</v>
      </c>
      <c r="O29" s="18">
        <f t="shared" si="2"/>
        <v>2025</v>
      </c>
      <c r="P29" s="16" t="s">
        <v>103</v>
      </c>
    </row>
    <row r="30" spans="1:16" x14ac:dyDescent="0.25">
      <c r="A30" s="14">
        <v>27</v>
      </c>
      <c r="B30" s="15">
        <v>45870</v>
      </c>
      <c r="C30" s="16" t="s">
        <v>96</v>
      </c>
      <c r="D30" s="16" t="s">
        <v>183</v>
      </c>
      <c r="E30" s="16" t="s">
        <v>98</v>
      </c>
      <c r="F30" s="16" t="s">
        <v>184</v>
      </c>
      <c r="G30" s="16" t="s">
        <v>100</v>
      </c>
      <c r="H30" s="16" t="s">
        <v>101</v>
      </c>
      <c r="I30" s="17" t="s">
        <v>102</v>
      </c>
      <c r="J30" s="18">
        <f>IFERROR(INDEX(Kategorien!$C$4:$C$46,MATCH(I30,Kategorien!$B$4:$B$46,0)),"")</f>
        <v>12</v>
      </c>
      <c r="K30" s="19">
        <f>IFERROR(INDEX(Kategorien!$E$4:$E$46,MATCH(I30,Kategorien!$B$4:$B$46,0)),0)</f>
        <v>1</v>
      </c>
      <c r="L30" s="20">
        <v>950</v>
      </c>
      <c r="M30" s="21">
        <f t="shared" si="0"/>
        <v>950</v>
      </c>
      <c r="N30" s="18">
        <f t="shared" si="1"/>
        <v>8</v>
      </c>
      <c r="O30" s="18">
        <f t="shared" si="2"/>
        <v>2025</v>
      </c>
      <c r="P30" s="16" t="s">
        <v>103</v>
      </c>
    </row>
    <row r="31" spans="1:16" x14ac:dyDescent="0.25">
      <c r="A31" s="14">
        <v>28</v>
      </c>
      <c r="B31" s="15">
        <v>45876</v>
      </c>
      <c r="C31" s="16" t="s">
        <v>105</v>
      </c>
      <c r="D31" s="16" t="s">
        <v>185</v>
      </c>
      <c r="E31" s="16" t="s">
        <v>186</v>
      </c>
      <c r="F31" s="16" t="s">
        <v>187</v>
      </c>
      <c r="G31" s="16" t="s">
        <v>109</v>
      </c>
      <c r="H31" s="16" t="s">
        <v>101</v>
      </c>
      <c r="I31" s="17" t="s">
        <v>55</v>
      </c>
      <c r="J31" s="18">
        <f>IFERROR(INDEX(Kategorien!$C$4:$C$46,MATCH(I31,Kategorien!$B$4:$B$46,0)),"")</f>
        <v>50</v>
      </c>
      <c r="K31" s="19">
        <f>IFERROR(INDEX(Kategorien!$E$4:$E$46,MATCH(I31,Kategorien!$B$4:$B$46,0)),0)</f>
        <v>1</v>
      </c>
      <c r="L31" s="20">
        <v>18</v>
      </c>
      <c r="M31" s="21">
        <f t="shared" si="0"/>
        <v>18</v>
      </c>
      <c r="N31" s="18">
        <f t="shared" si="1"/>
        <v>8</v>
      </c>
      <c r="O31" s="18">
        <f t="shared" si="2"/>
        <v>2025</v>
      </c>
      <c r="P31" s="16" t="s">
        <v>103</v>
      </c>
    </row>
    <row r="32" spans="1:16" x14ac:dyDescent="0.25">
      <c r="A32" s="14">
        <v>29</v>
      </c>
      <c r="B32" s="15">
        <v>45883</v>
      </c>
      <c r="C32" s="16" t="s">
        <v>105</v>
      </c>
      <c r="D32" s="16" t="s">
        <v>188</v>
      </c>
      <c r="E32" s="16" t="s">
        <v>189</v>
      </c>
      <c r="F32" s="16" t="s">
        <v>190</v>
      </c>
      <c r="G32" s="16" t="s">
        <v>119</v>
      </c>
      <c r="H32" s="16" t="s">
        <v>101</v>
      </c>
      <c r="I32" s="17" t="s">
        <v>57</v>
      </c>
      <c r="J32" s="18">
        <f>IFERROR(INDEX(Kategorien!$C$4:$C$46,MATCH(I32,Kategorien!$B$4:$B$46,0)),"")</f>
        <v>51</v>
      </c>
      <c r="K32" s="19">
        <f>IFERROR(INDEX(Kategorien!$E$4:$E$46,MATCH(I32,Kategorien!$B$4:$B$46,0)),0)</f>
        <v>1</v>
      </c>
      <c r="L32" s="20">
        <v>32</v>
      </c>
      <c r="M32" s="21">
        <f t="shared" si="0"/>
        <v>32</v>
      </c>
      <c r="N32" s="18">
        <f t="shared" si="1"/>
        <v>8</v>
      </c>
      <c r="O32" s="18">
        <f t="shared" si="2"/>
        <v>2025</v>
      </c>
      <c r="P32" s="16" t="s">
        <v>103</v>
      </c>
    </row>
    <row r="33" spans="1:16" x14ac:dyDescent="0.25">
      <c r="A33" s="14">
        <v>30</v>
      </c>
      <c r="B33" s="15">
        <v>45895</v>
      </c>
      <c r="C33" s="16" t="s">
        <v>96</v>
      </c>
      <c r="D33" s="16" t="s">
        <v>191</v>
      </c>
      <c r="E33" s="16" t="s">
        <v>192</v>
      </c>
      <c r="F33" s="16" t="s">
        <v>193</v>
      </c>
      <c r="G33" s="16" t="s">
        <v>100</v>
      </c>
      <c r="H33" s="16" t="s">
        <v>101</v>
      </c>
      <c r="I33" s="17" t="s">
        <v>194</v>
      </c>
      <c r="J33" s="18">
        <f>IFERROR(INDEX(Kategorien!$C$4:$C$46,MATCH(I33,Kategorien!$B$4:$B$46,0)),"")</f>
        <v>16</v>
      </c>
      <c r="K33" s="19">
        <f>IFERROR(INDEX(Kategorien!$E$4:$E$46,MATCH(I33,Kategorien!$B$4:$B$46,0)),0)</f>
        <v>1</v>
      </c>
      <c r="L33" s="20">
        <v>120</v>
      </c>
      <c r="M33" s="21">
        <f t="shared" si="0"/>
        <v>120</v>
      </c>
      <c r="N33" s="18">
        <f t="shared" si="1"/>
        <v>8</v>
      </c>
      <c r="O33" s="18">
        <f t="shared" si="2"/>
        <v>2025</v>
      </c>
      <c r="P33" s="16" t="s">
        <v>103</v>
      </c>
    </row>
  </sheetData>
  <conditionalFormatting sqref="A4:P200">
    <cfRule type="expression" dxfId="2" priority="1">
      <formula>AND($C4&lt;&gt;"",$I4="")</formula>
    </cfRule>
    <cfRule type="expression" dxfId="1" priority="2">
      <formula>AND($K4&lt;1,$K4&gt;0)</formula>
    </cfRule>
    <cfRule type="expression" dxfId="0" priority="3">
      <formula>$K4=0</formula>
    </cfRule>
  </conditionalFormatting>
  <dataValidations count="4">
    <dataValidation type="list" sqref="C4:C200" xr:uid="{00000000-0002-0000-0100-000000000000}">
      <formula1>"Einnahme,Ausgabe"</formula1>
    </dataValidation>
    <dataValidation type="list" allowBlank="1" sqref="G4:G200" xr:uid="{00000000-0002-0000-0100-000001000000}">
      <formula1>"Überweisung,Lastschrift,Karte,Bar,Umbuchung"</formula1>
    </dataValidation>
    <dataValidation type="list" allowBlank="1" sqref="H4:H200" xr:uid="{00000000-0002-0000-0100-000002000000}">
      <formula1>"Geschäftskonto,Kasse,Privatkonto"</formula1>
    </dataValidation>
    <dataValidation type="list" allowBlank="1" sqref="I4:I200" xr:uid="{00000000-0002-0000-0100-000003000000}">
      <formula1>INDIRECT(IF($C4="Einnahme","EinnahmeKategorien","AusgabeKategorien"))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9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34" customWidth="1"/>
    <col min="3" max="3" width="12" customWidth="1"/>
    <col min="4" max="4" width="24" customWidth="1"/>
    <col min="5" max="5" width="20" customWidth="1"/>
    <col min="6" max="7" width="10" customWidth="1"/>
    <col min="8" max="8" width="30" customWidth="1"/>
    <col min="9" max="9" width="34" customWidth="1"/>
    <col min="11" max="11" width="58" customWidth="1"/>
  </cols>
  <sheetData>
    <row r="1" spans="1:11" ht="21" x14ac:dyDescent="0.25">
      <c r="A1" s="13" t="s">
        <v>195</v>
      </c>
      <c r="H1" s="22" t="s">
        <v>196</v>
      </c>
      <c r="I1" s="22" t="s">
        <v>197</v>
      </c>
      <c r="K1" s="9" t="s">
        <v>198</v>
      </c>
    </row>
    <row r="2" spans="1:11" x14ac:dyDescent="0.25">
      <c r="H2" s="2" t="str">
        <f ca="1">IFERROR(INDEX($B$4:$B$46,_xludf.AGGREGATE(15,6,(ROW($B$4:$B$46)-ROW($B$4)+1)/(($A$4:$A$46="Einnahme")*($F$4:$F$46="Ja")),ROWS(H$2:H2))),"")</f>
        <v/>
      </c>
      <c r="I2" s="2" t="str">
        <f ca="1">IFERROR(INDEX($B$4:$B$46,_xludf.AGGREGATE(15,6,(ROW($B$4:$B$46)-ROW($B$4)+1)/(($A$4:$A$46="Ausgabe")*($F$4:$F$46="Ja")),ROWS(I$2:I2))),"")</f>
        <v/>
      </c>
      <c r="K2" s="10" t="s">
        <v>199</v>
      </c>
    </row>
    <row r="3" spans="1:11" x14ac:dyDescent="0.25">
      <c r="A3" s="7" t="s">
        <v>46</v>
      </c>
      <c r="B3" s="7" t="s">
        <v>48</v>
      </c>
      <c r="C3" s="7" t="s">
        <v>89</v>
      </c>
      <c r="D3" s="7" t="s">
        <v>200</v>
      </c>
      <c r="E3" s="7" t="s">
        <v>201</v>
      </c>
      <c r="F3" s="7" t="s">
        <v>202</v>
      </c>
      <c r="G3" s="7" t="s">
        <v>203</v>
      </c>
      <c r="H3" s="2" t="str">
        <f ca="1">IFERROR(INDEX($B$4:$B$46,_xludf.AGGREGATE(15,6,(ROW($B$4:$B$46)-ROW($B$4)+1)/(($A$4:$A$46="Einnahme")*($F$4:$F$46="Ja")),ROWS(H$2:H3))),"")</f>
        <v/>
      </c>
      <c r="I3" s="2" t="str">
        <f ca="1">IFERROR(INDEX($B$4:$B$46,_xludf.AGGREGATE(15,6,(ROW($B$4:$B$46)-ROW($B$4)+1)/(($A$4:$A$46="Ausgabe")*($F$4:$F$46="Ja")),ROWS(I$2:I3))),"")</f>
        <v/>
      </c>
      <c r="K3" s="10" t="s">
        <v>204</v>
      </c>
    </row>
    <row r="4" spans="1:11" x14ac:dyDescent="0.25">
      <c r="A4" s="18" t="s">
        <v>96</v>
      </c>
      <c r="B4" s="18" t="s">
        <v>102</v>
      </c>
      <c r="C4" s="14">
        <v>12</v>
      </c>
      <c r="D4" s="18" t="s">
        <v>3</v>
      </c>
      <c r="E4" s="23">
        <v>1</v>
      </c>
      <c r="F4" s="24" t="s">
        <v>205</v>
      </c>
      <c r="G4" s="14">
        <v>1</v>
      </c>
      <c r="H4" s="2" t="str">
        <f ca="1">IFERROR(INDEX($B$4:$B$46,_xludf.AGGREGATE(15,6,(ROW($B$4:$B$46)-ROW($B$4)+1)/(($A$4:$A$46="Einnahme")*($F$4:$F$46="Ja")),ROWS(H$2:H4))),"")</f>
        <v/>
      </c>
      <c r="I4" s="2" t="str">
        <f ca="1">IFERROR(INDEX($B$4:$B$46,_xludf.AGGREGATE(15,6,(ROW($B$4:$B$46)-ROW($B$4)+1)/(($A$4:$A$46="Ausgabe")*($F$4:$F$46="Ja")),ROWS(I$2:I4))),"")</f>
        <v/>
      </c>
      <c r="K4" s="10" t="s">
        <v>206</v>
      </c>
    </row>
    <row r="5" spans="1:11" x14ac:dyDescent="0.25">
      <c r="A5" s="18" t="s">
        <v>96</v>
      </c>
      <c r="B5" s="18" t="s">
        <v>194</v>
      </c>
      <c r="C5" s="14">
        <v>16</v>
      </c>
      <c r="D5" s="18" t="s">
        <v>3</v>
      </c>
      <c r="E5" s="23">
        <v>1</v>
      </c>
      <c r="F5" s="24" t="s">
        <v>205</v>
      </c>
      <c r="G5" s="14">
        <v>2</v>
      </c>
      <c r="H5" s="2" t="str">
        <f ca="1">IFERROR(INDEX($B$4:$B$46,_xludf.AGGREGATE(15,6,(ROW($B$4:$B$46)-ROW($B$4)+1)/(($A$4:$A$46="Einnahme")*($F$4:$F$46="Ja")),ROWS(H$2:H5))),"")</f>
        <v/>
      </c>
      <c r="I5" s="2" t="str">
        <f ca="1">IFERROR(INDEX($B$4:$B$46,_xludf.AGGREGATE(15,6,(ROW($B$4:$B$46)-ROW($B$4)+1)/(($A$4:$A$46="Ausgabe")*($F$4:$F$46="Ja")),ROWS(I$2:I5))),"")</f>
        <v/>
      </c>
    </row>
    <row r="6" spans="1:11" x14ac:dyDescent="0.25">
      <c r="A6" s="18" t="s">
        <v>96</v>
      </c>
      <c r="B6" s="18" t="s">
        <v>207</v>
      </c>
      <c r="C6" s="14">
        <v>19</v>
      </c>
      <c r="D6" s="18" t="s">
        <v>3</v>
      </c>
      <c r="E6" s="23">
        <v>1</v>
      </c>
      <c r="F6" s="24" t="s">
        <v>205</v>
      </c>
      <c r="G6" s="14">
        <v>3</v>
      </c>
      <c r="H6" s="2" t="str">
        <f ca="1">IFERROR(INDEX($B$4:$B$46,_xludf.AGGREGATE(15,6,(ROW($B$4:$B$46)-ROW($B$4)+1)/(($A$4:$A$46="Einnahme")*($F$4:$F$46="Ja")),ROWS(H$2:H6))),"")</f>
        <v/>
      </c>
      <c r="I6" s="2" t="str">
        <f ca="1">IFERROR(INDEX($B$4:$B$46,_xludf.AGGREGATE(15,6,(ROW($B$4:$B$46)-ROW($B$4)+1)/(($A$4:$A$46="Ausgabe")*($F$4:$F$46="Ja")),ROWS(I$2:I6))),"")</f>
        <v/>
      </c>
    </row>
    <row r="7" spans="1:11" x14ac:dyDescent="0.25">
      <c r="A7" s="18" t="s">
        <v>96</v>
      </c>
      <c r="B7" s="18" t="s">
        <v>208</v>
      </c>
      <c r="C7" s="14">
        <v>20</v>
      </c>
      <c r="D7" s="18" t="s">
        <v>3</v>
      </c>
      <c r="E7" s="23">
        <v>1</v>
      </c>
      <c r="F7" s="24" t="s">
        <v>205</v>
      </c>
      <c r="G7" s="14">
        <v>4</v>
      </c>
      <c r="H7" s="2" t="str">
        <f ca="1">IFERROR(INDEX($B$4:$B$46,_xludf.AGGREGATE(15,6,(ROW($B$4:$B$46)-ROW($B$4)+1)/(($A$4:$A$46="Einnahme")*($F$4:$F$46="Ja")),ROWS(H$2:H7))),"")</f>
        <v/>
      </c>
      <c r="I7" s="2" t="str">
        <f ca="1">IFERROR(INDEX($B$4:$B$46,_xludf.AGGREGATE(15,6,(ROW($B$4:$B$46)-ROW($B$4)+1)/(($A$4:$A$46="Ausgabe")*($F$4:$F$46="Ja")),ROWS(I$2:I7))),"")</f>
        <v/>
      </c>
    </row>
    <row r="8" spans="1:11" x14ac:dyDescent="0.25">
      <c r="A8" s="18" t="s">
        <v>96</v>
      </c>
      <c r="B8" s="18" t="s">
        <v>209</v>
      </c>
      <c r="C8" s="14">
        <v>21</v>
      </c>
      <c r="D8" s="18" t="s">
        <v>3</v>
      </c>
      <c r="E8" s="23">
        <v>1</v>
      </c>
      <c r="F8" s="24" t="s">
        <v>205</v>
      </c>
      <c r="G8" s="14">
        <v>5</v>
      </c>
      <c r="H8" s="2" t="str">
        <f ca="1">IFERROR(INDEX($B$4:$B$46,_xludf.AGGREGATE(15,6,(ROW($B$4:$B$46)-ROW($B$4)+1)/(($A$4:$A$46="Einnahme")*($F$4:$F$46="Ja")),ROWS(H$2:H8))),"")</f>
        <v/>
      </c>
      <c r="I8" s="2" t="str">
        <f ca="1">IFERROR(INDEX($B$4:$B$46,_xludf.AGGREGATE(15,6,(ROW($B$4:$B$46)-ROW($B$4)+1)/(($A$4:$A$46="Ausgabe")*($F$4:$F$46="Ja")),ROWS(I$2:I8))),"")</f>
        <v/>
      </c>
    </row>
    <row r="9" spans="1:11" x14ac:dyDescent="0.25">
      <c r="A9" s="18" t="s">
        <v>105</v>
      </c>
      <c r="B9" s="18" t="s">
        <v>18</v>
      </c>
      <c r="C9" s="14">
        <v>27</v>
      </c>
      <c r="D9" s="18" t="s">
        <v>210</v>
      </c>
      <c r="E9" s="23">
        <v>1</v>
      </c>
      <c r="F9" s="24" t="s">
        <v>205</v>
      </c>
      <c r="G9" s="14">
        <v>10</v>
      </c>
      <c r="H9" s="2" t="str">
        <f ca="1">IFERROR(INDEX($B$4:$B$46,_xludf.AGGREGATE(15,6,(ROW($B$4:$B$46)-ROW($B$4)+1)/(($A$4:$A$46="Einnahme")*($F$4:$F$46="Ja")),ROWS(H$2:H9))),"")</f>
        <v/>
      </c>
      <c r="I9" s="2" t="str">
        <f ca="1">IFERROR(INDEX($B$4:$B$46,_xludf.AGGREGATE(15,6,(ROW($B$4:$B$46)-ROW($B$4)+1)/(($A$4:$A$46="Ausgabe")*($F$4:$F$46="Ja")),ROWS(I$2:I9))),"")</f>
        <v/>
      </c>
    </row>
    <row r="10" spans="1:11" x14ac:dyDescent="0.25">
      <c r="A10" s="18" t="s">
        <v>105</v>
      </c>
      <c r="B10" s="18" t="s">
        <v>20</v>
      </c>
      <c r="C10" s="14">
        <v>29</v>
      </c>
      <c r="D10" s="18" t="s">
        <v>211</v>
      </c>
      <c r="E10" s="23">
        <v>1</v>
      </c>
      <c r="F10" s="24" t="s">
        <v>205</v>
      </c>
      <c r="G10" s="14">
        <v>11</v>
      </c>
      <c r="H10" s="2" t="str">
        <f ca="1">IFERROR(INDEX($B$4:$B$46,_xludf.AGGREGATE(15,6,(ROW($B$4:$B$46)-ROW($B$4)+1)/(($A$4:$A$46="Einnahme")*($F$4:$F$46="Ja")),ROWS(H$2:H10))),"")</f>
        <v/>
      </c>
      <c r="I10" s="2" t="str">
        <f ca="1">IFERROR(INDEX($B$4:$B$46,_xludf.AGGREGATE(15,6,(ROW($B$4:$B$46)-ROW($B$4)+1)/(($A$4:$A$46="Ausgabe")*($F$4:$F$46="Ja")),ROWS(I$2:I10))),"")</f>
        <v/>
      </c>
    </row>
    <row r="11" spans="1:11" x14ac:dyDescent="0.25">
      <c r="A11" s="18" t="s">
        <v>105</v>
      </c>
      <c r="B11" s="18" t="s">
        <v>22</v>
      </c>
      <c r="C11" s="14">
        <v>30</v>
      </c>
      <c r="D11" s="18" t="s">
        <v>22</v>
      </c>
      <c r="E11" s="23">
        <v>1</v>
      </c>
      <c r="F11" s="24" t="s">
        <v>205</v>
      </c>
      <c r="G11" s="14">
        <v>12</v>
      </c>
      <c r="H11" s="2" t="str">
        <f ca="1">IFERROR(INDEX($B$4:$B$46,_xludf.AGGREGATE(15,6,(ROW($B$4:$B$46)-ROW($B$4)+1)/(($A$4:$A$46="Einnahme")*($F$4:$F$46="Ja")),ROWS(H$2:H11))),"")</f>
        <v/>
      </c>
      <c r="I11" s="2" t="str">
        <f ca="1">IFERROR(INDEX($B$4:$B$46,_xludf.AGGREGATE(15,6,(ROW($B$4:$B$46)-ROW($B$4)+1)/(($A$4:$A$46="Ausgabe")*($F$4:$F$46="Ja")),ROWS(I$2:I11))),"")</f>
        <v/>
      </c>
    </row>
    <row r="12" spans="1:11" x14ac:dyDescent="0.25">
      <c r="A12" s="18" t="s">
        <v>105</v>
      </c>
      <c r="B12" s="18" t="s">
        <v>24</v>
      </c>
      <c r="C12" s="14">
        <v>32</v>
      </c>
      <c r="D12" s="18" t="s">
        <v>212</v>
      </c>
      <c r="E12" s="23">
        <v>1</v>
      </c>
      <c r="F12" s="24" t="s">
        <v>205</v>
      </c>
      <c r="G12" s="14">
        <v>13</v>
      </c>
      <c r="H12" s="2" t="str">
        <f ca="1">IFERROR(INDEX($B$4:$B$46,_xludf.AGGREGATE(15,6,(ROW($B$4:$B$46)-ROW($B$4)+1)/(($A$4:$A$46="Einnahme")*($F$4:$F$46="Ja")),ROWS(H$2:H12))),"")</f>
        <v/>
      </c>
      <c r="I12" s="2" t="str">
        <f ca="1">IFERROR(INDEX($B$4:$B$46,_xludf.AGGREGATE(15,6,(ROW($B$4:$B$46)-ROW($B$4)+1)/(($A$4:$A$46="Ausgabe")*($F$4:$F$46="Ja")),ROWS(I$2:I12))),"")</f>
        <v/>
      </c>
    </row>
    <row r="13" spans="1:11" x14ac:dyDescent="0.25">
      <c r="A13" s="18" t="s">
        <v>105</v>
      </c>
      <c r="B13" s="18" t="s">
        <v>26</v>
      </c>
      <c r="C13" s="14">
        <v>33</v>
      </c>
      <c r="D13" s="18" t="s">
        <v>212</v>
      </c>
      <c r="E13" s="23">
        <v>1</v>
      </c>
      <c r="F13" s="24" t="s">
        <v>205</v>
      </c>
      <c r="G13" s="14">
        <v>14</v>
      </c>
      <c r="H13" s="2" t="str">
        <f ca="1">IFERROR(INDEX($B$4:$B$46,_xludf.AGGREGATE(15,6,(ROW($B$4:$B$46)-ROW($B$4)+1)/(($A$4:$A$46="Einnahme")*($F$4:$F$46="Ja")),ROWS(H$2:H13))),"")</f>
        <v/>
      </c>
      <c r="I13" s="2" t="str">
        <f ca="1">IFERROR(INDEX($B$4:$B$46,_xludf.AGGREGATE(15,6,(ROW($B$4:$B$46)-ROW($B$4)+1)/(($A$4:$A$46="Ausgabe")*($F$4:$F$46="Ja")),ROWS(I$2:I13))),"")</f>
        <v/>
      </c>
    </row>
    <row r="14" spans="1:11" x14ac:dyDescent="0.25">
      <c r="A14" s="18" t="s">
        <v>105</v>
      </c>
      <c r="B14" s="18" t="s">
        <v>28</v>
      </c>
      <c r="C14" s="14">
        <v>34</v>
      </c>
      <c r="D14" s="18" t="s">
        <v>212</v>
      </c>
      <c r="E14" s="23">
        <v>1</v>
      </c>
      <c r="F14" s="24" t="s">
        <v>205</v>
      </c>
      <c r="G14" s="14">
        <v>15</v>
      </c>
      <c r="H14" s="2" t="str">
        <f ca="1">IFERROR(INDEX($B$4:$B$46,_xludf.AGGREGATE(15,6,(ROW($B$4:$B$46)-ROW($B$4)+1)/(($A$4:$A$46="Einnahme")*($F$4:$F$46="Ja")),ROWS(H$2:H14))),"")</f>
        <v/>
      </c>
      <c r="I14" s="2" t="str">
        <f ca="1">IFERROR(INDEX($B$4:$B$46,_xludf.AGGREGATE(15,6,(ROW($B$4:$B$46)-ROW($B$4)+1)/(($A$4:$A$46="Ausgabe")*($F$4:$F$46="Ja")),ROWS(I$2:I14))),"")</f>
        <v/>
      </c>
    </row>
    <row r="15" spans="1:11" x14ac:dyDescent="0.25">
      <c r="A15" s="18" t="s">
        <v>105</v>
      </c>
      <c r="B15" s="18" t="s">
        <v>30</v>
      </c>
      <c r="C15" s="14">
        <v>36</v>
      </c>
      <c r="D15" s="18" t="s">
        <v>212</v>
      </c>
      <c r="E15" s="23">
        <v>1</v>
      </c>
      <c r="F15" s="24" t="s">
        <v>205</v>
      </c>
      <c r="G15" s="14">
        <v>16</v>
      </c>
      <c r="H15" s="2" t="str">
        <f ca="1">IFERROR(INDEX($B$4:$B$46,_xludf.AGGREGATE(15,6,(ROW($B$4:$B$46)-ROW($B$4)+1)/(($A$4:$A$46="Einnahme")*($F$4:$F$46="Ja")),ROWS(H$2:H15))),"")</f>
        <v/>
      </c>
      <c r="I15" s="2" t="str">
        <f ca="1">IFERROR(INDEX($B$4:$B$46,_xludf.AGGREGATE(15,6,(ROW($B$4:$B$46)-ROW($B$4)+1)/(($A$4:$A$46="Ausgabe")*($F$4:$F$46="Ja")),ROWS(I$2:I15))),"")</f>
        <v/>
      </c>
    </row>
    <row r="16" spans="1:11" x14ac:dyDescent="0.25">
      <c r="A16" s="18" t="s">
        <v>105</v>
      </c>
      <c r="B16" s="18" t="s">
        <v>32</v>
      </c>
      <c r="C16" s="14">
        <v>38</v>
      </c>
      <c r="D16" s="18" t="s">
        <v>212</v>
      </c>
      <c r="E16" s="23">
        <v>1</v>
      </c>
      <c r="F16" s="24" t="s">
        <v>205</v>
      </c>
      <c r="G16" s="14">
        <v>17</v>
      </c>
      <c r="H16" s="2" t="str">
        <f ca="1">IFERROR(INDEX($B$4:$B$46,_xludf.AGGREGATE(15,6,(ROW($B$4:$B$46)-ROW($B$4)+1)/(($A$4:$A$46="Einnahme")*($F$4:$F$46="Ja")),ROWS(H$2:H16))),"")</f>
        <v/>
      </c>
      <c r="I16" s="2" t="str">
        <f ca="1">IFERROR(INDEX($B$4:$B$46,_xludf.AGGREGATE(15,6,(ROW($B$4:$B$46)-ROW($B$4)+1)/(($A$4:$A$46="Ausgabe")*($F$4:$F$46="Ja")),ROWS(I$2:I16))),"")</f>
        <v/>
      </c>
    </row>
    <row r="17" spans="1:9" x14ac:dyDescent="0.25">
      <c r="A17" s="18" t="s">
        <v>105</v>
      </c>
      <c r="B17" s="18" t="s">
        <v>34</v>
      </c>
      <c r="C17" s="14">
        <v>39</v>
      </c>
      <c r="D17" s="18" t="s">
        <v>213</v>
      </c>
      <c r="E17" s="23">
        <v>1</v>
      </c>
      <c r="F17" s="24" t="s">
        <v>205</v>
      </c>
      <c r="G17" s="14">
        <v>18</v>
      </c>
      <c r="H17" s="2" t="str">
        <f ca="1">IFERROR(INDEX($B$4:$B$46,_xludf.AGGREGATE(15,6,(ROW($B$4:$B$46)-ROW($B$4)+1)/(($A$4:$A$46="Einnahme")*($F$4:$F$46="Ja")),ROWS(H$2:H17))),"")</f>
        <v/>
      </c>
      <c r="I17" s="2" t="str">
        <f ca="1">IFERROR(INDEX($B$4:$B$46,_xludf.AGGREGATE(15,6,(ROW($B$4:$B$46)-ROW($B$4)+1)/(($A$4:$A$46="Ausgabe")*($F$4:$F$46="Ja")),ROWS(I$2:I17))),"")</f>
        <v/>
      </c>
    </row>
    <row r="18" spans="1:9" x14ac:dyDescent="0.25">
      <c r="A18" s="18" t="s">
        <v>105</v>
      </c>
      <c r="B18" s="18" t="s">
        <v>36</v>
      </c>
      <c r="C18" s="14">
        <v>40</v>
      </c>
      <c r="D18" s="18" t="s">
        <v>213</v>
      </c>
      <c r="E18" s="23">
        <v>1</v>
      </c>
      <c r="F18" s="24" t="s">
        <v>205</v>
      </c>
      <c r="G18" s="14">
        <v>19</v>
      </c>
      <c r="H18" s="2" t="str">
        <f ca="1">IFERROR(INDEX($B$4:$B$46,_xludf.AGGREGATE(15,6,(ROW($B$4:$B$46)-ROW($B$4)+1)/(($A$4:$A$46="Einnahme")*($F$4:$F$46="Ja")),ROWS(H$2:H18))),"")</f>
        <v/>
      </c>
      <c r="I18" s="2" t="str">
        <f ca="1">IFERROR(INDEX($B$4:$B$46,_xludf.AGGREGATE(15,6,(ROW($B$4:$B$46)-ROW($B$4)+1)/(($A$4:$A$46="Ausgabe")*($F$4:$F$46="Ja")),ROWS(I$2:I18))),"")</f>
        <v/>
      </c>
    </row>
    <row r="19" spans="1:9" x14ac:dyDescent="0.25">
      <c r="A19" s="18" t="s">
        <v>105</v>
      </c>
      <c r="B19" s="18" t="s">
        <v>38</v>
      </c>
      <c r="C19" s="14">
        <v>41</v>
      </c>
      <c r="D19" s="18" t="s">
        <v>213</v>
      </c>
      <c r="E19" s="23">
        <v>1</v>
      </c>
      <c r="F19" s="24" t="s">
        <v>205</v>
      </c>
      <c r="G19" s="14">
        <v>20</v>
      </c>
      <c r="H19" s="2" t="str">
        <f ca="1">IFERROR(INDEX($B$4:$B$46,_xludf.AGGREGATE(15,6,(ROW($B$4:$B$46)-ROW($B$4)+1)/(($A$4:$A$46="Einnahme")*($F$4:$F$46="Ja")),ROWS(H$2:H19))),"")</f>
        <v/>
      </c>
      <c r="I19" s="2" t="str">
        <f ca="1">IFERROR(INDEX($B$4:$B$46,_xludf.AGGREGATE(15,6,(ROW($B$4:$B$46)-ROW($B$4)+1)/(($A$4:$A$46="Ausgabe")*($F$4:$F$46="Ja")),ROWS(I$2:I19))),"")</f>
        <v/>
      </c>
    </row>
    <row r="20" spans="1:9" x14ac:dyDescent="0.25">
      <c r="A20" s="18" t="s">
        <v>105</v>
      </c>
      <c r="B20" s="18" t="s">
        <v>40</v>
      </c>
      <c r="C20" s="14">
        <v>43</v>
      </c>
      <c r="D20" s="18" t="s">
        <v>214</v>
      </c>
      <c r="E20" s="23">
        <v>1</v>
      </c>
      <c r="F20" s="24" t="s">
        <v>205</v>
      </c>
      <c r="G20" s="14">
        <v>21</v>
      </c>
      <c r="H20" s="2" t="str">
        <f ca="1">IFERROR(INDEX($B$4:$B$46,_xludf.AGGREGATE(15,6,(ROW($B$4:$B$46)-ROW($B$4)+1)/(($A$4:$A$46="Einnahme")*($F$4:$F$46="Ja")),ROWS(H$2:H20))),"")</f>
        <v/>
      </c>
      <c r="I20" s="2" t="str">
        <f ca="1">IFERROR(INDEX($B$4:$B$46,_xludf.AGGREGATE(15,6,(ROW($B$4:$B$46)-ROW($B$4)+1)/(($A$4:$A$46="Ausgabe")*($F$4:$F$46="Ja")),ROWS(I$2:I20))),"")</f>
        <v/>
      </c>
    </row>
    <row r="21" spans="1:9" x14ac:dyDescent="0.25">
      <c r="A21" s="18" t="s">
        <v>105</v>
      </c>
      <c r="B21" s="18" t="s">
        <v>41</v>
      </c>
      <c r="C21" s="14">
        <v>44</v>
      </c>
      <c r="D21" s="18" t="s">
        <v>214</v>
      </c>
      <c r="E21" s="23">
        <v>1</v>
      </c>
      <c r="F21" s="24" t="s">
        <v>205</v>
      </c>
      <c r="G21" s="14">
        <v>22</v>
      </c>
      <c r="H21" s="2" t="str">
        <f ca="1">IFERROR(INDEX($B$4:$B$46,_xludf.AGGREGATE(15,6,(ROW($B$4:$B$46)-ROW($B$4)+1)/(($A$4:$A$46="Einnahme")*($F$4:$F$46="Ja")),ROWS(H$2:H21))),"")</f>
        <v/>
      </c>
      <c r="I21" s="2" t="str">
        <f ca="1">IFERROR(INDEX($B$4:$B$46,_xludf.AGGREGATE(15,6,(ROW($B$4:$B$46)-ROW($B$4)+1)/(($A$4:$A$46="Ausgabe")*($F$4:$F$46="Ja")),ROWS(I$2:I21))),"")</f>
        <v/>
      </c>
    </row>
    <row r="22" spans="1:9" x14ac:dyDescent="0.25">
      <c r="A22" s="18" t="s">
        <v>105</v>
      </c>
      <c r="B22" s="18" t="s">
        <v>42</v>
      </c>
      <c r="C22" s="14">
        <v>45</v>
      </c>
      <c r="D22" s="18" t="s">
        <v>214</v>
      </c>
      <c r="E22" s="23">
        <v>1</v>
      </c>
      <c r="F22" s="24" t="s">
        <v>205</v>
      </c>
      <c r="G22" s="14">
        <v>23</v>
      </c>
      <c r="H22" s="2" t="str">
        <f ca="1">IFERROR(INDEX($B$4:$B$46,_xludf.AGGREGATE(15,6,(ROW($B$4:$B$46)-ROW($B$4)+1)/(($A$4:$A$46="Einnahme")*($F$4:$F$46="Ja")),ROWS(H$2:H22))),"")</f>
        <v/>
      </c>
      <c r="I22" s="2" t="str">
        <f ca="1">IFERROR(INDEX($B$4:$B$46,_xludf.AGGREGATE(15,6,(ROW($B$4:$B$46)-ROW($B$4)+1)/(($A$4:$A$46="Ausgabe")*($F$4:$F$46="Ja")),ROWS(I$2:I22))),"")</f>
        <v/>
      </c>
    </row>
    <row r="23" spans="1:9" x14ac:dyDescent="0.25">
      <c r="A23" s="18" t="s">
        <v>105</v>
      </c>
      <c r="B23" s="18" t="s">
        <v>44</v>
      </c>
      <c r="C23" s="14">
        <v>46</v>
      </c>
      <c r="D23" s="18" t="s">
        <v>214</v>
      </c>
      <c r="E23" s="23">
        <v>1</v>
      </c>
      <c r="F23" s="24" t="s">
        <v>205</v>
      </c>
      <c r="G23" s="14">
        <v>24</v>
      </c>
      <c r="H23" s="2" t="str">
        <f ca="1">IFERROR(INDEX($B$4:$B$46,_xludf.AGGREGATE(15,6,(ROW($B$4:$B$46)-ROW($B$4)+1)/(($A$4:$A$46="Einnahme")*($F$4:$F$46="Ja")),ROWS(H$2:H23))),"")</f>
        <v/>
      </c>
      <c r="I23" s="2" t="str">
        <f ca="1">IFERROR(INDEX($B$4:$B$46,_xludf.AGGREGATE(15,6,(ROW($B$4:$B$46)-ROW($B$4)+1)/(($A$4:$A$46="Ausgabe")*($F$4:$F$46="Ja")),ROWS(I$2:I23))),"")</f>
        <v/>
      </c>
    </row>
    <row r="24" spans="1:9" x14ac:dyDescent="0.25">
      <c r="A24" s="18" t="s">
        <v>105</v>
      </c>
      <c r="B24" s="18" t="s">
        <v>49</v>
      </c>
      <c r="C24" s="14">
        <v>47</v>
      </c>
      <c r="D24" s="18" t="s">
        <v>214</v>
      </c>
      <c r="E24" s="23">
        <v>1</v>
      </c>
      <c r="F24" s="24" t="s">
        <v>205</v>
      </c>
      <c r="G24" s="14">
        <v>25</v>
      </c>
      <c r="H24" s="2" t="str">
        <f ca="1">IFERROR(INDEX($B$4:$B$46,_xludf.AGGREGATE(15,6,(ROW($B$4:$B$46)-ROW($B$4)+1)/(($A$4:$A$46="Einnahme")*($F$4:$F$46="Ja")),ROWS(H$2:H24))),"")</f>
        <v/>
      </c>
      <c r="I24" s="2" t="str">
        <f ca="1">IFERROR(INDEX($B$4:$B$46,_xludf.AGGREGATE(15,6,(ROW($B$4:$B$46)-ROW($B$4)+1)/(($A$4:$A$46="Ausgabe")*($F$4:$F$46="Ja")),ROWS(I$2:I24))),"")</f>
        <v/>
      </c>
    </row>
    <row r="25" spans="1:9" x14ac:dyDescent="0.25">
      <c r="A25" s="18" t="s">
        <v>105</v>
      </c>
      <c r="B25" s="18" t="s">
        <v>51</v>
      </c>
      <c r="C25" s="14">
        <v>48</v>
      </c>
      <c r="D25" s="18" t="s">
        <v>214</v>
      </c>
      <c r="E25" s="23">
        <v>1</v>
      </c>
      <c r="F25" s="24" t="s">
        <v>205</v>
      </c>
      <c r="G25" s="14">
        <v>26</v>
      </c>
      <c r="I25" s="2" t="str">
        <f ca="1">IFERROR(INDEX($B$4:$B$46,_xludf.AGGREGATE(15,6,(ROW($B$4:$B$46)-ROW($B$4)+1)/(($A$4:$A$46="Ausgabe")*($F$4:$F$46="Ja")),ROWS(I$2:I25))),"")</f>
        <v/>
      </c>
    </row>
    <row r="26" spans="1:9" x14ac:dyDescent="0.25">
      <c r="A26" s="18" t="s">
        <v>105</v>
      </c>
      <c r="B26" s="18" t="s">
        <v>53</v>
      </c>
      <c r="C26" s="14">
        <v>49</v>
      </c>
      <c r="D26" s="18" t="s">
        <v>214</v>
      </c>
      <c r="E26" s="23">
        <v>1</v>
      </c>
      <c r="F26" s="24" t="s">
        <v>205</v>
      </c>
      <c r="G26" s="14">
        <v>27</v>
      </c>
      <c r="I26" s="2" t="str">
        <f ca="1">IFERROR(INDEX($B$4:$B$46,_xludf.AGGREGATE(15,6,(ROW($B$4:$B$46)-ROW($B$4)+1)/(($A$4:$A$46="Ausgabe")*($F$4:$F$46="Ja")),ROWS(I$2:I26))),"")</f>
        <v/>
      </c>
    </row>
    <row r="27" spans="1:9" x14ac:dyDescent="0.25">
      <c r="A27" s="18" t="s">
        <v>105</v>
      </c>
      <c r="B27" s="18" t="s">
        <v>55</v>
      </c>
      <c r="C27" s="14">
        <v>50</v>
      </c>
      <c r="D27" s="18" t="s">
        <v>214</v>
      </c>
      <c r="E27" s="23">
        <v>1</v>
      </c>
      <c r="F27" s="24" t="s">
        <v>205</v>
      </c>
      <c r="G27" s="14">
        <v>28</v>
      </c>
      <c r="I27" s="2" t="str">
        <f ca="1">IFERROR(INDEX($B$4:$B$46,_xludf.AGGREGATE(15,6,(ROW($B$4:$B$46)-ROW($B$4)+1)/(($A$4:$A$46="Ausgabe")*($F$4:$F$46="Ja")),ROWS(I$2:I27))),"")</f>
        <v/>
      </c>
    </row>
    <row r="28" spans="1:9" x14ac:dyDescent="0.25">
      <c r="A28" s="18" t="s">
        <v>105</v>
      </c>
      <c r="B28" s="18" t="s">
        <v>57</v>
      </c>
      <c r="C28" s="14">
        <v>51</v>
      </c>
      <c r="D28" s="18" t="s">
        <v>214</v>
      </c>
      <c r="E28" s="23">
        <v>1</v>
      </c>
      <c r="F28" s="24" t="s">
        <v>205</v>
      </c>
      <c r="G28" s="14">
        <v>29</v>
      </c>
      <c r="I28" s="2" t="str">
        <f ca="1">IFERROR(INDEX($B$4:$B$46,_xludf.AGGREGATE(15,6,(ROW($B$4:$B$46)-ROW($B$4)+1)/(($A$4:$A$46="Ausgabe")*($F$4:$F$46="Ja")),ROWS(I$2:I28))),"")</f>
        <v/>
      </c>
    </row>
    <row r="29" spans="1:9" x14ac:dyDescent="0.25">
      <c r="A29" s="18" t="s">
        <v>105</v>
      </c>
      <c r="B29" s="18" t="s">
        <v>59</v>
      </c>
      <c r="C29" s="14">
        <v>52</v>
      </c>
      <c r="D29" s="18" t="s">
        <v>214</v>
      </c>
      <c r="E29" s="23">
        <v>1</v>
      </c>
      <c r="F29" s="24" t="s">
        <v>205</v>
      </c>
      <c r="G29" s="14">
        <v>30</v>
      </c>
      <c r="I29" s="2" t="str">
        <f ca="1">IFERROR(INDEX($B$4:$B$46,_xludf.AGGREGATE(15,6,(ROW($B$4:$B$46)-ROW($B$4)+1)/(($A$4:$A$46="Ausgabe")*($F$4:$F$46="Ja")),ROWS(I$2:I29))),"")</f>
        <v/>
      </c>
    </row>
    <row r="30" spans="1:9" x14ac:dyDescent="0.25">
      <c r="A30" s="18" t="s">
        <v>105</v>
      </c>
      <c r="B30" s="18" t="s">
        <v>61</v>
      </c>
      <c r="C30" s="14">
        <v>53</v>
      </c>
      <c r="D30" s="18" t="s">
        <v>214</v>
      </c>
      <c r="E30" s="23">
        <v>1</v>
      </c>
      <c r="F30" s="24" t="s">
        <v>205</v>
      </c>
      <c r="G30" s="14">
        <v>31</v>
      </c>
      <c r="I30" s="2" t="str">
        <f ca="1">IFERROR(INDEX($B$4:$B$46,_xludf.AGGREGATE(15,6,(ROW($B$4:$B$46)-ROW($B$4)+1)/(($A$4:$A$46="Ausgabe")*($F$4:$F$46="Ja")),ROWS(I$2:I30))),"")</f>
        <v/>
      </c>
    </row>
    <row r="31" spans="1:9" x14ac:dyDescent="0.25">
      <c r="A31" s="18" t="s">
        <v>105</v>
      </c>
      <c r="B31" s="18" t="s">
        <v>63</v>
      </c>
      <c r="C31" s="14">
        <v>54</v>
      </c>
      <c r="D31" s="18" t="s">
        <v>214</v>
      </c>
      <c r="E31" s="23">
        <v>1</v>
      </c>
      <c r="F31" s="24" t="s">
        <v>205</v>
      </c>
      <c r="G31" s="14">
        <v>32</v>
      </c>
      <c r="I31" s="2" t="str">
        <f ca="1">IFERROR(INDEX($B$4:$B$46,_xludf.AGGREGATE(15,6,(ROW($B$4:$B$46)-ROW($B$4)+1)/(($A$4:$A$46="Ausgabe")*($F$4:$F$46="Ja")),ROWS(I$2:I31))),"")</f>
        <v/>
      </c>
    </row>
    <row r="32" spans="1:9" x14ac:dyDescent="0.25">
      <c r="A32" s="18" t="s">
        <v>105</v>
      </c>
      <c r="B32" s="18" t="s">
        <v>65</v>
      </c>
      <c r="C32" s="14">
        <v>55</v>
      </c>
      <c r="D32" s="18" t="s">
        <v>215</v>
      </c>
      <c r="E32" s="23">
        <v>1</v>
      </c>
      <c r="F32" s="24" t="s">
        <v>205</v>
      </c>
      <c r="G32" s="14">
        <v>33</v>
      </c>
      <c r="I32" s="2" t="str">
        <f ca="1">IFERROR(INDEX($B$4:$B$46,_xludf.AGGREGATE(15,6,(ROW($B$4:$B$46)-ROW($B$4)+1)/(($A$4:$A$46="Ausgabe")*($F$4:$F$46="Ja")),ROWS(I$2:I32))),"")</f>
        <v/>
      </c>
    </row>
    <row r="33" spans="1:9" x14ac:dyDescent="0.25">
      <c r="A33" s="18" t="s">
        <v>105</v>
      </c>
      <c r="B33" s="18" t="s">
        <v>67</v>
      </c>
      <c r="C33" s="14">
        <v>56</v>
      </c>
      <c r="D33" s="18" t="s">
        <v>215</v>
      </c>
      <c r="E33" s="23">
        <v>1</v>
      </c>
      <c r="F33" s="24" t="s">
        <v>205</v>
      </c>
      <c r="G33" s="14">
        <v>34</v>
      </c>
      <c r="I33" s="2" t="str">
        <f ca="1">IFERROR(INDEX($B$4:$B$46,_xludf.AGGREGATE(15,6,(ROW($B$4:$B$46)-ROW($B$4)+1)/(($A$4:$A$46="Ausgabe")*($F$4:$F$46="Ja")),ROWS(I$2:I33))),"")</f>
        <v/>
      </c>
    </row>
    <row r="34" spans="1:9" x14ac:dyDescent="0.25">
      <c r="A34" s="18" t="s">
        <v>105</v>
      </c>
      <c r="B34" s="18" t="s">
        <v>69</v>
      </c>
      <c r="C34" s="14">
        <v>60</v>
      </c>
      <c r="D34" s="18" t="s">
        <v>214</v>
      </c>
      <c r="E34" s="23">
        <v>1</v>
      </c>
      <c r="F34" s="24" t="s">
        <v>205</v>
      </c>
      <c r="G34" s="14">
        <v>35</v>
      </c>
      <c r="I34" s="2" t="str">
        <f ca="1">IFERROR(INDEX($B$4:$B$46,_xludf.AGGREGATE(15,6,(ROW($B$4:$B$46)-ROW($B$4)+1)/(($A$4:$A$46="Ausgabe")*($F$4:$F$46="Ja")),ROWS(I$2:I34))),"")</f>
        <v/>
      </c>
    </row>
    <row r="35" spans="1:9" x14ac:dyDescent="0.25">
      <c r="A35" s="18" t="s">
        <v>105</v>
      </c>
      <c r="B35" s="18" t="s">
        <v>70</v>
      </c>
      <c r="C35" s="14">
        <v>62</v>
      </c>
      <c r="D35" s="18" t="s">
        <v>216</v>
      </c>
      <c r="E35" s="23">
        <v>1</v>
      </c>
      <c r="F35" s="24" t="s">
        <v>205</v>
      </c>
      <c r="G35" s="14">
        <v>36</v>
      </c>
      <c r="I35" s="2" t="str">
        <f ca="1">IFERROR(INDEX($B$4:$B$46,_xludf.AGGREGATE(15,6,(ROW($B$4:$B$46)-ROW($B$4)+1)/(($A$4:$A$46="Ausgabe")*($F$4:$F$46="Ja")),ROWS(I$2:I35))),"")</f>
        <v/>
      </c>
    </row>
    <row r="36" spans="1:9" x14ac:dyDescent="0.25">
      <c r="A36" s="18" t="s">
        <v>105</v>
      </c>
      <c r="B36" s="18" t="s">
        <v>71</v>
      </c>
      <c r="C36" s="14">
        <v>63</v>
      </c>
      <c r="D36" s="18" t="s">
        <v>216</v>
      </c>
      <c r="E36" s="23">
        <v>0.7</v>
      </c>
      <c r="F36" s="24" t="s">
        <v>205</v>
      </c>
      <c r="G36" s="14">
        <v>37</v>
      </c>
      <c r="I36" s="2" t="str">
        <f ca="1">IFERROR(INDEX($B$4:$B$46,_xludf.AGGREGATE(15,6,(ROW($B$4:$B$46)-ROW($B$4)+1)/(($A$4:$A$46="Ausgabe")*($F$4:$F$46="Ja")),ROWS(I$2:I36))),"")</f>
        <v/>
      </c>
    </row>
    <row r="37" spans="1:9" x14ac:dyDescent="0.25">
      <c r="A37" s="18" t="s">
        <v>105</v>
      </c>
      <c r="B37" s="18" t="s">
        <v>72</v>
      </c>
      <c r="C37" s="14">
        <v>64</v>
      </c>
      <c r="D37" s="18" t="s">
        <v>216</v>
      </c>
      <c r="E37" s="23">
        <v>1</v>
      </c>
      <c r="F37" s="24" t="s">
        <v>205</v>
      </c>
      <c r="G37" s="14">
        <v>38</v>
      </c>
      <c r="I37" s="2" t="str">
        <f ca="1">IFERROR(INDEX($B$4:$B$46,_xludf.AGGREGATE(15,6,(ROW($B$4:$B$46)-ROW($B$4)+1)/(($A$4:$A$46="Ausgabe")*($F$4:$F$46="Ja")),ROWS(I$2:I37))),"")</f>
        <v/>
      </c>
    </row>
    <row r="38" spans="1:9" x14ac:dyDescent="0.25">
      <c r="A38" s="18" t="s">
        <v>105</v>
      </c>
      <c r="B38" s="18" t="s">
        <v>73</v>
      </c>
      <c r="C38" s="14">
        <v>65</v>
      </c>
      <c r="D38" s="18" t="s">
        <v>216</v>
      </c>
      <c r="E38" s="23">
        <v>1</v>
      </c>
      <c r="F38" s="24" t="s">
        <v>205</v>
      </c>
      <c r="G38" s="14">
        <v>39</v>
      </c>
      <c r="I38" s="2" t="str">
        <f ca="1">IFERROR(INDEX($B$4:$B$46,_xludf.AGGREGATE(15,6,(ROW($B$4:$B$46)-ROW($B$4)+1)/(($A$4:$A$46="Ausgabe")*($F$4:$F$46="Ja")),ROWS(I$2:I38))),"")</f>
        <v/>
      </c>
    </row>
    <row r="39" spans="1:9" x14ac:dyDescent="0.25">
      <c r="A39" s="18" t="s">
        <v>105</v>
      </c>
      <c r="B39" s="18" t="s">
        <v>74</v>
      </c>
      <c r="C39" s="14">
        <v>66</v>
      </c>
      <c r="D39" s="18" t="s">
        <v>216</v>
      </c>
      <c r="E39" s="23">
        <v>1</v>
      </c>
      <c r="F39" s="24" t="s">
        <v>205</v>
      </c>
      <c r="G39" s="14">
        <v>40</v>
      </c>
      <c r="I39" s="2" t="str">
        <f ca="1">IFERROR(INDEX($B$4:$B$46,_xludf.AGGREGATE(15,6,(ROW($B$4:$B$46)-ROW($B$4)+1)/(($A$4:$A$46="Ausgabe")*($F$4:$F$46="Ja")),ROWS(I$2:I39))),"")</f>
        <v/>
      </c>
    </row>
    <row r="40" spans="1:9" x14ac:dyDescent="0.25">
      <c r="A40" s="18" t="s">
        <v>105</v>
      </c>
      <c r="B40" s="18" t="s">
        <v>75</v>
      </c>
      <c r="C40" s="14">
        <v>67</v>
      </c>
      <c r="D40" s="18" t="s">
        <v>216</v>
      </c>
      <c r="E40" s="23">
        <v>0.5</v>
      </c>
      <c r="F40" s="24" t="s">
        <v>205</v>
      </c>
      <c r="G40" s="14">
        <v>41</v>
      </c>
      <c r="I40" s="2" t="str">
        <f ca="1">IFERROR(INDEX($B$4:$B$46,_xludf.AGGREGATE(15,6,(ROW($B$4:$B$46)-ROW($B$4)+1)/(($A$4:$A$46="Ausgabe")*($F$4:$F$46="Ja")),ROWS(I$2:I40))),"")</f>
        <v/>
      </c>
    </row>
    <row r="41" spans="1:9" x14ac:dyDescent="0.25">
      <c r="A41" s="18" t="s">
        <v>105</v>
      </c>
      <c r="B41" s="18" t="s">
        <v>76</v>
      </c>
      <c r="C41" s="14">
        <v>68</v>
      </c>
      <c r="D41" s="18" t="s">
        <v>217</v>
      </c>
      <c r="E41" s="23">
        <v>1</v>
      </c>
      <c r="F41" s="24" t="s">
        <v>205</v>
      </c>
      <c r="G41" s="14">
        <v>42</v>
      </c>
      <c r="I41" s="2" t="str">
        <f ca="1">IFERROR(INDEX($B$4:$B$46,_xludf.AGGREGATE(15,6,(ROW($B$4:$B$46)-ROW($B$4)+1)/(($A$4:$A$46="Ausgabe")*($F$4:$F$46="Ja")),ROWS(I$2:I41))),"")</f>
        <v/>
      </c>
    </row>
    <row r="42" spans="1:9" x14ac:dyDescent="0.25">
      <c r="A42" s="18" t="s">
        <v>105</v>
      </c>
      <c r="B42" s="18" t="s">
        <v>77</v>
      </c>
      <c r="C42" s="14">
        <v>69</v>
      </c>
      <c r="D42" s="18" t="s">
        <v>217</v>
      </c>
      <c r="E42" s="23">
        <v>1</v>
      </c>
      <c r="F42" s="24" t="s">
        <v>205</v>
      </c>
      <c r="G42" s="14">
        <v>43</v>
      </c>
      <c r="I42" s="2" t="str">
        <f ca="1">IFERROR(INDEX($B$4:$B$46,_xludf.AGGREGATE(15,6,(ROW($B$4:$B$46)-ROW($B$4)+1)/(($A$4:$A$46="Ausgabe")*($F$4:$F$46="Ja")),ROWS(I$2:I42))),"")</f>
        <v/>
      </c>
    </row>
    <row r="43" spans="1:9" x14ac:dyDescent="0.25">
      <c r="A43" s="18" t="s">
        <v>105</v>
      </c>
      <c r="B43" s="18" t="s">
        <v>78</v>
      </c>
      <c r="C43" s="14">
        <v>70</v>
      </c>
      <c r="D43" s="18" t="s">
        <v>217</v>
      </c>
      <c r="E43" s="23">
        <v>1</v>
      </c>
      <c r="F43" s="24" t="s">
        <v>205</v>
      </c>
      <c r="G43" s="14">
        <v>44</v>
      </c>
      <c r="I43" s="2" t="str">
        <f ca="1">IFERROR(INDEX($B$4:$B$46,_xludf.AGGREGATE(15,6,(ROW($B$4:$B$46)-ROW($B$4)+1)/(($A$4:$A$46="Ausgabe")*($F$4:$F$46="Ja")),ROWS(I$2:I43))),"")</f>
        <v/>
      </c>
    </row>
    <row r="44" spans="1:9" x14ac:dyDescent="0.25">
      <c r="A44" s="18" t="s">
        <v>105</v>
      </c>
      <c r="B44" s="18" t="s">
        <v>79</v>
      </c>
      <c r="C44" s="14">
        <v>71</v>
      </c>
      <c r="D44" s="18" t="s">
        <v>217</v>
      </c>
      <c r="E44" s="23">
        <v>1</v>
      </c>
      <c r="F44" s="24" t="s">
        <v>205</v>
      </c>
      <c r="G44" s="14">
        <v>45</v>
      </c>
      <c r="I44" s="2" t="str">
        <f ca="1">IFERROR(INDEX($B$4:$B$46,_xludf.AGGREGATE(15,6,(ROW($B$4:$B$46)-ROW($B$4)+1)/(($A$4:$A$46="Ausgabe")*($F$4:$F$46="Ja")),ROWS(I$2:I44))),"")</f>
        <v/>
      </c>
    </row>
    <row r="45" spans="1:9" x14ac:dyDescent="0.25">
      <c r="A45" s="18" t="s">
        <v>105</v>
      </c>
      <c r="B45" s="18" t="s">
        <v>80</v>
      </c>
      <c r="C45" s="14">
        <v>72</v>
      </c>
      <c r="D45" s="18" t="s">
        <v>217</v>
      </c>
      <c r="E45" s="23">
        <v>1</v>
      </c>
      <c r="F45" s="24" t="s">
        <v>205</v>
      </c>
      <c r="G45" s="14">
        <v>46</v>
      </c>
      <c r="I45" s="2" t="str">
        <f ca="1">IFERROR(INDEX($B$4:$B$46,_xludf.AGGREGATE(15,6,(ROW($B$4:$B$46)-ROW($B$4)+1)/(($A$4:$A$46="Ausgabe")*($F$4:$F$46="Ja")),ROWS(I$2:I45))),"")</f>
        <v/>
      </c>
    </row>
    <row r="46" spans="1:9" x14ac:dyDescent="0.25">
      <c r="A46" s="18" t="s">
        <v>105</v>
      </c>
      <c r="B46" s="18" t="s">
        <v>81</v>
      </c>
      <c r="C46" s="14">
        <v>74</v>
      </c>
      <c r="D46" s="18" t="s">
        <v>218</v>
      </c>
      <c r="E46" s="23">
        <v>0</v>
      </c>
      <c r="F46" s="24" t="s">
        <v>205</v>
      </c>
      <c r="G46" s="14">
        <v>47</v>
      </c>
      <c r="I46" s="2" t="str">
        <f ca="1">IFERROR(INDEX($B$4:$B$46,_xludf.AGGREGATE(15,6,(ROW($B$4:$B$46)-ROW($B$4)+1)/(($A$4:$A$46="Ausgabe")*($F$4:$F$46="Ja")),ROWS(I$2:I46))),"")</f>
        <v/>
      </c>
    </row>
    <row r="47" spans="1:9" x14ac:dyDescent="0.25">
      <c r="I47" s="2" t="str">
        <f ca="1">IFERROR(INDEX($B$4:$B$46,_xludf.AGGREGATE(15,6,(ROW($B$4:$B$46)-ROW($B$4)+1)/(($A$4:$A$46="Ausgabe")*($F$4:$F$46="Ja")),ROWS(I$2:I47))),"")</f>
        <v/>
      </c>
    </row>
    <row r="48" spans="1:9" x14ac:dyDescent="0.25">
      <c r="I48" s="2" t="str">
        <f ca="1">IFERROR(INDEX($B$4:$B$46,_xludf.AGGREGATE(15,6,(ROW($B$4:$B$46)-ROW($B$4)+1)/(($A$4:$A$46="Ausgabe")*($F$4:$F$46="Ja")),ROWS(I$2:I48))),"")</f>
        <v/>
      </c>
    </row>
    <row r="49" spans="9:9" x14ac:dyDescent="0.25">
      <c r="I49" s="2" t="str">
        <f ca="1">IFERROR(INDEX($B$4:$B$46,_xludf.AGGREGATE(15,6,(ROW($B$4:$B$46)-ROW($B$4)+1)/(($A$4:$A$46="Ausgabe")*($F$4:$F$46="Ja")),ROWS(I$2:I49))),"")</f>
        <v/>
      </c>
    </row>
    <row r="50" spans="9:9" x14ac:dyDescent="0.25">
      <c r="I50" s="2" t="str">
        <f ca="1">IFERROR(INDEX($B$4:$B$46,_xludf.AGGREGATE(15,6,(ROW($B$4:$B$46)-ROW($B$4)+1)/(($A$4:$A$46="Ausgabe")*($F$4:$F$46="Ja")),ROWS(I$2:I50))),"")</f>
        <v/>
      </c>
    </row>
    <row r="51" spans="9:9" x14ac:dyDescent="0.25">
      <c r="I51" s="2" t="str">
        <f ca="1">IFERROR(INDEX($B$4:$B$46,_xludf.AGGREGATE(15,6,(ROW($B$4:$B$46)-ROW($B$4)+1)/(($A$4:$A$46="Ausgabe")*($F$4:$F$46="Ja")),ROWS(I$2:I51))),"")</f>
        <v/>
      </c>
    </row>
    <row r="52" spans="9:9" x14ac:dyDescent="0.25">
      <c r="I52" s="2" t="str">
        <f ca="1">IFERROR(INDEX($B$4:$B$46,_xludf.AGGREGATE(15,6,(ROW($B$4:$B$46)-ROW($B$4)+1)/(($A$4:$A$46="Ausgabe")*($F$4:$F$46="Ja")),ROWS(I$2:I52))),"")</f>
        <v/>
      </c>
    </row>
    <row r="53" spans="9:9" x14ac:dyDescent="0.25">
      <c r="I53" s="2" t="str">
        <f ca="1">IFERROR(INDEX($B$4:$B$46,_xludf.AGGREGATE(15,6,(ROW($B$4:$B$46)-ROW($B$4)+1)/(($A$4:$A$46="Ausgabe")*($F$4:$F$46="Ja")),ROWS(I$2:I53))),"")</f>
        <v/>
      </c>
    </row>
    <row r="54" spans="9:9" x14ac:dyDescent="0.25">
      <c r="I54" s="2" t="str">
        <f ca="1">IFERROR(INDEX($B$4:$B$46,_xludf.AGGREGATE(15,6,(ROW($B$4:$B$46)-ROW($B$4)+1)/(($A$4:$A$46="Ausgabe")*($F$4:$F$46="Ja")),ROWS(I$2:I54))),"")</f>
        <v/>
      </c>
    </row>
    <row r="55" spans="9:9" x14ac:dyDescent="0.25">
      <c r="I55" s="2" t="str">
        <f ca="1">IFERROR(INDEX($B$4:$B$46,_xludf.AGGREGATE(15,6,(ROW($B$4:$B$46)-ROW($B$4)+1)/(($A$4:$A$46="Ausgabe")*($F$4:$F$46="Ja")),ROWS(I$2:I55))),"")</f>
        <v/>
      </c>
    </row>
    <row r="56" spans="9:9" x14ac:dyDescent="0.25">
      <c r="I56" s="2" t="str">
        <f ca="1">IFERROR(INDEX($B$4:$B$46,_xludf.AGGREGATE(15,6,(ROW($B$4:$B$46)-ROW($B$4)+1)/(($A$4:$A$46="Ausgabe")*($F$4:$F$46="Ja")),ROWS(I$2:I56))),"")</f>
        <v/>
      </c>
    </row>
    <row r="57" spans="9:9" x14ac:dyDescent="0.25">
      <c r="I57" s="2" t="str">
        <f ca="1">IFERROR(INDEX($B$4:$B$46,_xludf.AGGREGATE(15,6,(ROW($B$4:$B$46)-ROW($B$4)+1)/(($A$4:$A$46="Ausgabe")*($F$4:$F$46="Ja")),ROWS(I$2:I57))),"")</f>
        <v/>
      </c>
    </row>
    <row r="58" spans="9:9" x14ac:dyDescent="0.25">
      <c r="I58" s="2" t="str">
        <f ca="1">IFERROR(INDEX($B$4:$B$46,_xludf.AGGREGATE(15,6,(ROW($B$4:$B$46)-ROW($B$4)+1)/(($A$4:$A$46="Ausgabe")*($F$4:$F$46="Ja")),ROWS(I$2:I58))),"")</f>
        <v/>
      </c>
    </row>
    <row r="59" spans="9:9" x14ac:dyDescent="0.25">
      <c r="I59" s="2" t="str">
        <f ca="1">IFERROR(INDEX($B$4:$B$46,_xludf.AGGREGATE(15,6,(ROW($B$4:$B$46)-ROW($B$4)+1)/(($A$4:$A$46="Ausgabe")*($F$4:$F$46="Ja")),ROWS(I$2:I59))),"")</f>
        <v/>
      </c>
    </row>
  </sheetData>
  <pageMargins left="0.7" right="0.7" top="0.75" bottom="0.75" header="0.3" footer="0.3"/>
  <drawing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1"/>
  <sheetViews>
    <sheetView showGridLines="0" workbookViewId="0"/>
  </sheetViews>
  <sheetFormatPr baseColWidth="10" defaultColWidth="9.140625" defaultRowHeight="15" x14ac:dyDescent="0.25"/>
  <cols>
    <col min="1" max="1" width="32" customWidth="1"/>
    <col min="2" max="2" width="16" customWidth="1"/>
    <col min="3" max="3" width="42" customWidth="1"/>
    <col min="4" max="4" width="4" customWidth="1"/>
    <col min="5" max="5" width="18" customWidth="1"/>
    <col min="6" max="6" width="12" customWidth="1"/>
    <col min="7" max="7" width="18" customWidth="1"/>
    <col min="8" max="9" width="12" customWidth="1"/>
    <col min="10" max="10" width="16" customWidth="1"/>
    <col min="11" max="11" width="14" customWidth="1"/>
    <col min="12" max="12" width="12" customWidth="1"/>
  </cols>
  <sheetData>
    <row r="1" spans="1:12" ht="23.25" x14ac:dyDescent="0.25">
      <c r="A1" s="1" t="s">
        <v>219</v>
      </c>
    </row>
    <row r="2" spans="1:12" x14ac:dyDescent="0.25">
      <c r="D2" s="29" t="s">
        <v>220</v>
      </c>
      <c r="E2" s="30"/>
      <c r="F2" s="31"/>
      <c r="G2" s="29" t="s">
        <v>221</v>
      </c>
      <c r="H2" s="30"/>
      <c r="I2" s="31"/>
      <c r="J2" s="29" t="s">
        <v>5</v>
      </c>
      <c r="K2" s="30"/>
      <c r="L2" s="31"/>
    </row>
    <row r="3" spans="1:12" ht="19.5" x14ac:dyDescent="0.25">
      <c r="A3" s="3" t="s">
        <v>93</v>
      </c>
      <c r="B3" s="4">
        <v>2025</v>
      </c>
      <c r="D3" s="33">
        <f>B12</f>
        <v>14520</v>
      </c>
      <c r="E3" s="30"/>
      <c r="F3" s="31"/>
      <c r="G3" s="33">
        <f>B54</f>
        <v>2059.73</v>
      </c>
      <c r="H3" s="30"/>
      <c r="I3" s="31"/>
      <c r="J3" s="33">
        <f>D3-G3+B58-B59+B60</f>
        <v>12460.27</v>
      </c>
      <c r="K3" s="30"/>
      <c r="L3" s="31"/>
    </row>
    <row r="6" spans="1:12" x14ac:dyDescent="0.25">
      <c r="A6" s="7" t="s">
        <v>3</v>
      </c>
      <c r="B6" s="7" t="s">
        <v>16</v>
      </c>
      <c r="C6" s="7" t="s">
        <v>47</v>
      </c>
    </row>
    <row r="7" spans="1:12" x14ac:dyDescent="0.25">
      <c r="A7" s="2">
        <v>12</v>
      </c>
      <c r="B7" s="8">
        <f>SUMIFS(Buchungen!$M$4:$M$200,Buchungen!$O$4:$O$200,$B$3,Buchungen!$J$4:$J$200,A7,Buchungen!$C$4:$C$200,"Einnahme")</f>
        <v>14400</v>
      </c>
      <c r="C7" s="2" t="s">
        <v>102</v>
      </c>
    </row>
    <row r="8" spans="1:12" x14ac:dyDescent="0.25">
      <c r="A8" s="2">
        <v>16</v>
      </c>
      <c r="B8" s="8">
        <f>SUMIFS(Buchungen!$M$4:$M$200,Buchungen!$O$4:$O$200,$B$3,Buchungen!$J$4:$J$200,A8,Buchungen!$C$4:$C$200,"Einnahme")</f>
        <v>120</v>
      </c>
      <c r="C8" s="2" t="s">
        <v>194</v>
      </c>
    </row>
    <row r="9" spans="1:12" x14ac:dyDescent="0.25">
      <c r="A9" s="2">
        <v>19</v>
      </c>
      <c r="B9" s="8">
        <f>SUMIFS(Buchungen!$M$4:$M$200,Buchungen!$O$4:$O$200,$B$3,Buchungen!$J$4:$J$200,A9,Buchungen!$C$4:$C$200,"Einnahme")</f>
        <v>0</v>
      </c>
      <c r="C9" s="2" t="s">
        <v>207</v>
      </c>
    </row>
    <row r="10" spans="1:12" x14ac:dyDescent="0.25">
      <c r="A10" s="2">
        <v>20</v>
      </c>
      <c r="B10" s="8">
        <f>SUMIFS(Buchungen!$M$4:$M$200,Buchungen!$O$4:$O$200,$B$3,Buchungen!$J$4:$J$200,A10,Buchungen!$C$4:$C$200,"Einnahme")</f>
        <v>0</v>
      </c>
      <c r="C10" s="2" t="s">
        <v>208</v>
      </c>
    </row>
    <row r="11" spans="1:12" x14ac:dyDescent="0.25">
      <c r="A11" s="2">
        <v>21</v>
      </c>
      <c r="B11" s="8">
        <f>SUMIFS(Buchungen!$M$4:$M$200,Buchungen!$O$4:$O$200,$B$3,Buchungen!$J$4:$J$200,A11,Buchungen!$C$4:$C$200,"Einnahme")</f>
        <v>0</v>
      </c>
      <c r="C11" s="2" t="s">
        <v>209</v>
      </c>
    </row>
    <row r="12" spans="1:12" x14ac:dyDescent="0.25">
      <c r="A12" s="25">
        <v>23</v>
      </c>
      <c r="B12" s="26">
        <f>SUM(B7:B11)</f>
        <v>14520</v>
      </c>
      <c r="C12" s="25" t="s">
        <v>222</v>
      </c>
    </row>
    <row r="15" spans="1:12" x14ac:dyDescent="0.25">
      <c r="A15" s="7" t="s">
        <v>4</v>
      </c>
      <c r="B15" s="7" t="s">
        <v>16</v>
      </c>
      <c r="C15" s="7" t="s">
        <v>47</v>
      </c>
    </row>
    <row r="16" spans="1:12" x14ac:dyDescent="0.25">
      <c r="A16" s="2">
        <v>27</v>
      </c>
      <c r="B16" s="8">
        <f>SUMIFS(Buchungen!$M$4:$M$200,Buchungen!$O$4:$O$200,$B$3,Buchungen!$J$4:$J$200,A16,Buchungen!$C$4:$C$200,"Ausgabe")</f>
        <v>0</v>
      </c>
      <c r="C16" s="2" t="s">
        <v>18</v>
      </c>
    </row>
    <row r="17" spans="1:3" x14ac:dyDescent="0.25">
      <c r="A17" s="2">
        <v>29</v>
      </c>
      <c r="B17" s="8">
        <f>SUMIFS(Buchungen!$M$4:$M$200,Buchungen!$O$4:$O$200,$B$3,Buchungen!$J$4:$J$200,A17,Buchungen!$C$4:$C$200,"Ausgabe")</f>
        <v>450</v>
      </c>
      <c r="C17" s="2" t="s">
        <v>20</v>
      </c>
    </row>
    <row r="18" spans="1:3" x14ac:dyDescent="0.25">
      <c r="A18" s="2">
        <v>30</v>
      </c>
      <c r="B18" s="8">
        <f>SUMIFS(Buchungen!$M$4:$M$200,Buchungen!$O$4:$O$200,$B$3,Buchungen!$J$4:$J$200,A18,Buchungen!$C$4:$C$200,"Ausgabe")</f>
        <v>0</v>
      </c>
      <c r="C18" s="2" t="s">
        <v>22</v>
      </c>
    </row>
    <row r="19" spans="1:3" x14ac:dyDescent="0.25">
      <c r="A19" s="2">
        <v>32</v>
      </c>
      <c r="B19" s="8">
        <f>SUMIFS(Buchungen!$M$4:$M$200,Buchungen!$O$4:$O$200,$B$3,Buchungen!$J$4:$J$200,A19,Buchungen!$C$4:$C$200,"Ausgabe")</f>
        <v>0</v>
      </c>
      <c r="C19" s="2" t="s">
        <v>24</v>
      </c>
    </row>
    <row r="20" spans="1:3" x14ac:dyDescent="0.25">
      <c r="A20" s="2">
        <v>33</v>
      </c>
      <c r="B20" s="8">
        <f>SUMIFS(Buchungen!$M$4:$M$200,Buchungen!$O$4:$O$200,$B$3,Buchungen!$J$4:$J$200,A20,Buchungen!$C$4:$C$200,"Ausgabe")</f>
        <v>0</v>
      </c>
      <c r="C20" s="2" t="s">
        <v>26</v>
      </c>
    </row>
    <row r="21" spans="1:3" x14ac:dyDescent="0.25">
      <c r="A21" s="2">
        <v>34</v>
      </c>
      <c r="B21" s="8">
        <f>SUMIFS(Buchungen!$M$4:$M$200,Buchungen!$O$4:$O$200,$B$3,Buchungen!$J$4:$J$200,A21,Buchungen!$C$4:$C$200,"Ausgabe")</f>
        <v>0</v>
      </c>
      <c r="C21" s="2" t="s">
        <v>28</v>
      </c>
    </row>
    <row r="22" spans="1:3" x14ac:dyDescent="0.25">
      <c r="A22" s="2">
        <v>36</v>
      </c>
      <c r="B22" s="8">
        <f>SUMIFS(Buchungen!$M$4:$M$200,Buchungen!$O$4:$O$200,$B$3,Buchungen!$J$4:$J$200,A22,Buchungen!$C$4:$C$200,"Ausgabe")</f>
        <v>0</v>
      </c>
      <c r="C22" s="2" t="s">
        <v>30</v>
      </c>
    </row>
    <row r="23" spans="1:3" x14ac:dyDescent="0.25">
      <c r="A23" s="2">
        <v>38</v>
      </c>
      <c r="B23" s="8">
        <f>SUMIFS(Buchungen!$M$4:$M$200,Buchungen!$O$4:$O$200,$B$3,Buchungen!$J$4:$J$200,A23,Buchungen!$C$4:$C$200,"Ausgabe")</f>
        <v>0</v>
      </c>
      <c r="C23" s="2" t="s">
        <v>32</v>
      </c>
    </row>
    <row r="24" spans="1:3" x14ac:dyDescent="0.25">
      <c r="A24" s="2">
        <v>39</v>
      </c>
      <c r="B24" s="8">
        <f>SUMIFS(Buchungen!$M$4:$M$200,Buchungen!$O$4:$O$200,$B$3,Buchungen!$J$4:$J$200,A24,Buchungen!$C$4:$C$200,"Ausgabe")</f>
        <v>220</v>
      </c>
      <c r="C24" s="2" t="s">
        <v>34</v>
      </c>
    </row>
    <row r="25" spans="1:3" x14ac:dyDescent="0.25">
      <c r="A25" s="2">
        <v>40</v>
      </c>
      <c r="B25" s="8">
        <f>SUMIFS(Buchungen!$M$4:$M$200,Buchungen!$O$4:$O$200,$B$3,Buchungen!$J$4:$J$200,A25,Buchungen!$C$4:$C$200,"Ausgabe")</f>
        <v>0</v>
      </c>
      <c r="C25" s="2" t="s">
        <v>36</v>
      </c>
    </row>
    <row r="26" spans="1:3" x14ac:dyDescent="0.25">
      <c r="A26" s="2">
        <v>41</v>
      </c>
      <c r="B26" s="8">
        <f>SUMIFS(Buchungen!$M$4:$M$200,Buchungen!$O$4:$O$200,$B$3,Buchungen!$J$4:$J$200,A26,Buchungen!$C$4:$C$200,"Ausgabe")</f>
        <v>0</v>
      </c>
      <c r="C26" s="2" t="s">
        <v>38</v>
      </c>
    </row>
    <row r="27" spans="1:3" x14ac:dyDescent="0.25">
      <c r="A27" s="2">
        <v>43</v>
      </c>
      <c r="B27" s="8">
        <f>SUMIFS(Buchungen!$M$4:$M$200,Buchungen!$O$4:$O$200,$B$3,Buchungen!$J$4:$J$200,A27,Buchungen!$C$4:$C$200,"Ausgabe")</f>
        <v>54.95</v>
      </c>
      <c r="C27" s="2" t="s">
        <v>40</v>
      </c>
    </row>
    <row r="28" spans="1:3" x14ac:dyDescent="0.25">
      <c r="A28" s="2">
        <v>44</v>
      </c>
      <c r="B28" s="8">
        <f>SUMIFS(Buchungen!$M$4:$M$200,Buchungen!$O$4:$O$200,$B$3,Buchungen!$J$4:$J$200,A28,Buchungen!$C$4:$C$200,"Ausgabe")</f>
        <v>79.900000000000006</v>
      </c>
      <c r="C28" s="2" t="s">
        <v>41</v>
      </c>
    </row>
    <row r="29" spans="1:3" x14ac:dyDescent="0.25">
      <c r="A29" s="2">
        <v>45</v>
      </c>
      <c r="B29" s="8">
        <f>SUMIFS(Buchungen!$M$4:$M$200,Buchungen!$O$4:$O$200,$B$3,Buchungen!$J$4:$J$200,A29,Buchungen!$C$4:$C$200,"Ausgabe")</f>
        <v>129.99</v>
      </c>
      <c r="C29" s="2" t="s">
        <v>42</v>
      </c>
    </row>
    <row r="30" spans="1:3" x14ac:dyDescent="0.25">
      <c r="A30" s="2">
        <v>46</v>
      </c>
      <c r="B30" s="8">
        <f>SUMIFS(Buchungen!$M$4:$M$200,Buchungen!$O$4:$O$200,$B$3,Buchungen!$J$4:$J$200,A30,Buchungen!$C$4:$C$200,"Ausgabe")</f>
        <v>240</v>
      </c>
      <c r="C30" s="2" t="s">
        <v>44</v>
      </c>
    </row>
    <row r="31" spans="1:3" x14ac:dyDescent="0.25">
      <c r="A31" s="2">
        <v>47</v>
      </c>
      <c r="B31" s="8">
        <f>SUMIFS(Buchungen!$M$4:$M$200,Buchungen!$O$4:$O$200,$B$3,Buchungen!$J$4:$J$200,A31,Buchungen!$C$4:$C$200,"Ausgabe")</f>
        <v>0</v>
      </c>
      <c r="C31" s="2" t="s">
        <v>49</v>
      </c>
    </row>
    <row r="32" spans="1:3" x14ac:dyDescent="0.25">
      <c r="A32" s="2">
        <v>48</v>
      </c>
      <c r="B32" s="8">
        <f>SUMIFS(Buchungen!$M$4:$M$200,Buchungen!$O$4:$O$200,$B$3,Buchungen!$J$4:$J$200,A32,Buchungen!$C$4:$C$200,"Ausgabe")</f>
        <v>0</v>
      </c>
      <c r="C32" s="2" t="s">
        <v>51</v>
      </c>
    </row>
    <row r="33" spans="1:3" x14ac:dyDescent="0.25">
      <c r="A33" s="2">
        <v>49</v>
      </c>
      <c r="B33" s="8">
        <f>SUMIFS(Buchungen!$M$4:$M$200,Buchungen!$O$4:$O$200,$B$3,Buchungen!$J$4:$J$200,A33,Buchungen!$C$4:$C$200,"Ausgabe")</f>
        <v>168</v>
      </c>
      <c r="C33" s="2" t="s">
        <v>53</v>
      </c>
    </row>
    <row r="34" spans="1:3" x14ac:dyDescent="0.25">
      <c r="A34" s="2">
        <v>50</v>
      </c>
      <c r="B34" s="8">
        <f>SUMIFS(Buchungen!$M$4:$M$200,Buchungen!$O$4:$O$200,$B$3,Buchungen!$J$4:$J$200,A34,Buchungen!$C$4:$C$200,"Ausgabe")</f>
        <v>123.99</v>
      </c>
      <c r="C34" s="2" t="s">
        <v>55</v>
      </c>
    </row>
    <row r="35" spans="1:3" x14ac:dyDescent="0.25">
      <c r="A35" s="2">
        <v>51</v>
      </c>
      <c r="B35" s="8">
        <f>SUMIFS(Buchungen!$M$4:$M$200,Buchungen!$O$4:$O$200,$B$3,Buchungen!$J$4:$J$200,A35,Buchungen!$C$4:$C$200,"Ausgabe")</f>
        <v>74.599999999999994</v>
      </c>
      <c r="C35" s="2" t="s">
        <v>57</v>
      </c>
    </row>
    <row r="36" spans="1:3" x14ac:dyDescent="0.25">
      <c r="A36" s="2">
        <v>52</v>
      </c>
      <c r="B36" s="8">
        <f>SUMIFS(Buchungen!$M$4:$M$200,Buchungen!$O$4:$O$200,$B$3,Buchungen!$J$4:$J$200,A36,Buchungen!$C$4:$C$200,"Ausgabe")</f>
        <v>0</v>
      </c>
      <c r="C36" s="2" t="s">
        <v>59</v>
      </c>
    </row>
    <row r="37" spans="1:3" x14ac:dyDescent="0.25">
      <c r="A37" s="2">
        <v>53</v>
      </c>
      <c r="B37" s="8">
        <f>SUMIFS(Buchungen!$M$4:$M$200,Buchungen!$O$4:$O$200,$B$3,Buchungen!$J$4:$J$200,A37,Buchungen!$C$4:$C$200,"Ausgabe")</f>
        <v>0</v>
      </c>
      <c r="C37" s="2" t="s">
        <v>61</v>
      </c>
    </row>
    <row r="38" spans="1:3" x14ac:dyDescent="0.25">
      <c r="A38" s="2">
        <v>54</v>
      </c>
      <c r="B38" s="8">
        <f>SUMIFS(Buchungen!$M$4:$M$200,Buchungen!$O$4:$O$200,$B$3,Buchungen!$J$4:$J$200,A38,Buchungen!$C$4:$C$200,"Ausgabe")</f>
        <v>276.39999999999998</v>
      </c>
      <c r="C38" s="2" t="s">
        <v>63</v>
      </c>
    </row>
    <row r="39" spans="1:3" x14ac:dyDescent="0.25">
      <c r="A39" s="2">
        <v>55</v>
      </c>
      <c r="B39" s="8">
        <f>SUMIFS(Buchungen!$M$4:$M$200,Buchungen!$O$4:$O$200,$B$3,Buchungen!$J$4:$J$200,A39,Buchungen!$C$4:$C$200,"Ausgabe")</f>
        <v>0</v>
      </c>
      <c r="C39" s="2" t="s">
        <v>65</v>
      </c>
    </row>
    <row r="40" spans="1:3" x14ac:dyDescent="0.25">
      <c r="A40" s="2">
        <v>56</v>
      </c>
      <c r="B40" s="8">
        <f>SUMIFS(Buchungen!$M$4:$M$200,Buchungen!$O$4:$O$200,$B$3,Buchungen!$J$4:$J$200,A40,Buchungen!$C$4:$C$200,"Ausgabe")</f>
        <v>0</v>
      </c>
      <c r="C40" s="2" t="s">
        <v>67</v>
      </c>
    </row>
    <row r="41" spans="1:3" x14ac:dyDescent="0.25">
      <c r="A41" s="2">
        <v>60</v>
      </c>
      <c r="B41" s="8">
        <f>SUMIFS(Buchungen!$M$4:$M$200,Buchungen!$O$4:$O$200,$B$3,Buchungen!$J$4:$J$200,A41,Buchungen!$C$4:$C$200,"Ausgabe")</f>
        <v>0</v>
      </c>
      <c r="C41" s="2" t="s">
        <v>69</v>
      </c>
    </row>
    <row r="42" spans="1:3" x14ac:dyDescent="0.25">
      <c r="A42" s="2">
        <v>62</v>
      </c>
      <c r="B42" s="8">
        <f>SUMIFS(Buchungen!$M$4:$M$200,Buchungen!$O$4:$O$200,$B$3,Buchungen!$J$4:$J$200,A42,Buchungen!$C$4:$C$200,"Ausgabe")</f>
        <v>24.9</v>
      </c>
      <c r="C42" s="2" t="s">
        <v>70</v>
      </c>
    </row>
    <row r="43" spans="1:3" x14ac:dyDescent="0.25">
      <c r="A43" s="2">
        <v>63</v>
      </c>
      <c r="B43" s="8">
        <f>SUMIFS(Buchungen!$M$4:$M$200,Buchungen!$O$4:$O$200,$B$3,Buchungen!$J$4:$J$200,A43,Buchungen!$C$4:$C$200,"Ausgabe")</f>
        <v>91</v>
      </c>
      <c r="C43" s="2" t="s">
        <v>71</v>
      </c>
    </row>
    <row r="44" spans="1:3" x14ac:dyDescent="0.25">
      <c r="A44" s="2">
        <v>64</v>
      </c>
      <c r="B44" s="8">
        <f>SUMIFS(Buchungen!$M$4:$M$200,Buchungen!$O$4:$O$200,$B$3,Buchungen!$J$4:$J$200,A44,Buchungen!$C$4:$C$200,"Ausgabe")</f>
        <v>0</v>
      </c>
      <c r="C44" s="2" t="s">
        <v>72</v>
      </c>
    </row>
    <row r="45" spans="1:3" x14ac:dyDescent="0.25">
      <c r="A45" s="2">
        <v>65</v>
      </c>
      <c r="B45" s="8">
        <f>SUMIFS(Buchungen!$M$4:$M$200,Buchungen!$O$4:$O$200,$B$3,Buchungen!$J$4:$J$200,A45,Buchungen!$C$4:$C$200,"Ausgabe")</f>
        <v>0</v>
      </c>
      <c r="C45" s="2" t="s">
        <v>73</v>
      </c>
    </row>
    <row r="46" spans="1:3" x14ac:dyDescent="0.25">
      <c r="A46" s="2">
        <v>66</v>
      </c>
      <c r="B46" s="8">
        <f>SUMIFS(Buchungen!$M$4:$M$200,Buchungen!$O$4:$O$200,$B$3,Buchungen!$J$4:$J$200,A46,Buchungen!$C$4:$C$200,"Ausgabe")</f>
        <v>126</v>
      </c>
      <c r="C46" s="2" t="s">
        <v>74</v>
      </c>
    </row>
    <row r="47" spans="1:3" x14ac:dyDescent="0.25">
      <c r="A47" s="2">
        <v>67</v>
      </c>
      <c r="B47" s="8">
        <f>SUMIFS(Buchungen!$M$4:$M$200,Buchungen!$O$4:$O$200,$B$3,Buchungen!$J$4:$J$200,A47,Buchungen!$C$4:$C$200,"Ausgabe")</f>
        <v>0</v>
      </c>
      <c r="C47" s="2" t="s">
        <v>75</v>
      </c>
    </row>
    <row r="48" spans="1:3" x14ac:dyDescent="0.25">
      <c r="A48" s="2">
        <v>68</v>
      </c>
      <c r="B48" s="8">
        <f>SUMIFS(Buchungen!$M$4:$M$200,Buchungen!$O$4:$O$200,$B$3,Buchungen!$J$4:$J$200,A48,Buchungen!$C$4:$C$200,"Ausgabe")</f>
        <v>0</v>
      </c>
      <c r="C48" s="2" t="s">
        <v>76</v>
      </c>
    </row>
    <row r="49" spans="1:5" x14ac:dyDescent="0.25">
      <c r="A49" s="2">
        <v>69</v>
      </c>
      <c r="B49" s="8">
        <f>SUMIFS(Buchungen!$M$4:$M$200,Buchungen!$O$4:$O$200,$B$3,Buchungen!$J$4:$J$200,A49,Buchungen!$C$4:$C$200,"Ausgabe")</f>
        <v>0</v>
      </c>
      <c r="C49" s="2" t="s">
        <v>77</v>
      </c>
    </row>
    <row r="50" spans="1:5" x14ac:dyDescent="0.25">
      <c r="A50" s="2">
        <v>70</v>
      </c>
      <c r="B50" s="8">
        <f>SUMIFS(Buchungen!$M$4:$M$200,Buchungen!$O$4:$O$200,$B$3,Buchungen!$J$4:$J$200,A50,Buchungen!$C$4:$C$200,"Ausgabe")</f>
        <v>0</v>
      </c>
      <c r="C50" s="2" t="s">
        <v>78</v>
      </c>
    </row>
    <row r="51" spans="1:5" x14ac:dyDescent="0.25">
      <c r="A51" s="2">
        <v>71</v>
      </c>
      <c r="B51" s="8">
        <f>SUMIFS(Buchungen!$M$4:$M$200,Buchungen!$O$4:$O$200,$B$3,Buchungen!$J$4:$J$200,A51,Buchungen!$C$4:$C$200,"Ausgabe")</f>
        <v>0</v>
      </c>
      <c r="C51" s="2" t="s">
        <v>79</v>
      </c>
    </row>
    <row r="52" spans="1:5" x14ac:dyDescent="0.25">
      <c r="A52" s="2">
        <v>72</v>
      </c>
      <c r="B52" s="8">
        <f>SUMIFS(Buchungen!$M$4:$M$200,Buchungen!$O$4:$O$200,$B$3,Buchungen!$J$4:$J$200,A52,Buchungen!$C$4:$C$200,"Ausgabe")</f>
        <v>0</v>
      </c>
      <c r="C52" s="2" t="s">
        <v>80</v>
      </c>
    </row>
    <row r="53" spans="1:5" x14ac:dyDescent="0.25">
      <c r="A53" s="2">
        <v>74</v>
      </c>
      <c r="B53" s="8">
        <f>SUMIFS(Buchungen!$M$4:$M$200,Buchungen!$O$4:$O$200,$B$3,Buchungen!$J$4:$J$200,A53,Buchungen!$C$4:$C$200,"Ausgabe")</f>
        <v>0</v>
      </c>
      <c r="C53" s="2" t="s">
        <v>81</v>
      </c>
    </row>
    <row r="54" spans="1:5" x14ac:dyDescent="0.25">
      <c r="A54" s="25">
        <v>75</v>
      </c>
      <c r="B54" s="26">
        <f>SUM(B16:B53)</f>
        <v>2059.73</v>
      </c>
      <c r="C54" s="25" t="s">
        <v>223</v>
      </c>
    </row>
    <row r="56" spans="1:5" x14ac:dyDescent="0.25">
      <c r="E56" s="10" t="s">
        <v>224</v>
      </c>
    </row>
    <row r="57" spans="1:5" x14ac:dyDescent="0.25">
      <c r="A57" s="7" t="s">
        <v>225</v>
      </c>
      <c r="B57" s="7" t="s">
        <v>16</v>
      </c>
      <c r="C57" s="27" t="s">
        <v>198</v>
      </c>
      <c r="E57" s="10" t="s">
        <v>226</v>
      </c>
    </row>
    <row r="58" spans="1:5" x14ac:dyDescent="0.25">
      <c r="A58" s="2" t="s">
        <v>227</v>
      </c>
      <c r="B58" s="28">
        <v>0</v>
      </c>
      <c r="C58" s="2" t="s">
        <v>228</v>
      </c>
    </row>
    <row r="59" spans="1:5" x14ac:dyDescent="0.25">
      <c r="A59" s="2" t="s">
        <v>229</v>
      </c>
      <c r="B59" s="28">
        <v>0</v>
      </c>
      <c r="C59" s="2" t="s">
        <v>228</v>
      </c>
    </row>
    <row r="60" spans="1:5" x14ac:dyDescent="0.25">
      <c r="A60" s="2" t="s">
        <v>230</v>
      </c>
      <c r="B60" s="28">
        <v>0</v>
      </c>
      <c r="C60" s="2" t="s">
        <v>228</v>
      </c>
    </row>
    <row r="61" spans="1:5" x14ac:dyDescent="0.25">
      <c r="A61" s="25" t="s">
        <v>231</v>
      </c>
      <c r="B61" s="26">
        <f>J3</f>
        <v>12460.27</v>
      </c>
    </row>
  </sheetData>
  <mergeCells count="6">
    <mergeCell ref="D2:F2"/>
    <mergeCell ref="G2:I2"/>
    <mergeCell ref="J2:L2"/>
    <mergeCell ref="D3:F3"/>
    <mergeCell ref="G3:I3"/>
    <mergeCell ref="J3:L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xr:uid="{00000000-0002-0000-0300-000000000000}">
          <x14:formula1>
            <xm:f>Start!$J$2:$J$9</xm:f>
          </x14:formula1>
          <xm:sqref>B3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Start</vt:lpstr>
      <vt:lpstr>Buchungen</vt:lpstr>
      <vt:lpstr>Kategorien</vt:lpstr>
      <vt:lpstr>EÜR_Jahresübersicht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2026-03-20T09:59:06Z</dcterms:modified>
</cp:coreProperties>
</file>