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d6e544c8714d0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Einstellungen" sheetId="1" r:id="Rd3ce50b6322a48cc"/>
    <x:sheet xmlns:r="http://schemas.openxmlformats.org/officeDocument/2006/relationships" name="Kalender" sheetId="2" r:id="R9477216df54b4bb5"/>
    <x:sheet xmlns:r="http://schemas.openxmlformats.org/officeDocument/2006/relationships" name="Übersicht" sheetId="3" r:id="R17900cb920ec44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9">
    <x:font>
      <x:sz val="11"/>
      <x:color theme="1"/>
      <x:name val="Calibri"/>
      <x:family val="2"/>
      <x:scheme val="minor"/>
    </x:font>
    <x:font>
      <x:b/>
      <x:sz val="14"/>
      <x:color rgb="00FFFFFF"/>
      <x:name val="Calibri"/>
    </x:font>
    <x:font>
      <x:i/>
      <x:color rgb="0000484E"/>
      <x:name val="Calibri"/>
    </x:font>
    <x:font>
      <x:b/>
      <x:sz val="11"/>
      <x:color rgb="00FFFFFF"/>
      <x:name val="Calibri"/>
    </x:font>
    <x:font>
      <x:b/>
      <x:sz val="10"/>
      <x:name val="Calibri"/>
    </x:font>
    <x:font>
      <x:b/>
      <x:color rgb="0000484E"/>
      <x:name val="Calibri"/>
    </x:font>
    <x:font>
      <x:sz val="12"/>
      <x:color theme="10"/>
      <x:name val="Calibri"/>
      <x:family val="2"/>
      <x:scheme val="minor"/>
    </x:font>
    <x:font>
      <x:color rgb="000000AA"/>
      <x:name val="Calibri"/>
    </x:font>
    <x:font>
      <x:b/>
      <x:sz val="10"/>
      <x:color rgb="0000484E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DFDFD"/>
      </x:patternFill>
    </x:fill>
    <x:fill>
      <x:patternFill patternType="solid">
        <x:fgColor rgb="00EEF3F5"/>
      </x:patternFill>
    </x:fill>
  </x:fills>
  <x:borders count="2">
    <x:border>
      <x:left/>
      <x:right/>
      <x:top/>
      <x:bottom/>
      <x:diagonal/>
    </x:border>
    <x:border>
      <x:left style="thin">
        <x:color rgb="00C9D3D8"/>
      </x:left>
      <x:right style="thin">
        <x:color rgb="00C9D3D8"/>
      </x:right>
      <x:top style="thin">
        <x:color rgb="00C9D3D8"/>
      </x:top>
      <x:bottom style="thin">
        <x:color rgb="00C9D3D8"/>
      </x:bottom>
    </x:border>
  </x:borders>
  <x:cellStyleXfs count="2">
    <x:xf numFmtId="0" fontId="0" fillId="0" borderId="0"/>
    <x:xf numFmtId="0" fontId="6" fillId="0" borderId="0"/>
  </x:cellStyleXfs>
  <x:cellXfs count="27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 applyAlignment="1">
      <x:alignment horizontal="left" vertical="center"/>
    </x:xf>
    <x:xf numFmtId="0" fontId="0" fillId="0" borderId="0" xfId="0" applyAlignment="1">
      <x:alignment horizontal="left" vertical="center"/>
    </x:xf>
    <x:xf numFmtId="0" fontId="3" fillId="3" borderId="0" xfId="0" applyAlignment="1">
      <x:alignment horizontal="left" vertical="center"/>
    </x:xf>
    <x:xf numFmtId="0" fontId="3" fillId="3" borderId="0" xfId="0"/>
    <x:xf numFmtId="0" fontId="4" fillId="0" borderId="0" xfId="0" applyAlignment="1">
      <x:alignment horizontal="left" vertical="center"/>
    </x:xf>
    <x:xf numFmtId="0" fontId="7" fillId="4" borderId="1" xfId="0" applyAlignment="1">
      <x:alignment horizontal="left" vertical="center"/>
    </x:xf>
    <x:xf numFmtId="0" fontId="0" fillId="5" borderId="1" xfId="0" applyAlignment="1">
      <x:alignment horizontal="left" vertical="center"/>
    </x:xf>
    <x:xf numFmtId="0" fontId="4" fillId="3" borderId="0" xfId="0"/>
    <x:xf numFmtId="164" fontId="0" fillId="0" borderId="1" xfId="0" applyAlignment="1">
      <x:alignment horizontal="center" vertical="center"/>
    </x:xf>
    <x:xf numFmtId="0" fontId="0" fillId="0" borderId="1" xfId="0" applyAlignment="1">
      <x:alignment horizontal="left" vertical="center"/>
    </x:xf>
    <x:xf numFmtId="0" fontId="0" fillId="0" borderId="1" xfId="0" applyAlignment="1">
      <x:alignment horizontal="center" vertical="center"/>
    </x:xf>
    <x:xf numFmtId="0" fontId="4" fillId="0" borderId="0" xfId="0"/>
    <x:xf numFmtId="0" fontId="5" fillId="5" borderId="0" xfId="1"/>
    <x:xf numFmtId="0" fontId="3" fillId="3" borderId="0" xfId="0" applyAlignment="1">
      <x:alignment horizontal="center" vertical="center"/>
    </x:xf>
    <x:xf numFmtId="0" fontId="3" fillId="2" borderId="1" xfId="0" applyAlignment="1">
      <x:alignment horizontal="center" vertical="center"/>
    </x:xf>
    <x:xf numFmtId="2" fontId="0" fillId="0" borderId="1" xfId="0" applyAlignment="1">
      <x:alignment horizontal="right" vertical="center"/>
    </x:xf>
    <x:xf numFmtId="0" fontId="0" fillId="0" borderId="1" xfId="0" applyAlignment="1">
      <x:alignment horizontal="right" vertical="center"/>
    </x:xf>
    <x:xf numFmtId="2" fontId="3" fillId="3" borderId="0" xfId="0" applyAlignment="1">
      <x:alignment horizontal="right" vertical="center"/>
    </x:xf>
    <x:xf numFmtId="0" fontId="0" fillId="5" borderId="0" xfId="0"/>
    <x:xf numFmtId="0" fontId="0" fillId="0" borderId="1" xfId="0"/>
    <x:xf numFmtId="2" fontId="0" fillId="0" borderId="1" xfId="0"/>
    <x:xf numFmtId="0" fontId="3" fillId="3" borderId="1" xfId="0"/>
    <x:xf numFmtId="2" fontId="3" fillId="3" borderId="1" xfId="0"/>
    <x:xf numFmtId="164" fontId="0" fillId="5" borderId="1" xfId="0" applyAlignment="1">
      <x:alignment horizontal="left" vertical="center"/>
    </x:xf>
    <x:xf numFmtId="0" fontId="8" fillId="5" borderId="0" xfId="1" applyAlignment="1">
      <x:alignment horizontal="center" vertical="center"/>
    </x:xf>
  </x:cellXfs>
  <x:cellStyles count="2">
    <x:cellStyle name="Normal" xfId="0"/>
    <x:cellStyle name="Hyperlink" xfId="1"/>
  </x:cellStyles>
  <x:dxfs count="2">
    <x:dxf>
      <x:fill>
        <x:patternFill>
          <x:bgColor rgb="00EDEDED"/>
        </x:patternFill>
      </x:fill>
    </x:dxf>
    <x:dxf>
      <x:fill>
        <x:patternFill>
          <x:bgColor rgb="00F6E8C3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4b72c4e1064bb2" /><Relationship Type="http://schemas.openxmlformats.org/officeDocument/2006/relationships/theme" Target="/xl/theme/theme1.xml" Id="Rb90697e3d58247cd" /><Relationship Type="http://schemas.openxmlformats.org/officeDocument/2006/relationships/sharedStrings" Target="/xl/sharedStrings.xml" Id="R8ed610a0d36a4f53" /><Relationship Type="http://schemas.openxmlformats.org/officeDocument/2006/relationships/worksheet" Target="/xl/worksheets/sheet1.xml" Id="Rd3ce50b6322a48cc" /><Relationship Type="http://schemas.openxmlformats.org/officeDocument/2006/relationships/worksheet" Target="/xl/worksheets/sheet2.xml" Id="R9477216df54b4bb5" /><Relationship Type="http://schemas.openxmlformats.org/officeDocument/2006/relationships/worksheet" Target="/xl/worksheets/sheet3.xml" Id="R17900cb920ec4435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4" customWidth="1"/>
    <x:col min="2" max="2" width="22" customWidth="1"/>
    <x:col min="3" max="3" width="20" customWidth="1"/>
    <x:col min="4" max="4" width="16" customWidth="1"/>
    <x:col min="5" max="5" width="18" customWidth="1"/>
    <x:col min="6" max="6" width="18" customWidth="1"/>
    <x:col min="7" max="7" width="16" customWidth="1"/>
    <x:col min="8" max="8" width="16" customWidth="1"/>
    <x:col min="10" max="10" width="14" hidden="1" customWidth="1"/>
    <x:col min="11" max="11" width="8" hidden="1" customWidth="1"/>
    <x:col min="12" max="12" width="13" hidden="1" customWidth="1"/>
  </x:cols>
  <x:sheetData>
    <x:row r="1">
      <x:c r="A1" s="1" t="inlineStr">
        <x:is>
          <x:t xml:space="preserve">Tätigkeitsnachweis / Tätigkeitsbericht</x:t>
        </x:is>
      </x:c>
    </x:row>
    <x:row r="2">
      <x:c r="A2" s="2" t="inlineStr">
        <x:is>
          <x:t xml:space="preserve">Universell einstellbar für 12 Monate</x:t>
        </x:is>
      </x:c>
      <x:c r="B2" s="3" t="n"/>
      <x:c r="C2" s="3" t="n"/>
      <x:c r="D2" s="3" t="n"/>
      <x:c r="E2" s="3" t="n"/>
      <x:c r="F2" s="3" t="n"/>
      <x:c r="G2" s="3" t="n"/>
      <x:c r="H2" s="3" t="n"/>
      <x:c r="J2" t="inlineStr">
        <x:is>
          <x:t xml:space="preserve">Januar</x:t>
        </x:is>
      </x:c>
      <x:c r="K2" t="n">
        <x:v>1</x:v>
      </x:c>
      <x:c r="L2" t="inlineStr">
        <x:is>
          <x:t xml:space="preserve">Jan</x:t>
        </x:is>
      </x:c>
    </x:row>
    <x:row r="3">
      <x:c r="A3" s="3" t="n"/>
      <x:c r="B3" s="3" t="n"/>
      <x:c r="C3" s="3" t="n"/>
      <x:c r="D3" s="3" t="n"/>
      <x:c r="E3" s="3" t="n"/>
      <x:c r="F3" s="3" t="n"/>
      <x:c r="G3" s="3" t="n"/>
      <x:c r="H3" s="3" t="n"/>
      <x:c r="J3" t="inlineStr">
        <x:is>
          <x:t xml:space="preserve">Februar</x:t>
        </x:is>
      </x:c>
      <x:c r="K3" t="n">
        <x:v>2</x:v>
      </x:c>
      <x:c r="L3" t="inlineStr">
        <x:is>
          <x:t xml:space="preserve">Feb</x:t>
        </x:is>
      </x:c>
    </x:row>
    <x:row r="4">
      <x:c r="A4" s="4" t="inlineStr">
        <x:is>
          <x:t xml:space="preserve">Einstellungen</x:t>
        </x:is>
      </x:c>
      <x:c r="B4" s="5" t="n"/>
      <x:c r="C4" s="5" t="n"/>
      <x:c r="D4" s="5" t="n"/>
      <x:c r="E4" s="5" t="n"/>
      <x:c r="F4" s="5" t="n"/>
      <x:c r="G4" s="5" t="n"/>
      <x:c r="H4" s="5" t="n"/>
      <x:c r="J4" t="inlineStr">
        <x:is>
          <x:t xml:space="preserve">März</x:t>
        </x:is>
      </x:c>
      <x:c r="K4" t="n">
        <x:v>3</x:v>
      </x:c>
      <x:c r="L4" t="inlineStr">
        <x:is>
          <x:t xml:space="preserve">Mär</x:t>
        </x:is>
      </x:c>
    </x:row>
    <x:row r="5">
      <x:c r="A5" s="6" t="inlineStr">
        <x:is>
          <x:t xml:space="preserve">Startjahr</x:t>
        </x:is>
      </x:c>
      <x:c r="B5" s="7" t="n">
        <x:v>2025</x:v>
      </x:c>
      <x:c r="C5" s="3" t="n"/>
      <x:c r="D5" s="6" t="inlineStr">
        <x:is>
          <x:t xml:space="preserve">Startmonat Nr.</x:t>
        </x:is>
      </x:c>
      <x:c r="E5" s="8">
        <x:f>MATCH(B6,J2:J13,0)</x:f>
        <x:v>9</x:v>
      </x:c>
      <x:c r="F5" s="3" t="n"/>
      <x:c r="G5" s="3" t="n"/>
      <x:c r="H5" s="3" t="n"/>
      <x:c r="J5" t="inlineStr">
        <x:is>
          <x:t xml:space="preserve">April</x:t>
        </x:is>
      </x:c>
      <x:c r="K5" t="n">
        <x:v>4</x:v>
      </x:c>
      <x:c r="L5" t="inlineStr">
        <x:is>
          <x:t xml:space="preserve">Apr</x:t>
        </x:is>
      </x:c>
    </x:row>
    <x:row r="6">
      <x:c r="A6" s="6" t="inlineStr">
        <x:is>
          <x:t xml:space="preserve">Startmonat</x:t>
        </x:is>
      </x:c>
      <x:c r="B6" s="7" t="inlineStr">
        <x:is>
          <x:t xml:space="preserve">September</x:t>
        </x:is>
      </x:c>
      <x:c r="C6" s="3" t="n"/>
      <x:c r="D6" s="6" t="inlineStr">
        <x:is>
          <x:t xml:space="preserve">Startdatum</x:t>
        </x:is>
      </x:c>
      <x:c r="E6" s="25">
        <x:f>DATE(B5,E5,1)</x:f>
        <x:v>45901</x:v>
      </x:c>
      <x:c r="F6" s="3" t="n"/>
      <x:c r="G6" s="3" t="n"/>
      <x:c r="H6" s="3" t="n"/>
      <x:c r="J6" t="inlineStr">
        <x:is>
          <x:t xml:space="preserve">Mai</x:t>
        </x:is>
      </x:c>
      <x:c r="K6" t="n">
        <x:v>5</x:v>
      </x:c>
      <x:c r="L6" t="inlineStr">
        <x:is>
          <x:t xml:space="preserve">Mai</x:t>
        </x:is>
      </x:c>
    </x:row>
    <x:row r="7">
      <x:c r="A7" s="6" t="inlineStr">
        <x:is>
          <x:t xml:space="preserve">Name</x:t>
        </x:is>
      </x:c>
      <x:c r="B7" s="7" t="inlineStr">
        <x:is>
          <x:t xml:space="preserve">Max Mustermann</x:t>
        </x:is>
      </x:c>
      <x:c r="C7" s="3" t="n"/>
      <x:c r="D7" s="6" t="inlineStr">
        <x:is>
          <x:t xml:space="preserve">Enddatum</x:t>
        </x:is>
      </x:c>
      <x:c r="E7" s="25">
        <x:f>EOMONTH(EDATE(E6,11),0)</x:f>
        <x:v>46265</x:v>
      </x:c>
      <x:c r="F7" s="3" t="n"/>
      <x:c r="G7" s="3" t="n"/>
      <x:c r="H7" s="3" t="n"/>
      <x:c r="J7" t="inlineStr">
        <x:is>
          <x:t xml:space="preserve">Juni</x:t>
        </x:is>
      </x:c>
      <x:c r="K7" t="n">
        <x:v>6</x:v>
      </x:c>
      <x:c r="L7" t="inlineStr">
        <x:is>
          <x:t xml:space="preserve">Jun</x:t>
        </x:is>
      </x:c>
    </x:row>
    <x:row r="8">
      <x:c r="A8" s="6" t="inlineStr">
        <x:is>
          <x:t xml:space="preserve">Projekt</x:t>
        </x:is>
      </x:c>
      <x:c r="B8" s="7" t="inlineStr">
        <x:is>
          <x:t xml:space="preserve">Pilotprojekt 2025/2026</x:t>
        </x:is>
      </x:c>
      <x:c r="C8" s="3" t="n"/>
      <x:c r="D8" s="6" t="inlineStr">
        <x:is>
          <x:t xml:space="preserve">Zeitraum</x:t>
        </x:is>
      </x:c>
      <x:c r="E8" s="8" t="str">
        <x:f>INDEX(J2:J13,MONTH(E6))&amp;" "&amp;YEAR(E6)&amp;" bis "&amp;INDEX(J2:J13,MONTH(E7))&amp;" "&amp;YEAR(E7)</x:f>
        <x:v>September 2025 bis August 2026</x:v>
      </x:c>
      <x:c r="F8" s="3" t="n"/>
      <x:c r="G8" s="3" t="n"/>
      <x:c r="H8" s="3" t="n"/>
      <x:c r="J8" t="inlineStr">
        <x:is>
          <x:t xml:space="preserve">Juli</x:t>
        </x:is>
      </x:c>
      <x:c r="K8" t="n">
        <x:v>7</x:v>
      </x:c>
      <x:c r="L8" t="inlineStr">
        <x:is>
          <x:t xml:space="preserve">Jul</x:t>
        </x:is>
      </x:c>
    </x:row>
    <x:row r="9">
      <x:c r="A9" s="3" t="n"/>
      <x:c r="B9" s="3" t="n"/>
      <x:c r="C9" s="3" t="n"/>
      <x:c r="D9" s="3" t="n"/>
      <x:c r="E9" s="3" t="n"/>
      <x:c r="F9" s="3" t="n"/>
      <x:c r="G9" s="3" t="n"/>
      <x:c r="H9" s="3" t="n"/>
      <x:c r="J9" t="inlineStr">
        <x:is>
          <x:t xml:space="preserve">August</x:t>
        </x:is>
      </x:c>
      <x:c r="K9" t="n">
        <x:v>8</x:v>
      </x:c>
      <x:c r="L9" t="inlineStr">
        <x:is>
          <x:t xml:space="preserve">Aug</x:t>
        </x:is>
      </x:c>
    </x:row>
    <x:row r="10">
      <x:c r="A10" s="4" t="inlineStr">
        <x:is>
          <x:t xml:space="preserve">Tätigkeiten</x:t>
        </x:is>
      </x:c>
      <x:c r="B10" s="5" t="n"/>
      <x:c r="C10" s="5" t="n"/>
      <x:c r="D10" s="5" t="n"/>
      <x:c r="E10" s="9" t="inlineStr">
        <x:is>
          <x:t xml:space="preserve">Hinweis</x:t>
        </x:is>
      </x:c>
      <x:c r="F10" s="5" t="n"/>
      <x:c r="G10" s="5" t="n"/>
      <x:c r="H10" s="5" t="n"/>
      <x:c r="J10" t="inlineStr">
        <x:is>
          <x:t xml:space="preserve">September</x:t>
        </x:is>
      </x:c>
      <x:c r="K10" t="n">
        <x:v>9</x:v>
      </x:c>
      <x:c r="L10" t="inlineStr">
        <x:is>
          <x:t xml:space="preserve">Sep</x:t>
        </x:is>
      </x:c>
    </x:row>
    <x:row r="11">
      <x:c r="A11" s="6" t="inlineStr">
        <x:is>
          <x:t xml:space="preserve">Tätigkeit 1</x:t>
        </x:is>
      </x:c>
      <x:c r="B11" s="7" t="inlineStr">
        <x:is>
          <x:t xml:space="preserve">Arbeitszeit</x:t>
        </x:is>
      </x:c>
      <x:c r="C11" s="3" t="n"/>
      <x:c r="D11" s="3" t="n"/>
      <x:c r="E11" s="3" t="inlineStr">
        <x:is>
          <x:t xml:space="preserve">Beispieldaten können direkt überschrieben werden.</x:t>
        </x:is>
      </x:c>
      <x:c r="F11" s="3" t="n"/>
      <x:c r="G11" s="3" t="n"/>
      <x:c r="H11" s="3" t="n"/>
      <x:c r="J11" t="inlineStr">
        <x:is>
          <x:t xml:space="preserve">Oktober</x:t>
        </x:is>
      </x:c>
      <x:c r="K11" t="n">
        <x:v>10</x:v>
      </x:c>
      <x:c r="L11" t="inlineStr">
        <x:is>
          <x:t xml:space="preserve">Okt</x:t>
        </x:is>
      </x:c>
    </x:row>
    <x:row r="12">
      <x:c r="A12" s="6" t="inlineStr">
        <x:is>
          <x:t xml:space="preserve">Tätigkeit 2</x:t>
        </x:is>
      </x:c>
      <x:c r="B12" s="7" t="inlineStr">
        <x:is>
          <x:t xml:space="preserve">E-Mail</x:t>
        </x:is>
      </x:c>
      <x:c r="C12" s="3" t="n"/>
      <x:c r="D12" s="3" t="n"/>
      <x:c r="E12" s="3" t="inlineStr">
        <x:is>
          <x:t xml:space="preserve">Keine Blätter sind geschützt.</x:t>
        </x:is>
      </x:c>
      <x:c r="F12" s="3" t="n"/>
      <x:c r="G12" s="3" t="n"/>
      <x:c r="H12" s="3" t="n"/>
      <x:c r="J12" t="inlineStr">
        <x:is>
          <x:t xml:space="preserve">November</x:t>
        </x:is>
      </x:c>
      <x:c r="K12" t="n">
        <x:v>11</x:v>
      </x:c>
      <x:c r="L12" t="inlineStr">
        <x:is>
          <x:t xml:space="preserve">Nov</x:t>
        </x:is>
      </x:c>
    </x:row>
    <x:row r="13">
      <x:c r="A13" s="6" t="inlineStr">
        <x:is>
          <x:t xml:space="preserve">Tätigkeit 3</x:t>
        </x:is>
      </x:c>
      <x:c r="B13" s="7" t="inlineStr">
        <x:is>
          <x:t xml:space="preserve">Meetings</x:t>
        </x:is>
      </x:c>
      <x:c r="C13" s="3" t="n"/>
      <x:c r="D13" s="3" t="n"/>
      <x:c r="E13" s="3" t="inlineStr">
        <x:is>
          <x:t xml:space="preserve">Diese Datei ist bewusst einfach gehalten.</x:t>
        </x:is>
      </x:c>
      <x:c r="F13" s="3" t="n"/>
      <x:c r="G13" s="3" t="n"/>
      <x:c r="H13" s="3" t="n"/>
      <x:c r="J13" t="inlineStr">
        <x:is>
          <x:t xml:space="preserve">Dezember</x:t>
        </x:is>
      </x:c>
      <x:c r="K13" t="n">
        <x:v>12</x:v>
      </x:c>
      <x:c r="L13" t="inlineStr">
        <x:is>
          <x:t xml:space="preserve">Dez</x:t>
        </x:is>
      </x:c>
    </x:row>
    <x:row r="14">
      <x:c r="A14" s="6" t="inlineStr">
        <x:is>
          <x:t xml:space="preserve">Tätigkeit 4</x:t>
        </x:is>
      </x:c>
      <x:c r="B14" s="7" t="inlineStr">
        <x:is>
          <x:t xml:space="preserve">Telefonate</x:t>
        </x:is>
      </x:c>
      <x:c r="C14" s="3" t="n"/>
      <x:c r="D14" s="3" t="n"/>
      <x:c r="E14" s="3" t="n"/>
      <x:c r="F14" s="3" t="n"/>
      <x:c r="G14" s="3" t="n"/>
      <x:c r="H14" s="3" t="n"/>
    </x:row>
    <x:row r="15">
      <x:c r="A15" s="6" t="inlineStr">
        <x:is>
          <x:t xml:space="preserve">Tätigkeit 5</x:t>
        </x:is>
      </x:c>
      <x:c r="B15" s="7" t="inlineStr">
        <x:is>
          <x:t xml:space="preserve">Sonstiges</x:t>
        </x:is>
      </x:c>
      <x:c r="C15" s="3" t="n"/>
      <x:c r="D15" s="3" t="n"/>
      <x:c r="E15" s="3" t="n"/>
      <x:c r="F15" s="3" t="n"/>
      <x:c r="G15" s="3" t="n"/>
      <x:c r="H15" s="3" t="n"/>
    </x:row>
    <x:row r="16">
      <x:c r="A16" s="3" t="n"/>
      <x:c r="B16" s="3" t="n"/>
      <x:c r="C16" s="3" t="n"/>
      <x:c r="D16" s="3" t="n"/>
      <x:c r="E16" s="3" t="n"/>
      <x:c r="F16" s="3" t="n"/>
      <x:c r="G16" s="3" t="n"/>
      <x:c r="H16" s="3" t="n"/>
    </x:row>
    <x:row r="17">
      <x:c r="A17" s="3" t="n"/>
      <x:c r="B17" s="3" t="n"/>
      <x:c r="C17" s="3" t="n"/>
      <x:c r="D17" s="3" t="n"/>
      <x:c r="E17" s="3" t="n"/>
      <x:c r="F17" s="3" t="n"/>
      <x:c r="G17" s="3" t="n"/>
      <x:c r="H17" s="3" t="n"/>
    </x:row>
    <x:row r="18">
      <x:c r="A18" s="5" t="inlineStr">
        <x:is>
          <x:t xml:space="preserve">Datum</x:t>
        </x:is>
      </x:c>
      <x:c r="B18" s="5" t="inlineStr">
        <x:is>
          <x:t xml:space="preserve">Bezeichnung</x:t>
        </x:is>
      </x:c>
      <x:c r="C18" s="5" t="inlineStr">
        <x:is>
          <x:t xml:space="preserve">Typ</x:t>
        </x:is>
      </x:c>
    </x:row>
    <x:row r="19">
      <x:c r="A19" s="10" t="n">
        <x:v>45915</x:v>
      </x:c>
      <x:c r="B19" s="11" t="inlineStr">
        <x:is>
          <x:t xml:space="preserve">Kick-off</x:t>
        </x:is>
      </x:c>
      <x:c r="C19" s="12" t="inlineStr">
        <x:is>
          <x:t xml:space="preserve">Termin</x:t>
        </x:is>
      </x:c>
      <x:c r="D19" s="3" t="n"/>
      <x:c r="E19" s="3" t="n"/>
      <x:c r="F19" s="3" t="n"/>
      <x:c r="G19" s="3" t="n"/>
      <x:c r="H19" s="3" t="n"/>
    </x:row>
    <x:row r="20">
      <x:c r="A20" s="10" t="n">
        <x:v>45933</x:v>
      </x:c>
      <x:c r="B20" s="11" t="inlineStr">
        <x:is>
          <x:t xml:space="preserve">Feiertag</x:t>
        </x:is>
      </x:c>
      <x:c r="C20" s="12" t="inlineStr">
        <x:is>
          <x:t xml:space="preserve">Feiertag</x:t>
        </x:is>
      </x:c>
      <x:c r="D20" s="3" t="n"/>
      <x:c r="E20" s="3" t="n"/>
      <x:c r="F20" s="3" t="n"/>
      <x:c r="G20" s="3" t="n"/>
      <x:c r="H20" s="3" t="n"/>
    </x:row>
    <x:row r="21">
      <x:c r="A21" s="10" t="n">
        <x:v>45951</x:v>
      </x:c>
      <x:c r="B21" s="11" t="inlineStr">
        <x:is>
          <x:t xml:space="preserve">Workshop</x:t>
        </x:is>
      </x:c>
      <x:c r="C21" s="12" t="inlineStr">
        <x:is>
          <x:t xml:space="preserve">Termin</x:t>
        </x:is>
      </x:c>
      <x:c r="D21" s="3" t="n"/>
      <x:c r="E21" s="3" t="n"/>
      <x:c r="F21" s="3" t="n"/>
      <x:c r="G21" s="3" t="n"/>
      <x:c r="H21" s="3" t="n"/>
    </x:row>
    <x:row r="22">
      <x:c r="A22" s="10" t="n">
        <x:v>45972</x:v>
      </x:c>
      <x:c r="B22" s="11" t="inlineStr">
        <x:is>
          <x:t xml:space="preserve">Prüfung</x:t>
        </x:is>
      </x:c>
      <x:c r="C22" s="12" t="inlineStr">
        <x:is>
          <x:t xml:space="preserve">Prüfung</x:t>
        </x:is>
      </x:c>
      <x:c r="D22" s="3" t="n"/>
      <x:c r="E22" s="3" t="n"/>
      <x:c r="F22" s="3" t="n"/>
      <x:c r="G22" s="3" t="n"/>
      <x:c r="H22" s="3" t="n"/>
    </x:row>
    <x:row r="23">
      <x:c r="A23" s="10" t="n">
        <x:v>46015</x:v>
      </x:c>
      <x:c r="B23" s="11" t="inlineStr">
        <x:is>
          <x:t xml:space="preserve">Weihnachtspause</x:t>
        </x:is>
      </x:c>
      <x:c r="C23" s="12" t="inlineStr">
        <x:is>
          <x:t xml:space="preserve">Ferien</x:t>
        </x:is>
      </x:c>
      <x:c r="D23" s="3" t="n"/>
      <x:c r="E23" s="3" t="n"/>
      <x:c r="F23" s="3" t="n"/>
      <x:c r="G23" s="3" t="n"/>
      <x:c r="H23" s="3" t="n"/>
    </x:row>
    <x:row r="24">
      <x:c r="A24" s="10" t="n">
        <x:v>46016</x:v>
      </x:c>
      <x:c r="B24" s="11" t="inlineStr">
        <x:is>
          <x:t xml:space="preserve">1. Weihnachtstag</x:t>
        </x:is>
      </x:c>
      <x:c r="C24" s="12" t="inlineStr">
        <x:is>
          <x:t xml:space="preserve">Feiertag</x:t>
        </x:is>
      </x:c>
      <x:c r="D24" s="3" t="n"/>
      <x:c r="E24" s="3" t="n"/>
      <x:c r="F24" s="3" t="n"/>
      <x:c r="G24" s="3" t="n"/>
      <x:c r="H24" s="3" t="n"/>
    </x:row>
    <x:row r="25">
      <x:c r="A25" s="10" t="n">
        <x:v>46023</x:v>
      </x:c>
      <x:c r="B25" s="11" t="inlineStr">
        <x:is>
          <x:t xml:space="preserve">Neujahr</x:t>
        </x:is>
      </x:c>
      <x:c r="C25" s="12" t="inlineStr">
        <x:is>
          <x:t xml:space="preserve">Feiertag</x:t>
        </x:is>
      </x:c>
      <x:c r="D25" s="3" t="n"/>
      <x:c r="E25" s="3" t="n"/>
      <x:c r="F25" s="3" t="n"/>
      <x:c r="G25" s="3" t="n"/>
      <x:c r="H25" s="3" t="n"/>
    </x:row>
    <x:row r="26">
      <x:c r="A26" s="10" t="n">
        <x:v>46069</x:v>
      </x:c>
      <x:c r="B26" s="11" t="inlineStr">
        <x:is>
          <x:t xml:space="preserve">Abgabetermin</x:t>
        </x:is>
      </x:c>
      <x:c r="C26" s="12" t="inlineStr">
        <x:is>
          <x:t xml:space="preserve">Termin</x:t>
        </x:is>
      </x:c>
      <x:c r="D26" s="3" t="n"/>
      <x:c r="E26" s="3" t="n"/>
      <x:c r="F26" s="3" t="n"/>
      <x:c r="G26" s="3" t="n"/>
      <x:c r="H26" s="3" t="n"/>
    </x:row>
    <x:row r="27">
      <x:c r="A27" s="10" t="n">
        <x:v>46111</x:v>
      </x:c>
      <x:c r="B27" s="11" t="inlineStr">
        <x:is>
          <x:t xml:space="preserve">Projektwoche</x:t>
        </x:is>
      </x:c>
      <x:c r="C27" s="12" t="inlineStr">
        <x:is>
          <x:t xml:space="preserve">Sonstiges</x:t>
        </x:is>
      </x:c>
      <x:c r="D27" s="3" t="n"/>
      <x:c r="E27" s="3" t="n"/>
      <x:c r="F27" s="3" t="n"/>
      <x:c r="G27" s="3" t="n"/>
      <x:c r="H27" s="3" t="n"/>
    </x:row>
    <x:row r="28">
      <x:c r="A28" s="10" t="n">
        <x:v>46118</x:v>
      </x:c>
      <x:c r="B28" s="11" t="inlineStr">
        <x:is>
          <x:t xml:space="preserve">Osterpause</x:t>
        </x:is>
      </x:c>
      <x:c r="C28" s="12" t="inlineStr">
        <x:is>
          <x:t xml:space="preserve">Ferien</x:t>
        </x:is>
      </x:c>
      <x:c r="D28" s="3" t="n"/>
      <x:c r="E28" s="3" t="n"/>
      <x:c r="F28" s="3" t="n"/>
      <x:c r="G28" s="3" t="n"/>
      <x:c r="H28" s="3" t="n"/>
    </x:row>
    <x:row r="29">
      <x:c r="A29" s="10" t="n"/>
      <x:c r="B29" s="11" t="n"/>
      <x:c r="C29" s="12" t="n"/>
      <x:c r="D29" s="3" t="n"/>
      <x:c r="E29" s="3" t="n"/>
      <x:c r="F29" s="3" t="n"/>
      <x:c r="G29" s="3" t="n"/>
      <x:c r="H29" s="3" t="n"/>
    </x:row>
    <x:row r="30">
      <x:c r="A30" s="10" t="n"/>
      <x:c r="B30" s="11" t="n"/>
      <x:c r="C30" s="12" t="n"/>
      <x:c r="D30" s="3" t="n"/>
      <x:c r="E30" s="3" t="n"/>
      <x:c r="F30" s="3" t="n"/>
      <x:c r="G30" s="3" t="n"/>
      <x:c r="H30" s="3" t="n"/>
    </x:row>
    <x:row r="31">
      <x:c r="A31" s="10" t="n"/>
      <x:c r="B31" s="11" t="n"/>
      <x:c r="C31" s="12" t="n"/>
      <x:c r="D31" s="3" t="n"/>
      <x:c r="E31" s="3" t="n"/>
      <x:c r="F31" s="3" t="n"/>
      <x:c r="G31" s="3" t="n"/>
      <x:c r="H31" s="3" t="n"/>
    </x:row>
    <x:row r="32">
      <x:c r="A32" s="10" t="n"/>
      <x:c r="B32" s="11" t="n"/>
      <x:c r="C32" s="12" t="n"/>
      <x:c r="D32" s="3" t="n"/>
      <x:c r="E32" s="3" t="n"/>
      <x:c r="F32" s="3" t="n"/>
      <x:c r="G32" s="3" t="n"/>
      <x:c r="H32" s="3" t="n"/>
    </x:row>
    <x:row r="33">
      <x:c r="A33" s="10" t="n"/>
      <x:c r="B33" s="11" t="n"/>
      <x:c r="C33" s="12" t="n"/>
      <x:c r="D33" s="3" t="n"/>
      <x:c r="E33" s="3" t="n"/>
      <x:c r="F33" s="3" t="n"/>
      <x:c r="G33" s="3" t="n"/>
      <x:c r="H33" s="3" t="n"/>
    </x:row>
    <x:row r="34">
      <x:c r="A34" s="10" t="n"/>
      <x:c r="B34" s="11" t="n"/>
      <x:c r="C34" s="12" t="n"/>
      <x:c r="D34" s="3" t="n"/>
      <x:c r="E34" s="3" t="n"/>
      <x:c r="F34" s="3" t="n"/>
      <x:c r="G34" s="3" t="n"/>
      <x:c r="H34" s="3" t="n"/>
    </x:row>
    <x:row r="35">
      <x:c r="A35" s="10" t="n"/>
      <x:c r="B35" s="11" t="n"/>
      <x:c r="C35" s="12" t="n"/>
      <x:c r="D35" s="3" t="n"/>
      <x:c r="E35" s="3" t="n"/>
      <x:c r="F35" s="3" t="n"/>
      <x:c r="G35" s="3" t="n"/>
      <x:c r="H35" s="3" t="n"/>
    </x:row>
    <x:row r="36">
      <x:c r="A36" s="10" t="n"/>
      <x:c r="B36" s="11" t="n"/>
      <x:c r="C36" s="12" t="n"/>
      <x:c r="D36" s="3" t="n"/>
      <x:c r="E36" s="3" t="n"/>
      <x:c r="F36" s="3" t="n"/>
      <x:c r="G36" s="3" t="n"/>
      <x:c r="H36" s="3" t="n"/>
    </x:row>
    <x:row r="37">
      <x:c r="A37" s="10" t="n"/>
      <x:c r="B37" s="11" t="n"/>
      <x:c r="C37" s="12" t="n"/>
      <x:c r="D37" s="3" t="n"/>
      <x:c r="E37" s="3" t="n"/>
      <x:c r="F37" s="3" t="n"/>
      <x:c r="G37" s="3" t="n"/>
      <x:c r="H37" s="3" t="n"/>
    </x:row>
    <x:row r="38">
      <x:c r="A38" s="10" t="n"/>
      <x:c r="B38" s="11" t="n"/>
      <x:c r="C38" s="12" t="n"/>
      <x:c r="D38" s="3" t="n"/>
      <x:c r="E38" s="3" t="n"/>
      <x:c r="F38" s="3" t="n"/>
      <x:c r="G38" s="3" t="n"/>
      <x:c r="H38" s="3" t="n"/>
    </x:row>
    <x:row r="39">
      <x:c r="A39" s="10" t="n"/>
      <x:c r="B39" s="11" t="n"/>
      <x:c r="C39" s="12" t="n"/>
      <x:c r="D39" s="3" t="n"/>
      <x:c r="E39" s="3" t="n"/>
      <x:c r="F39" s="3" t="n"/>
      <x:c r="G39" s="3" t="n"/>
      <x:c r="H39" s="3" t="n"/>
    </x:row>
    <x:row r="40">
      <x:c r="A40" s="10" t="n"/>
      <x:c r="B40" s="11" t="n"/>
      <x:c r="C40" s="12" t="n"/>
      <x:c r="D40" s="3" t="n"/>
      <x:c r="E40" s="3" t="n"/>
      <x:c r="F40" s="3" t="n"/>
      <x:c r="G40" s="3" t="n"/>
      <x:c r="H40" s="3" t="n"/>
    </x:row>
    <x:row r="41">
      <x:c r="A41" s="10" t="n"/>
      <x:c r="B41" s="11" t="n"/>
      <x:c r="C41" s="12" t="n"/>
      <x:c r="D41" s="3" t="n"/>
      <x:c r="E41" s="3" t="n"/>
      <x:c r="F41" s="3" t="n"/>
      <x:c r="G41" s="3" t="n"/>
      <x:c r="H41" s="3" t="n"/>
    </x:row>
    <x:row r="42">
      <x:c r="A42" s="10" t="n"/>
      <x:c r="B42" s="11" t="n"/>
      <x:c r="C42" s="12" t="n"/>
      <x:c r="D42" s="3" t="n"/>
      <x:c r="E42" s="3" t="n"/>
      <x:c r="F42" s="3" t="n"/>
      <x:c r="G42" s="3" t="n"/>
      <x:c r="H42" s="3" t="n"/>
    </x:row>
    <x:row r="43">
      <x:c r="A43" s="10" t="n"/>
      <x:c r="B43" s="11" t="n"/>
      <x:c r="C43" s="12" t="n"/>
      <x:c r="D43" s="3" t="n"/>
      <x:c r="E43" s="3" t="n"/>
      <x:c r="F43" s="3" t="n"/>
      <x:c r="G43" s="3" t="n"/>
      <x:c r="H43" s="3" t="n"/>
    </x:row>
    <x:row r="44">
      <x:c r="A44" s="10" t="n"/>
      <x:c r="B44" s="11" t="n"/>
      <x:c r="C44" s="12" t="n"/>
      <x:c r="D44" s="3" t="n"/>
      <x:c r="E44" s="3" t="n"/>
      <x:c r="F44" s="3" t="n"/>
      <x:c r="G44" s="3" t="n"/>
      <x:c r="H44" s="3" t="n"/>
    </x:row>
    <x:row r="45">
      <x:c r="A45" s="10" t="n"/>
      <x:c r="B45" s="11" t="n"/>
      <x:c r="C45" s="12" t="n"/>
      <x:c r="D45" s="3" t="n"/>
      <x:c r="E45" s="3" t="n"/>
      <x:c r="F45" s="3" t="n"/>
      <x:c r="G45" s="3" t="n"/>
      <x:c r="H45" s="3" t="n"/>
    </x:row>
    <x:row r="46">
      <x:c r="A46" s="10" t="n"/>
      <x:c r="B46" s="11" t="n"/>
      <x:c r="C46" s="12" t="n"/>
      <x:c r="D46" s="3" t="n"/>
      <x:c r="E46" s="3" t="n"/>
      <x:c r="F46" s="3" t="n"/>
      <x:c r="G46" s="3" t="n"/>
      <x:c r="H46" s="3" t="n"/>
    </x:row>
    <x:row r="47">
      <x:c r="A47" s="10" t="n"/>
      <x:c r="B47" s="11" t="n"/>
      <x:c r="C47" s="12" t="n"/>
      <x:c r="D47" s="3" t="n"/>
      <x:c r="E47" s="3" t="n"/>
      <x:c r="F47" s="3" t="n"/>
      <x:c r="G47" s="3" t="n"/>
      <x:c r="H47" s="3" t="n"/>
    </x:row>
    <x:row r="48">
      <x:c r="A48" s="10" t="n"/>
      <x:c r="B48" s="11" t="n"/>
      <x:c r="C48" s="12" t="n"/>
      <x:c r="D48" s="3" t="n"/>
      <x:c r="E48" s="3" t="n"/>
      <x:c r="F48" s="3" t="n"/>
      <x:c r="G48" s="3" t="n"/>
      <x:c r="H48" s="3" t="n"/>
    </x:row>
    <x:row r="49">
      <x:c r="A49" s="10" t="n"/>
      <x:c r="B49" s="11" t="n"/>
      <x:c r="C49" s="12" t="n"/>
      <x:c r="D49" s="3" t="n"/>
      <x:c r="E49" s="3" t="n"/>
      <x:c r="F49" s="3" t="n"/>
      <x:c r="G49" s="3" t="n"/>
      <x:c r="H49" s="3" t="n"/>
    </x:row>
    <x:row r="50">
      <x:c r="A50" s="10" t="n"/>
      <x:c r="B50" s="11" t="n"/>
      <x:c r="C50" s="12" t="n"/>
      <x:c r="D50" s="3" t="n"/>
      <x:c r="E50" s="3" t="n"/>
      <x:c r="F50" s="3" t="n"/>
      <x:c r="G50" s="3" t="n"/>
      <x:c r="H50" s="3" t="n"/>
    </x:row>
    <x:row r="51">
      <x:c r="A51" s="10" t="n"/>
      <x:c r="B51" s="11" t="n"/>
      <x:c r="C51" s="12" t="n"/>
      <x:c r="D51" s="3" t="n"/>
      <x:c r="E51" s="3" t="n"/>
      <x:c r="F51" s="3" t="n"/>
      <x:c r="G51" s="3" t="n"/>
      <x:c r="H51" s="3" t="n"/>
    </x:row>
    <x:row r="52">
      <x:c r="A52" s="10" t="n"/>
      <x:c r="B52" s="11" t="n"/>
      <x:c r="C52" s="12" t="n"/>
      <x:c r="D52" s="3" t="n"/>
      <x:c r="E52" s="3" t="n"/>
      <x:c r="F52" s="3" t="n"/>
      <x:c r="G52" s="3" t="n"/>
      <x:c r="H52" s="3" t="n"/>
    </x:row>
    <x:row r="53">
      <x:c r="A53" s="10" t="n"/>
      <x:c r="B53" s="11" t="n"/>
      <x:c r="C53" s="12" t="n"/>
      <x:c r="D53" s="3" t="n"/>
      <x:c r="E53" s="3" t="n"/>
      <x:c r="F53" s="3" t="n"/>
      <x:c r="G53" s="3" t="n"/>
      <x:c r="H53" s="3" t="n"/>
    </x:row>
    <x:row r="54">
      <x:c r="A54" s="10" t="n"/>
      <x:c r="B54" s="11" t="n"/>
      <x:c r="C54" s="12" t="n"/>
      <x:c r="D54" s="3" t="n"/>
      <x:c r="E54" s="3" t="n"/>
      <x:c r="F54" s="3" t="n"/>
      <x:c r="G54" s="3" t="n"/>
      <x:c r="H54" s="3" t="n"/>
    </x:row>
    <x:row r="55">
      <x:c r="A55" s="10" t="n"/>
      <x:c r="B55" s="11" t="n"/>
      <x:c r="C55" s="12" t="n"/>
      <x:c r="D55" s="3" t="n"/>
      <x:c r="E55" s="3" t="n"/>
      <x:c r="F55" s="3" t="n"/>
      <x:c r="G55" s="3" t="n"/>
      <x:c r="H55" s="3" t="n"/>
    </x:row>
    <x:row r="56">
      <x:c r="A56" s="10" t="n"/>
      <x:c r="B56" s="11" t="n"/>
      <x:c r="C56" s="12" t="n"/>
      <x:c r="D56" s="3" t="n"/>
      <x:c r="E56" s="3" t="n"/>
      <x:c r="F56" s="3" t="n"/>
      <x:c r="G56" s="3" t="n"/>
      <x:c r="H56" s="3" t="n"/>
    </x:row>
    <x:row r="57">
      <x:c r="A57" s="10" t="n"/>
      <x:c r="B57" s="11" t="n"/>
      <x:c r="C57" s="12" t="n"/>
      <x:c r="D57" s="3" t="n"/>
      <x:c r="E57" s="3" t="n"/>
      <x:c r="F57" s="3" t="n"/>
      <x:c r="G57" s="3" t="n"/>
      <x:c r="H57" s="3" t="n"/>
    </x:row>
    <x:row r="58">
      <x:c r="A58" s="10" t="n"/>
      <x:c r="B58" s="11" t="n"/>
      <x:c r="C58" s="12" t="n"/>
      <x:c r="D58" s="3" t="n"/>
      <x:c r="E58" s="3" t="n"/>
      <x:c r="F58" s="3" t="n"/>
      <x:c r="G58" s="3" t="n"/>
      <x:c r="H58" s="3" t="n"/>
    </x:row>
    <x:row r="59">
      <x:c r="A59" s="10" t="n"/>
      <x:c r="B59" s="11" t="n"/>
      <x:c r="C59" s="12" t="n"/>
      <x:c r="D59" s="3" t="n"/>
      <x:c r="E59" s="3" t="n"/>
      <x:c r="F59" s="3" t="n"/>
      <x:c r="G59" s="3" t="n"/>
      <x:c r="H59" s="3" t="n"/>
    </x:row>
    <x:row r="60">
      <x:c r="A60" s="10" t="n"/>
      <x:c r="B60" s="11" t="n"/>
      <x:c r="C60" s="12" t="n"/>
      <x:c r="D60" s="3" t="n"/>
      <x:c r="E60" s="3" t="n"/>
      <x:c r="F60" s="3" t="n"/>
      <x:c r="G60" s="3" t="n"/>
      <x:c r="H60" s="3" t="n"/>
    </x:row>
    <x:row r="61">
      <x:c r="A61" s="10" t="n"/>
      <x:c r="B61" s="11" t="n"/>
      <x:c r="C61" s="12" t="n"/>
      <x:c r="D61" s="3" t="n"/>
      <x:c r="E61" s="3" t="n"/>
      <x:c r="F61" s="3" t="n"/>
      <x:c r="G61" s="3" t="n"/>
      <x:c r="H61" s="3" t="n"/>
    </x:row>
    <x:row r="62">
      <x:c r="A62" s="10" t="n"/>
      <x:c r="B62" s="11" t="n"/>
      <x:c r="C62" s="12" t="n"/>
      <x:c r="D62" s="3" t="n"/>
      <x:c r="E62" s="3" t="n"/>
      <x:c r="F62" s="3" t="n"/>
      <x:c r="G62" s="3" t="n"/>
      <x:c r="H62" s="3" t="n"/>
    </x:row>
    <x:row r="63">
      <x:c r="A63" s="10" t="n"/>
      <x:c r="B63" s="11" t="n"/>
      <x:c r="C63" s="12" t="n"/>
      <x:c r="D63" s="3" t="n"/>
      <x:c r="E63" s="3" t="n"/>
      <x:c r="F63" s="3" t="n"/>
      <x:c r="G63" s="3" t="n"/>
      <x:c r="H63" s="3" t="n"/>
    </x:row>
    <x:row r="64">
      <x:c r="A64" s="10" t="n"/>
      <x:c r="B64" s="11" t="n"/>
      <x:c r="C64" s="12" t="n"/>
      <x:c r="D64" s="3" t="n"/>
      <x:c r="E64" s="3" t="n"/>
      <x:c r="F64" s="3" t="n"/>
      <x:c r="G64" s="3" t="n"/>
      <x:c r="H64" s="3" t="n"/>
    </x:row>
    <x:row r="65">
      <x:c r="A65" s="10" t="n"/>
      <x:c r="B65" s="11" t="n"/>
      <x:c r="C65" s="12" t="n"/>
      <x:c r="D65" s="3" t="n"/>
      <x:c r="E65" s="3" t="n"/>
      <x:c r="F65" s="3" t="n"/>
      <x:c r="G65" s="3" t="n"/>
      <x:c r="H65" s="3" t="n"/>
    </x:row>
    <x:row r="66">
      <x:c r="A66" s="10" t="n"/>
      <x:c r="B66" s="11" t="n"/>
      <x:c r="C66" s="12" t="n"/>
      <x:c r="D66" s="3" t="n"/>
      <x:c r="E66" s="3" t="n"/>
      <x:c r="F66" s="3" t="n"/>
      <x:c r="G66" s="3" t="n"/>
      <x:c r="H66" s="3" t="n"/>
    </x:row>
    <x:row r="67">
      <x:c r="A67" s="10" t="n"/>
      <x:c r="B67" s="11" t="n"/>
      <x:c r="C67" s="12" t="n"/>
      <x:c r="D67" s="3" t="n"/>
      <x:c r="E67" s="3" t="n"/>
      <x:c r="F67" s="3" t="n"/>
      <x:c r="G67" s="3" t="n"/>
      <x:c r="H67" s="3" t="n"/>
    </x:row>
    <x:row r="68">
      <x:c r="A68" s="10" t="n"/>
      <x:c r="B68" s="11" t="n"/>
      <x:c r="C68" s="12" t="n"/>
      <x:c r="D68" s="3" t="n"/>
      <x:c r="E68" s="3" t="n"/>
      <x:c r="F68" s="3" t="n"/>
      <x:c r="G68" s="3" t="n"/>
      <x:c r="H68" s="3" t="n"/>
    </x:row>
    <x:row r="69">
      <x:c r="A69" s="10" t="n"/>
      <x:c r="B69" s="11" t="n"/>
      <x:c r="C69" s="12" t="n"/>
      <x:c r="D69" s="3" t="n"/>
      <x:c r="E69" s="3" t="n"/>
      <x:c r="F69" s="3" t="n"/>
      <x:c r="G69" s="3" t="n"/>
      <x:c r="H69" s="3" t="n"/>
    </x:row>
    <x:row r="70">
      <x:c r="A70" s="10" t="n"/>
      <x:c r="B70" s="11" t="n"/>
      <x:c r="C70" s="12" t="n"/>
      <x:c r="D70" s="3" t="n"/>
      <x:c r="E70" s="3" t="n"/>
      <x:c r="F70" s="3" t="n"/>
      <x:c r="G70" s="3" t="n"/>
      <x:c r="H70" s="3" t="n"/>
    </x:row>
    <x:row r="71">
      <x:c r="A71" s="10" t="n"/>
      <x:c r="B71" s="11" t="n"/>
      <x:c r="C71" s="12" t="n"/>
      <x:c r="D71" s="3" t="n"/>
      <x:c r="E71" s="3" t="n"/>
      <x:c r="F71" s="3" t="n"/>
      <x:c r="G71" s="3" t="n"/>
      <x:c r="H71" s="3" t="n"/>
    </x:row>
    <x:row r="72">
      <x:c r="A72" s="10" t="n"/>
      <x:c r="B72" s="11" t="n"/>
      <x:c r="C72" s="12" t="n"/>
      <x:c r="D72" s="3" t="n"/>
      <x:c r="E72" s="3" t="n"/>
      <x:c r="F72" s="3" t="n"/>
      <x:c r="G72" s="3" t="n"/>
      <x:c r="H72" s="3" t="n"/>
    </x:row>
    <x:row r="73">
      <x:c r="A73" s="10" t="n"/>
      <x:c r="B73" s="11" t="n"/>
      <x:c r="C73" s="12" t="n"/>
      <x:c r="D73" s="3" t="n"/>
      <x:c r="E73" s="3" t="n"/>
      <x:c r="F73" s="3" t="n"/>
      <x:c r="G73" s="3" t="n"/>
      <x:c r="H73" s="3" t="n"/>
    </x:row>
    <x:row r="74">
      <x:c r="A74" s="10" t="n"/>
      <x:c r="B74" s="11" t="n"/>
      <x:c r="C74" s="12" t="n"/>
      <x:c r="D74" s="3" t="n"/>
      <x:c r="E74" s="3" t="n"/>
      <x:c r="F74" s="3" t="n"/>
      <x:c r="G74" s="3" t="n"/>
      <x:c r="H74" s="3" t="n"/>
    </x:row>
    <x:row r="75">
      <x:c r="A75" s="10" t="n"/>
      <x:c r="B75" s="11" t="n"/>
      <x:c r="C75" s="12" t="n"/>
      <x:c r="D75" s="3" t="n"/>
      <x:c r="E75" s="3" t="n"/>
      <x:c r="F75" s="3" t="n"/>
      <x:c r="G75" s="3" t="n"/>
      <x:c r="H75" s="3" t="n"/>
    </x:row>
    <x:row r="76">
      <x:c r="A76" s="10" t="n"/>
      <x:c r="B76" s="11" t="n"/>
      <x:c r="C76" s="12" t="n"/>
      <x:c r="D76" s="3" t="n"/>
      <x:c r="E76" s="3" t="n"/>
      <x:c r="F76" s="3" t="n"/>
      <x:c r="G76" s="3" t="n"/>
      <x:c r="H76" s="3" t="n"/>
    </x:row>
    <x:row r="77">
      <x:c r="A77" s="10" t="n"/>
      <x:c r="B77" s="11" t="n"/>
      <x:c r="C77" s="12" t="n"/>
      <x:c r="D77" s="3" t="n"/>
      <x:c r="E77" s="3" t="n"/>
      <x:c r="F77" s="3" t="n"/>
      <x:c r="G77" s="3" t="n"/>
      <x:c r="H77" s="3" t="n"/>
    </x:row>
    <x:row r="78">
      <x:c r="A78" s="10" t="n"/>
      <x:c r="B78" s="11" t="n"/>
      <x:c r="C78" s="12" t="n"/>
      <x:c r="D78" s="3" t="n"/>
      <x:c r="E78" s="3" t="n"/>
      <x:c r="F78" s="3" t="n"/>
      <x:c r="G78" s="3" t="n"/>
      <x:c r="H78" s="3" t="n"/>
    </x:row>
    <x:row r="79">
      <x:c r="A79" s="10" t="n"/>
      <x:c r="B79" s="11" t="n"/>
      <x:c r="C79" s="12" t="n"/>
      <x:c r="D79" s="3" t="n"/>
      <x:c r="E79" s="3" t="n"/>
      <x:c r="F79" s="3" t="n"/>
      <x:c r="G79" s="3" t="n"/>
      <x:c r="H79" s="3" t="n"/>
    </x:row>
    <x:row r="80">
      <x:c r="A80" s="10" t="n"/>
      <x:c r="B80" s="11" t="n"/>
      <x:c r="C80" s="12" t="n"/>
      <x:c r="D80" s="3" t="n"/>
      <x:c r="E80" s="3" t="n"/>
      <x:c r="F80" s="3" t="n"/>
      <x:c r="G80" s="3" t="n"/>
      <x:c r="H80" s="3" t="n"/>
    </x:row>
    <x:row r="81">
      <x:c r="A81" s="10" t="n"/>
      <x:c r="B81" s="11" t="n"/>
      <x:c r="C81" s="12" t="n"/>
      <x:c r="D81" s="3" t="n"/>
      <x:c r="E81" s="3" t="n"/>
      <x:c r="F81" s="3" t="n"/>
      <x:c r="G81" s="3" t="n"/>
      <x:c r="H81" s="3" t="n"/>
    </x:row>
    <x:row r="82">
      <x:c r="A82" s="10" t="n"/>
      <x:c r="B82" s="11" t="n"/>
      <x:c r="C82" s="12" t="n"/>
      <x:c r="D82" s="3" t="n"/>
      <x:c r="E82" s="3" t="n"/>
      <x:c r="F82" s="3" t="n"/>
      <x:c r="G82" s="3" t="n"/>
      <x:c r="H82" s="3" t="n"/>
    </x:row>
    <x:row r="83">
      <x:c r="A83" s="10" t="n"/>
      <x:c r="B83" s="11" t="n"/>
      <x:c r="C83" s="12" t="n"/>
      <x:c r="D83" s="3" t="n"/>
      <x:c r="E83" s="3" t="n"/>
      <x:c r="F83" s="3" t="n"/>
      <x:c r="G83" s="3" t="n"/>
      <x:c r="H83" s="3" t="n"/>
    </x:row>
    <x:row r="84">
      <x:c r="A84" s="10" t="n"/>
      <x:c r="B84" s="11" t="n"/>
      <x:c r="C84" s="12" t="n"/>
      <x:c r="D84" s="3" t="n"/>
      <x:c r="E84" s="3" t="n"/>
      <x:c r="F84" s="3" t="n"/>
      <x:c r="G84" s="3" t="n"/>
      <x:c r="H84" s="3" t="n"/>
    </x:row>
    <x:row r="85">
      <x:c r="A85" s="10" t="n"/>
      <x:c r="B85" s="11" t="n"/>
      <x:c r="C85" s="12" t="n"/>
      <x:c r="D85" s="3" t="n"/>
      <x:c r="E85" s="3" t="n"/>
      <x:c r="F85" s="3" t="n"/>
      <x:c r="G85" s="3" t="n"/>
      <x:c r="H85" s="3" t="n"/>
    </x:row>
    <x:row r="86">
      <x:c r="A86" s="10" t="n"/>
      <x:c r="B86" s="11" t="n"/>
      <x:c r="C86" s="12" t="n"/>
      <x:c r="D86" s="3" t="n"/>
      <x:c r="E86" s="3" t="n"/>
      <x:c r="F86" s="3" t="n"/>
      <x:c r="G86" s="3" t="n"/>
      <x:c r="H86" s="3" t="n"/>
    </x:row>
    <x:row r="87">
      <x:c r="A87" s="10" t="n"/>
      <x:c r="B87" s="11" t="n"/>
      <x:c r="C87" s="12" t="n"/>
      <x:c r="D87" s="3" t="n"/>
      <x:c r="E87" s="3" t="n"/>
      <x:c r="F87" s="3" t="n"/>
      <x:c r="G87" s="3" t="n"/>
      <x:c r="H87" s="3" t="n"/>
    </x:row>
    <x:row r="88">
      <x:c r="A88" s="10" t="n"/>
      <x:c r="B88" s="11" t="n"/>
      <x:c r="C88" s="12" t="n"/>
      <x:c r="D88" s="3" t="n"/>
      <x:c r="E88" s="3" t="n"/>
      <x:c r="F88" s="3" t="n"/>
      <x:c r="G88" s="3" t="n"/>
      <x:c r="H88" s="3" t="n"/>
    </x:row>
    <x:row r="89">
      <x:c r="A89" s="10" t="n"/>
      <x:c r="B89" s="11" t="n"/>
      <x:c r="C89" s="12" t="n"/>
      <x:c r="D89" s="3" t="n"/>
      <x:c r="E89" s="3" t="n"/>
      <x:c r="F89" s="3" t="n"/>
      <x:c r="G89" s="3" t="n"/>
      <x:c r="H89" s="3" t="n"/>
    </x:row>
    <x:row r="90">
      <x:c r="A90" s="10" t="n"/>
      <x:c r="B90" s="11" t="n"/>
      <x:c r="C90" s="12" t="n"/>
      <x:c r="D90" s="3" t="n"/>
      <x:c r="E90" s="3" t="n"/>
      <x:c r="F90" s="3" t="n"/>
      <x:c r="G90" s="3" t="n"/>
      <x:c r="H90" s="3" t="n"/>
    </x:row>
    <x:row r="91">
      <x:c r="A91" s="10" t="n"/>
      <x:c r="B91" s="11" t="n"/>
      <x:c r="C91" s="12" t="n"/>
      <x:c r="D91" s="3" t="n"/>
      <x:c r="E91" s="3" t="n"/>
      <x:c r="F91" s="3" t="n"/>
      <x:c r="G91" s="3" t="n"/>
      <x:c r="H91" s="3" t="n"/>
    </x:row>
    <x:row r="92">
      <x:c r="A92" s="10" t="n"/>
      <x:c r="B92" s="11" t="n"/>
      <x:c r="C92" s="12" t="n"/>
      <x:c r="D92" s="3" t="n"/>
      <x:c r="E92" s="3" t="n"/>
      <x:c r="F92" s="3" t="n"/>
      <x:c r="G92" s="3" t="n"/>
      <x:c r="H92" s="3" t="n"/>
    </x:row>
    <x:row r="93">
      <x:c r="A93" s="10" t="n"/>
      <x:c r="B93" s="11" t="n"/>
      <x:c r="C93" s="12" t="n"/>
      <x:c r="D93" s="3" t="n"/>
      <x:c r="E93" s="3" t="n"/>
      <x:c r="F93" s="3" t="n"/>
      <x:c r="G93" s="3" t="n"/>
      <x:c r="H93" s="3" t="n"/>
    </x:row>
    <x:row r="94">
      <x:c r="A94" s="10" t="n"/>
      <x:c r="B94" s="11" t="n"/>
      <x:c r="C94" s="12" t="n"/>
      <x:c r="D94" s="3" t="n"/>
      <x:c r="E94" s="3" t="n"/>
      <x:c r="F94" s="3" t="n"/>
      <x:c r="G94" s="3" t="n"/>
      <x:c r="H94" s="3" t="n"/>
    </x:row>
    <x:row r="95">
      <x:c r="A95" s="10" t="n"/>
      <x:c r="B95" s="11" t="n"/>
      <x:c r="C95" s="12" t="n"/>
      <x:c r="D95" s="3" t="n"/>
      <x:c r="E95" s="3" t="n"/>
      <x:c r="F95" s="3" t="n"/>
      <x:c r="G95" s="3" t="n"/>
      <x:c r="H95" s="3" t="n"/>
    </x:row>
    <x:row r="96">
      <x:c r="A96" s="10" t="n"/>
      <x:c r="B96" s="11" t="n"/>
      <x:c r="C96" s="12" t="n"/>
      <x:c r="D96" s="3" t="n"/>
      <x:c r="E96" s="3" t="n"/>
      <x:c r="F96" s="3" t="n"/>
      <x:c r="G96" s="3" t="n"/>
      <x:c r="H96" s="3" t="n"/>
    </x:row>
    <x:row r="97">
      <x:c r="A97" s="10" t="n"/>
      <x:c r="B97" s="11" t="n"/>
      <x:c r="C97" s="12" t="n"/>
      <x:c r="D97" s="3" t="n"/>
      <x:c r="E97" s="3" t="n"/>
      <x:c r="F97" s="3" t="n"/>
      <x:c r="G97" s="3" t="n"/>
      <x:c r="H97" s="3" t="n"/>
    </x:row>
    <x:row r="98">
      <x:c r="A98" s="10" t="n"/>
      <x:c r="B98" s="11" t="n"/>
      <x:c r="C98" s="12" t="n"/>
      <x:c r="D98" s="3" t="n"/>
      <x:c r="E98" s="3" t="n"/>
      <x:c r="F98" s="3" t="n"/>
      <x:c r="G98" s="3" t="n"/>
      <x:c r="H98" s="3" t="n"/>
    </x:row>
    <x:row r="99">
      <x:c r="A99" s="10" t="n"/>
      <x:c r="B99" s="11" t="n"/>
      <x:c r="C99" s="12" t="n"/>
      <x:c r="D99" s="3" t="n"/>
      <x:c r="E99" s="3" t="n"/>
      <x:c r="F99" s="3" t="n"/>
      <x:c r="G99" s="3" t="n"/>
      <x:c r="H99" s="3" t="n"/>
    </x:row>
    <x:row r="100">
      <x:c r="A100" s="10" t="n"/>
      <x:c r="B100" s="11" t="n"/>
      <x:c r="C100" s="12" t="n"/>
      <x:c r="D100" s="3" t="n"/>
      <x:c r="E100" s="3" t="n"/>
      <x:c r="F100" s="3" t="n"/>
      <x:c r="G100" s="3" t="n"/>
      <x:c r="H100" s="3" t="n"/>
    </x:row>
    <x:row r="101">
      <x:c r="A101" s="10" t="n"/>
      <x:c r="B101" s="11" t="n"/>
      <x:c r="C101" s="12" t="n"/>
      <x:c r="D101" s="3" t="n"/>
      <x:c r="E101" s="3" t="n"/>
      <x:c r="F101" s="3" t="n"/>
      <x:c r="G101" s="3" t="n"/>
      <x:c r="H101" s="3" t="n"/>
    </x:row>
    <x:row r="102">
      <x:c r="A102" s="10" t="n"/>
      <x:c r="B102" s="11" t="n"/>
      <x:c r="C102" s="12" t="n"/>
      <x:c r="D102" s="3" t="n"/>
      <x:c r="E102" s="3" t="n"/>
      <x:c r="F102" s="3" t="n"/>
      <x:c r="G102" s="3" t="n"/>
      <x:c r="H102" s="3" t="n"/>
    </x:row>
    <x:row r="103">
      <x:c r="A103" s="10" t="n"/>
      <x:c r="B103" s="11" t="n"/>
      <x:c r="C103" s="12" t="n"/>
      <x:c r="D103" s="3" t="n"/>
      <x:c r="E103" s="3" t="n"/>
      <x:c r="F103" s="3" t="n"/>
      <x:c r="G103" s="3" t="n"/>
      <x:c r="H103" s="3" t="n"/>
    </x:row>
    <x:row r="104">
      <x:c r="A104" s="10" t="n"/>
      <x:c r="B104" s="11" t="n"/>
      <x:c r="C104" s="12" t="n"/>
      <x:c r="D104" s="3" t="n"/>
      <x:c r="E104" s="3" t="n"/>
      <x:c r="F104" s="3" t="n"/>
      <x:c r="G104" s="3" t="n"/>
      <x:c r="H104" s="3" t="n"/>
    </x:row>
    <x:row r="105">
      <x:c r="A105" s="10" t="n"/>
      <x:c r="B105" s="11" t="n"/>
      <x:c r="C105" s="12" t="n"/>
      <x:c r="D105" s="3" t="n"/>
      <x:c r="E105" s="3" t="n"/>
      <x:c r="F105" s="3" t="n"/>
      <x:c r="G105" s="3" t="n"/>
      <x:c r="H105" s="3" t="n"/>
    </x:row>
    <x:row r="106">
      <x:c r="A106" s="10" t="n"/>
      <x:c r="B106" s="11" t="n"/>
      <x:c r="C106" s="12" t="n"/>
      <x:c r="D106" s="3" t="n"/>
      <x:c r="E106" s="3" t="n"/>
      <x:c r="F106" s="3" t="n"/>
      <x:c r="G106" s="3" t="n"/>
      <x:c r="H106" s="3" t="n"/>
    </x:row>
    <x:row r="107">
      <x:c r="A107" s="10" t="n"/>
      <x:c r="B107" s="11" t="n"/>
      <x:c r="C107" s="12" t="n"/>
      <x:c r="D107" s="3" t="n"/>
      <x:c r="E107" s="3" t="n"/>
      <x:c r="F107" s="3" t="n"/>
      <x:c r="G107" s="3" t="n"/>
      <x:c r="H107" s="3" t="n"/>
    </x:row>
    <x:row r="108">
      <x:c r="A108" s="10" t="n"/>
      <x:c r="B108" s="11" t="n"/>
      <x:c r="C108" s="12" t="n"/>
      <x:c r="D108" s="3" t="n"/>
      <x:c r="E108" s="3" t="n"/>
      <x:c r="F108" s="3" t="n"/>
      <x:c r="G108" s="3" t="n"/>
      <x:c r="H108" s="3" t="n"/>
    </x:row>
    <x:row r="109">
      <x:c r="A109" s="10" t="n"/>
      <x:c r="B109" s="11" t="n"/>
      <x:c r="C109" s="12" t="n"/>
      <x:c r="D109" s="3" t="n"/>
      <x:c r="E109" s="3" t="n"/>
      <x:c r="F109" s="3" t="n"/>
      <x:c r="G109" s="3" t="n"/>
      <x:c r="H109" s="3" t="n"/>
    </x:row>
    <x:row r="110">
      <x:c r="A110" s="10" t="n"/>
      <x:c r="B110" s="11" t="n"/>
      <x:c r="C110" s="12" t="n"/>
      <x:c r="D110" s="3" t="n"/>
      <x:c r="E110" s="3" t="n"/>
      <x:c r="F110" s="3" t="n"/>
      <x:c r="G110" s="3" t="n"/>
      <x:c r="H110" s="3" t="n"/>
    </x:row>
    <x:row r="111">
      <x:c r="A111" s="10" t="n"/>
      <x:c r="B111" s="11" t="n"/>
      <x:c r="C111" s="12" t="n"/>
      <x:c r="D111" s="3" t="n"/>
      <x:c r="E111" s="3" t="n"/>
      <x:c r="F111" s="3" t="n"/>
      <x:c r="G111" s="3" t="n"/>
      <x:c r="H111" s="3" t="n"/>
    </x:row>
    <x:row r="112">
      <x:c r="A112" s="10" t="n"/>
      <x:c r="B112" s="11" t="n"/>
      <x:c r="C112" s="12" t="n"/>
      <x:c r="D112" s="3" t="n"/>
      <x:c r="E112" s="3" t="n"/>
      <x:c r="F112" s="3" t="n"/>
      <x:c r="G112" s="3" t="n"/>
      <x:c r="H112" s="3" t="n"/>
    </x:row>
    <x:row r="113">
      <x:c r="A113" s="10" t="n"/>
      <x:c r="B113" s="11" t="n"/>
      <x:c r="C113" s="12" t="n"/>
      <x:c r="D113" s="3" t="n"/>
      <x:c r="E113" s="3" t="n"/>
      <x:c r="F113" s="3" t="n"/>
      <x:c r="G113" s="3" t="n"/>
      <x:c r="H113" s="3" t="n"/>
    </x:row>
    <x:row r="114">
      <x:c r="A114" s="10" t="n"/>
      <x:c r="B114" s="11" t="n"/>
      <x:c r="C114" s="12" t="n"/>
      <x:c r="D114" s="3" t="n"/>
      <x:c r="E114" s="3" t="n"/>
      <x:c r="F114" s="3" t="n"/>
      <x:c r="G114" s="3" t="n"/>
      <x:c r="H114" s="3" t="n"/>
    </x:row>
    <x:row r="115">
      <x:c r="A115" s="10" t="n"/>
      <x:c r="B115" s="11" t="n"/>
      <x:c r="C115" s="12" t="n"/>
      <x:c r="D115" s="3" t="n"/>
      <x:c r="E115" s="3" t="n"/>
      <x:c r="F115" s="3" t="n"/>
      <x:c r="G115" s="3" t="n"/>
      <x:c r="H115" s="3" t="n"/>
    </x:row>
    <x:row r="116">
      <x:c r="A116" s="10" t="n"/>
      <x:c r="B116" s="11" t="n"/>
      <x:c r="C116" s="12" t="n"/>
      <x:c r="D116" s="3" t="n"/>
      <x:c r="E116" s="3" t="n"/>
      <x:c r="F116" s="3" t="n"/>
      <x:c r="G116" s="3" t="n"/>
      <x:c r="H116" s="3" t="n"/>
    </x:row>
    <x:row r="117">
      <x:c r="A117" s="10" t="n"/>
      <x:c r="B117" s="11" t="n"/>
      <x:c r="C117" s="12" t="n"/>
      <x:c r="D117" s="3" t="n"/>
      <x:c r="E117" s="3" t="n"/>
      <x:c r="F117" s="3" t="n"/>
      <x:c r="G117" s="3" t="n"/>
      <x:c r="H117" s="3" t="n"/>
    </x:row>
    <x:row r="118">
      <x:c r="A118" s="10" t="n"/>
      <x:c r="B118" s="11" t="n"/>
      <x:c r="C118" s="12" t="n"/>
      <x:c r="D118" s="3" t="n"/>
      <x:c r="E118" s="3" t="n"/>
      <x:c r="F118" s="3" t="n"/>
      <x:c r="G118" s="3" t="n"/>
      <x:c r="H118" s="3" t="n"/>
    </x:row>
  </x:sheetData>
  <x:mergeCells>
    <x:mergeCell ref="A1:H1"/>
  </x:mergeCells>
  <x:dataValidations count="2">
    <x:dataValidation type="list" allowBlank="0" showDropDown="0" showInputMessage="0" showErrorMessage="0" sqref="B6">
      <x:formula1>"Januar,Februar,März,April,Mai,Juni,Juli,August,September,Oktober,November,Dezember"</x:formula1>
    </x:dataValidation>
    <x:dataValidation type="list" allowBlank="1" showDropDown="0" showInputMessage="0" showErrorMessage="0" sqref="C19:C118">
      <x:formula1>"Feiertag,Ferien,Prüfung,Termin,Sonstiges"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9" customWidth="1"/>
    <x:col min="3" max="3" width="7" customWidth="1"/>
    <x:col min="4" max="4" width="20" customWidth="1"/>
    <x:col min="5" max="5" width="12" customWidth="1"/>
    <x:col min="6" max="6" width="11" customWidth="1"/>
    <x:col min="7" max="7" width="11" customWidth="1"/>
    <x:col min="8" max="8" width="11" customWidth="1"/>
    <x:col min="9" max="9" width="11" customWidth="1"/>
    <x:col min="10" max="10" width="12" customWidth="1"/>
    <x:col min="11" max="11" width="12" customWidth="1"/>
    <x:col min="12" max="12" width="8" customWidth="1"/>
    <x:col min="13" max="13" width="8" customWidth="1"/>
  </x:cols>
  <x:sheetData>
    <x:row r="1">
      <x:c r="A1" s="1" t="inlineStr">
        <x:is>
          <x:t xml:space="preserve">Kalender – Tätigkeitsnachweis</x:t>
        </x:is>
      </x:c>
    </x:row>
    <x:row r="2">
      <x:c r="A2" s="13" t="inlineStr">
        <x:is>
          <x:t xml:space="preserve">Navigation</x:t>
        </x:is>
      </x:c>
      <x:c r="B2" s="26" t="str">
        <x:f>INDEX(Einstellungen!$L$2:$L$13,MONTH(EDATE(Einstellungen!$E$6,0)))</x:f>
        <x:v>Sep</x:v>
      </x:c>
      <x:c r="C2" s="26" t="str">
        <x:f>INDEX(Einstellungen!$L$2:$L$13,MONTH(EDATE(Einstellungen!$E$6,1)))</x:f>
        <x:v>Okt</x:v>
      </x:c>
      <x:c r="D2" s="26" t="str">
        <x:f>INDEX(Einstellungen!$L$2:$L$13,MONTH(EDATE(Einstellungen!$E$6,2)))</x:f>
        <x:v>Nov</x:v>
      </x:c>
      <x:c r="E2" s="26" t="str">
        <x:f>INDEX(Einstellungen!$L$2:$L$13,MONTH(EDATE(Einstellungen!$E$6,3)))</x:f>
        <x:v>Dez</x:v>
      </x:c>
      <x:c r="F2" s="26" t="str">
        <x:f>INDEX(Einstellungen!$L$2:$L$13,MONTH(EDATE(Einstellungen!$E$6,4)))</x:f>
        <x:v>Jan</x:v>
      </x:c>
      <x:c r="G2" s="26" t="str">
        <x:f>INDEX(Einstellungen!$L$2:$L$13,MONTH(EDATE(Einstellungen!$E$6,5)))</x:f>
        <x:v>Feb</x:v>
      </x:c>
      <x:c r="H2" s="26" t="str">
        <x:f>INDEX(Einstellungen!$L$2:$L$13,MONTH(EDATE(Einstellungen!$E$6,6)))</x:f>
        <x:v>Mär</x:v>
      </x:c>
      <x:c r="I2" s="26" t="str">
        <x:f>INDEX(Einstellungen!$L$2:$L$13,MONTH(EDATE(Einstellungen!$E$6,7)))</x:f>
        <x:v>Apr</x:v>
      </x:c>
      <x:c r="J2" s="26" t="str">
        <x:f>INDEX(Einstellungen!$L$2:$L$13,MONTH(EDATE(Einstellungen!$E$6,8)))</x:f>
        <x:v>Mai</x:v>
      </x:c>
      <x:c r="K2" s="26" t="str">
        <x:f>INDEX(Einstellungen!$L$2:$L$13,MONTH(EDATE(Einstellungen!$E$6,9)))</x:f>
        <x:v>Jun</x:v>
      </x:c>
      <x:c r="L2" s="26" t="str">
        <x:f>INDEX(Einstellungen!$L$2:$L$13,MONTH(EDATE(Einstellungen!$E$6,10)))</x:f>
        <x:v>Jul</x:v>
      </x:c>
      <x:c r="M2" s="26" t="str">
        <x:f>INDEX(Einstellungen!$L$2:$L$13,MONTH(EDATE(Einstellungen!$E$6,11)))</x:f>
        <x:v>Aug</x:v>
      </x:c>
    </x:row>
    <x:row r="3">
      <x:c r="A3" s="13" t="inlineStr">
        <x:is>
          <x:t xml:space="preserve">Zeitraum</x:t>
        </x:is>
      </x:c>
      <x:c r="B3" t="str">
        <x:f>Einstellungen!E8</x:f>
        <x:v>September 2025 bis August 2026</x:v>
      </x:c>
      <x:c r="F3" s="13" t="inlineStr">
        <x:is>
          <x:t xml:space="preserve">Tätigkeiten</x:t>
        </x:is>
      </x:c>
      <x:c r="G3" t="str">
        <x:f>Einstellungen!B11</x:f>
        <x:v>Arbeitszeit</x:v>
      </x:c>
      <x:c r="H3" t="str">
        <x:f>Einstellungen!B12</x:f>
        <x:v>E-Mail</x:v>
      </x:c>
      <x:c r="I3" t="str">
        <x:f>Einstellungen!B13</x:f>
        <x:v>Meetings</x:v>
      </x:c>
      <x:c r="J3" t="str">
        <x:f>Einstellungen!B14</x:f>
        <x:v>Telefonate</x:v>
      </x:c>
      <x:c r="K3" t="str">
        <x:f>Einstellungen!B15</x:f>
        <x:v>Sonstiges</x:v>
      </x:c>
    </x:row>
    <x:row r="5">
      <x:c r="A5" s="15" t="str">
        <x:f>INDEX(Einstellungen!$J$2:$J$13,MONTH(EDATE(Einstellungen!$E$6,0)))&amp;" "&amp;YEAR(EDATE(Einstellungen!$E$6,0))</x:f>
        <x:v>September 2025</x:v>
      </x:c>
    </x:row>
    <x:row r="6">
      <x:c r="A6" s="16" t="inlineStr">
        <x:is>
          <x:t xml:space="preserve">Datum</x:t>
        </x:is>
      </x:c>
      <x:c r="B6" s="16" t="inlineStr">
        <x:is>
          <x:t xml:space="preserve">Tag</x:t>
        </x:is>
      </x:c>
      <x:c r="C6" s="16" t="inlineStr">
        <x:is>
          <x:t xml:space="preserve">KW</x:t>
        </x:is>
      </x:c>
      <x:c r="D6" s="16" t="inlineStr">
        <x:is>
          <x:t xml:space="preserve">Feiertag / Termin</x:t>
        </x:is>
      </x:c>
      <x:c r="E6" s="16" t="str">
        <x:f>Einstellungen!$B$11</x:f>
        <x:v>Arbeitszeit</x:v>
      </x:c>
      <x:c r="F6" s="16" t="str">
        <x:f>Einstellungen!$B$12</x:f>
        <x:v>E-Mail</x:v>
      </x:c>
      <x:c r="G6" s="16" t="str">
        <x:f>Einstellungen!$B$13</x:f>
        <x:v>Meetings</x:v>
      </x:c>
      <x:c r="H6" s="16" t="str">
        <x:f>Einstellungen!$B$14</x:f>
        <x:v>Telefonate</x:v>
      </x:c>
      <x:c r="I6" s="16" t="str">
        <x:f>Einstellungen!$B$15</x:f>
        <x:v>Sonstiges</x:v>
      </x:c>
      <x:c r="J6" s="16" t="inlineStr">
        <x:is>
          <x:t xml:space="preserve">Gesamt</x:t>
        </x:is>
      </x:c>
    </x:row>
    <x:row r="7">
      <x:c r="A7" s="10">
        <x:f>IF(1&lt;=DAY(EOMONTH(EDATE(Einstellungen!$E$6,0),0)),DATE(YEAR(EDATE(Einstellungen!$E$6,0)),MONTH(EDATE(Einstellungen!$E$6,0)),1),"")</x:f>
        <x:v>45901</x:v>
      </x:c>
      <x:c r="B7" s="12" t="str">
        <x:f>IF(A7="","",CHOOSE(WEEKDAY(A7,2),"Mo","Di","Mi","Do","Fr","Sa","So"))</x:f>
        <x:v>Mo</x:v>
      </x:c>
      <x:c r="C7" s="12">
        <x:f>IF(A7="","",ISOWEEKNUM(A7))</x:f>
        <x:v>36</x:v>
      </x:c>
      <x:c r="D7" s="11">
        <x:f>IF(A7="","",IFERROR(INDEX(Einstellungen!$B$19:$B$118,MATCH(A7,Einstellungen!$A$19:$A$118,0)),""))</x:f>
      </x:c>
      <x:c r="E7" s="17" t="n">
        <x:v>5.5</x:v>
      </x:c>
      <x:c r="F7" s="17" t="n">
        <x:v>0.75</x:v>
      </x:c>
      <x:c r="G7" s="17" t="n">
        <x:v>0.5</x:v>
      </x:c>
      <x:c r="H7" s="17" t="n">
        <x:v>0.5</x:v>
      </x:c>
      <x:c r="I7" s="17" t="n">
        <x:v>0.25</x:v>
      </x:c>
      <x:c r="J7" s="17">
        <x:f>IF(A7="","",SUM(E7:I7))</x:f>
        <x:v>7.5</x:v>
      </x:c>
    </x:row>
    <x:row r="8">
      <x:c r="A8" s="10">
        <x:f>IF(2&lt;=DAY(EOMONTH(EDATE(Einstellungen!$E$6,0),0)),DATE(YEAR(EDATE(Einstellungen!$E$6,0)),MONTH(EDATE(Einstellungen!$E$6,0)),2),"")</x:f>
        <x:v>45902</x:v>
      </x:c>
      <x:c r="B8" s="12" t="str">
        <x:f>IF(A8="","",CHOOSE(WEEKDAY(A8,2),"Mo","Di","Mi","Do","Fr","Sa","So"))</x:f>
        <x:v>Di</x:v>
      </x:c>
      <x:c r="C8" s="12">
        <x:f>IF(A8="","",ISOWEEKNUM(A8))</x:f>
        <x:v>36</x:v>
      </x:c>
      <x:c r="D8" s="11">
        <x:f>IF(A8="","",IFERROR(INDEX(Einstellungen!$B$19:$B$118,MATCH(A8,Einstellungen!$A$19:$A$118,0)),""))</x:f>
      </x:c>
      <x:c r="E8" s="17" t="n">
        <x:v>6</x:v>
      </x:c>
      <x:c r="F8" s="17" t="n">
        <x:v>0.5</x:v>
      </x:c>
      <x:c r="G8" s="17" t="n">
        <x:v>1.5</x:v>
      </x:c>
      <x:c r="H8" s="17" t="n">
        <x:v>0.25</x:v>
      </x:c>
      <x:c r="I8" s="17" t="n">
        <x:v>0.25</x:v>
      </x:c>
      <x:c r="J8" s="17">
        <x:f>IF(A8="","",SUM(E8:I8))</x:f>
        <x:v>8.5</x:v>
      </x:c>
    </x:row>
    <x:row r="9">
      <x:c r="A9" s="10">
        <x:f>IF(3&lt;=DAY(EOMONTH(EDATE(Einstellungen!$E$6,0),0)),DATE(YEAR(EDATE(Einstellungen!$E$6,0)),MONTH(EDATE(Einstellungen!$E$6,0)),3),"")</x:f>
        <x:v>45903</x:v>
      </x:c>
      <x:c r="B9" s="12" t="str">
        <x:f>IF(A9="","",CHOOSE(WEEKDAY(A9,2),"Mo","Di","Mi","Do","Fr","Sa","So"))</x:f>
        <x:v>Mi</x:v>
      </x:c>
      <x:c r="C9" s="12">
        <x:f>IF(A9="","",ISOWEEKNUM(A9))</x:f>
        <x:v>36</x:v>
      </x:c>
      <x:c r="D9" s="11">
        <x:f>IF(A9="","",IFERROR(INDEX(Einstellungen!$B$19:$B$118,MATCH(A9,Einstellungen!$A$19:$A$118,0)),""))</x:f>
      </x:c>
      <x:c r="E9" s="17" t="n">
        <x:v>6.5</x:v>
      </x:c>
      <x:c r="F9" s="17" t="n">
        <x:v>0.75</x:v>
      </x:c>
      <x:c r="G9" s="17" t="n">
        <x:v>0.5</x:v>
      </x:c>
      <x:c r="H9" s="17" t="n">
        <x:v>0.25</x:v>
      </x:c>
      <x:c r="I9" s="17" t="n">
        <x:v>0.25</x:v>
      </x:c>
      <x:c r="J9" s="17">
        <x:f>IF(A9="","",SUM(E9:I9))</x:f>
        <x:v>8.25</x:v>
      </x:c>
    </x:row>
    <x:row r="10">
      <x:c r="A10" s="10">
        <x:f>IF(4&lt;=DAY(EOMONTH(EDATE(Einstellungen!$E$6,0),0)),DATE(YEAR(EDATE(Einstellungen!$E$6,0)),MONTH(EDATE(Einstellungen!$E$6,0)),4),"")</x:f>
        <x:v>45904</x:v>
      </x:c>
      <x:c r="B10" s="12" t="str">
        <x:f>IF(A10="","",CHOOSE(WEEKDAY(A10,2),"Mo","Di","Mi","Do","Fr","Sa","So"))</x:f>
        <x:v>Do</x:v>
      </x:c>
      <x:c r="C10" s="12">
        <x:f>IF(A10="","",ISOWEEKNUM(A10))</x:f>
        <x:v>36</x:v>
      </x:c>
      <x:c r="D10" s="11">
        <x:f>IF(A10="","",IFERROR(INDEX(Einstellungen!$B$19:$B$118,MATCH(A10,Einstellungen!$A$19:$A$118,0)),""))</x:f>
      </x:c>
      <x:c r="E10" s="17" t="n">
        <x:v>5.5</x:v>
      </x:c>
      <x:c r="F10" s="17" t="n">
        <x:v>0.5</x:v>
      </x:c>
      <x:c r="G10" s="17" t="n">
        <x:v>1.5</x:v>
      </x:c>
      <x:c r="H10" s="17" t="n">
        <x:v>0.25</x:v>
      </x:c>
      <x:c r="I10" s="17" t="n">
        <x:v>0.25</x:v>
      </x:c>
      <x:c r="J10" s="17">
        <x:f>IF(A10="","",SUM(E10:I10))</x:f>
        <x:v>8</x:v>
      </x:c>
    </x:row>
    <x:row r="11">
      <x:c r="A11" s="10">
        <x:f>IF(5&lt;=DAY(EOMONTH(EDATE(Einstellungen!$E$6,0),0)),DATE(YEAR(EDATE(Einstellungen!$E$6,0)),MONTH(EDATE(Einstellungen!$E$6,0)),5),"")</x:f>
        <x:v>45905</x:v>
      </x:c>
      <x:c r="B11" s="12" t="str">
        <x:f>IF(A11="","",CHOOSE(WEEKDAY(A11,2),"Mo","Di","Mi","Do","Fr","Sa","So"))</x:f>
        <x:v>Fr</x:v>
      </x:c>
      <x:c r="C11" s="12">
        <x:f>IF(A11="","",ISOWEEKNUM(A11))</x:f>
        <x:v>36</x:v>
      </x:c>
      <x:c r="D11" s="11">
        <x:f>IF(A11="","",IFERROR(INDEX(Einstellungen!$B$19:$B$118,MATCH(A11,Einstellungen!$A$19:$A$118,0)),""))</x:f>
      </x:c>
      <x:c r="E11" s="17" t="n">
        <x:v>6</x:v>
      </x:c>
      <x:c r="F11" s="17" t="n">
        <x:v>0.5</x:v>
      </x:c>
      <x:c r="G11" s="17" t="n">
        <x:v>0.5</x:v>
      </x:c>
      <x:c r="H11" s="17" t="n">
        <x:v>0.5</x:v>
      </x:c>
      <x:c r="I11" s="17" t="n">
        <x:v>0.5</x:v>
      </x:c>
      <x:c r="J11" s="17">
        <x:f>IF(A11="","",SUM(E11:I11))</x:f>
        <x:v>8</x:v>
      </x:c>
    </x:row>
    <x:row r="12">
      <x:c r="A12" s="10">
        <x:f>IF(6&lt;=DAY(EOMONTH(EDATE(Einstellungen!$E$6,0),0)),DATE(YEAR(EDATE(Einstellungen!$E$6,0)),MONTH(EDATE(Einstellungen!$E$6,0)),6),"")</x:f>
        <x:v>45906</x:v>
      </x:c>
      <x:c r="B12" s="12" t="str">
        <x:f>IF(A12="","",CHOOSE(WEEKDAY(A12,2),"Mo","Di","Mi","Do","Fr","Sa","So"))</x:f>
        <x:v>Sa</x:v>
      </x:c>
      <x:c r="C12" s="12">
        <x:f>IF(A12="","",ISOWEEKNUM(A12))</x:f>
        <x:v>36</x:v>
      </x:c>
      <x:c r="D12" s="11">
        <x:f>IF(A12="","",IFERROR(INDEX(Einstellungen!$B$19:$B$118,MATCH(A12,Einstellungen!$A$19:$A$118,0)),""))</x:f>
      </x:c>
      <x:c r="E12" s="18" t="inlineStr">
        <x:is>
          <x:t xml:space="preserve"/>
        </x:is>
      </x:c>
      <x:c r="F12" s="18" t="inlineStr">
        <x:is>
          <x:t xml:space="preserve"/>
        </x:is>
      </x:c>
      <x:c r="G12" s="18" t="inlineStr">
        <x:is>
          <x:t xml:space="preserve"/>
        </x:is>
      </x:c>
      <x:c r="H12" s="18" t="inlineStr">
        <x:is>
          <x:t xml:space="preserve"/>
        </x:is>
      </x:c>
      <x:c r="I12" s="18" t="inlineStr">
        <x:is>
          <x:t xml:space="preserve"/>
        </x:is>
      </x:c>
      <x:c r="J12" s="17">
        <x:f>IF(A12="","",SUM(E12:I12))</x:f>
        <x:v>0</x:v>
      </x:c>
    </x:row>
    <x:row r="13">
      <x:c r="A13" s="10">
        <x:f>IF(7&lt;=DAY(EOMONTH(EDATE(Einstellungen!$E$6,0),0)),DATE(YEAR(EDATE(Einstellungen!$E$6,0)),MONTH(EDATE(Einstellungen!$E$6,0)),7),"")</x:f>
        <x:v>45907</x:v>
      </x:c>
      <x:c r="B13" s="12" t="str">
        <x:f>IF(A13="","",CHOOSE(WEEKDAY(A13,2),"Mo","Di","Mi","Do","Fr","Sa","So"))</x:f>
        <x:v>So</x:v>
      </x:c>
      <x:c r="C13" s="12">
        <x:f>IF(A13="","",ISOWEEKNUM(A13))</x:f>
        <x:v>36</x:v>
      </x:c>
      <x:c r="D13" s="11">
        <x:f>IF(A13="","",IFERROR(INDEX(Einstellungen!$B$19:$B$118,MATCH(A13,Einstellungen!$A$19:$A$118,0)),""))</x:f>
      </x:c>
      <x:c r="E13" s="18" t="inlineStr">
        <x:is>
          <x:t xml:space="preserve"/>
        </x:is>
      </x:c>
      <x:c r="F13" s="18" t="inlineStr">
        <x:is>
          <x:t xml:space="preserve"/>
        </x:is>
      </x:c>
      <x:c r="G13" s="18" t="inlineStr">
        <x:is>
          <x:t xml:space="preserve"/>
        </x:is>
      </x:c>
      <x:c r="H13" s="18" t="inlineStr">
        <x:is>
          <x:t xml:space="preserve"/>
        </x:is>
      </x:c>
      <x:c r="I13" s="18" t="inlineStr">
        <x:is>
          <x:t xml:space="preserve"/>
        </x:is>
      </x:c>
      <x:c r="J13" s="17">
        <x:f>IF(A13="","",SUM(E13:I13))</x:f>
        <x:v>0</x:v>
      </x:c>
    </x:row>
    <x:row r="14">
      <x:c r="A14" s="10">
        <x:f>IF(8&lt;=DAY(EOMONTH(EDATE(Einstellungen!$E$6,0),0)),DATE(YEAR(EDATE(Einstellungen!$E$6,0)),MONTH(EDATE(Einstellungen!$E$6,0)),8),"")</x:f>
        <x:v>45908</x:v>
      </x:c>
      <x:c r="B14" s="12" t="str">
        <x:f>IF(A14="","",CHOOSE(WEEKDAY(A14,2),"Mo","Di","Mi","Do","Fr","Sa","So"))</x:f>
        <x:v>Mo</x:v>
      </x:c>
      <x:c r="C14" s="12">
        <x:f>IF(A14="","",ISOWEEKNUM(A14))</x:f>
        <x:v>37</x:v>
      </x:c>
      <x:c r="D14" s="11">
        <x:f>IF(A14="","",IFERROR(INDEX(Einstellungen!$B$19:$B$118,MATCH(A14,Einstellungen!$A$19:$A$118,0)),""))</x:f>
      </x:c>
      <x:c r="E14" s="17" t="n">
        <x:v>5.5</x:v>
      </x:c>
      <x:c r="F14" s="17" t="n">
        <x:v>0.75</x:v>
      </x:c>
      <x:c r="G14" s="17" t="n">
        <x:v>0.5</x:v>
      </x:c>
      <x:c r="H14" s="17" t="n">
        <x:v>0.5</x:v>
      </x:c>
      <x:c r="I14" s="17" t="n">
        <x:v>0.25</x:v>
      </x:c>
      <x:c r="J14" s="17">
        <x:f>IF(A14="","",SUM(E14:I14))</x:f>
        <x:v>7.5</x:v>
      </x:c>
    </x:row>
    <x:row r="15">
      <x:c r="A15" s="10">
        <x:f>IF(9&lt;=DAY(EOMONTH(EDATE(Einstellungen!$E$6,0),0)),DATE(YEAR(EDATE(Einstellungen!$E$6,0)),MONTH(EDATE(Einstellungen!$E$6,0)),9),"")</x:f>
        <x:v>45909</x:v>
      </x:c>
      <x:c r="B15" s="12" t="str">
        <x:f>IF(A15="","",CHOOSE(WEEKDAY(A15,2),"Mo","Di","Mi","Do","Fr","Sa","So"))</x:f>
        <x:v>Di</x:v>
      </x:c>
      <x:c r="C15" s="12">
        <x:f>IF(A15="","",ISOWEEKNUM(A15))</x:f>
        <x:v>37</x:v>
      </x:c>
      <x:c r="D15" s="11">
        <x:f>IF(A15="","",IFERROR(INDEX(Einstellungen!$B$19:$B$118,MATCH(A15,Einstellungen!$A$19:$A$118,0)),""))</x:f>
      </x:c>
      <x:c r="E15" s="17" t="n">
        <x:v>6</x:v>
      </x:c>
      <x:c r="F15" s="17" t="n">
        <x:v>0.5</x:v>
      </x:c>
      <x:c r="G15" s="17" t="n">
        <x:v>1.5</x:v>
      </x:c>
      <x:c r="H15" s="17" t="n">
        <x:v>0.25</x:v>
      </x:c>
      <x:c r="I15" s="17" t="n">
        <x:v>0.25</x:v>
      </x:c>
      <x:c r="J15" s="17">
        <x:f>IF(A15="","",SUM(E15:I15))</x:f>
        <x:v>8.5</x:v>
      </x:c>
    </x:row>
    <x:row r="16">
      <x:c r="A16" s="10">
        <x:f>IF(10&lt;=DAY(EOMONTH(EDATE(Einstellungen!$E$6,0),0)),DATE(YEAR(EDATE(Einstellungen!$E$6,0)),MONTH(EDATE(Einstellungen!$E$6,0)),10),"")</x:f>
        <x:v>45910</x:v>
      </x:c>
      <x:c r="B16" s="12" t="str">
        <x:f>IF(A16="","",CHOOSE(WEEKDAY(A16,2),"Mo","Di","Mi","Do","Fr","Sa","So"))</x:f>
        <x:v>Mi</x:v>
      </x:c>
      <x:c r="C16" s="12">
        <x:f>IF(A16="","",ISOWEEKNUM(A16))</x:f>
        <x:v>37</x:v>
      </x:c>
      <x:c r="D16" s="11">
        <x:f>IF(A16="","",IFERROR(INDEX(Einstellungen!$B$19:$B$118,MATCH(A16,Einstellungen!$A$19:$A$118,0)),""))</x:f>
      </x:c>
      <x:c r="E16" s="17" t="n">
        <x:v>6.5</x:v>
      </x:c>
      <x:c r="F16" s="17" t="n">
        <x:v>0.75</x:v>
      </x:c>
      <x:c r="G16" s="17" t="n">
        <x:v>0.5</x:v>
      </x:c>
      <x:c r="H16" s="17" t="n">
        <x:v>0.25</x:v>
      </x:c>
      <x:c r="I16" s="17" t="n">
        <x:v>0.25</x:v>
      </x:c>
      <x:c r="J16" s="17">
        <x:f>IF(A16="","",SUM(E16:I16))</x:f>
        <x:v>8.25</x:v>
      </x:c>
    </x:row>
    <x:row r="17">
      <x:c r="A17" s="10">
        <x:f>IF(11&lt;=DAY(EOMONTH(EDATE(Einstellungen!$E$6,0),0)),DATE(YEAR(EDATE(Einstellungen!$E$6,0)),MONTH(EDATE(Einstellungen!$E$6,0)),11),"")</x:f>
        <x:v>45911</x:v>
      </x:c>
      <x:c r="B17" s="12" t="str">
        <x:f>IF(A17="","",CHOOSE(WEEKDAY(A17,2),"Mo","Di","Mi","Do","Fr","Sa","So"))</x:f>
        <x:v>Do</x:v>
      </x:c>
      <x:c r="C17" s="12">
        <x:f>IF(A17="","",ISOWEEKNUM(A17))</x:f>
        <x:v>37</x:v>
      </x:c>
      <x:c r="D17" s="11">
        <x:f>IF(A17="","",IFERROR(INDEX(Einstellungen!$B$19:$B$118,MATCH(A17,Einstellungen!$A$19:$A$118,0)),""))</x:f>
      </x:c>
      <x:c r="E17" s="17" t="n">
        <x:v>5.5</x:v>
      </x:c>
      <x:c r="F17" s="17" t="n">
        <x:v>0.5</x:v>
      </x:c>
      <x:c r="G17" s="17" t="n">
        <x:v>1.5</x:v>
      </x:c>
      <x:c r="H17" s="17" t="n">
        <x:v>0.25</x:v>
      </x:c>
      <x:c r="I17" s="17" t="n">
        <x:v>0.25</x:v>
      </x:c>
      <x:c r="J17" s="17">
        <x:f>IF(A17="","",SUM(E17:I17))</x:f>
        <x:v>8</x:v>
      </x:c>
    </x:row>
    <x:row r="18">
      <x:c r="A18" s="10">
        <x:f>IF(12&lt;=DAY(EOMONTH(EDATE(Einstellungen!$E$6,0),0)),DATE(YEAR(EDATE(Einstellungen!$E$6,0)),MONTH(EDATE(Einstellungen!$E$6,0)),12),"")</x:f>
        <x:v>45912</x:v>
      </x:c>
      <x:c r="B18" s="12" t="str">
        <x:f>IF(A18="","",CHOOSE(WEEKDAY(A18,2),"Mo","Di","Mi","Do","Fr","Sa","So"))</x:f>
        <x:v>Fr</x:v>
      </x:c>
      <x:c r="C18" s="12">
        <x:f>IF(A18="","",ISOWEEKNUM(A18))</x:f>
        <x:v>37</x:v>
      </x:c>
      <x:c r="D18" s="11">
        <x:f>IF(A18="","",IFERROR(INDEX(Einstellungen!$B$19:$B$118,MATCH(A18,Einstellungen!$A$19:$A$118,0)),""))</x:f>
      </x:c>
      <x:c r="E18" s="17" t="n">
        <x:v>6</x:v>
      </x:c>
      <x:c r="F18" s="17" t="n">
        <x:v>0.5</x:v>
      </x:c>
      <x:c r="G18" s="17" t="n">
        <x:v>0.5</x:v>
      </x:c>
      <x:c r="H18" s="17" t="n">
        <x:v>0.5</x:v>
      </x:c>
      <x:c r="I18" s="17" t="n">
        <x:v>0.25</x:v>
      </x:c>
      <x:c r="J18" s="17">
        <x:f>IF(A18="","",SUM(E18:I18))</x:f>
        <x:v>7.75</x:v>
      </x:c>
    </x:row>
    <x:row r="19">
      <x:c r="A19" s="10">
        <x:f>IF(13&lt;=DAY(EOMONTH(EDATE(Einstellungen!$E$6,0),0)),DATE(YEAR(EDATE(Einstellungen!$E$6,0)),MONTH(EDATE(Einstellungen!$E$6,0)),13),"")</x:f>
        <x:v>45913</x:v>
      </x:c>
      <x:c r="B19" s="12" t="str">
        <x:f>IF(A19="","",CHOOSE(WEEKDAY(A19,2),"Mo","Di","Mi","Do","Fr","Sa","So"))</x:f>
        <x:v>Sa</x:v>
      </x:c>
      <x:c r="C19" s="12">
        <x:f>IF(A19="","",ISOWEEKNUM(A19))</x:f>
        <x:v>37</x:v>
      </x:c>
      <x:c r="D19" s="11">
        <x:f>IF(A19="","",IFERROR(INDEX(Einstellungen!$B$19:$B$118,MATCH(A19,Einstellungen!$A$19:$A$118,0)),""))</x:f>
      </x:c>
      <x:c r="E19" s="18" t="inlineStr">
        <x:is>
          <x:t xml:space="preserve"/>
        </x:is>
      </x:c>
      <x:c r="F19" s="18" t="inlineStr">
        <x:is>
          <x:t xml:space="preserve"/>
        </x:is>
      </x:c>
      <x:c r="G19" s="18" t="inlineStr">
        <x:is>
          <x:t xml:space="preserve"/>
        </x:is>
      </x:c>
      <x:c r="H19" s="18" t="inlineStr">
        <x:is>
          <x:t xml:space="preserve"/>
        </x:is>
      </x:c>
      <x:c r="I19" s="18" t="inlineStr">
        <x:is>
          <x:t xml:space="preserve"/>
        </x:is>
      </x:c>
      <x:c r="J19" s="17">
        <x:f>IF(A19="","",SUM(E19:I19))</x:f>
        <x:v>0</x:v>
      </x:c>
    </x:row>
    <x:row r="20">
      <x:c r="A20" s="10">
        <x:f>IF(14&lt;=DAY(EOMONTH(EDATE(Einstellungen!$E$6,0),0)),DATE(YEAR(EDATE(Einstellungen!$E$6,0)),MONTH(EDATE(Einstellungen!$E$6,0)),14),"")</x:f>
        <x:v>45914</x:v>
      </x:c>
      <x:c r="B20" s="12" t="str">
        <x:f>IF(A20="","",CHOOSE(WEEKDAY(A20,2),"Mo","Di","Mi","Do","Fr","Sa","So"))</x:f>
        <x:v>So</x:v>
      </x:c>
      <x:c r="C20" s="12">
        <x:f>IF(A20="","",ISOWEEKNUM(A20))</x:f>
        <x:v>37</x:v>
      </x:c>
      <x:c r="D20" s="11">
        <x:f>IF(A20="","",IFERROR(INDEX(Einstellungen!$B$19:$B$118,MATCH(A20,Einstellungen!$A$19:$A$118,0)),""))</x:f>
      </x:c>
      <x:c r="E20" s="18" t="inlineStr">
        <x:is>
          <x:t xml:space="preserve"/>
        </x:is>
      </x:c>
      <x:c r="F20" s="18" t="inlineStr">
        <x:is>
          <x:t xml:space="preserve"/>
        </x:is>
      </x:c>
      <x:c r="G20" s="18" t="inlineStr">
        <x:is>
          <x:t xml:space="preserve"/>
        </x:is>
      </x:c>
      <x:c r="H20" s="18" t="inlineStr">
        <x:is>
          <x:t xml:space="preserve"/>
        </x:is>
      </x:c>
      <x:c r="I20" s="18" t="inlineStr">
        <x:is>
          <x:t xml:space="preserve"/>
        </x:is>
      </x:c>
      <x:c r="J20" s="17">
        <x:f>IF(A20="","",SUM(E20:I20))</x:f>
        <x:v>0</x:v>
      </x:c>
    </x:row>
    <x:row r="21">
      <x:c r="A21" s="10">
        <x:f>IF(15&lt;=DAY(EOMONTH(EDATE(Einstellungen!$E$6,0),0)),DATE(YEAR(EDATE(Einstellungen!$E$6,0)),MONTH(EDATE(Einstellungen!$E$6,0)),15),"")</x:f>
        <x:v>45915</x:v>
      </x:c>
      <x:c r="B21" s="12" t="str">
        <x:f>IF(A21="","",CHOOSE(WEEKDAY(A21,2),"Mo","Di","Mi","Do","Fr","Sa","So"))</x:f>
        <x:v>Mo</x:v>
      </x:c>
      <x:c r="C21" s="12">
        <x:f>IF(A21="","",ISOWEEKNUM(A21))</x:f>
        <x:v>38</x:v>
      </x:c>
      <x:c r="D21" s="11" t="str">
        <x:f>IF(A21="","",IFERROR(INDEX(Einstellungen!$B$19:$B$118,MATCH(A21,Einstellungen!$A$19:$A$118,0)),""))</x:f>
        <x:v>Kick-off</x:v>
      </x:c>
      <x:c r="E21" s="17" t="n">
        <x:v>5.5</x:v>
      </x:c>
      <x:c r="F21" s="17" t="n">
        <x:v>0.75</x:v>
      </x:c>
      <x:c r="G21" s="17" t="n">
        <x:v>0.5</x:v>
      </x:c>
      <x:c r="H21" s="17" t="n">
        <x:v>0.5</x:v>
      </x:c>
      <x:c r="I21" s="17" t="n">
        <x:v>0.5</x:v>
      </x:c>
      <x:c r="J21" s="17">
        <x:f>IF(A21="","",SUM(E21:I21))</x:f>
        <x:v>7.75</x:v>
      </x:c>
    </x:row>
    <x:row r="22">
      <x:c r="A22" s="10">
        <x:f>IF(16&lt;=DAY(EOMONTH(EDATE(Einstellungen!$E$6,0),0)),DATE(YEAR(EDATE(Einstellungen!$E$6,0)),MONTH(EDATE(Einstellungen!$E$6,0)),16),"")</x:f>
        <x:v>45916</x:v>
      </x:c>
      <x:c r="B22" s="12" t="str">
        <x:f>IF(A22="","",CHOOSE(WEEKDAY(A22,2),"Mo","Di","Mi","Do","Fr","Sa","So"))</x:f>
        <x:v>Di</x:v>
      </x:c>
      <x:c r="C22" s="12">
        <x:f>IF(A22="","",ISOWEEKNUM(A22))</x:f>
        <x:v>38</x:v>
      </x:c>
      <x:c r="D22" s="11">
        <x:f>IF(A22="","",IFERROR(INDEX(Einstellungen!$B$19:$B$118,MATCH(A22,Einstellungen!$A$19:$A$118,0)),""))</x:f>
      </x:c>
      <x:c r="E22" s="17" t="n">
        <x:v>6</x:v>
      </x:c>
      <x:c r="F22" s="17" t="n">
        <x:v>0.5</x:v>
      </x:c>
      <x:c r="G22" s="17" t="n">
        <x:v>1.5</x:v>
      </x:c>
      <x:c r="H22" s="17" t="n">
        <x:v>0.25</x:v>
      </x:c>
      <x:c r="I22" s="17" t="n">
        <x:v>0.25</x:v>
      </x:c>
      <x:c r="J22" s="17">
        <x:f>IF(A22="","",SUM(E22:I22))</x:f>
        <x:v>8.5</x:v>
      </x:c>
    </x:row>
    <x:row r="23">
      <x:c r="A23" s="10">
        <x:f>IF(17&lt;=DAY(EOMONTH(EDATE(Einstellungen!$E$6,0),0)),DATE(YEAR(EDATE(Einstellungen!$E$6,0)),MONTH(EDATE(Einstellungen!$E$6,0)),17),"")</x:f>
        <x:v>45917</x:v>
      </x:c>
      <x:c r="B23" s="12" t="str">
        <x:f>IF(A23="","",CHOOSE(WEEKDAY(A23,2),"Mo","Di","Mi","Do","Fr","Sa","So"))</x:f>
        <x:v>Mi</x:v>
      </x:c>
      <x:c r="C23" s="12">
        <x:f>IF(A23="","",ISOWEEKNUM(A23))</x:f>
        <x:v>38</x:v>
      </x:c>
      <x:c r="D23" s="11">
        <x:f>IF(A23="","",IFERROR(INDEX(Einstellungen!$B$19:$B$118,MATCH(A23,Einstellungen!$A$19:$A$118,0)),""))</x:f>
      </x:c>
      <x:c r="E23" s="17" t="n">
        <x:v>6.5</x:v>
      </x:c>
      <x:c r="F23" s="17" t="n">
        <x:v>0.75</x:v>
      </x:c>
      <x:c r="G23" s="17" t="n">
        <x:v>0.5</x:v>
      </x:c>
      <x:c r="H23" s="17" t="n">
        <x:v>0.25</x:v>
      </x:c>
      <x:c r="I23" s="17" t="n">
        <x:v>0.25</x:v>
      </x:c>
      <x:c r="J23" s="17">
        <x:f>IF(A23="","",SUM(E23:I23))</x:f>
        <x:v>8.25</x:v>
      </x:c>
    </x:row>
    <x:row r="24">
      <x:c r="A24" s="10">
        <x:f>IF(18&lt;=DAY(EOMONTH(EDATE(Einstellungen!$E$6,0),0)),DATE(YEAR(EDATE(Einstellungen!$E$6,0)),MONTH(EDATE(Einstellungen!$E$6,0)),18),"")</x:f>
        <x:v>45918</x:v>
      </x:c>
      <x:c r="B24" s="12" t="str">
        <x:f>IF(A24="","",CHOOSE(WEEKDAY(A24,2),"Mo","Di","Mi","Do","Fr","Sa","So"))</x:f>
        <x:v>Do</x:v>
      </x:c>
      <x:c r="C24" s="12">
        <x:f>IF(A24="","",ISOWEEKNUM(A24))</x:f>
        <x:v>38</x:v>
      </x:c>
      <x:c r="D24" s="11">
        <x:f>IF(A24="","",IFERROR(INDEX(Einstellungen!$B$19:$B$118,MATCH(A24,Einstellungen!$A$19:$A$118,0)),""))</x:f>
      </x:c>
      <x:c r="E24" s="17" t="n">
        <x:v>5.5</x:v>
      </x:c>
      <x:c r="F24" s="17" t="n">
        <x:v>0.5</x:v>
      </x:c>
      <x:c r="G24" s="17" t="n">
        <x:v>1.5</x:v>
      </x:c>
      <x:c r="H24" s="17" t="n">
        <x:v>0.25</x:v>
      </x:c>
      <x:c r="I24" s="17" t="n">
        <x:v>0.25</x:v>
      </x:c>
      <x:c r="J24" s="17">
        <x:f>IF(A24="","",SUM(E24:I24))</x:f>
        <x:v>8</x:v>
      </x:c>
    </x:row>
    <x:row r="25">
      <x:c r="A25" s="10">
        <x:f>IF(19&lt;=DAY(EOMONTH(EDATE(Einstellungen!$E$6,0),0)),DATE(YEAR(EDATE(Einstellungen!$E$6,0)),MONTH(EDATE(Einstellungen!$E$6,0)),19),"")</x:f>
        <x:v>45919</x:v>
      </x:c>
      <x:c r="B25" s="12" t="str">
        <x:f>IF(A25="","",CHOOSE(WEEKDAY(A25,2),"Mo","Di","Mi","Do","Fr","Sa","So"))</x:f>
        <x:v>Fr</x:v>
      </x:c>
      <x:c r="C25" s="12">
        <x:f>IF(A25="","",ISOWEEKNUM(A25))</x:f>
        <x:v>38</x:v>
      </x:c>
      <x:c r="D25" s="11">
        <x:f>IF(A25="","",IFERROR(INDEX(Einstellungen!$B$19:$B$118,MATCH(A25,Einstellungen!$A$19:$A$118,0)),""))</x:f>
      </x:c>
      <x:c r="E25" s="17" t="n">
        <x:v>6</x:v>
      </x:c>
      <x:c r="F25" s="17" t="n">
        <x:v>0.5</x:v>
      </x:c>
      <x:c r="G25" s="17" t="n">
        <x:v>0.5</x:v>
      </x:c>
      <x:c r="H25" s="17" t="n">
        <x:v>0.5</x:v>
      </x:c>
      <x:c r="I25" s="17" t="n">
        <x:v>0.25</x:v>
      </x:c>
      <x:c r="J25" s="17">
        <x:f>IF(A25="","",SUM(E25:I25))</x:f>
        <x:v>7.75</x:v>
      </x:c>
    </x:row>
    <x:row r="26">
      <x:c r="A26" s="10">
        <x:f>IF(20&lt;=DAY(EOMONTH(EDATE(Einstellungen!$E$6,0),0)),DATE(YEAR(EDATE(Einstellungen!$E$6,0)),MONTH(EDATE(Einstellungen!$E$6,0)),20),"")</x:f>
        <x:v>45920</x:v>
      </x:c>
      <x:c r="B26" s="12" t="str">
        <x:f>IF(A26="","",CHOOSE(WEEKDAY(A26,2),"Mo","Di","Mi","Do","Fr","Sa","So"))</x:f>
        <x:v>Sa</x:v>
      </x:c>
      <x:c r="C26" s="12">
        <x:f>IF(A26="","",ISOWEEKNUM(A26))</x:f>
        <x:v>38</x:v>
      </x:c>
      <x:c r="D26" s="11">
        <x:f>IF(A26="","",IFERROR(INDEX(Einstellungen!$B$19:$B$118,MATCH(A26,Einstellungen!$A$19:$A$118,0)),""))</x:f>
      </x:c>
      <x:c r="E26" s="18" t="inlineStr">
        <x:is>
          <x:t xml:space="preserve"/>
        </x:is>
      </x:c>
      <x:c r="F26" s="18" t="inlineStr">
        <x:is>
          <x:t xml:space="preserve"/>
        </x:is>
      </x:c>
      <x:c r="G26" s="18" t="inlineStr">
        <x:is>
          <x:t xml:space="preserve"/>
        </x:is>
      </x:c>
      <x:c r="H26" s="18" t="inlineStr">
        <x:is>
          <x:t xml:space="preserve"/>
        </x:is>
      </x:c>
      <x:c r="I26" s="18" t="inlineStr">
        <x:is>
          <x:t xml:space="preserve"/>
        </x:is>
      </x:c>
      <x:c r="J26" s="17">
        <x:f>IF(A26="","",SUM(E26:I26))</x:f>
        <x:v>0</x:v>
      </x:c>
    </x:row>
    <x:row r="27">
      <x:c r="A27" s="10">
        <x:f>IF(21&lt;=DAY(EOMONTH(EDATE(Einstellungen!$E$6,0),0)),DATE(YEAR(EDATE(Einstellungen!$E$6,0)),MONTH(EDATE(Einstellungen!$E$6,0)),21),"")</x:f>
        <x:v>45921</x:v>
      </x:c>
      <x:c r="B27" s="12" t="str">
        <x:f>IF(A27="","",CHOOSE(WEEKDAY(A27,2),"Mo","Di","Mi","Do","Fr","Sa","So"))</x:f>
        <x:v>So</x:v>
      </x:c>
      <x:c r="C27" s="12">
        <x:f>IF(A27="","",ISOWEEKNUM(A27))</x:f>
        <x:v>38</x:v>
      </x:c>
      <x:c r="D27" s="11">
        <x:f>IF(A27="","",IFERROR(INDEX(Einstellungen!$B$19:$B$118,MATCH(A27,Einstellungen!$A$19:$A$118,0)),""))</x:f>
      </x:c>
      <x:c r="E27" s="18" t="inlineStr">
        <x:is>
          <x:t xml:space="preserve"/>
        </x:is>
      </x:c>
      <x:c r="F27" s="18" t="inlineStr">
        <x:is>
          <x:t xml:space="preserve"/>
        </x:is>
      </x:c>
      <x:c r="G27" s="18" t="inlineStr">
        <x:is>
          <x:t xml:space="preserve"/>
        </x:is>
      </x:c>
      <x:c r="H27" s="18" t="inlineStr">
        <x:is>
          <x:t xml:space="preserve"/>
        </x:is>
      </x:c>
      <x:c r="I27" s="18" t="inlineStr">
        <x:is>
          <x:t xml:space="preserve"/>
        </x:is>
      </x:c>
      <x:c r="J27" s="17">
        <x:f>IF(A27="","",SUM(E27:I27))</x:f>
        <x:v>0</x:v>
      </x:c>
    </x:row>
    <x:row r="28">
      <x:c r="A28" s="10">
        <x:f>IF(22&lt;=DAY(EOMONTH(EDATE(Einstellungen!$E$6,0),0)),DATE(YEAR(EDATE(Einstellungen!$E$6,0)),MONTH(EDATE(Einstellungen!$E$6,0)),22),"")</x:f>
        <x:v>45922</x:v>
      </x:c>
      <x:c r="B28" s="12" t="str">
        <x:f>IF(A28="","",CHOOSE(WEEKDAY(A28,2),"Mo","Di","Mi","Do","Fr","Sa","So"))</x:f>
        <x:v>Mo</x:v>
      </x:c>
      <x:c r="C28" s="12">
        <x:f>IF(A28="","",ISOWEEKNUM(A28))</x:f>
        <x:v>39</x:v>
      </x:c>
      <x:c r="D28" s="11">
        <x:f>IF(A28="","",IFERROR(INDEX(Einstellungen!$B$19:$B$118,MATCH(A28,Einstellungen!$A$19:$A$118,0)),""))</x:f>
      </x:c>
      <x:c r="E28" s="17" t="n">
        <x:v>5.5</x:v>
      </x:c>
      <x:c r="F28" s="17" t="n">
        <x:v>0.75</x:v>
      </x:c>
      <x:c r="G28" s="17" t="n">
        <x:v>0.5</x:v>
      </x:c>
      <x:c r="H28" s="17" t="n">
        <x:v>0.5</x:v>
      </x:c>
      <x:c r="I28" s="17" t="n">
        <x:v>0.25</x:v>
      </x:c>
      <x:c r="J28" s="17">
        <x:f>IF(A28="","",SUM(E28:I28))</x:f>
        <x:v>7.5</x:v>
      </x:c>
    </x:row>
    <x:row r="29">
      <x:c r="A29" s="10">
        <x:f>IF(23&lt;=DAY(EOMONTH(EDATE(Einstellungen!$E$6,0),0)),DATE(YEAR(EDATE(Einstellungen!$E$6,0)),MONTH(EDATE(Einstellungen!$E$6,0)),23),"")</x:f>
        <x:v>45923</x:v>
      </x:c>
      <x:c r="B29" s="12" t="str">
        <x:f>IF(A29="","",CHOOSE(WEEKDAY(A29,2),"Mo","Di","Mi","Do","Fr","Sa","So"))</x:f>
        <x:v>Di</x:v>
      </x:c>
      <x:c r="C29" s="12">
        <x:f>IF(A29="","",ISOWEEKNUM(A29))</x:f>
        <x:v>39</x:v>
      </x:c>
      <x:c r="D29" s="11">
        <x:f>IF(A29="","",IFERROR(INDEX(Einstellungen!$B$19:$B$118,MATCH(A29,Einstellungen!$A$19:$A$118,0)),""))</x:f>
      </x:c>
      <x:c r="E29" s="17" t="n">
        <x:v>6</x:v>
      </x:c>
      <x:c r="F29" s="17" t="n">
        <x:v>0.5</x:v>
      </x:c>
      <x:c r="G29" s="17" t="n">
        <x:v>1.5</x:v>
      </x:c>
      <x:c r="H29" s="17" t="n">
        <x:v>0.25</x:v>
      </x:c>
      <x:c r="I29" s="17" t="n">
        <x:v>0.25</x:v>
      </x:c>
      <x:c r="J29" s="17">
        <x:f>IF(A29="","",SUM(E29:I29))</x:f>
        <x:v>8.5</x:v>
      </x:c>
    </x:row>
    <x:row r="30">
      <x:c r="A30" s="10">
        <x:f>IF(24&lt;=DAY(EOMONTH(EDATE(Einstellungen!$E$6,0),0)),DATE(YEAR(EDATE(Einstellungen!$E$6,0)),MONTH(EDATE(Einstellungen!$E$6,0)),24),"")</x:f>
        <x:v>45924</x:v>
      </x:c>
      <x:c r="B30" s="12" t="str">
        <x:f>IF(A30="","",CHOOSE(WEEKDAY(A30,2),"Mo","Di","Mi","Do","Fr","Sa","So"))</x:f>
        <x:v>Mi</x:v>
      </x:c>
      <x:c r="C30" s="12">
        <x:f>IF(A30="","",ISOWEEKNUM(A30))</x:f>
        <x:v>39</x:v>
      </x:c>
      <x:c r="D30" s="11">
        <x:f>IF(A30="","",IFERROR(INDEX(Einstellungen!$B$19:$B$118,MATCH(A30,Einstellungen!$A$19:$A$118,0)),""))</x:f>
      </x:c>
      <x:c r="E30" s="17" t="n">
        <x:v>6.5</x:v>
      </x:c>
      <x:c r="F30" s="17" t="n">
        <x:v>0.75</x:v>
      </x:c>
      <x:c r="G30" s="17" t="n">
        <x:v>0.5</x:v>
      </x:c>
      <x:c r="H30" s="17" t="n">
        <x:v>0.25</x:v>
      </x:c>
      <x:c r="I30" s="17" t="n">
        <x:v>0.25</x:v>
      </x:c>
      <x:c r="J30" s="17">
        <x:f>IF(A30="","",SUM(E30:I30))</x:f>
        <x:v>8.25</x:v>
      </x:c>
    </x:row>
    <x:row r="31">
      <x:c r="A31" s="10">
        <x:f>IF(25&lt;=DAY(EOMONTH(EDATE(Einstellungen!$E$6,0),0)),DATE(YEAR(EDATE(Einstellungen!$E$6,0)),MONTH(EDATE(Einstellungen!$E$6,0)),25),"")</x:f>
        <x:v>45925</x:v>
      </x:c>
      <x:c r="B31" s="12" t="str">
        <x:f>IF(A31="","",CHOOSE(WEEKDAY(A31,2),"Mo","Di","Mi","Do","Fr","Sa","So"))</x:f>
        <x:v>Do</x:v>
      </x:c>
      <x:c r="C31" s="12">
        <x:f>IF(A31="","",ISOWEEKNUM(A31))</x:f>
        <x:v>39</x:v>
      </x:c>
      <x:c r="D31" s="11">
        <x:f>IF(A31="","",IFERROR(INDEX(Einstellungen!$B$19:$B$118,MATCH(A31,Einstellungen!$A$19:$A$118,0)),""))</x:f>
      </x:c>
      <x:c r="E31" s="17" t="n">
        <x:v>5.5</x:v>
      </x:c>
      <x:c r="F31" s="17" t="n">
        <x:v>0.5</x:v>
      </x:c>
      <x:c r="G31" s="17" t="n">
        <x:v>1.5</x:v>
      </x:c>
      <x:c r="H31" s="17" t="n">
        <x:v>0.25</x:v>
      </x:c>
      <x:c r="I31" s="17" t="n">
        <x:v>0.5</x:v>
      </x:c>
      <x:c r="J31" s="17">
        <x:f>IF(A31="","",SUM(E31:I31))</x:f>
        <x:v>8.25</x:v>
      </x:c>
    </x:row>
    <x:row r="32">
      <x:c r="A32" s="10">
        <x:f>IF(26&lt;=DAY(EOMONTH(EDATE(Einstellungen!$E$6,0),0)),DATE(YEAR(EDATE(Einstellungen!$E$6,0)),MONTH(EDATE(Einstellungen!$E$6,0)),26),"")</x:f>
        <x:v>45926</x:v>
      </x:c>
      <x:c r="B32" s="12" t="str">
        <x:f>IF(A32="","",CHOOSE(WEEKDAY(A32,2),"Mo","Di","Mi","Do","Fr","Sa","So"))</x:f>
        <x:v>Fr</x:v>
      </x:c>
      <x:c r="C32" s="12">
        <x:f>IF(A32="","",ISOWEEKNUM(A32))</x:f>
        <x:v>39</x:v>
      </x:c>
      <x:c r="D32" s="11">
        <x:f>IF(A32="","",IFERROR(INDEX(Einstellungen!$B$19:$B$118,MATCH(A32,Einstellungen!$A$19:$A$118,0)),""))</x:f>
      </x:c>
      <x:c r="E32" s="17" t="n">
        <x:v>6</x:v>
      </x:c>
      <x:c r="F32" s="17" t="n">
        <x:v>0.5</x:v>
      </x:c>
      <x:c r="G32" s="17" t="n">
        <x:v>0.5</x:v>
      </x:c>
      <x:c r="H32" s="17" t="n">
        <x:v>0.5</x:v>
      </x:c>
      <x:c r="I32" s="17" t="n">
        <x:v>0.25</x:v>
      </x:c>
      <x:c r="J32" s="17">
        <x:f>IF(A32="","",SUM(E32:I32))</x:f>
        <x:v>7.75</x:v>
      </x:c>
    </x:row>
    <x:row r="33">
      <x:c r="A33" s="10">
        <x:f>IF(27&lt;=DAY(EOMONTH(EDATE(Einstellungen!$E$6,0),0)),DATE(YEAR(EDATE(Einstellungen!$E$6,0)),MONTH(EDATE(Einstellungen!$E$6,0)),27),"")</x:f>
        <x:v>45927</x:v>
      </x:c>
      <x:c r="B33" s="12" t="str">
        <x:f>IF(A33="","",CHOOSE(WEEKDAY(A33,2),"Mo","Di","Mi","Do","Fr","Sa","So"))</x:f>
        <x:v>Sa</x:v>
      </x:c>
      <x:c r="C33" s="12">
        <x:f>IF(A33="","",ISOWEEKNUM(A33))</x:f>
        <x:v>39</x:v>
      </x:c>
      <x:c r="D33" s="11">
        <x:f>IF(A33="","",IFERROR(INDEX(Einstellungen!$B$19:$B$118,MATCH(A33,Einstellungen!$A$19:$A$118,0)),""))</x:f>
      </x:c>
      <x:c r="E33" s="18" t="inlineStr">
        <x:is>
          <x:t xml:space="preserve"/>
        </x:is>
      </x:c>
      <x:c r="F33" s="18" t="inlineStr">
        <x:is>
          <x:t xml:space="preserve"/>
        </x:is>
      </x:c>
      <x:c r="G33" s="18" t="inlineStr">
        <x:is>
          <x:t xml:space="preserve"/>
        </x:is>
      </x:c>
      <x:c r="H33" s="18" t="inlineStr">
        <x:is>
          <x:t xml:space="preserve"/>
        </x:is>
      </x:c>
      <x:c r="I33" s="18" t="inlineStr">
        <x:is>
          <x:t xml:space="preserve"/>
        </x:is>
      </x:c>
      <x:c r="J33" s="17">
        <x:f>IF(A33="","",SUM(E33:I33))</x:f>
        <x:v>0</x:v>
      </x:c>
    </x:row>
    <x:row r="34">
      <x:c r="A34" s="10">
        <x:f>IF(28&lt;=DAY(EOMONTH(EDATE(Einstellungen!$E$6,0),0)),DATE(YEAR(EDATE(Einstellungen!$E$6,0)),MONTH(EDATE(Einstellungen!$E$6,0)),28),"")</x:f>
        <x:v>45928</x:v>
      </x:c>
      <x:c r="B34" s="12" t="str">
        <x:f>IF(A34="","",CHOOSE(WEEKDAY(A34,2),"Mo","Di","Mi","Do","Fr","Sa","So"))</x:f>
        <x:v>So</x:v>
      </x:c>
      <x:c r="C34" s="12">
        <x:f>IF(A34="","",ISOWEEKNUM(A34))</x:f>
        <x:v>39</x:v>
      </x:c>
      <x:c r="D34" s="11">
        <x:f>IF(A34="","",IFERROR(INDEX(Einstellungen!$B$19:$B$118,MATCH(A34,Einstellungen!$A$19:$A$118,0)),""))</x:f>
      </x:c>
      <x:c r="E34" s="18" t="inlineStr">
        <x:is>
          <x:t xml:space="preserve"/>
        </x:is>
      </x:c>
      <x:c r="F34" s="18" t="inlineStr">
        <x:is>
          <x:t xml:space="preserve"/>
        </x:is>
      </x:c>
      <x:c r="G34" s="18" t="inlineStr">
        <x:is>
          <x:t xml:space="preserve"/>
        </x:is>
      </x:c>
      <x:c r="H34" s="18" t="inlineStr">
        <x:is>
          <x:t xml:space="preserve"/>
        </x:is>
      </x:c>
      <x:c r="I34" s="18" t="inlineStr">
        <x:is>
          <x:t xml:space="preserve"/>
        </x:is>
      </x:c>
      <x:c r="J34" s="17">
        <x:f>IF(A34="","",SUM(E34:I34))</x:f>
        <x:v>0</x:v>
      </x:c>
    </x:row>
    <x:row r="35">
      <x:c r="A35" s="10">
        <x:f>IF(29&lt;=DAY(EOMONTH(EDATE(Einstellungen!$E$6,0),0)),DATE(YEAR(EDATE(Einstellungen!$E$6,0)),MONTH(EDATE(Einstellungen!$E$6,0)),29),"")</x:f>
        <x:v>45929</x:v>
      </x:c>
      <x:c r="B35" s="12" t="str">
        <x:f>IF(A35="","",CHOOSE(WEEKDAY(A35,2),"Mo","Di","Mi","Do","Fr","Sa","So"))</x:f>
        <x:v>Mo</x:v>
      </x:c>
      <x:c r="C35" s="12">
        <x:f>IF(A35="","",ISOWEEKNUM(A35))</x:f>
        <x:v>40</x:v>
      </x:c>
      <x:c r="D35" s="11">
        <x:f>IF(A35="","",IFERROR(INDEX(Einstellungen!$B$19:$B$118,MATCH(A35,Einstellungen!$A$19:$A$118,0)),""))</x:f>
      </x:c>
      <x:c r="E35" s="17" t="n">
        <x:v>5.5</x:v>
      </x:c>
      <x:c r="F35" s="17" t="n">
        <x:v>0.75</x:v>
      </x:c>
      <x:c r="G35" s="17" t="n">
        <x:v>0.5</x:v>
      </x:c>
      <x:c r="H35" s="17" t="n">
        <x:v>0.5</x:v>
      </x:c>
      <x:c r="I35" s="17" t="n">
        <x:v>0.25</x:v>
      </x:c>
      <x:c r="J35" s="17">
        <x:f>IF(A35="","",SUM(E35:I35))</x:f>
        <x:v>7.5</x:v>
      </x:c>
    </x:row>
    <x:row r="36">
      <x:c r="A36" s="10">
        <x:f>IF(30&lt;=DAY(EOMONTH(EDATE(Einstellungen!$E$6,0),0)),DATE(YEAR(EDATE(Einstellungen!$E$6,0)),MONTH(EDATE(Einstellungen!$E$6,0)),30),"")</x:f>
        <x:v>45930</x:v>
      </x:c>
      <x:c r="B36" s="12" t="str">
        <x:f>IF(A36="","",CHOOSE(WEEKDAY(A36,2),"Mo","Di","Mi","Do","Fr","Sa","So"))</x:f>
        <x:v>Di</x:v>
      </x:c>
      <x:c r="C36" s="12">
        <x:f>IF(A36="","",ISOWEEKNUM(A36))</x:f>
        <x:v>40</x:v>
      </x:c>
      <x:c r="D36" s="11">
        <x:f>IF(A36="","",IFERROR(INDEX(Einstellungen!$B$19:$B$118,MATCH(A36,Einstellungen!$A$19:$A$118,0)),""))</x:f>
      </x:c>
      <x:c r="E36" s="17" t="n">
        <x:v>6</x:v>
      </x:c>
      <x:c r="F36" s="17" t="n">
        <x:v>0.5</x:v>
      </x:c>
      <x:c r="G36" s="17" t="n">
        <x:v>1.5</x:v>
      </x:c>
      <x:c r="H36" s="17" t="n">
        <x:v>0.25</x:v>
      </x:c>
      <x:c r="I36" s="17" t="n">
        <x:v>0.25</x:v>
      </x:c>
      <x:c r="J36" s="17">
        <x:f>IF(A36="","",SUM(E36:I36))</x:f>
        <x:v>8.5</x:v>
      </x:c>
    </x:row>
    <x:row r="37">
      <x:c r="A37" s="10">
        <x:f>IF(31&lt;=DAY(EOMONTH(EDATE(Einstellungen!$E$6,0),0)),DATE(YEAR(EDATE(Einstellungen!$E$6,0)),MONTH(EDATE(Einstellungen!$E$6,0)),31),"")</x:f>
      </x:c>
      <x:c r="B37" s="12">
        <x:f>IF(A37="","",CHOOSE(WEEKDAY(A37,2),"Mo","Di","Mi","Do","Fr","Sa","So"))</x:f>
      </x:c>
      <x:c r="C37" s="12">
        <x:f>IF(A37="","",ISOWEEKNUM(A37))</x:f>
      </x:c>
      <x:c r="D37" s="11">
        <x:f>IF(A37="","",IFERROR(INDEX(Einstellungen!$B$19:$B$118,MATCH(A37,Einstellungen!$A$19:$A$118,0)),""))</x:f>
      </x:c>
      <x:c r="E37" s="18" t="n"/>
      <x:c r="F37" s="18" t="n"/>
      <x:c r="G37" s="18" t="n"/>
      <x:c r="H37" s="18" t="n"/>
      <x:c r="I37" s="18" t="n"/>
      <x:c r="J37" s="17">
        <x:f>IF(A37="","",SUM(E37:I37))</x:f>
      </x:c>
    </x:row>
    <x:row r="38">
      <x:c r="A38" s="4" t="inlineStr">
        <x:is>
          <x:t xml:space="preserve">Monatssumme</x:t>
        </x:is>
      </x:c>
      <x:c r="B38" s="15" t="n"/>
      <x:c r="C38" s="15" t="n"/>
      <x:c r="D38" s="15" t="n"/>
      <x:c r="E38" s="19">
        <x:f>SUM(E7:E37)</x:f>
        <x:v>129.5</x:v>
      </x:c>
      <x:c r="F38" s="19">
        <x:f>SUM(F7:F37)</x:f>
        <x:v>13.25</x:v>
      </x:c>
      <x:c r="G38" s="19">
        <x:f>SUM(G7:G37)</x:f>
        <x:v>20</x:v>
      </x:c>
      <x:c r="H38" s="19">
        <x:f>SUM(H7:H37)</x:f>
        <x:v>7.75</x:v>
      </x:c>
      <x:c r="I38" s="19">
        <x:f>SUM(I7:I37)</x:f>
        <x:v>6.25</x:v>
      </x:c>
      <x:c r="J38" s="19">
        <x:f>SUM(J7:J37)</x:f>
        <x:v>176.75</x:v>
      </x:c>
    </x:row>
    <x:row r="39">
      <x:c r="A39" s="20" t="n"/>
      <x:c r="B39" s="20" t="n"/>
      <x:c r="C39" s="20" t="n"/>
      <x:c r="D39" s="20" t="n"/>
      <x:c r="E39" s="20" t="n"/>
      <x:c r="F39" s="20" t="n"/>
      <x:c r="G39" s="20" t="n"/>
      <x:c r="H39" s="20" t="n"/>
      <x:c r="I39" s="20" t="n"/>
      <x:c r="J39" s="20" t="n"/>
    </x:row>
    <x:row r="40">
      <x:c r="A40" s="20" t="n"/>
      <x:c r="B40" s="20" t="n"/>
      <x:c r="C40" s="20" t="n"/>
      <x:c r="D40" s="20" t="n"/>
      <x:c r="E40" s="20" t="n"/>
      <x:c r="F40" s="20" t="n"/>
      <x:c r="G40" s="20" t="n"/>
      <x:c r="H40" s="20" t="n"/>
      <x:c r="I40" s="20" t="n"/>
      <x:c r="J40" s="20" t="n"/>
    </x:row>
    <x:row r="41">
      <x:c r="A41" s="15" t="str">
        <x:f>INDEX(Einstellungen!$J$2:$J$13,MONTH(EDATE(Einstellungen!$E$6,1)))&amp;" "&amp;YEAR(EDATE(Einstellungen!$E$6,1))</x:f>
        <x:v>Oktober 2025</x:v>
      </x:c>
    </x:row>
    <x:row r="42">
      <x:c r="A42" s="16" t="inlineStr">
        <x:is>
          <x:t xml:space="preserve">Datum</x:t>
        </x:is>
      </x:c>
      <x:c r="B42" s="16" t="inlineStr">
        <x:is>
          <x:t xml:space="preserve">Tag</x:t>
        </x:is>
      </x:c>
      <x:c r="C42" s="16" t="inlineStr">
        <x:is>
          <x:t xml:space="preserve">KW</x:t>
        </x:is>
      </x:c>
      <x:c r="D42" s="16" t="inlineStr">
        <x:is>
          <x:t xml:space="preserve">Feiertag / Termin</x:t>
        </x:is>
      </x:c>
      <x:c r="E42" s="16" t="str">
        <x:f>Einstellungen!$B$11</x:f>
        <x:v>Arbeitszeit</x:v>
      </x:c>
      <x:c r="F42" s="16" t="str">
        <x:f>Einstellungen!$B$12</x:f>
        <x:v>E-Mail</x:v>
      </x:c>
      <x:c r="G42" s="16" t="str">
        <x:f>Einstellungen!$B$13</x:f>
        <x:v>Meetings</x:v>
      </x:c>
      <x:c r="H42" s="16" t="str">
        <x:f>Einstellungen!$B$14</x:f>
        <x:v>Telefonate</x:v>
      </x:c>
      <x:c r="I42" s="16" t="str">
        <x:f>Einstellungen!$B$15</x:f>
        <x:v>Sonstiges</x:v>
      </x:c>
      <x:c r="J42" s="16" t="inlineStr">
        <x:is>
          <x:t xml:space="preserve">Gesamt</x:t>
        </x:is>
      </x:c>
    </x:row>
    <x:row r="43">
      <x:c r="A43" s="10">
        <x:f>IF(1&lt;=DAY(EOMONTH(EDATE(Einstellungen!$E$6,1),0)),DATE(YEAR(EDATE(Einstellungen!$E$6,1)),MONTH(EDATE(Einstellungen!$E$6,1)),1),"")</x:f>
        <x:v>45931</x:v>
      </x:c>
      <x:c r="B43" s="12" t="str">
        <x:f>IF(A43="","",CHOOSE(WEEKDAY(A43,2),"Mo","Di","Mi","Do","Fr","Sa","So"))</x:f>
        <x:v>Mi</x:v>
      </x:c>
      <x:c r="C43" s="12">
        <x:f>IF(A43="","",ISOWEEKNUM(A43))</x:f>
        <x:v>40</x:v>
      </x:c>
      <x:c r="D43" s="11">
        <x:f>IF(A43="","",IFERROR(INDEX(Einstellungen!$B$19:$B$118,MATCH(A43,Einstellungen!$A$19:$A$118,0)),""))</x:f>
      </x:c>
      <x:c r="E43" s="17" t="n">
        <x:v>6.5</x:v>
      </x:c>
      <x:c r="F43" s="17" t="n">
        <x:v>0.75</x:v>
      </x:c>
      <x:c r="G43" s="17" t="n">
        <x:v>0.5</x:v>
      </x:c>
      <x:c r="H43" s="17" t="n">
        <x:v>0.25</x:v>
      </x:c>
      <x:c r="I43" s="17" t="n">
        <x:v>0.25</x:v>
      </x:c>
      <x:c r="J43" s="17">
        <x:f>IF(A43="","",SUM(E43:I43))</x:f>
        <x:v>8.25</x:v>
      </x:c>
    </x:row>
    <x:row r="44">
      <x:c r="A44" s="10">
        <x:f>IF(2&lt;=DAY(EOMONTH(EDATE(Einstellungen!$E$6,1),0)),DATE(YEAR(EDATE(Einstellungen!$E$6,1)),MONTH(EDATE(Einstellungen!$E$6,1)),2),"")</x:f>
        <x:v>45932</x:v>
      </x:c>
      <x:c r="B44" s="12" t="str">
        <x:f>IF(A44="","",CHOOSE(WEEKDAY(A44,2),"Mo","Di","Mi","Do","Fr","Sa","So"))</x:f>
        <x:v>Do</x:v>
      </x:c>
      <x:c r="C44" s="12">
        <x:f>IF(A44="","",ISOWEEKNUM(A44))</x:f>
        <x:v>40</x:v>
      </x:c>
      <x:c r="D44" s="11">
        <x:f>IF(A44="","",IFERROR(INDEX(Einstellungen!$B$19:$B$118,MATCH(A44,Einstellungen!$A$19:$A$118,0)),""))</x:f>
      </x:c>
      <x:c r="E44" s="17" t="n">
        <x:v>5.5</x:v>
      </x:c>
      <x:c r="F44" s="17" t="n">
        <x:v>0.5</x:v>
      </x:c>
      <x:c r="G44" s="17" t="n">
        <x:v>1.5</x:v>
      </x:c>
      <x:c r="H44" s="17" t="n">
        <x:v>0.25</x:v>
      </x:c>
      <x:c r="I44" s="17" t="n">
        <x:v>0.25</x:v>
      </x:c>
      <x:c r="J44" s="17">
        <x:f>IF(A44="","",SUM(E44:I44))</x:f>
        <x:v>8</x:v>
      </x:c>
    </x:row>
    <x:row r="45">
      <x:c r="A45" s="10">
        <x:f>IF(3&lt;=DAY(EOMONTH(EDATE(Einstellungen!$E$6,1),0)),DATE(YEAR(EDATE(Einstellungen!$E$6,1)),MONTH(EDATE(Einstellungen!$E$6,1)),3),"")</x:f>
        <x:v>45933</x:v>
      </x:c>
      <x:c r="B45" s="12" t="str">
        <x:f>IF(A45="","",CHOOSE(WEEKDAY(A45,2),"Mo","Di","Mi","Do","Fr","Sa","So"))</x:f>
        <x:v>Fr</x:v>
      </x:c>
      <x:c r="C45" s="12">
        <x:f>IF(A45="","",ISOWEEKNUM(A45))</x:f>
        <x:v>40</x:v>
      </x:c>
      <x:c r="D45" s="11" t="str">
        <x:f>IF(A45="","",IFERROR(INDEX(Einstellungen!$B$19:$B$118,MATCH(A45,Einstellungen!$A$19:$A$118,0)),""))</x:f>
        <x:v>Feiertag</x:v>
      </x:c>
      <x:c r="E45" s="17" t="n">
        <x:v>6</x:v>
      </x:c>
      <x:c r="F45" s="17" t="n">
        <x:v>0.5</x:v>
      </x:c>
      <x:c r="G45" s="17" t="n">
        <x:v>0.5</x:v>
      </x:c>
      <x:c r="H45" s="17" t="n">
        <x:v>0.5</x:v>
      </x:c>
      <x:c r="I45" s="17" t="n">
        <x:v>0.25</x:v>
      </x:c>
      <x:c r="J45" s="17">
        <x:f>IF(A45="","",SUM(E45:I45))</x:f>
        <x:v>7.75</x:v>
      </x:c>
    </x:row>
    <x:row r="46">
      <x:c r="A46" s="10">
        <x:f>IF(4&lt;=DAY(EOMONTH(EDATE(Einstellungen!$E$6,1),0)),DATE(YEAR(EDATE(Einstellungen!$E$6,1)),MONTH(EDATE(Einstellungen!$E$6,1)),4),"")</x:f>
        <x:v>45934</x:v>
      </x:c>
      <x:c r="B46" s="12" t="str">
        <x:f>IF(A46="","",CHOOSE(WEEKDAY(A46,2),"Mo","Di","Mi","Do","Fr","Sa","So"))</x:f>
        <x:v>Sa</x:v>
      </x:c>
      <x:c r="C46" s="12">
        <x:f>IF(A46="","",ISOWEEKNUM(A46))</x:f>
        <x:v>40</x:v>
      </x:c>
      <x:c r="D46" s="11">
        <x:f>IF(A46="","",IFERROR(INDEX(Einstellungen!$B$19:$B$118,MATCH(A46,Einstellungen!$A$19:$A$118,0)),""))</x:f>
      </x:c>
      <x:c r="E46" s="18" t="inlineStr">
        <x:is>
          <x:t xml:space="preserve"/>
        </x:is>
      </x:c>
      <x:c r="F46" s="18" t="inlineStr">
        <x:is>
          <x:t xml:space="preserve"/>
        </x:is>
      </x:c>
      <x:c r="G46" s="18" t="inlineStr">
        <x:is>
          <x:t xml:space="preserve"/>
        </x:is>
      </x:c>
      <x:c r="H46" s="18" t="inlineStr">
        <x:is>
          <x:t xml:space="preserve"/>
        </x:is>
      </x:c>
      <x:c r="I46" s="18" t="inlineStr">
        <x:is>
          <x:t xml:space="preserve"/>
        </x:is>
      </x:c>
      <x:c r="J46" s="17">
        <x:f>IF(A46="","",SUM(E46:I46))</x:f>
        <x:v>0</x:v>
      </x:c>
    </x:row>
    <x:row r="47">
      <x:c r="A47" s="10">
        <x:f>IF(5&lt;=DAY(EOMONTH(EDATE(Einstellungen!$E$6,1),0)),DATE(YEAR(EDATE(Einstellungen!$E$6,1)),MONTH(EDATE(Einstellungen!$E$6,1)),5),"")</x:f>
        <x:v>45935</x:v>
      </x:c>
      <x:c r="B47" s="12" t="str">
        <x:f>IF(A47="","",CHOOSE(WEEKDAY(A47,2),"Mo","Di","Mi","Do","Fr","Sa","So"))</x:f>
        <x:v>So</x:v>
      </x:c>
      <x:c r="C47" s="12">
        <x:f>IF(A47="","",ISOWEEKNUM(A47))</x:f>
        <x:v>40</x:v>
      </x:c>
      <x:c r="D47" s="11">
        <x:f>IF(A47="","",IFERROR(INDEX(Einstellungen!$B$19:$B$118,MATCH(A47,Einstellungen!$A$19:$A$118,0)),""))</x:f>
      </x:c>
      <x:c r="E47" s="18" t="inlineStr">
        <x:is>
          <x:t xml:space="preserve"/>
        </x:is>
      </x:c>
      <x:c r="F47" s="18" t="inlineStr">
        <x:is>
          <x:t xml:space="preserve"/>
        </x:is>
      </x:c>
      <x:c r="G47" s="18" t="inlineStr">
        <x:is>
          <x:t xml:space="preserve"/>
        </x:is>
      </x:c>
      <x:c r="H47" s="18" t="inlineStr">
        <x:is>
          <x:t xml:space="preserve"/>
        </x:is>
      </x:c>
      <x:c r="I47" s="18" t="inlineStr">
        <x:is>
          <x:t xml:space="preserve"/>
        </x:is>
      </x:c>
      <x:c r="J47" s="17">
        <x:f>IF(A47="","",SUM(E47:I47))</x:f>
        <x:v>0</x:v>
      </x:c>
    </x:row>
    <x:row r="48">
      <x:c r="A48" s="10">
        <x:f>IF(6&lt;=DAY(EOMONTH(EDATE(Einstellungen!$E$6,1),0)),DATE(YEAR(EDATE(Einstellungen!$E$6,1)),MONTH(EDATE(Einstellungen!$E$6,1)),6),"")</x:f>
        <x:v>45936</x:v>
      </x:c>
      <x:c r="B48" s="12" t="str">
        <x:f>IF(A48="","",CHOOSE(WEEKDAY(A48,2),"Mo","Di","Mi","Do","Fr","Sa","So"))</x:f>
        <x:v>Mo</x:v>
      </x:c>
      <x:c r="C48" s="12">
        <x:f>IF(A48="","",ISOWEEKNUM(A48))</x:f>
        <x:v>41</x:v>
      </x:c>
      <x:c r="D48" s="11">
        <x:f>IF(A48="","",IFERROR(INDEX(Einstellungen!$B$19:$B$118,MATCH(A48,Einstellungen!$A$19:$A$118,0)),""))</x:f>
      </x:c>
      <x:c r="E48" s="17" t="n">
        <x:v>5.5</x:v>
      </x:c>
      <x:c r="F48" s="17" t="n">
        <x:v>0.75</x:v>
      </x:c>
      <x:c r="G48" s="17" t="n">
        <x:v>0.5</x:v>
      </x:c>
      <x:c r="H48" s="17" t="n">
        <x:v>0.5</x:v>
      </x:c>
      <x:c r="I48" s="17" t="n">
        <x:v>0.25</x:v>
      </x:c>
      <x:c r="J48" s="17">
        <x:f>IF(A48="","",SUM(E48:I48))</x:f>
        <x:v>7.5</x:v>
      </x:c>
    </x:row>
    <x:row r="49">
      <x:c r="A49" s="10">
        <x:f>IF(7&lt;=DAY(EOMONTH(EDATE(Einstellungen!$E$6,1),0)),DATE(YEAR(EDATE(Einstellungen!$E$6,1)),MONTH(EDATE(Einstellungen!$E$6,1)),7),"")</x:f>
        <x:v>45937</x:v>
      </x:c>
      <x:c r="B49" s="12" t="str">
        <x:f>IF(A49="","",CHOOSE(WEEKDAY(A49,2),"Mo","Di","Mi","Do","Fr","Sa","So"))</x:f>
        <x:v>Di</x:v>
      </x:c>
      <x:c r="C49" s="12">
        <x:f>IF(A49="","",ISOWEEKNUM(A49))</x:f>
        <x:v>41</x:v>
      </x:c>
      <x:c r="D49" s="11">
        <x:f>IF(A49="","",IFERROR(INDEX(Einstellungen!$B$19:$B$118,MATCH(A49,Einstellungen!$A$19:$A$118,0)),""))</x:f>
      </x:c>
      <x:c r="E49" s="17" t="n">
        <x:v>6</x:v>
      </x:c>
      <x:c r="F49" s="17" t="n">
        <x:v>0.5</x:v>
      </x:c>
      <x:c r="G49" s="17" t="n">
        <x:v>1.5</x:v>
      </x:c>
      <x:c r="H49" s="17" t="n">
        <x:v>0.25</x:v>
      </x:c>
      <x:c r="I49" s="17" t="n">
        <x:v>0.25</x:v>
      </x:c>
      <x:c r="J49" s="17">
        <x:f>IF(A49="","",SUM(E49:I49))</x:f>
        <x:v>8.5</x:v>
      </x:c>
    </x:row>
    <x:row r="50">
      <x:c r="A50" s="10">
        <x:f>IF(8&lt;=DAY(EOMONTH(EDATE(Einstellungen!$E$6,1),0)),DATE(YEAR(EDATE(Einstellungen!$E$6,1)),MONTH(EDATE(Einstellungen!$E$6,1)),8),"")</x:f>
        <x:v>45938</x:v>
      </x:c>
      <x:c r="B50" s="12" t="str">
        <x:f>IF(A50="","",CHOOSE(WEEKDAY(A50,2),"Mo","Di","Mi","Do","Fr","Sa","So"))</x:f>
        <x:v>Mi</x:v>
      </x:c>
      <x:c r="C50" s="12">
        <x:f>IF(A50="","",ISOWEEKNUM(A50))</x:f>
        <x:v>41</x:v>
      </x:c>
      <x:c r="D50" s="11">
        <x:f>IF(A50="","",IFERROR(INDEX(Einstellungen!$B$19:$B$118,MATCH(A50,Einstellungen!$A$19:$A$118,0)),""))</x:f>
      </x:c>
      <x:c r="E50" s="17" t="n">
        <x:v>6.5</x:v>
      </x:c>
      <x:c r="F50" s="17" t="n">
        <x:v>0.75</x:v>
      </x:c>
      <x:c r="G50" s="17" t="n">
        <x:v>0.5</x:v>
      </x:c>
      <x:c r="H50" s="17" t="n">
        <x:v>0.25</x:v>
      </x:c>
      <x:c r="I50" s="17" t="n">
        <x:v>0.25</x:v>
      </x:c>
      <x:c r="J50" s="17">
        <x:f>IF(A50="","",SUM(E50:I50))</x:f>
        <x:v>8.25</x:v>
      </x:c>
    </x:row>
    <x:row r="51">
      <x:c r="A51" s="10">
        <x:f>IF(9&lt;=DAY(EOMONTH(EDATE(Einstellungen!$E$6,1),0)),DATE(YEAR(EDATE(Einstellungen!$E$6,1)),MONTH(EDATE(Einstellungen!$E$6,1)),9),"")</x:f>
        <x:v>45939</x:v>
      </x:c>
      <x:c r="B51" s="12" t="str">
        <x:f>IF(A51="","",CHOOSE(WEEKDAY(A51,2),"Mo","Di","Mi","Do","Fr","Sa","So"))</x:f>
        <x:v>Do</x:v>
      </x:c>
      <x:c r="C51" s="12">
        <x:f>IF(A51="","",ISOWEEKNUM(A51))</x:f>
        <x:v>41</x:v>
      </x:c>
      <x:c r="D51" s="11">
        <x:f>IF(A51="","",IFERROR(INDEX(Einstellungen!$B$19:$B$118,MATCH(A51,Einstellungen!$A$19:$A$118,0)),""))</x:f>
      </x:c>
      <x:c r="E51" s="17" t="n">
        <x:v>5.5</x:v>
      </x:c>
      <x:c r="F51" s="17" t="n">
        <x:v>0.5</x:v>
      </x:c>
      <x:c r="G51" s="17" t="n">
        <x:v>1.5</x:v>
      </x:c>
      <x:c r="H51" s="17" t="n">
        <x:v>0.25</x:v>
      </x:c>
      <x:c r="I51" s="17" t="n">
        <x:v>0.25</x:v>
      </x:c>
      <x:c r="J51" s="17">
        <x:f>IF(A51="","",SUM(E51:I51))</x:f>
        <x:v>8</x:v>
      </x:c>
    </x:row>
    <x:row r="52">
      <x:c r="A52" s="10">
        <x:f>IF(10&lt;=DAY(EOMONTH(EDATE(Einstellungen!$E$6,1),0)),DATE(YEAR(EDATE(Einstellungen!$E$6,1)),MONTH(EDATE(Einstellungen!$E$6,1)),10),"")</x:f>
        <x:v>45940</x:v>
      </x:c>
      <x:c r="B52" s="12" t="str">
        <x:f>IF(A52="","",CHOOSE(WEEKDAY(A52,2),"Mo","Di","Mi","Do","Fr","Sa","So"))</x:f>
        <x:v>Fr</x:v>
      </x:c>
      <x:c r="C52" s="12">
        <x:f>IF(A52="","",ISOWEEKNUM(A52))</x:f>
        <x:v>41</x:v>
      </x:c>
      <x:c r="D52" s="11">
        <x:f>IF(A52="","",IFERROR(INDEX(Einstellungen!$B$19:$B$118,MATCH(A52,Einstellungen!$A$19:$A$118,0)),""))</x:f>
      </x:c>
      <x:c r="E52" s="17" t="n">
        <x:v>6</x:v>
      </x:c>
      <x:c r="F52" s="17" t="n">
        <x:v>0.5</x:v>
      </x:c>
      <x:c r="G52" s="17" t="n">
        <x:v>0.5</x:v>
      </x:c>
      <x:c r="H52" s="17" t="n">
        <x:v>0.5</x:v>
      </x:c>
      <x:c r="I52" s="17" t="n">
        <x:v>0.25</x:v>
      </x:c>
      <x:c r="J52" s="17">
        <x:f>IF(A52="","",SUM(E52:I52))</x:f>
        <x:v>7.75</x:v>
      </x:c>
    </x:row>
    <x:row r="53">
      <x:c r="A53" s="10">
        <x:f>IF(11&lt;=DAY(EOMONTH(EDATE(Einstellungen!$E$6,1),0)),DATE(YEAR(EDATE(Einstellungen!$E$6,1)),MONTH(EDATE(Einstellungen!$E$6,1)),11),"")</x:f>
        <x:v>45941</x:v>
      </x:c>
      <x:c r="B53" s="12" t="str">
        <x:f>IF(A53="","",CHOOSE(WEEKDAY(A53,2),"Mo","Di","Mi","Do","Fr","Sa","So"))</x:f>
        <x:v>Sa</x:v>
      </x:c>
      <x:c r="C53" s="12">
        <x:f>IF(A53="","",ISOWEEKNUM(A53))</x:f>
        <x:v>41</x:v>
      </x:c>
      <x:c r="D53" s="11">
        <x:f>IF(A53="","",IFERROR(INDEX(Einstellungen!$B$19:$B$118,MATCH(A53,Einstellungen!$A$19:$A$118,0)),""))</x:f>
      </x:c>
      <x:c r="E53" s="18" t="inlineStr">
        <x:is>
          <x:t xml:space="preserve"/>
        </x:is>
      </x:c>
      <x:c r="F53" s="18" t="inlineStr">
        <x:is>
          <x:t xml:space="preserve"/>
        </x:is>
      </x:c>
      <x:c r="G53" s="18" t="inlineStr">
        <x:is>
          <x:t xml:space="preserve"/>
        </x:is>
      </x:c>
      <x:c r="H53" s="18" t="inlineStr">
        <x:is>
          <x:t xml:space="preserve"/>
        </x:is>
      </x:c>
      <x:c r="I53" s="18" t="inlineStr">
        <x:is>
          <x:t xml:space="preserve"/>
        </x:is>
      </x:c>
      <x:c r="J53" s="17">
        <x:f>IF(A53="","",SUM(E53:I53))</x:f>
        <x:v>0</x:v>
      </x:c>
    </x:row>
    <x:row r="54">
      <x:c r="A54" s="10">
        <x:f>IF(12&lt;=DAY(EOMONTH(EDATE(Einstellungen!$E$6,1),0)),DATE(YEAR(EDATE(Einstellungen!$E$6,1)),MONTH(EDATE(Einstellungen!$E$6,1)),12),"")</x:f>
        <x:v>45942</x:v>
      </x:c>
      <x:c r="B54" s="12" t="str">
        <x:f>IF(A54="","",CHOOSE(WEEKDAY(A54,2),"Mo","Di","Mi","Do","Fr","Sa","So"))</x:f>
        <x:v>So</x:v>
      </x:c>
      <x:c r="C54" s="12">
        <x:f>IF(A54="","",ISOWEEKNUM(A54))</x:f>
        <x:v>41</x:v>
      </x:c>
      <x:c r="D54" s="11">
        <x:f>IF(A54="","",IFERROR(INDEX(Einstellungen!$B$19:$B$118,MATCH(A54,Einstellungen!$A$19:$A$118,0)),""))</x:f>
      </x:c>
      <x:c r="E54" s="18" t="inlineStr">
        <x:is>
          <x:t xml:space="preserve"/>
        </x:is>
      </x:c>
      <x:c r="F54" s="18" t="inlineStr">
        <x:is>
          <x:t xml:space="preserve"/>
        </x:is>
      </x:c>
      <x:c r="G54" s="18" t="inlineStr">
        <x:is>
          <x:t xml:space="preserve"/>
        </x:is>
      </x:c>
      <x:c r="H54" s="18" t="inlineStr">
        <x:is>
          <x:t xml:space="preserve"/>
        </x:is>
      </x:c>
      <x:c r="I54" s="18" t="inlineStr">
        <x:is>
          <x:t xml:space="preserve"/>
        </x:is>
      </x:c>
      <x:c r="J54" s="17">
        <x:f>IF(A54="","",SUM(E54:I54))</x:f>
        <x:v>0</x:v>
      </x:c>
    </x:row>
    <x:row r="55">
      <x:c r="A55" s="10">
        <x:f>IF(13&lt;=DAY(EOMONTH(EDATE(Einstellungen!$E$6,1),0)),DATE(YEAR(EDATE(Einstellungen!$E$6,1)),MONTH(EDATE(Einstellungen!$E$6,1)),13),"")</x:f>
        <x:v>45943</x:v>
      </x:c>
      <x:c r="B55" s="12" t="str">
        <x:f>IF(A55="","",CHOOSE(WEEKDAY(A55,2),"Mo","Di","Mi","Do","Fr","Sa","So"))</x:f>
        <x:v>Mo</x:v>
      </x:c>
      <x:c r="C55" s="12">
        <x:f>IF(A55="","",ISOWEEKNUM(A55))</x:f>
        <x:v>42</x:v>
      </x:c>
      <x:c r="D55" s="11">
        <x:f>IF(A55="","",IFERROR(INDEX(Einstellungen!$B$19:$B$118,MATCH(A55,Einstellungen!$A$19:$A$118,0)),""))</x:f>
      </x:c>
      <x:c r="E55" s="17" t="n">
        <x:v>5.5</x:v>
      </x:c>
      <x:c r="F55" s="17" t="n">
        <x:v>0.75</x:v>
      </x:c>
      <x:c r="G55" s="17" t="n">
        <x:v>0.5</x:v>
      </x:c>
      <x:c r="H55" s="17" t="n">
        <x:v>0.5</x:v>
      </x:c>
      <x:c r="I55" s="17" t="n">
        <x:v>0.25</x:v>
      </x:c>
      <x:c r="J55" s="17">
        <x:f>IF(A55="","",SUM(E55:I55))</x:f>
        <x:v>7.5</x:v>
      </x:c>
    </x:row>
    <x:row r="56">
      <x:c r="A56" s="10">
        <x:f>IF(14&lt;=DAY(EOMONTH(EDATE(Einstellungen!$E$6,1),0)),DATE(YEAR(EDATE(Einstellungen!$E$6,1)),MONTH(EDATE(Einstellungen!$E$6,1)),14),"")</x:f>
        <x:v>45944</x:v>
      </x:c>
      <x:c r="B56" s="12" t="str">
        <x:f>IF(A56="","",CHOOSE(WEEKDAY(A56,2),"Mo","Di","Mi","Do","Fr","Sa","So"))</x:f>
        <x:v>Di</x:v>
      </x:c>
      <x:c r="C56" s="12">
        <x:f>IF(A56="","",ISOWEEKNUM(A56))</x:f>
        <x:v>42</x:v>
      </x:c>
      <x:c r="D56" s="11">
        <x:f>IF(A56="","",IFERROR(INDEX(Einstellungen!$B$19:$B$118,MATCH(A56,Einstellungen!$A$19:$A$118,0)),""))</x:f>
      </x:c>
      <x:c r="E56" s="17" t="n">
        <x:v>6</x:v>
      </x:c>
      <x:c r="F56" s="17" t="n">
        <x:v>0.5</x:v>
      </x:c>
      <x:c r="G56" s="17" t="n">
        <x:v>1.5</x:v>
      </x:c>
      <x:c r="H56" s="17" t="n">
        <x:v>0.25</x:v>
      </x:c>
      <x:c r="I56" s="17" t="n">
        <x:v>0.25</x:v>
      </x:c>
      <x:c r="J56" s="17">
        <x:f>IF(A56="","",SUM(E56:I56))</x:f>
        <x:v>8.5</x:v>
      </x:c>
    </x:row>
    <x:row r="57">
      <x:c r="A57" s="10">
        <x:f>IF(15&lt;=DAY(EOMONTH(EDATE(Einstellungen!$E$6,1),0)),DATE(YEAR(EDATE(Einstellungen!$E$6,1)),MONTH(EDATE(Einstellungen!$E$6,1)),15),"")</x:f>
        <x:v>45945</x:v>
      </x:c>
      <x:c r="B57" s="12" t="str">
        <x:f>IF(A57="","",CHOOSE(WEEKDAY(A57,2),"Mo","Di","Mi","Do","Fr","Sa","So"))</x:f>
        <x:v>Mi</x:v>
      </x:c>
      <x:c r="C57" s="12">
        <x:f>IF(A57="","",ISOWEEKNUM(A57))</x:f>
        <x:v>42</x:v>
      </x:c>
      <x:c r="D57" s="11">
        <x:f>IF(A57="","",IFERROR(INDEX(Einstellungen!$B$19:$B$118,MATCH(A57,Einstellungen!$A$19:$A$118,0)),""))</x:f>
      </x:c>
      <x:c r="E57" s="17" t="n">
        <x:v>6.5</x:v>
      </x:c>
      <x:c r="F57" s="17" t="n">
        <x:v>0.75</x:v>
      </x:c>
      <x:c r="G57" s="17" t="n">
        <x:v>0.5</x:v>
      </x:c>
      <x:c r="H57" s="17" t="n">
        <x:v>0.25</x:v>
      </x:c>
      <x:c r="I57" s="17" t="n">
        <x:v>0.5</x:v>
      </x:c>
      <x:c r="J57" s="17">
        <x:f>IF(A57="","",SUM(E57:I57))</x:f>
        <x:v>8.5</x:v>
      </x:c>
    </x:row>
    <x:row r="58">
      <x:c r="A58" s="10">
        <x:f>IF(16&lt;=DAY(EOMONTH(EDATE(Einstellungen!$E$6,1),0)),DATE(YEAR(EDATE(Einstellungen!$E$6,1)),MONTH(EDATE(Einstellungen!$E$6,1)),16),"")</x:f>
        <x:v>45946</x:v>
      </x:c>
      <x:c r="B58" s="12" t="str">
        <x:f>IF(A58="","",CHOOSE(WEEKDAY(A58,2),"Mo","Di","Mi","Do","Fr","Sa","So"))</x:f>
        <x:v>Do</x:v>
      </x:c>
      <x:c r="C58" s="12">
        <x:f>IF(A58="","",ISOWEEKNUM(A58))</x:f>
        <x:v>42</x:v>
      </x:c>
      <x:c r="D58" s="11">
        <x:f>IF(A58="","",IFERROR(INDEX(Einstellungen!$B$19:$B$118,MATCH(A58,Einstellungen!$A$19:$A$118,0)),""))</x:f>
      </x:c>
      <x:c r="E58" s="17" t="n">
        <x:v>5.5</x:v>
      </x:c>
      <x:c r="F58" s="17" t="n">
        <x:v>0.5</x:v>
      </x:c>
      <x:c r="G58" s="17" t="n">
        <x:v>1.5</x:v>
      </x:c>
      <x:c r="H58" s="17" t="n">
        <x:v>0.25</x:v>
      </x:c>
      <x:c r="I58" s="17" t="n">
        <x:v>0.25</x:v>
      </x:c>
      <x:c r="J58" s="17">
        <x:f>IF(A58="","",SUM(E58:I58))</x:f>
        <x:v>8</x:v>
      </x:c>
    </x:row>
    <x:row r="59">
      <x:c r="A59" s="10">
        <x:f>IF(17&lt;=DAY(EOMONTH(EDATE(Einstellungen!$E$6,1),0)),DATE(YEAR(EDATE(Einstellungen!$E$6,1)),MONTH(EDATE(Einstellungen!$E$6,1)),17),"")</x:f>
        <x:v>45947</x:v>
      </x:c>
      <x:c r="B59" s="12" t="str">
        <x:f>IF(A59="","",CHOOSE(WEEKDAY(A59,2),"Mo","Di","Mi","Do","Fr","Sa","So"))</x:f>
        <x:v>Fr</x:v>
      </x:c>
      <x:c r="C59" s="12">
        <x:f>IF(A59="","",ISOWEEKNUM(A59))</x:f>
        <x:v>42</x:v>
      </x:c>
      <x:c r="D59" s="11">
        <x:f>IF(A59="","",IFERROR(INDEX(Einstellungen!$B$19:$B$118,MATCH(A59,Einstellungen!$A$19:$A$118,0)),""))</x:f>
      </x:c>
      <x:c r="E59" s="17" t="n">
        <x:v>6</x:v>
      </x:c>
      <x:c r="F59" s="17" t="n">
        <x:v>0.5</x:v>
      </x:c>
      <x:c r="G59" s="17" t="n">
        <x:v>0.5</x:v>
      </x:c>
      <x:c r="H59" s="17" t="n">
        <x:v>0.5</x:v>
      </x:c>
      <x:c r="I59" s="17" t="n">
        <x:v>0.25</x:v>
      </x:c>
      <x:c r="J59" s="17">
        <x:f>IF(A59="","",SUM(E59:I59))</x:f>
        <x:v>7.75</x:v>
      </x:c>
    </x:row>
    <x:row r="60">
      <x:c r="A60" s="10">
        <x:f>IF(18&lt;=DAY(EOMONTH(EDATE(Einstellungen!$E$6,1),0)),DATE(YEAR(EDATE(Einstellungen!$E$6,1)),MONTH(EDATE(Einstellungen!$E$6,1)),18),"")</x:f>
        <x:v>45948</x:v>
      </x:c>
      <x:c r="B60" s="12" t="str">
        <x:f>IF(A60="","",CHOOSE(WEEKDAY(A60,2),"Mo","Di","Mi","Do","Fr","Sa","So"))</x:f>
        <x:v>Sa</x:v>
      </x:c>
      <x:c r="C60" s="12">
        <x:f>IF(A60="","",ISOWEEKNUM(A60))</x:f>
        <x:v>42</x:v>
      </x:c>
      <x:c r="D60" s="11">
        <x:f>IF(A60="","",IFERROR(INDEX(Einstellungen!$B$19:$B$118,MATCH(A60,Einstellungen!$A$19:$A$118,0)),""))</x:f>
      </x:c>
      <x:c r="E60" s="18" t="inlineStr">
        <x:is>
          <x:t xml:space="preserve"/>
        </x:is>
      </x:c>
      <x:c r="F60" s="18" t="inlineStr">
        <x:is>
          <x:t xml:space="preserve"/>
        </x:is>
      </x:c>
      <x:c r="G60" s="18" t="inlineStr">
        <x:is>
          <x:t xml:space="preserve"/>
        </x:is>
      </x:c>
      <x:c r="H60" s="18" t="inlineStr">
        <x:is>
          <x:t xml:space="preserve"/>
        </x:is>
      </x:c>
      <x:c r="I60" s="18" t="inlineStr">
        <x:is>
          <x:t xml:space="preserve"/>
        </x:is>
      </x:c>
      <x:c r="J60" s="17">
        <x:f>IF(A60="","",SUM(E60:I60))</x:f>
        <x:v>0</x:v>
      </x:c>
    </x:row>
    <x:row r="61">
      <x:c r="A61" s="10">
        <x:f>IF(19&lt;=DAY(EOMONTH(EDATE(Einstellungen!$E$6,1),0)),DATE(YEAR(EDATE(Einstellungen!$E$6,1)),MONTH(EDATE(Einstellungen!$E$6,1)),19),"")</x:f>
        <x:v>45949</x:v>
      </x:c>
      <x:c r="B61" s="12" t="str">
        <x:f>IF(A61="","",CHOOSE(WEEKDAY(A61,2),"Mo","Di","Mi","Do","Fr","Sa","So"))</x:f>
        <x:v>So</x:v>
      </x:c>
      <x:c r="C61" s="12">
        <x:f>IF(A61="","",ISOWEEKNUM(A61))</x:f>
        <x:v>42</x:v>
      </x:c>
      <x:c r="D61" s="11">
        <x:f>IF(A61="","",IFERROR(INDEX(Einstellungen!$B$19:$B$118,MATCH(A61,Einstellungen!$A$19:$A$118,0)),""))</x:f>
      </x:c>
      <x:c r="E61" s="18" t="inlineStr">
        <x:is>
          <x:t xml:space="preserve"/>
        </x:is>
      </x:c>
      <x:c r="F61" s="18" t="inlineStr">
        <x:is>
          <x:t xml:space="preserve"/>
        </x:is>
      </x:c>
      <x:c r="G61" s="18" t="inlineStr">
        <x:is>
          <x:t xml:space="preserve"/>
        </x:is>
      </x:c>
      <x:c r="H61" s="18" t="inlineStr">
        <x:is>
          <x:t xml:space="preserve"/>
        </x:is>
      </x:c>
      <x:c r="I61" s="18" t="inlineStr">
        <x:is>
          <x:t xml:space="preserve"/>
        </x:is>
      </x:c>
      <x:c r="J61" s="17">
        <x:f>IF(A61="","",SUM(E61:I61))</x:f>
        <x:v>0</x:v>
      </x:c>
    </x:row>
    <x:row r="62">
      <x:c r="A62" s="10">
        <x:f>IF(20&lt;=DAY(EOMONTH(EDATE(Einstellungen!$E$6,1),0)),DATE(YEAR(EDATE(Einstellungen!$E$6,1)),MONTH(EDATE(Einstellungen!$E$6,1)),20),"")</x:f>
        <x:v>45950</x:v>
      </x:c>
      <x:c r="B62" s="12" t="str">
        <x:f>IF(A62="","",CHOOSE(WEEKDAY(A62,2),"Mo","Di","Mi","Do","Fr","Sa","So"))</x:f>
        <x:v>Mo</x:v>
      </x:c>
      <x:c r="C62" s="12">
        <x:f>IF(A62="","",ISOWEEKNUM(A62))</x:f>
        <x:v>43</x:v>
      </x:c>
      <x:c r="D62" s="11">
        <x:f>IF(A62="","",IFERROR(INDEX(Einstellungen!$B$19:$B$118,MATCH(A62,Einstellungen!$A$19:$A$118,0)),""))</x:f>
      </x:c>
      <x:c r="E62" s="17" t="n">
        <x:v>5.5</x:v>
      </x:c>
      <x:c r="F62" s="17" t="n">
        <x:v>0.75</x:v>
      </x:c>
      <x:c r="G62" s="17" t="n">
        <x:v>0.5</x:v>
      </x:c>
      <x:c r="H62" s="17" t="n">
        <x:v>0.5</x:v>
      </x:c>
      <x:c r="I62" s="17" t="n">
        <x:v>0.25</x:v>
      </x:c>
      <x:c r="J62" s="17">
        <x:f>IF(A62="","",SUM(E62:I62))</x:f>
        <x:v>7.5</x:v>
      </x:c>
    </x:row>
    <x:row r="63">
      <x:c r="A63" s="10">
        <x:f>IF(21&lt;=DAY(EOMONTH(EDATE(Einstellungen!$E$6,1),0)),DATE(YEAR(EDATE(Einstellungen!$E$6,1)),MONTH(EDATE(Einstellungen!$E$6,1)),21),"")</x:f>
        <x:v>45951</x:v>
      </x:c>
      <x:c r="B63" s="12" t="str">
        <x:f>IF(A63="","",CHOOSE(WEEKDAY(A63,2),"Mo","Di","Mi","Do","Fr","Sa","So"))</x:f>
        <x:v>Di</x:v>
      </x:c>
      <x:c r="C63" s="12">
        <x:f>IF(A63="","",ISOWEEKNUM(A63))</x:f>
        <x:v>43</x:v>
      </x:c>
      <x:c r="D63" s="11" t="str">
        <x:f>IF(A63="","",IFERROR(INDEX(Einstellungen!$B$19:$B$118,MATCH(A63,Einstellungen!$A$19:$A$118,0)),""))</x:f>
        <x:v>Workshop</x:v>
      </x:c>
      <x:c r="E63" s="17" t="n">
        <x:v>6</x:v>
      </x:c>
      <x:c r="F63" s="17" t="n">
        <x:v>0.5</x:v>
      </x:c>
      <x:c r="G63" s="17" t="n">
        <x:v>1.5</x:v>
      </x:c>
      <x:c r="H63" s="17" t="n">
        <x:v>0.25</x:v>
      </x:c>
      <x:c r="I63" s="17" t="n">
        <x:v>0.25</x:v>
      </x:c>
      <x:c r="J63" s="17">
        <x:f>IF(A63="","",SUM(E63:I63))</x:f>
        <x:v>8.5</x:v>
      </x:c>
    </x:row>
    <x:row r="64">
      <x:c r="A64" s="10">
        <x:f>IF(22&lt;=DAY(EOMONTH(EDATE(Einstellungen!$E$6,1),0)),DATE(YEAR(EDATE(Einstellungen!$E$6,1)),MONTH(EDATE(Einstellungen!$E$6,1)),22),"")</x:f>
        <x:v>45952</x:v>
      </x:c>
      <x:c r="B64" s="12" t="str">
        <x:f>IF(A64="","",CHOOSE(WEEKDAY(A64,2),"Mo","Di","Mi","Do","Fr","Sa","So"))</x:f>
        <x:v>Mi</x:v>
      </x:c>
      <x:c r="C64" s="12">
        <x:f>IF(A64="","",ISOWEEKNUM(A64))</x:f>
        <x:v>43</x:v>
      </x:c>
      <x:c r="D64" s="11">
        <x:f>IF(A64="","",IFERROR(INDEX(Einstellungen!$B$19:$B$118,MATCH(A64,Einstellungen!$A$19:$A$118,0)),""))</x:f>
      </x:c>
      <x:c r="E64" s="17" t="n">
        <x:v>6.5</x:v>
      </x:c>
      <x:c r="F64" s="17" t="n">
        <x:v>0.75</x:v>
      </x:c>
      <x:c r="G64" s="17" t="n">
        <x:v>0.5</x:v>
      </x:c>
      <x:c r="H64" s="17" t="n">
        <x:v>0.25</x:v>
      </x:c>
      <x:c r="I64" s="17" t="n">
        <x:v>0.25</x:v>
      </x:c>
      <x:c r="J64" s="17">
        <x:f>IF(A64="","",SUM(E64:I64))</x:f>
        <x:v>8.25</x:v>
      </x:c>
    </x:row>
    <x:row r="65">
      <x:c r="A65" s="10">
        <x:f>IF(23&lt;=DAY(EOMONTH(EDATE(Einstellungen!$E$6,1),0)),DATE(YEAR(EDATE(Einstellungen!$E$6,1)),MONTH(EDATE(Einstellungen!$E$6,1)),23),"")</x:f>
        <x:v>45953</x:v>
      </x:c>
      <x:c r="B65" s="12" t="str">
        <x:f>IF(A65="","",CHOOSE(WEEKDAY(A65,2),"Mo","Di","Mi","Do","Fr","Sa","So"))</x:f>
        <x:v>Do</x:v>
      </x:c>
      <x:c r="C65" s="12">
        <x:f>IF(A65="","",ISOWEEKNUM(A65))</x:f>
        <x:v>43</x:v>
      </x:c>
      <x:c r="D65" s="11">
        <x:f>IF(A65="","",IFERROR(INDEX(Einstellungen!$B$19:$B$118,MATCH(A65,Einstellungen!$A$19:$A$118,0)),""))</x:f>
      </x:c>
      <x:c r="E65" s="17" t="n">
        <x:v>5.5</x:v>
      </x:c>
      <x:c r="F65" s="17" t="n">
        <x:v>0.5</x:v>
      </x:c>
      <x:c r="G65" s="17" t="n">
        <x:v>1.5</x:v>
      </x:c>
      <x:c r="H65" s="17" t="n">
        <x:v>0.25</x:v>
      </x:c>
      <x:c r="I65" s="17" t="n">
        <x:v>0.25</x:v>
      </x:c>
      <x:c r="J65" s="17">
        <x:f>IF(A65="","",SUM(E65:I65))</x:f>
        <x:v>8</x:v>
      </x:c>
    </x:row>
    <x:row r="66">
      <x:c r="A66" s="10">
        <x:f>IF(24&lt;=DAY(EOMONTH(EDATE(Einstellungen!$E$6,1),0)),DATE(YEAR(EDATE(Einstellungen!$E$6,1)),MONTH(EDATE(Einstellungen!$E$6,1)),24),"")</x:f>
        <x:v>45954</x:v>
      </x:c>
      <x:c r="B66" s="12" t="str">
        <x:f>IF(A66="","",CHOOSE(WEEKDAY(A66,2),"Mo","Di","Mi","Do","Fr","Sa","So"))</x:f>
        <x:v>Fr</x:v>
      </x:c>
      <x:c r="C66" s="12">
        <x:f>IF(A66="","",ISOWEEKNUM(A66))</x:f>
        <x:v>43</x:v>
      </x:c>
      <x:c r="D66" s="11">
        <x:f>IF(A66="","",IFERROR(INDEX(Einstellungen!$B$19:$B$118,MATCH(A66,Einstellungen!$A$19:$A$118,0)),""))</x:f>
      </x:c>
      <x:c r="E66" s="17" t="n">
        <x:v>6</x:v>
      </x:c>
      <x:c r="F66" s="17" t="n">
        <x:v>0.5</x:v>
      </x:c>
      <x:c r="G66" s="17" t="n">
        <x:v>0.5</x:v>
      </x:c>
      <x:c r="H66" s="17" t="n">
        <x:v>0.5</x:v>
      </x:c>
      <x:c r="I66" s="17" t="n">
        <x:v>0.25</x:v>
      </x:c>
      <x:c r="J66" s="17">
        <x:f>IF(A66="","",SUM(E66:I66))</x:f>
        <x:v>7.75</x:v>
      </x:c>
    </x:row>
    <x:row r="67">
      <x:c r="A67" s="10">
        <x:f>IF(25&lt;=DAY(EOMONTH(EDATE(Einstellungen!$E$6,1),0)),DATE(YEAR(EDATE(Einstellungen!$E$6,1)),MONTH(EDATE(Einstellungen!$E$6,1)),25),"")</x:f>
        <x:v>45955</x:v>
      </x:c>
      <x:c r="B67" s="12" t="str">
        <x:f>IF(A67="","",CHOOSE(WEEKDAY(A67,2),"Mo","Di","Mi","Do","Fr","Sa","So"))</x:f>
        <x:v>Sa</x:v>
      </x:c>
      <x:c r="C67" s="12">
        <x:f>IF(A67="","",ISOWEEKNUM(A67))</x:f>
        <x:v>43</x:v>
      </x:c>
      <x:c r="D67" s="11">
        <x:f>IF(A67="","",IFERROR(INDEX(Einstellungen!$B$19:$B$118,MATCH(A67,Einstellungen!$A$19:$A$118,0)),""))</x:f>
      </x:c>
      <x:c r="E67" s="18" t="inlineStr">
        <x:is>
          <x:t xml:space="preserve"/>
        </x:is>
      </x:c>
      <x:c r="F67" s="18" t="inlineStr">
        <x:is>
          <x:t xml:space="preserve"/>
        </x:is>
      </x:c>
      <x:c r="G67" s="18" t="inlineStr">
        <x:is>
          <x:t xml:space="preserve"/>
        </x:is>
      </x:c>
      <x:c r="H67" s="18" t="inlineStr">
        <x:is>
          <x:t xml:space="preserve"/>
        </x:is>
      </x:c>
      <x:c r="I67" s="18" t="inlineStr">
        <x:is>
          <x:t xml:space="preserve"/>
        </x:is>
      </x:c>
      <x:c r="J67" s="17">
        <x:f>IF(A67="","",SUM(E67:I67))</x:f>
        <x:v>0</x:v>
      </x:c>
    </x:row>
    <x:row r="68">
      <x:c r="A68" s="10">
        <x:f>IF(26&lt;=DAY(EOMONTH(EDATE(Einstellungen!$E$6,1),0)),DATE(YEAR(EDATE(Einstellungen!$E$6,1)),MONTH(EDATE(Einstellungen!$E$6,1)),26),"")</x:f>
        <x:v>45956</x:v>
      </x:c>
      <x:c r="B68" s="12" t="str">
        <x:f>IF(A68="","",CHOOSE(WEEKDAY(A68,2),"Mo","Di","Mi","Do","Fr","Sa","So"))</x:f>
        <x:v>So</x:v>
      </x:c>
      <x:c r="C68" s="12">
        <x:f>IF(A68="","",ISOWEEKNUM(A68))</x:f>
        <x:v>43</x:v>
      </x:c>
      <x:c r="D68" s="11">
        <x:f>IF(A68="","",IFERROR(INDEX(Einstellungen!$B$19:$B$118,MATCH(A68,Einstellungen!$A$19:$A$118,0)),""))</x:f>
      </x:c>
      <x:c r="E68" s="18" t="inlineStr">
        <x:is>
          <x:t xml:space="preserve"/>
        </x:is>
      </x:c>
      <x:c r="F68" s="18" t="inlineStr">
        <x:is>
          <x:t xml:space="preserve"/>
        </x:is>
      </x:c>
      <x:c r="G68" s="18" t="inlineStr">
        <x:is>
          <x:t xml:space="preserve"/>
        </x:is>
      </x:c>
      <x:c r="H68" s="18" t="inlineStr">
        <x:is>
          <x:t xml:space="preserve"/>
        </x:is>
      </x:c>
      <x:c r="I68" s="18" t="inlineStr">
        <x:is>
          <x:t xml:space="preserve"/>
        </x:is>
      </x:c>
      <x:c r="J68" s="17">
        <x:f>IF(A68="","",SUM(E68:I68))</x:f>
        <x:v>0</x:v>
      </x:c>
    </x:row>
    <x:row r="69">
      <x:c r="A69" s="10">
        <x:f>IF(27&lt;=DAY(EOMONTH(EDATE(Einstellungen!$E$6,1),0)),DATE(YEAR(EDATE(Einstellungen!$E$6,1)),MONTH(EDATE(Einstellungen!$E$6,1)),27),"")</x:f>
        <x:v>45957</x:v>
      </x:c>
      <x:c r="B69" s="12" t="str">
        <x:f>IF(A69="","",CHOOSE(WEEKDAY(A69,2),"Mo","Di","Mi","Do","Fr","Sa","So"))</x:f>
        <x:v>Mo</x:v>
      </x:c>
      <x:c r="C69" s="12">
        <x:f>IF(A69="","",ISOWEEKNUM(A69))</x:f>
        <x:v>44</x:v>
      </x:c>
      <x:c r="D69" s="11">
        <x:f>IF(A69="","",IFERROR(INDEX(Einstellungen!$B$19:$B$118,MATCH(A69,Einstellungen!$A$19:$A$118,0)),""))</x:f>
      </x:c>
      <x:c r="E69" s="17" t="n">
        <x:v>5.5</x:v>
      </x:c>
      <x:c r="F69" s="17" t="n">
        <x:v>0.75</x:v>
      </x:c>
      <x:c r="G69" s="17" t="n">
        <x:v>0.5</x:v>
      </x:c>
      <x:c r="H69" s="17" t="n">
        <x:v>0.5</x:v>
      </x:c>
      <x:c r="I69" s="17" t="n">
        <x:v>0.25</x:v>
      </x:c>
      <x:c r="J69" s="17">
        <x:f>IF(A69="","",SUM(E69:I69))</x:f>
        <x:v>7.5</x:v>
      </x:c>
    </x:row>
    <x:row r="70">
      <x:c r="A70" s="10">
        <x:f>IF(28&lt;=DAY(EOMONTH(EDATE(Einstellungen!$E$6,1),0)),DATE(YEAR(EDATE(Einstellungen!$E$6,1)),MONTH(EDATE(Einstellungen!$E$6,1)),28),"")</x:f>
        <x:v>45958</x:v>
      </x:c>
      <x:c r="B70" s="12" t="str">
        <x:f>IF(A70="","",CHOOSE(WEEKDAY(A70,2),"Mo","Di","Mi","Do","Fr","Sa","So"))</x:f>
        <x:v>Di</x:v>
      </x:c>
      <x:c r="C70" s="12">
        <x:f>IF(A70="","",ISOWEEKNUM(A70))</x:f>
        <x:v>44</x:v>
      </x:c>
      <x:c r="D70" s="11">
        <x:f>IF(A70="","",IFERROR(INDEX(Einstellungen!$B$19:$B$118,MATCH(A70,Einstellungen!$A$19:$A$118,0)),""))</x:f>
      </x:c>
      <x:c r="E70" s="17" t="n">
        <x:v>6</x:v>
      </x:c>
      <x:c r="F70" s="17" t="n">
        <x:v>0.5</x:v>
      </x:c>
      <x:c r="G70" s="17" t="n">
        <x:v>1.5</x:v>
      </x:c>
      <x:c r="H70" s="17" t="n">
        <x:v>0.25</x:v>
      </x:c>
      <x:c r="I70" s="17" t="n">
        <x:v>0.25</x:v>
      </x:c>
      <x:c r="J70" s="17">
        <x:f>IF(A70="","",SUM(E70:I70))</x:f>
        <x:v>8.5</x:v>
      </x:c>
    </x:row>
    <x:row r="71">
      <x:c r="A71" s="10">
        <x:f>IF(29&lt;=DAY(EOMONTH(EDATE(Einstellungen!$E$6,1),0)),DATE(YEAR(EDATE(Einstellungen!$E$6,1)),MONTH(EDATE(Einstellungen!$E$6,1)),29),"")</x:f>
        <x:v>45959</x:v>
      </x:c>
      <x:c r="B71" s="12" t="str">
        <x:f>IF(A71="","",CHOOSE(WEEKDAY(A71,2),"Mo","Di","Mi","Do","Fr","Sa","So"))</x:f>
        <x:v>Mi</x:v>
      </x:c>
      <x:c r="C71" s="12">
        <x:f>IF(A71="","",ISOWEEKNUM(A71))</x:f>
        <x:v>44</x:v>
      </x:c>
      <x:c r="D71" s="11">
        <x:f>IF(A71="","",IFERROR(INDEX(Einstellungen!$B$19:$B$118,MATCH(A71,Einstellungen!$A$19:$A$118,0)),""))</x:f>
      </x:c>
      <x:c r="E71" s="17" t="n">
        <x:v>6.5</x:v>
      </x:c>
      <x:c r="F71" s="17" t="n">
        <x:v>0.75</x:v>
      </x:c>
      <x:c r="G71" s="17" t="n">
        <x:v>0.5</x:v>
      </x:c>
      <x:c r="H71" s="17" t="n">
        <x:v>0.25</x:v>
      </x:c>
      <x:c r="I71" s="17" t="n">
        <x:v>0.25</x:v>
      </x:c>
      <x:c r="J71" s="17">
        <x:f>IF(A71="","",SUM(E71:I71))</x:f>
        <x:v>8.25</x:v>
      </x:c>
    </x:row>
    <x:row r="72">
      <x:c r="A72" s="10">
        <x:f>IF(30&lt;=DAY(EOMONTH(EDATE(Einstellungen!$E$6,1),0)),DATE(YEAR(EDATE(Einstellungen!$E$6,1)),MONTH(EDATE(Einstellungen!$E$6,1)),30),"")</x:f>
        <x:v>45960</x:v>
      </x:c>
      <x:c r="B72" s="12" t="str">
        <x:f>IF(A72="","",CHOOSE(WEEKDAY(A72,2),"Mo","Di","Mi","Do","Fr","Sa","So"))</x:f>
        <x:v>Do</x:v>
      </x:c>
      <x:c r="C72" s="12">
        <x:f>IF(A72="","",ISOWEEKNUM(A72))</x:f>
        <x:v>44</x:v>
      </x:c>
      <x:c r="D72" s="11">
        <x:f>IF(A72="","",IFERROR(INDEX(Einstellungen!$B$19:$B$118,MATCH(A72,Einstellungen!$A$19:$A$118,0)),""))</x:f>
      </x:c>
      <x:c r="E72" s="17" t="n">
        <x:v>5.5</x:v>
      </x:c>
      <x:c r="F72" s="17" t="n">
        <x:v>0.5</x:v>
      </x:c>
      <x:c r="G72" s="17" t="n">
        <x:v>1.5</x:v>
      </x:c>
      <x:c r="H72" s="17" t="n">
        <x:v>0.25</x:v>
      </x:c>
      <x:c r="I72" s="17" t="n">
        <x:v>0.25</x:v>
      </x:c>
      <x:c r="J72" s="17">
        <x:f>IF(A72="","",SUM(E72:I72))</x:f>
        <x:v>8</x:v>
      </x:c>
    </x:row>
    <x:row r="73">
      <x:c r="A73" s="10">
        <x:f>IF(31&lt;=DAY(EOMONTH(EDATE(Einstellungen!$E$6,1),0)),DATE(YEAR(EDATE(Einstellungen!$E$6,1)),MONTH(EDATE(Einstellungen!$E$6,1)),31),"")</x:f>
        <x:v>45961</x:v>
      </x:c>
      <x:c r="B73" s="12" t="str">
        <x:f>IF(A73="","",CHOOSE(WEEKDAY(A73,2),"Mo","Di","Mi","Do","Fr","Sa","So"))</x:f>
        <x:v>Fr</x:v>
      </x:c>
      <x:c r="C73" s="12">
        <x:f>IF(A73="","",ISOWEEKNUM(A73))</x:f>
        <x:v>44</x:v>
      </x:c>
      <x:c r="D73" s="11">
        <x:f>IF(A73="","",IFERROR(INDEX(Einstellungen!$B$19:$B$118,MATCH(A73,Einstellungen!$A$19:$A$118,0)),""))</x:f>
      </x:c>
      <x:c r="E73" s="17" t="n">
        <x:v>6</x:v>
      </x:c>
      <x:c r="F73" s="17" t="n">
        <x:v>0.5</x:v>
      </x:c>
      <x:c r="G73" s="17" t="n">
        <x:v>0.5</x:v>
      </x:c>
      <x:c r="H73" s="17" t="n">
        <x:v>0.5</x:v>
      </x:c>
      <x:c r="I73" s="17" t="n">
        <x:v>0.25</x:v>
      </x:c>
      <x:c r="J73" s="17">
        <x:f>IF(A73="","",SUM(E73:I73))</x:f>
        <x:v>7.75</x:v>
      </x:c>
    </x:row>
    <x:row r="74">
      <x:c r="A74" s="4" t="inlineStr">
        <x:is>
          <x:t xml:space="preserve">Monatssumme</x:t>
        </x:is>
      </x:c>
      <x:c r="B74" s="15" t="n"/>
      <x:c r="C74" s="15" t="n"/>
      <x:c r="D74" s="15" t="n"/>
      <x:c r="E74" s="19">
        <x:f>SUM(E43:E73)</x:f>
        <x:v>136</x:v>
      </x:c>
      <x:c r="F74" s="19">
        <x:f>SUM(F43:F73)</x:f>
        <x:v>13.75</x:v>
      </x:c>
      <x:c r="G74" s="19">
        <x:f>SUM(G43:G73)</x:f>
        <x:v>20.5</x:v>
      </x:c>
      <x:c r="H74" s="19">
        <x:f>SUM(H43:H73)</x:f>
        <x:v>8</x:v>
      </x:c>
      <x:c r="I74" s="19">
        <x:f>SUM(I43:I73)</x:f>
        <x:v>6</x:v>
      </x:c>
      <x:c r="J74" s="19">
        <x:f>SUM(J43:J73)</x:f>
        <x:v>184.25</x:v>
      </x:c>
    </x:row>
    <x:row r="75">
      <x:c r="A75" s="20" t="n"/>
      <x:c r="B75" s="20" t="n"/>
      <x:c r="C75" s="20" t="n"/>
      <x:c r="D75" s="20" t="n"/>
      <x:c r="E75" s="20" t="n"/>
      <x:c r="F75" s="20" t="n"/>
      <x:c r="G75" s="20" t="n"/>
      <x:c r="H75" s="20" t="n"/>
      <x:c r="I75" s="20" t="n"/>
      <x:c r="J75" s="20" t="n"/>
    </x:row>
    <x:row r="76">
      <x:c r="A76" s="20" t="n"/>
      <x:c r="B76" s="20" t="n"/>
      <x:c r="C76" s="20" t="n"/>
      <x:c r="D76" s="20" t="n"/>
      <x:c r="E76" s="20" t="n"/>
      <x:c r="F76" s="20" t="n"/>
      <x:c r="G76" s="20" t="n"/>
      <x:c r="H76" s="20" t="n"/>
      <x:c r="I76" s="20" t="n"/>
      <x:c r="J76" s="20" t="n"/>
    </x:row>
    <x:row r="77">
      <x:c r="A77" s="15" t="str">
        <x:f>INDEX(Einstellungen!$J$2:$J$13,MONTH(EDATE(Einstellungen!$E$6,2)))&amp;" "&amp;YEAR(EDATE(Einstellungen!$E$6,2))</x:f>
        <x:v>November 2025</x:v>
      </x:c>
    </x:row>
    <x:row r="78">
      <x:c r="A78" s="16" t="inlineStr">
        <x:is>
          <x:t xml:space="preserve">Datum</x:t>
        </x:is>
      </x:c>
      <x:c r="B78" s="16" t="inlineStr">
        <x:is>
          <x:t xml:space="preserve">Tag</x:t>
        </x:is>
      </x:c>
      <x:c r="C78" s="16" t="inlineStr">
        <x:is>
          <x:t xml:space="preserve">KW</x:t>
        </x:is>
      </x:c>
      <x:c r="D78" s="16" t="inlineStr">
        <x:is>
          <x:t xml:space="preserve">Feiertag / Termin</x:t>
        </x:is>
      </x:c>
      <x:c r="E78" s="16" t="str">
        <x:f>Einstellungen!$B$11</x:f>
        <x:v>Arbeitszeit</x:v>
      </x:c>
      <x:c r="F78" s="16" t="str">
        <x:f>Einstellungen!$B$12</x:f>
        <x:v>E-Mail</x:v>
      </x:c>
      <x:c r="G78" s="16" t="str">
        <x:f>Einstellungen!$B$13</x:f>
        <x:v>Meetings</x:v>
      </x:c>
      <x:c r="H78" s="16" t="str">
        <x:f>Einstellungen!$B$14</x:f>
        <x:v>Telefonate</x:v>
      </x:c>
      <x:c r="I78" s="16" t="str">
        <x:f>Einstellungen!$B$15</x:f>
        <x:v>Sonstiges</x:v>
      </x:c>
      <x:c r="J78" s="16" t="inlineStr">
        <x:is>
          <x:t xml:space="preserve">Gesamt</x:t>
        </x:is>
      </x:c>
    </x:row>
    <x:row r="79">
      <x:c r="A79" s="10">
        <x:f>IF(1&lt;=DAY(EOMONTH(EDATE(Einstellungen!$E$6,2),0)),DATE(YEAR(EDATE(Einstellungen!$E$6,2)),MONTH(EDATE(Einstellungen!$E$6,2)),1),"")</x:f>
        <x:v>45962</x:v>
      </x:c>
      <x:c r="B79" s="12" t="str">
        <x:f>IF(A79="","",CHOOSE(WEEKDAY(A79,2),"Mo","Di","Mi","Do","Fr","Sa","So"))</x:f>
        <x:v>Sa</x:v>
      </x:c>
      <x:c r="C79" s="12">
        <x:f>IF(A79="","",ISOWEEKNUM(A79))</x:f>
        <x:v>44</x:v>
      </x:c>
      <x:c r="D79" s="11">
        <x:f>IF(A79="","",IFERROR(INDEX(Einstellungen!$B$19:$B$118,MATCH(A79,Einstellungen!$A$19:$A$118,0)),""))</x:f>
      </x:c>
      <x:c r="E79" s="18" t="inlineStr">
        <x:is>
          <x:t xml:space="preserve"/>
        </x:is>
      </x:c>
      <x:c r="F79" s="18" t="inlineStr">
        <x:is>
          <x:t xml:space="preserve"/>
        </x:is>
      </x:c>
      <x:c r="G79" s="18" t="inlineStr">
        <x:is>
          <x:t xml:space="preserve"/>
        </x:is>
      </x:c>
      <x:c r="H79" s="18" t="inlineStr">
        <x:is>
          <x:t xml:space="preserve"/>
        </x:is>
      </x:c>
      <x:c r="I79" s="18" t="inlineStr">
        <x:is>
          <x:t xml:space="preserve"/>
        </x:is>
      </x:c>
      <x:c r="J79" s="17">
        <x:f>IF(A79="","",SUM(E79:I79))</x:f>
        <x:v>0</x:v>
      </x:c>
    </x:row>
    <x:row r="80">
      <x:c r="A80" s="10">
        <x:f>IF(2&lt;=DAY(EOMONTH(EDATE(Einstellungen!$E$6,2),0)),DATE(YEAR(EDATE(Einstellungen!$E$6,2)),MONTH(EDATE(Einstellungen!$E$6,2)),2),"")</x:f>
        <x:v>45963</x:v>
      </x:c>
      <x:c r="B80" s="12" t="str">
        <x:f>IF(A80="","",CHOOSE(WEEKDAY(A80,2),"Mo","Di","Mi","Do","Fr","Sa","So"))</x:f>
        <x:v>So</x:v>
      </x:c>
      <x:c r="C80" s="12">
        <x:f>IF(A80="","",ISOWEEKNUM(A80))</x:f>
        <x:v>44</x:v>
      </x:c>
      <x:c r="D80" s="11">
        <x:f>IF(A80="","",IFERROR(INDEX(Einstellungen!$B$19:$B$118,MATCH(A80,Einstellungen!$A$19:$A$118,0)),""))</x:f>
      </x:c>
      <x:c r="E80" s="18" t="inlineStr">
        <x:is>
          <x:t xml:space="preserve"/>
        </x:is>
      </x:c>
      <x:c r="F80" s="18" t="inlineStr">
        <x:is>
          <x:t xml:space="preserve"/>
        </x:is>
      </x:c>
      <x:c r="G80" s="18" t="inlineStr">
        <x:is>
          <x:t xml:space="preserve"/>
        </x:is>
      </x:c>
      <x:c r="H80" s="18" t="inlineStr">
        <x:is>
          <x:t xml:space="preserve"/>
        </x:is>
      </x:c>
      <x:c r="I80" s="18" t="inlineStr">
        <x:is>
          <x:t xml:space="preserve"/>
        </x:is>
      </x:c>
      <x:c r="J80" s="17">
        <x:f>IF(A80="","",SUM(E80:I80))</x:f>
        <x:v>0</x:v>
      </x:c>
    </x:row>
    <x:row r="81">
      <x:c r="A81" s="10">
        <x:f>IF(3&lt;=DAY(EOMONTH(EDATE(Einstellungen!$E$6,2),0)),DATE(YEAR(EDATE(Einstellungen!$E$6,2)),MONTH(EDATE(Einstellungen!$E$6,2)),3),"")</x:f>
        <x:v>45964</x:v>
      </x:c>
      <x:c r="B81" s="12" t="str">
        <x:f>IF(A81="","",CHOOSE(WEEKDAY(A81,2),"Mo","Di","Mi","Do","Fr","Sa","So"))</x:f>
        <x:v>Mo</x:v>
      </x:c>
      <x:c r="C81" s="12">
        <x:f>IF(A81="","",ISOWEEKNUM(A81))</x:f>
        <x:v>45</x:v>
      </x:c>
      <x:c r="D81" s="11">
        <x:f>IF(A81="","",IFERROR(INDEX(Einstellungen!$B$19:$B$118,MATCH(A81,Einstellungen!$A$19:$A$118,0)),""))</x:f>
      </x:c>
      <x:c r="E81" s="17" t="n">
        <x:v>5.5</x:v>
      </x:c>
      <x:c r="F81" s="17" t="n">
        <x:v>0.75</x:v>
      </x:c>
      <x:c r="G81" s="17" t="n">
        <x:v>0.5</x:v>
      </x:c>
      <x:c r="H81" s="17" t="n">
        <x:v>0.5</x:v>
      </x:c>
      <x:c r="I81" s="17" t="n">
        <x:v>0.25</x:v>
      </x:c>
      <x:c r="J81" s="17">
        <x:f>IF(A81="","",SUM(E81:I81))</x:f>
        <x:v>7.5</x:v>
      </x:c>
    </x:row>
    <x:row r="82">
      <x:c r="A82" s="10">
        <x:f>IF(4&lt;=DAY(EOMONTH(EDATE(Einstellungen!$E$6,2),0)),DATE(YEAR(EDATE(Einstellungen!$E$6,2)),MONTH(EDATE(Einstellungen!$E$6,2)),4),"")</x:f>
        <x:v>45965</x:v>
      </x:c>
      <x:c r="B82" s="12" t="str">
        <x:f>IF(A82="","",CHOOSE(WEEKDAY(A82,2),"Mo","Di","Mi","Do","Fr","Sa","So"))</x:f>
        <x:v>Di</x:v>
      </x:c>
      <x:c r="C82" s="12">
        <x:f>IF(A82="","",ISOWEEKNUM(A82))</x:f>
        <x:v>45</x:v>
      </x:c>
      <x:c r="D82" s="11">
        <x:f>IF(A82="","",IFERROR(INDEX(Einstellungen!$B$19:$B$118,MATCH(A82,Einstellungen!$A$19:$A$118,0)),""))</x:f>
      </x:c>
      <x:c r="E82" s="17" t="n">
        <x:v>6</x:v>
      </x:c>
      <x:c r="F82" s="17" t="n">
        <x:v>0.5</x:v>
      </x:c>
      <x:c r="G82" s="17" t="n">
        <x:v>1.5</x:v>
      </x:c>
      <x:c r="H82" s="17" t="n">
        <x:v>0.25</x:v>
      </x:c>
      <x:c r="I82" s="17" t="n">
        <x:v>0.25</x:v>
      </x:c>
      <x:c r="J82" s="17">
        <x:f>IF(A82="","",SUM(E82:I82))</x:f>
        <x:v>8.5</x:v>
      </x:c>
    </x:row>
    <x:row r="83">
      <x:c r="A83" s="10">
        <x:f>IF(5&lt;=DAY(EOMONTH(EDATE(Einstellungen!$E$6,2),0)),DATE(YEAR(EDATE(Einstellungen!$E$6,2)),MONTH(EDATE(Einstellungen!$E$6,2)),5),"")</x:f>
        <x:v>45966</x:v>
      </x:c>
      <x:c r="B83" s="12" t="str">
        <x:f>IF(A83="","",CHOOSE(WEEKDAY(A83,2),"Mo","Di","Mi","Do","Fr","Sa","So"))</x:f>
        <x:v>Mi</x:v>
      </x:c>
      <x:c r="C83" s="12">
        <x:f>IF(A83="","",ISOWEEKNUM(A83))</x:f>
        <x:v>45</x:v>
      </x:c>
      <x:c r="D83" s="11">
        <x:f>IF(A83="","",IFERROR(INDEX(Einstellungen!$B$19:$B$118,MATCH(A83,Einstellungen!$A$19:$A$118,0)),""))</x:f>
      </x:c>
      <x:c r="E83" s="17" t="n">
        <x:v>6.5</x:v>
      </x:c>
      <x:c r="F83" s="17" t="n">
        <x:v>0.75</x:v>
      </x:c>
      <x:c r="G83" s="17" t="n">
        <x:v>0.5</x:v>
      </x:c>
      <x:c r="H83" s="17" t="n">
        <x:v>0.25</x:v>
      </x:c>
      <x:c r="I83" s="17" t="n">
        <x:v>0.5</x:v>
      </x:c>
      <x:c r="J83" s="17">
        <x:f>IF(A83="","",SUM(E83:I83))</x:f>
        <x:v>8.5</x:v>
      </x:c>
    </x:row>
    <x:row r="84">
      <x:c r="A84" s="10">
        <x:f>IF(6&lt;=DAY(EOMONTH(EDATE(Einstellungen!$E$6,2),0)),DATE(YEAR(EDATE(Einstellungen!$E$6,2)),MONTH(EDATE(Einstellungen!$E$6,2)),6),"")</x:f>
        <x:v>45967</x:v>
      </x:c>
      <x:c r="B84" s="12" t="str">
        <x:f>IF(A84="","",CHOOSE(WEEKDAY(A84,2),"Mo","Di","Mi","Do","Fr","Sa","So"))</x:f>
        <x:v>Do</x:v>
      </x:c>
      <x:c r="C84" s="12">
        <x:f>IF(A84="","",ISOWEEKNUM(A84))</x:f>
        <x:v>45</x:v>
      </x:c>
      <x:c r="D84" s="11">
        <x:f>IF(A84="","",IFERROR(INDEX(Einstellungen!$B$19:$B$118,MATCH(A84,Einstellungen!$A$19:$A$118,0)),""))</x:f>
      </x:c>
      <x:c r="E84" s="17" t="n">
        <x:v>5.5</x:v>
      </x:c>
      <x:c r="F84" s="17" t="n">
        <x:v>0.5</x:v>
      </x:c>
      <x:c r="G84" s="17" t="n">
        <x:v>1.5</x:v>
      </x:c>
      <x:c r="H84" s="17" t="n">
        <x:v>0.25</x:v>
      </x:c>
      <x:c r="I84" s="17" t="n">
        <x:v>0.25</x:v>
      </x:c>
      <x:c r="J84" s="17">
        <x:f>IF(A84="","",SUM(E84:I84))</x:f>
        <x:v>8</x:v>
      </x:c>
    </x:row>
    <x:row r="85">
      <x:c r="A85" s="10">
        <x:f>IF(7&lt;=DAY(EOMONTH(EDATE(Einstellungen!$E$6,2),0)),DATE(YEAR(EDATE(Einstellungen!$E$6,2)),MONTH(EDATE(Einstellungen!$E$6,2)),7),"")</x:f>
        <x:v>45968</x:v>
      </x:c>
      <x:c r="B85" s="12" t="str">
        <x:f>IF(A85="","",CHOOSE(WEEKDAY(A85,2),"Mo","Di","Mi","Do","Fr","Sa","So"))</x:f>
        <x:v>Fr</x:v>
      </x:c>
      <x:c r="C85" s="12">
        <x:f>IF(A85="","",ISOWEEKNUM(A85))</x:f>
        <x:v>45</x:v>
      </x:c>
      <x:c r="D85" s="11">
        <x:f>IF(A85="","",IFERROR(INDEX(Einstellungen!$B$19:$B$118,MATCH(A85,Einstellungen!$A$19:$A$118,0)),""))</x:f>
      </x:c>
      <x:c r="E85" s="17" t="n">
        <x:v>6</x:v>
      </x:c>
      <x:c r="F85" s="17" t="n">
        <x:v>0.5</x:v>
      </x:c>
      <x:c r="G85" s="17" t="n">
        <x:v>0.5</x:v>
      </x:c>
      <x:c r="H85" s="17" t="n">
        <x:v>0.5</x:v>
      </x:c>
      <x:c r="I85" s="17" t="n">
        <x:v>0.25</x:v>
      </x:c>
      <x:c r="J85" s="17">
        <x:f>IF(A85="","",SUM(E85:I85))</x:f>
        <x:v>7.75</x:v>
      </x:c>
    </x:row>
    <x:row r="86">
      <x:c r="A86" s="10">
        <x:f>IF(8&lt;=DAY(EOMONTH(EDATE(Einstellungen!$E$6,2),0)),DATE(YEAR(EDATE(Einstellungen!$E$6,2)),MONTH(EDATE(Einstellungen!$E$6,2)),8),"")</x:f>
        <x:v>45969</x:v>
      </x:c>
      <x:c r="B86" s="12" t="str">
        <x:f>IF(A86="","",CHOOSE(WEEKDAY(A86,2),"Mo","Di","Mi","Do","Fr","Sa","So"))</x:f>
        <x:v>Sa</x:v>
      </x:c>
      <x:c r="C86" s="12">
        <x:f>IF(A86="","",ISOWEEKNUM(A86))</x:f>
        <x:v>45</x:v>
      </x:c>
      <x:c r="D86" s="11">
        <x:f>IF(A86="","",IFERROR(INDEX(Einstellungen!$B$19:$B$118,MATCH(A86,Einstellungen!$A$19:$A$118,0)),""))</x:f>
      </x:c>
      <x:c r="E86" s="18" t="inlineStr">
        <x:is>
          <x:t xml:space="preserve"/>
        </x:is>
      </x:c>
      <x:c r="F86" s="18" t="inlineStr">
        <x:is>
          <x:t xml:space="preserve"/>
        </x:is>
      </x:c>
      <x:c r="G86" s="18" t="inlineStr">
        <x:is>
          <x:t xml:space="preserve"/>
        </x:is>
      </x:c>
      <x:c r="H86" s="18" t="inlineStr">
        <x:is>
          <x:t xml:space="preserve"/>
        </x:is>
      </x:c>
      <x:c r="I86" s="18" t="inlineStr">
        <x:is>
          <x:t xml:space="preserve"/>
        </x:is>
      </x:c>
      <x:c r="J86" s="17">
        <x:f>IF(A86="","",SUM(E86:I86))</x:f>
        <x:v>0</x:v>
      </x:c>
    </x:row>
    <x:row r="87">
      <x:c r="A87" s="10">
        <x:f>IF(9&lt;=DAY(EOMONTH(EDATE(Einstellungen!$E$6,2),0)),DATE(YEAR(EDATE(Einstellungen!$E$6,2)),MONTH(EDATE(Einstellungen!$E$6,2)),9),"")</x:f>
        <x:v>45970</x:v>
      </x:c>
      <x:c r="B87" s="12" t="str">
        <x:f>IF(A87="","",CHOOSE(WEEKDAY(A87,2),"Mo","Di","Mi","Do","Fr","Sa","So"))</x:f>
        <x:v>So</x:v>
      </x:c>
      <x:c r="C87" s="12">
        <x:f>IF(A87="","",ISOWEEKNUM(A87))</x:f>
        <x:v>45</x:v>
      </x:c>
      <x:c r="D87" s="11">
        <x:f>IF(A87="","",IFERROR(INDEX(Einstellungen!$B$19:$B$118,MATCH(A87,Einstellungen!$A$19:$A$118,0)),""))</x:f>
      </x:c>
      <x:c r="E87" s="18" t="inlineStr">
        <x:is>
          <x:t xml:space="preserve"/>
        </x:is>
      </x:c>
      <x:c r="F87" s="18" t="inlineStr">
        <x:is>
          <x:t xml:space="preserve"/>
        </x:is>
      </x:c>
      <x:c r="G87" s="18" t="inlineStr">
        <x:is>
          <x:t xml:space="preserve"/>
        </x:is>
      </x:c>
      <x:c r="H87" s="18" t="inlineStr">
        <x:is>
          <x:t xml:space="preserve"/>
        </x:is>
      </x:c>
      <x:c r="I87" s="18" t="inlineStr">
        <x:is>
          <x:t xml:space="preserve"/>
        </x:is>
      </x:c>
      <x:c r="J87" s="17">
        <x:f>IF(A87="","",SUM(E87:I87))</x:f>
        <x:v>0</x:v>
      </x:c>
    </x:row>
    <x:row r="88">
      <x:c r="A88" s="10">
        <x:f>IF(10&lt;=DAY(EOMONTH(EDATE(Einstellungen!$E$6,2),0)),DATE(YEAR(EDATE(Einstellungen!$E$6,2)),MONTH(EDATE(Einstellungen!$E$6,2)),10),"")</x:f>
        <x:v>45971</x:v>
      </x:c>
      <x:c r="B88" s="12" t="str">
        <x:f>IF(A88="","",CHOOSE(WEEKDAY(A88,2),"Mo","Di","Mi","Do","Fr","Sa","So"))</x:f>
        <x:v>Mo</x:v>
      </x:c>
      <x:c r="C88" s="12">
        <x:f>IF(A88="","",ISOWEEKNUM(A88))</x:f>
        <x:v>46</x:v>
      </x:c>
      <x:c r="D88" s="11">
        <x:f>IF(A88="","",IFERROR(INDEX(Einstellungen!$B$19:$B$118,MATCH(A88,Einstellungen!$A$19:$A$118,0)),""))</x:f>
      </x:c>
      <x:c r="E88" s="17" t="n">
        <x:v>5.5</x:v>
      </x:c>
      <x:c r="F88" s="17" t="n">
        <x:v>0.75</x:v>
      </x:c>
      <x:c r="G88" s="17" t="n">
        <x:v>0.5</x:v>
      </x:c>
      <x:c r="H88" s="17" t="n">
        <x:v>0.5</x:v>
      </x:c>
      <x:c r="I88" s="17" t="n">
        <x:v>0.25</x:v>
      </x:c>
      <x:c r="J88" s="17">
        <x:f>IF(A88="","",SUM(E88:I88))</x:f>
        <x:v>7.5</x:v>
      </x:c>
    </x:row>
    <x:row r="89">
      <x:c r="A89" s="10">
        <x:f>IF(11&lt;=DAY(EOMONTH(EDATE(Einstellungen!$E$6,2),0)),DATE(YEAR(EDATE(Einstellungen!$E$6,2)),MONTH(EDATE(Einstellungen!$E$6,2)),11),"")</x:f>
        <x:v>45972</x:v>
      </x:c>
      <x:c r="B89" s="12" t="str">
        <x:f>IF(A89="","",CHOOSE(WEEKDAY(A89,2),"Mo","Di","Mi","Do","Fr","Sa","So"))</x:f>
        <x:v>Di</x:v>
      </x:c>
      <x:c r="C89" s="12">
        <x:f>IF(A89="","",ISOWEEKNUM(A89))</x:f>
        <x:v>46</x:v>
      </x:c>
      <x:c r="D89" s="11" t="str">
        <x:f>IF(A89="","",IFERROR(INDEX(Einstellungen!$B$19:$B$118,MATCH(A89,Einstellungen!$A$19:$A$118,0)),""))</x:f>
        <x:v>Prüfung</x:v>
      </x:c>
      <x:c r="E89" s="17" t="n">
        <x:v>6</x:v>
      </x:c>
      <x:c r="F89" s="17" t="n">
        <x:v>0.5</x:v>
      </x:c>
      <x:c r="G89" s="17" t="n">
        <x:v>1.5</x:v>
      </x:c>
      <x:c r="H89" s="17" t="n">
        <x:v>0.25</x:v>
      </x:c>
      <x:c r="I89" s="17" t="n">
        <x:v>0.25</x:v>
      </x:c>
      <x:c r="J89" s="17">
        <x:f>IF(A89="","",SUM(E89:I89))</x:f>
        <x:v>8.5</x:v>
      </x:c>
    </x:row>
    <x:row r="90">
      <x:c r="A90" s="10">
        <x:f>IF(12&lt;=DAY(EOMONTH(EDATE(Einstellungen!$E$6,2),0)),DATE(YEAR(EDATE(Einstellungen!$E$6,2)),MONTH(EDATE(Einstellungen!$E$6,2)),12),"")</x:f>
        <x:v>45973</x:v>
      </x:c>
      <x:c r="B90" s="12" t="str">
        <x:f>IF(A90="","",CHOOSE(WEEKDAY(A90,2),"Mo","Di","Mi","Do","Fr","Sa","So"))</x:f>
        <x:v>Mi</x:v>
      </x:c>
      <x:c r="C90" s="12">
        <x:f>IF(A90="","",ISOWEEKNUM(A90))</x:f>
        <x:v>46</x:v>
      </x:c>
      <x:c r="D90" s="11">
        <x:f>IF(A90="","",IFERROR(INDEX(Einstellungen!$B$19:$B$118,MATCH(A90,Einstellungen!$A$19:$A$118,0)),""))</x:f>
      </x:c>
      <x:c r="E90" s="17" t="n">
        <x:v>6.5</x:v>
      </x:c>
      <x:c r="F90" s="17" t="n">
        <x:v>0.75</x:v>
      </x:c>
      <x:c r="G90" s="17" t="n">
        <x:v>0.5</x:v>
      </x:c>
      <x:c r="H90" s="17" t="n">
        <x:v>0.25</x:v>
      </x:c>
      <x:c r="I90" s="17" t="n">
        <x:v>0.25</x:v>
      </x:c>
      <x:c r="J90" s="17">
        <x:f>IF(A90="","",SUM(E90:I90))</x:f>
        <x:v>8.25</x:v>
      </x:c>
    </x:row>
    <x:row r="91">
      <x:c r="A91" s="10">
        <x:f>IF(13&lt;=DAY(EOMONTH(EDATE(Einstellungen!$E$6,2),0)),DATE(YEAR(EDATE(Einstellungen!$E$6,2)),MONTH(EDATE(Einstellungen!$E$6,2)),13),"")</x:f>
        <x:v>45974</x:v>
      </x:c>
      <x:c r="B91" s="12" t="str">
        <x:f>IF(A91="","",CHOOSE(WEEKDAY(A91,2),"Mo","Di","Mi","Do","Fr","Sa","So"))</x:f>
        <x:v>Do</x:v>
      </x:c>
      <x:c r="C91" s="12">
        <x:f>IF(A91="","",ISOWEEKNUM(A91))</x:f>
        <x:v>46</x:v>
      </x:c>
      <x:c r="D91" s="11">
        <x:f>IF(A91="","",IFERROR(INDEX(Einstellungen!$B$19:$B$118,MATCH(A91,Einstellungen!$A$19:$A$118,0)),""))</x:f>
      </x:c>
      <x:c r="E91" s="17" t="n">
        <x:v>5.5</x:v>
      </x:c>
      <x:c r="F91" s="17" t="n">
        <x:v>0.5</x:v>
      </x:c>
      <x:c r="G91" s="17" t="n">
        <x:v>1.5</x:v>
      </x:c>
      <x:c r="H91" s="17" t="n">
        <x:v>0.25</x:v>
      </x:c>
      <x:c r="I91" s="17" t="n">
        <x:v>0.25</x:v>
      </x:c>
      <x:c r="J91" s="17">
        <x:f>IF(A91="","",SUM(E91:I91))</x:f>
        <x:v>8</x:v>
      </x:c>
    </x:row>
    <x:row r="92">
      <x:c r="A92" s="10">
        <x:f>IF(14&lt;=DAY(EOMONTH(EDATE(Einstellungen!$E$6,2),0)),DATE(YEAR(EDATE(Einstellungen!$E$6,2)),MONTH(EDATE(Einstellungen!$E$6,2)),14),"")</x:f>
        <x:v>45975</x:v>
      </x:c>
      <x:c r="B92" s="12" t="str">
        <x:f>IF(A92="","",CHOOSE(WEEKDAY(A92,2),"Mo","Di","Mi","Do","Fr","Sa","So"))</x:f>
        <x:v>Fr</x:v>
      </x:c>
      <x:c r="C92" s="12">
        <x:f>IF(A92="","",ISOWEEKNUM(A92))</x:f>
        <x:v>46</x:v>
      </x:c>
      <x:c r="D92" s="11">
        <x:f>IF(A92="","",IFERROR(INDEX(Einstellungen!$B$19:$B$118,MATCH(A92,Einstellungen!$A$19:$A$118,0)),""))</x:f>
      </x:c>
      <x:c r="E92" s="17" t="n">
        <x:v>6</x:v>
      </x:c>
      <x:c r="F92" s="17" t="n">
        <x:v>0.5</x:v>
      </x:c>
      <x:c r="G92" s="17" t="n">
        <x:v>0.5</x:v>
      </x:c>
      <x:c r="H92" s="17" t="n">
        <x:v>0.5</x:v>
      </x:c>
      <x:c r="I92" s="17" t="n">
        <x:v>0.25</x:v>
      </x:c>
      <x:c r="J92" s="17">
        <x:f>IF(A92="","",SUM(E92:I92))</x:f>
        <x:v>7.75</x:v>
      </x:c>
    </x:row>
    <x:row r="93">
      <x:c r="A93" s="10">
        <x:f>IF(15&lt;=DAY(EOMONTH(EDATE(Einstellungen!$E$6,2),0)),DATE(YEAR(EDATE(Einstellungen!$E$6,2)),MONTH(EDATE(Einstellungen!$E$6,2)),15),"")</x:f>
        <x:v>45976</x:v>
      </x:c>
      <x:c r="B93" s="12" t="str">
        <x:f>IF(A93="","",CHOOSE(WEEKDAY(A93,2),"Mo","Di","Mi","Do","Fr","Sa","So"))</x:f>
        <x:v>Sa</x:v>
      </x:c>
      <x:c r="C93" s="12">
        <x:f>IF(A93="","",ISOWEEKNUM(A93))</x:f>
        <x:v>46</x:v>
      </x:c>
      <x:c r="D93" s="11">
        <x:f>IF(A93="","",IFERROR(INDEX(Einstellungen!$B$19:$B$118,MATCH(A93,Einstellungen!$A$19:$A$118,0)),""))</x:f>
      </x:c>
      <x:c r="E93" s="18" t="inlineStr">
        <x:is>
          <x:t xml:space="preserve"/>
        </x:is>
      </x:c>
      <x:c r="F93" s="18" t="inlineStr">
        <x:is>
          <x:t xml:space="preserve"/>
        </x:is>
      </x:c>
      <x:c r="G93" s="18" t="inlineStr">
        <x:is>
          <x:t xml:space="preserve"/>
        </x:is>
      </x:c>
      <x:c r="H93" s="18" t="inlineStr">
        <x:is>
          <x:t xml:space="preserve"/>
        </x:is>
      </x:c>
      <x:c r="I93" s="18" t="inlineStr">
        <x:is>
          <x:t xml:space="preserve"/>
        </x:is>
      </x:c>
      <x:c r="J93" s="17">
        <x:f>IF(A93="","",SUM(E93:I93))</x:f>
        <x:v>0</x:v>
      </x:c>
    </x:row>
    <x:row r="94">
      <x:c r="A94" s="10">
        <x:f>IF(16&lt;=DAY(EOMONTH(EDATE(Einstellungen!$E$6,2),0)),DATE(YEAR(EDATE(Einstellungen!$E$6,2)),MONTH(EDATE(Einstellungen!$E$6,2)),16),"")</x:f>
        <x:v>45977</x:v>
      </x:c>
      <x:c r="B94" s="12" t="str">
        <x:f>IF(A94="","",CHOOSE(WEEKDAY(A94,2),"Mo","Di","Mi","Do","Fr","Sa","So"))</x:f>
        <x:v>So</x:v>
      </x:c>
      <x:c r="C94" s="12">
        <x:f>IF(A94="","",ISOWEEKNUM(A94))</x:f>
        <x:v>46</x:v>
      </x:c>
      <x:c r="D94" s="11">
        <x:f>IF(A94="","",IFERROR(INDEX(Einstellungen!$B$19:$B$118,MATCH(A94,Einstellungen!$A$19:$A$118,0)),""))</x:f>
      </x:c>
      <x:c r="E94" s="18" t="inlineStr">
        <x:is>
          <x:t xml:space="preserve"/>
        </x:is>
      </x:c>
      <x:c r="F94" s="18" t="inlineStr">
        <x:is>
          <x:t xml:space="preserve"/>
        </x:is>
      </x:c>
      <x:c r="G94" s="18" t="inlineStr">
        <x:is>
          <x:t xml:space="preserve"/>
        </x:is>
      </x:c>
      <x:c r="H94" s="18" t="inlineStr">
        <x:is>
          <x:t xml:space="preserve"/>
        </x:is>
      </x:c>
      <x:c r="I94" s="18" t="inlineStr">
        <x:is>
          <x:t xml:space="preserve"/>
        </x:is>
      </x:c>
      <x:c r="J94" s="17">
        <x:f>IF(A94="","",SUM(E94:I94))</x:f>
        <x:v>0</x:v>
      </x:c>
    </x:row>
    <x:row r="95">
      <x:c r="A95" s="10">
        <x:f>IF(17&lt;=DAY(EOMONTH(EDATE(Einstellungen!$E$6,2),0)),DATE(YEAR(EDATE(Einstellungen!$E$6,2)),MONTH(EDATE(Einstellungen!$E$6,2)),17),"")</x:f>
        <x:v>45978</x:v>
      </x:c>
      <x:c r="B95" s="12" t="str">
        <x:f>IF(A95="","",CHOOSE(WEEKDAY(A95,2),"Mo","Di","Mi","Do","Fr","Sa","So"))</x:f>
        <x:v>Mo</x:v>
      </x:c>
      <x:c r="C95" s="12">
        <x:f>IF(A95="","",ISOWEEKNUM(A95))</x:f>
        <x:v>47</x:v>
      </x:c>
      <x:c r="D95" s="11">
        <x:f>IF(A95="","",IFERROR(INDEX(Einstellungen!$B$19:$B$118,MATCH(A95,Einstellungen!$A$19:$A$118,0)),""))</x:f>
      </x:c>
      <x:c r="E95" s="17" t="n">
        <x:v>5.5</x:v>
      </x:c>
      <x:c r="F95" s="17" t="n">
        <x:v>0.75</x:v>
      </x:c>
      <x:c r="G95" s="17" t="n">
        <x:v>0.5</x:v>
      </x:c>
      <x:c r="H95" s="17" t="n">
        <x:v>0.5</x:v>
      </x:c>
      <x:c r="I95" s="17" t="n">
        <x:v>0.25</x:v>
      </x:c>
      <x:c r="J95" s="17">
        <x:f>IF(A95="","",SUM(E95:I95))</x:f>
        <x:v>7.5</x:v>
      </x:c>
    </x:row>
    <x:row r="96">
      <x:c r="A96" s="10">
        <x:f>IF(18&lt;=DAY(EOMONTH(EDATE(Einstellungen!$E$6,2),0)),DATE(YEAR(EDATE(Einstellungen!$E$6,2)),MONTH(EDATE(Einstellungen!$E$6,2)),18),"")</x:f>
        <x:v>45979</x:v>
      </x:c>
      <x:c r="B96" s="12" t="str">
        <x:f>IF(A96="","",CHOOSE(WEEKDAY(A96,2),"Mo","Di","Mi","Do","Fr","Sa","So"))</x:f>
        <x:v>Di</x:v>
      </x:c>
      <x:c r="C96" s="12">
        <x:f>IF(A96="","",ISOWEEKNUM(A96))</x:f>
        <x:v>47</x:v>
      </x:c>
      <x:c r="D96" s="11">
        <x:f>IF(A96="","",IFERROR(INDEX(Einstellungen!$B$19:$B$118,MATCH(A96,Einstellungen!$A$19:$A$118,0)),""))</x:f>
      </x:c>
      <x:c r="E96" s="17" t="n">
        <x:v>6</x:v>
      </x:c>
      <x:c r="F96" s="17" t="n">
        <x:v>0.5</x:v>
      </x:c>
      <x:c r="G96" s="17" t="n">
        <x:v>1.5</x:v>
      </x:c>
      <x:c r="H96" s="17" t="n">
        <x:v>0.25</x:v>
      </x:c>
      <x:c r="I96" s="17" t="n">
        <x:v>0.25</x:v>
      </x:c>
      <x:c r="J96" s="17">
        <x:f>IF(A96="","",SUM(E96:I96))</x:f>
        <x:v>8.5</x:v>
      </x:c>
    </x:row>
    <x:row r="97">
      <x:c r="A97" s="10">
        <x:f>IF(19&lt;=DAY(EOMONTH(EDATE(Einstellungen!$E$6,2),0)),DATE(YEAR(EDATE(Einstellungen!$E$6,2)),MONTH(EDATE(Einstellungen!$E$6,2)),19),"")</x:f>
        <x:v>45980</x:v>
      </x:c>
      <x:c r="B97" s="12" t="str">
        <x:f>IF(A97="","",CHOOSE(WEEKDAY(A97,2),"Mo","Di","Mi","Do","Fr","Sa","So"))</x:f>
        <x:v>Mi</x:v>
      </x:c>
      <x:c r="C97" s="12">
        <x:f>IF(A97="","",ISOWEEKNUM(A97))</x:f>
        <x:v>47</x:v>
      </x:c>
      <x:c r="D97" s="11">
        <x:f>IF(A97="","",IFERROR(INDEX(Einstellungen!$B$19:$B$118,MATCH(A97,Einstellungen!$A$19:$A$118,0)),""))</x:f>
      </x:c>
      <x:c r="E97" s="17" t="n">
        <x:v>6.5</x:v>
      </x:c>
      <x:c r="F97" s="17" t="n">
        <x:v>0.75</x:v>
      </x:c>
      <x:c r="G97" s="17" t="n">
        <x:v>0.5</x:v>
      </x:c>
      <x:c r="H97" s="17" t="n">
        <x:v>0.25</x:v>
      </x:c>
      <x:c r="I97" s="17" t="n">
        <x:v>0.25</x:v>
      </x:c>
      <x:c r="J97" s="17">
        <x:f>IF(A97="","",SUM(E97:I97))</x:f>
        <x:v>8.25</x:v>
      </x:c>
    </x:row>
    <x:row r="98">
      <x:c r="A98" s="10">
        <x:f>IF(20&lt;=DAY(EOMONTH(EDATE(Einstellungen!$E$6,2),0)),DATE(YEAR(EDATE(Einstellungen!$E$6,2)),MONTH(EDATE(Einstellungen!$E$6,2)),20),"")</x:f>
        <x:v>45981</x:v>
      </x:c>
      <x:c r="B98" s="12" t="str">
        <x:f>IF(A98="","",CHOOSE(WEEKDAY(A98,2),"Mo","Di","Mi","Do","Fr","Sa","So"))</x:f>
        <x:v>Do</x:v>
      </x:c>
      <x:c r="C98" s="12">
        <x:f>IF(A98="","",ISOWEEKNUM(A98))</x:f>
        <x:v>47</x:v>
      </x:c>
      <x:c r="D98" s="11">
        <x:f>IF(A98="","",IFERROR(INDEX(Einstellungen!$B$19:$B$118,MATCH(A98,Einstellungen!$A$19:$A$118,0)),""))</x:f>
      </x:c>
      <x:c r="E98" s="17" t="n">
        <x:v>5.5</x:v>
      </x:c>
      <x:c r="F98" s="17" t="n">
        <x:v>0.5</x:v>
      </x:c>
      <x:c r="G98" s="17" t="n">
        <x:v>1.5</x:v>
      </x:c>
      <x:c r="H98" s="17" t="n">
        <x:v>0.25</x:v>
      </x:c>
      <x:c r="I98" s="17" t="n">
        <x:v>0.25</x:v>
      </x:c>
      <x:c r="J98" s="17">
        <x:f>IF(A98="","",SUM(E98:I98))</x:f>
        <x:v>8</x:v>
      </x:c>
    </x:row>
    <x:row r="99">
      <x:c r="A99" s="10">
        <x:f>IF(21&lt;=DAY(EOMONTH(EDATE(Einstellungen!$E$6,2),0)),DATE(YEAR(EDATE(Einstellungen!$E$6,2)),MONTH(EDATE(Einstellungen!$E$6,2)),21),"")</x:f>
        <x:v>45982</x:v>
      </x:c>
      <x:c r="B99" s="12" t="str">
        <x:f>IF(A99="","",CHOOSE(WEEKDAY(A99,2),"Mo","Di","Mi","Do","Fr","Sa","So"))</x:f>
        <x:v>Fr</x:v>
      </x:c>
      <x:c r="C99" s="12">
        <x:f>IF(A99="","",ISOWEEKNUM(A99))</x:f>
        <x:v>47</x:v>
      </x:c>
      <x:c r="D99" s="11">
        <x:f>IF(A99="","",IFERROR(INDEX(Einstellungen!$B$19:$B$118,MATCH(A99,Einstellungen!$A$19:$A$118,0)),""))</x:f>
      </x:c>
      <x:c r="E99" s="17" t="n">
        <x:v>6</x:v>
      </x:c>
      <x:c r="F99" s="17" t="n">
        <x:v>0.5</x:v>
      </x:c>
      <x:c r="G99" s="17" t="n">
        <x:v>0.5</x:v>
      </x:c>
      <x:c r="H99" s="17" t="n">
        <x:v>0.5</x:v>
      </x:c>
      <x:c r="I99" s="17" t="n">
        <x:v>0.25</x:v>
      </x:c>
      <x:c r="J99" s="17">
        <x:f>IF(A99="","",SUM(E99:I99))</x:f>
        <x:v>7.75</x:v>
      </x:c>
    </x:row>
    <x:row r="100">
      <x:c r="A100" s="10">
        <x:f>IF(22&lt;=DAY(EOMONTH(EDATE(Einstellungen!$E$6,2),0)),DATE(YEAR(EDATE(Einstellungen!$E$6,2)),MONTH(EDATE(Einstellungen!$E$6,2)),22),"")</x:f>
        <x:v>45983</x:v>
      </x:c>
      <x:c r="B100" s="12" t="str">
        <x:f>IF(A100="","",CHOOSE(WEEKDAY(A100,2),"Mo","Di","Mi","Do","Fr","Sa","So"))</x:f>
        <x:v>Sa</x:v>
      </x:c>
      <x:c r="C100" s="12">
        <x:f>IF(A100="","",ISOWEEKNUM(A100))</x:f>
        <x:v>47</x:v>
      </x:c>
      <x:c r="D100" s="11">
        <x:f>IF(A100="","",IFERROR(INDEX(Einstellungen!$B$19:$B$118,MATCH(A100,Einstellungen!$A$19:$A$118,0)),""))</x:f>
      </x:c>
      <x:c r="E100" s="18" t="inlineStr">
        <x:is>
          <x:t xml:space="preserve"/>
        </x:is>
      </x:c>
      <x:c r="F100" s="18" t="inlineStr">
        <x:is>
          <x:t xml:space="preserve"/>
        </x:is>
      </x:c>
      <x:c r="G100" s="18" t="inlineStr">
        <x:is>
          <x:t xml:space="preserve"/>
        </x:is>
      </x:c>
      <x:c r="H100" s="18" t="inlineStr">
        <x:is>
          <x:t xml:space="preserve"/>
        </x:is>
      </x:c>
      <x:c r="I100" s="18" t="inlineStr">
        <x:is>
          <x:t xml:space="preserve"/>
        </x:is>
      </x:c>
      <x:c r="J100" s="17">
        <x:f>IF(A100="","",SUM(E100:I100))</x:f>
        <x:v>0</x:v>
      </x:c>
    </x:row>
    <x:row r="101">
      <x:c r="A101" s="10">
        <x:f>IF(23&lt;=DAY(EOMONTH(EDATE(Einstellungen!$E$6,2),0)),DATE(YEAR(EDATE(Einstellungen!$E$6,2)),MONTH(EDATE(Einstellungen!$E$6,2)),23),"")</x:f>
        <x:v>45984</x:v>
      </x:c>
      <x:c r="B101" s="12" t="str">
        <x:f>IF(A101="","",CHOOSE(WEEKDAY(A101,2),"Mo","Di","Mi","Do","Fr","Sa","So"))</x:f>
        <x:v>So</x:v>
      </x:c>
      <x:c r="C101" s="12">
        <x:f>IF(A101="","",ISOWEEKNUM(A101))</x:f>
        <x:v>47</x:v>
      </x:c>
      <x:c r="D101" s="11">
        <x:f>IF(A101="","",IFERROR(INDEX(Einstellungen!$B$19:$B$118,MATCH(A101,Einstellungen!$A$19:$A$118,0)),""))</x:f>
      </x:c>
      <x:c r="E101" s="18" t="inlineStr">
        <x:is>
          <x:t xml:space="preserve"/>
        </x:is>
      </x:c>
      <x:c r="F101" s="18" t="inlineStr">
        <x:is>
          <x:t xml:space="preserve"/>
        </x:is>
      </x:c>
      <x:c r="G101" s="18" t="inlineStr">
        <x:is>
          <x:t xml:space="preserve"/>
        </x:is>
      </x:c>
      <x:c r="H101" s="18" t="inlineStr">
        <x:is>
          <x:t xml:space="preserve"/>
        </x:is>
      </x:c>
      <x:c r="I101" s="18" t="inlineStr">
        <x:is>
          <x:t xml:space="preserve"/>
        </x:is>
      </x:c>
      <x:c r="J101" s="17">
        <x:f>IF(A101="","",SUM(E101:I101))</x:f>
        <x:v>0</x:v>
      </x:c>
    </x:row>
    <x:row r="102">
      <x:c r="A102" s="10">
        <x:f>IF(24&lt;=DAY(EOMONTH(EDATE(Einstellungen!$E$6,2),0)),DATE(YEAR(EDATE(Einstellungen!$E$6,2)),MONTH(EDATE(Einstellungen!$E$6,2)),24),"")</x:f>
        <x:v>45985</x:v>
      </x:c>
      <x:c r="B102" s="12" t="str">
        <x:f>IF(A102="","",CHOOSE(WEEKDAY(A102,2),"Mo","Di","Mi","Do","Fr","Sa","So"))</x:f>
        <x:v>Mo</x:v>
      </x:c>
      <x:c r="C102" s="12">
        <x:f>IF(A102="","",ISOWEEKNUM(A102))</x:f>
        <x:v>48</x:v>
      </x:c>
      <x:c r="D102" s="11">
        <x:f>IF(A102="","",IFERROR(INDEX(Einstellungen!$B$19:$B$118,MATCH(A102,Einstellungen!$A$19:$A$118,0)),""))</x:f>
      </x:c>
      <x:c r="E102" s="17" t="n">
        <x:v>5.5</x:v>
      </x:c>
      <x:c r="F102" s="17" t="n">
        <x:v>0.75</x:v>
      </x:c>
      <x:c r="G102" s="17" t="n">
        <x:v>0.5</x:v>
      </x:c>
      <x:c r="H102" s="17" t="n">
        <x:v>0.5</x:v>
      </x:c>
      <x:c r="I102" s="17" t="n">
        <x:v>0.25</x:v>
      </x:c>
      <x:c r="J102" s="17">
        <x:f>IF(A102="","",SUM(E102:I102))</x:f>
        <x:v>7.5</x:v>
      </x:c>
    </x:row>
    <x:row r="103">
      <x:c r="A103" s="10">
        <x:f>IF(25&lt;=DAY(EOMONTH(EDATE(Einstellungen!$E$6,2),0)),DATE(YEAR(EDATE(Einstellungen!$E$6,2)),MONTH(EDATE(Einstellungen!$E$6,2)),25),"")</x:f>
        <x:v>45986</x:v>
      </x:c>
      <x:c r="B103" s="12" t="str">
        <x:f>IF(A103="","",CHOOSE(WEEKDAY(A103,2),"Mo","Di","Mi","Do","Fr","Sa","So"))</x:f>
        <x:v>Di</x:v>
      </x:c>
      <x:c r="C103" s="12">
        <x:f>IF(A103="","",ISOWEEKNUM(A103))</x:f>
        <x:v>48</x:v>
      </x:c>
      <x:c r="D103" s="11">
        <x:f>IF(A103="","",IFERROR(INDEX(Einstellungen!$B$19:$B$118,MATCH(A103,Einstellungen!$A$19:$A$118,0)),""))</x:f>
      </x:c>
      <x:c r="E103" s="17" t="n">
        <x:v>6</x:v>
      </x:c>
      <x:c r="F103" s="17" t="n">
        <x:v>0.5</x:v>
      </x:c>
      <x:c r="G103" s="17" t="n">
        <x:v>1.5</x:v>
      </x:c>
      <x:c r="H103" s="17" t="n">
        <x:v>0.25</x:v>
      </x:c>
      <x:c r="I103" s="17" t="n">
        <x:v>0.5</x:v>
      </x:c>
      <x:c r="J103" s="17">
        <x:f>IF(A103="","",SUM(E103:I103))</x:f>
        <x:v>8.75</x:v>
      </x:c>
    </x:row>
    <x:row r="104">
      <x:c r="A104" s="10">
        <x:f>IF(26&lt;=DAY(EOMONTH(EDATE(Einstellungen!$E$6,2),0)),DATE(YEAR(EDATE(Einstellungen!$E$6,2)),MONTH(EDATE(Einstellungen!$E$6,2)),26),"")</x:f>
        <x:v>45987</x:v>
      </x:c>
      <x:c r="B104" s="12" t="str">
        <x:f>IF(A104="","",CHOOSE(WEEKDAY(A104,2),"Mo","Di","Mi","Do","Fr","Sa","So"))</x:f>
        <x:v>Mi</x:v>
      </x:c>
      <x:c r="C104" s="12">
        <x:f>IF(A104="","",ISOWEEKNUM(A104))</x:f>
        <x:v>48</x:v>
      </x:c>
      <x:c r="D104" s="11">
        <x:f>IF(A104="","",IFERROR(INDEX(Einstellungen!$B$19:$B$118,MATCH(A104,Einstellungen!$A$19:$A$118,0)),""))</x:f>
      </x:c>
      <x:c r="E104" s="17" t="n">
        <x:v>6.5</x:v>
      </x:c>
      <x:c r="F104" s="17" t="n">
        <x:v>0.75</x:v>
      </x:c>
      <x:c r="G104" s="17" t="n">
        <x:v>0.5</x:v>
      </x:c>
      <x:c r="H104" s="17" t="n">
        <x:v>0.25</x:v>
      </x:c>
      <x:c r="I104" s="17" t="n">
        <x:v>0.25</x:v>
      </x:c>
      <x:c r="J104" s="17">
        <x:f>IF(A104="","",SUM(E104:I104))</x:f>
        <x:v>8.25</x:v>
      </x:c>
    </x:row>
    <x:row r="105">
      <x:c r="A105" s="10">
        <x:f>IF(27&lt;=DAY(EOMONTH(EDATE(Einstellungen!$E$6,2),0)),DATE(YEAR(EDATE(Einstellungen!$E$6,2)),MONTH(EDATE(Einstellungen!$E$6,2)),27),"")</x:f>
        <x:v>45988</x:v>
      </x:c>
      <x:c r="B105" s="12" t="str">
        <x:f>IF(A105="","",CHOOSE(WEEKDAY(A105,2),"Mo","Di","Mi","Do","Fr","Sa","So"))</x:f>
        <x:v>Do</x:v>
      </x:c>
      <x:c r="C105" s="12">
        <x:f>IF(A105="","",ISOWEEKNUM(A105))</x:f>
        <x:v>48</x:v>
      </x:c>
      <x:c r="D105" s="11">
        <x:f>IF(A105="","",IFERROR(INDEX(Einstellungen!$B$19:$B$118,MATCH(A105,Einstellungen!$A$19:$A$118,0)),""))</x:f>
      </x:c>
      <x:c r="E105" s="17" t="n">
        <x:v>5.5</x:v>
      </x:c>
      <x:c r="F105" s="17" t="n">
        <x:v>0.5</x:v>
      </x:c>
      <x:c r="G105" s="17" t="n">
        <x:v>1.5</x:v>
      </x:c>
      <x:c r="H105" s="17" t="n">
        <x:v>0.25</x:v>
      </x:c>
      <x:c r="I105" s="17" t="n">
        <x:v>0.25</x:v>
      </x:c>
      <x:c r="J105" s="17">
        <x:f>IF(A105="","",SUM(E105:I105))</x:f>
        <x:v>8</x:v>
      </x:c>
    </x:row>
    <x:row r="106">
      <x:c r="A106" s="10">
        <x:f>IF(28&lt;=DAY(EOMONTH(EDATE(Einstellungen!$E$6,2),0)),DATE(YEAR(EDATE(Einstellungen!$E$6,2)),MONTH(EDATE(Einstellungen!$E$6,2)),28),"")</x:f>
        <x:v>45989</x:v>
      </x:c>
      <x:c r="B106" s="12" t="str">
        <x:f>IF(A106="","",CHOOSE(WEEKDAY(A106,2),"Mo","Di","Mi","Do","Fr","Sa","So"))</x:f>
        <x:v>Fr</x:v>
      </x:c>
      <x:c r="C106" s="12">
        <x:f>IF(A106="","",ISOWEEKNUM(A106))</x:f>
        <x:v>48</x:v>
      </x:c>
      <x:c r="D106" s="11">
        <x:f>IF(A106="","",IFERROR(INDEX(Einstellungen!$B$19:$B$118,MATCH(A106,Einstellungen!$A$19:$A$118,0)),""))</x:f>
      </x:c>
      <x:c r="E106" s="17" t="n">
        <x:v>6</x:v>
      </x:c>
      <x:c r="F106" s="17" t="n">
        <x:v>0.5</x:v>
      </x:c>
      <x:c r="G106" s="17" t="n">
        <x:v>0.5</x:v>
      </x:c>
      <x:c r="H106" s="17" t="n">
        <x:v>0.5</x:v>
      </x:c>
      <x:c r="I106" s="17" t="n">
        <x:v>0.25</x:v>
      </x:c>
      <x:c r="J106" s="17">
        <x:f>IF(A106="","",SUM(E106:I106))</x:f>
        <x:v>7.75</x:v>
      </x:c>
    </x:row>
    <x:row r="107">
      <x:c r="A107" s="10">
        <x:f>IF(29&lt;=DAY(EOMONTH(EDATE(Einstellungen!$E$6,2),0)),DATE(YEAR(EDATE(Einstellungen!$E$6,2)),MONTH(EDATE(Einstellungen!$E$6,2)),29),"")</x:f>
        <x:v>45990</x:v>
      </x:c>
      <x:c r="B107" s="12" t="str">
        <x:f>IF(A107="","",CHOOSE(WEEKDAY(A107,2),"Mo","Di","Mi","Do","Fr","Sa","So"))</x:f>
        <x:v>Sa</x:v>
      </x:c>
      <x:c r="C107" s="12">
        <x:f>IF(A107="","",ISOWEEKNUM(A107))</x:f>
        <x:v>48</x:v>
      </x:c>
      <x:c r="D107" s="11">
        <x:f>IF(A107="","",IFERROR(INDEX(Einstellungen!$B$19:$B$118,MATCH(A107,Einstellungen!$A$19:$A$118,0)),""))</x:f>
      </x:c>
      <x:c r="E107" s="18" t="inlineStr">
        <x:is>
          <x:t xml:space="preserve"/>
        </x:is>
      </x:c>
      <x:c r="F107" s="18" t="inlineStr">
        <x:is>
          <x:t xml:space="preserve"/>
        </x:is>
      </x:c>
      <x:c r="G107" s="18" t="inlineStr">
        <x:is>
          <x:t xml:space="preserve"/>
        </x:is>
      </x:c>
      <x:c r="H107" s="18" t="inlineStr">
        <x:is>
          <x:t xml:space="preserve"/>
        </x:is>
      </x:c>
      <x:c r="I107" s="18" t="inlineStr">
        <x:is>
          <x:t xml:space="preserve"/>
        </x:is>
      </x:c>
      <x:c r="J107" s="17">
        <x:f>IF(A107="","",SUM(E107:I107))</x:f>
        <x:v>0</x:v>
      </x:c>
    </x:row>
    <x:row r="108">
      <x:c r="A108" s="10">
        <x:f>IF(30&lt;=DAY(EOMONTH(EDATE(Einstellungen!$E$6,2),0)),DATE(YEAR(EDATE(Einstellungen!$E$6,2)),MONTH(EDATE(Einstellungen!$E$6,2)),30),"")</x:f>
        <x:v>45991</x:v>
      </x:c>
      <x:c r="B108" s="12" t="str">
        <x:f>IF(A108="","",CHOOSE(WEEKDAY(A108,2),"Mo","Di","Mi","Do","Fr","Sa","So"))</x:f>
        <x:v>So</x:v>
      </x:c>
      <x:c r="C108" s="12">
        <x:f>IF(A108="","",ISOWEEKNUM(A108))</x:f>
        <x:v>48</x:v>
      </x:c>
      <x:c r="D108" s="11">
        <x:f>IF(A108="","",IFERROR(INDEX(Einstellungen!$B$19:$B$118,MATCH(A108,Einstellungen!$A$19:$A$118,0)),""))</x:f>
      </x:c>
      <x:c r="E108" s="18" t="inlineStr">
        <x:is>
          <x:t xml:space="preserve"/>
        </x:is>
      </x:c>
      <x:c r="F108" s="18" t="inlineStr">
        <x:is>
          <x:t xml:space="preserve"/>
        </x:is>
      </x:c>
      <x:c r="G108" s="18" t="inlineStr">
        <x:is>
          <x:t xml:space="preserve"/>
        </x:is>
      </x:c>
      <x:c r="H108" s="18" t="inlineStr">
        <x:is>
          <x:t xml:space="preserve"/>
        </x:is>
      </x:c>
      <x:c r="I108" s="18" t="inlineStr">
        <x:is>
          <x:t xml:space="preserve"/>
        </x:is>
      </x:c>
      <x:c r="J108" s="17">
        <x:f>IF(A108="","",SUM(E108:I108))</x:f>
        <x:v>0</x:v>
      </x:c>
    </x:row>
    <x:row r="109">
      <x:c r="A109" s="10">
        <x:f>IF(31&lt;=DAY(EOMONTH(EDATE(Einstellungen!$E$6,2),0)),DATE(YEAR(EDATE(Einstellungen!$E$6,2)),MONTH(EDATE(Einstellungen!$E$6,2)),31),"")</x:f>
      </x:c>
      <x:c r="B109" s="12">
        <x:f>IF(A109="","",CHOOSE(WEEKDAY(A109,2),"Mo","Di","Mi","Do","Fr","Sa","So"))</x:f>
      </x:c>
      <x:c r="C109" s="12">
        <x:f>IF(A109="","",ISOWEEKNUM(A109))</x:f>
      </x:c>
      <x:c r="D109" s="11">
        <x:f>IF(A109="","",IFERROR(INDEX(Einstellungen!$B$19:$B$118,MATCH(A109,Einstellungen!$A$19:$A$118,0)),""))</x:f>
      </x:c>
      <x:c r="E109" s="18" t="n"/>
      <x:c r="F109" s="18" t="n"/>
      <x:c r="G109" s="18" t="n"/>
      <x:c r="H109" s="18" t="n"/>
      <x:c r="I109" s="18" t="n"/>
      <x:c r="J109" s="17">
        <x:f>IF(A109="","",SUM(E109:I109))</x:f>
      </x:c>
    </x:row>
    <x:row r="110">
      <x:c r="A110" s="4" t="inlineStr">
        <x:is>
          <x:t xml:space="preserve">Monatssumme</x:t>
        </x:is>
      </x:c>
      <x:c r="B110" s="15" t="n"/>
      <x:c r="C110" s="15" t="n"/>
      <x:c r="D110" s="15" t="n"/>
      <x:c r="E110" s="19">
        <x:f>SUM(E79:E109)</x:f>
        <x:v>118</x:v>
      </x:c>
      <x:c r="F110" s="19">
        <x:f>SUM(F79:F109)</x:f>
        <x:v>12</x:v>
      </x:c>
      <x:c r="G110" s="19">
        <x:f>SUM(G79:G109)</x:f>
        <x:v>18</x:v>
      </x:c>
      <x:c r="H110" s="19">
        <x:f>SUM(H79:H109)</x:f>
        <x:v>7</x:v>
      </x:c>
      <x:c r="I110" s="19">
        <x:f>SUM(I79:I109)</x:f>
        <x:v>5.5</x:v>
      </x:c>
      <x:c r="J110" s="19">
        <x:f>SUM(J79:J109)</x:f>
        <x:v>160.5</x:v>
      </x:c>
    </x:row>
    <x:row r="111">
      <x:c r="A111" s="20" t="n"/>
      <x:c r="B111" s="20" t="n"/>
      <x:c r="C111" s="20" t="n"/>
      <x:c r="D111" s="20" t="n"/>
      <x:c r="E111" s="20" t="n"/>
      <x:c r="F111" s="20" t="n"/>
      <x:c r="G111" s="20" t="n"/>
      <x:c r="H111" s="20" t="n"/>
      <x:c r="I111" s="20" t="n"/>
      <x:c r="J111" s="20" t="n"/>
    </x:row>
    <x:row r="112">
      <x:c r="A112" s="20" t="n"/>
      <x:c r="B112" s="20" t="n"/>
      <x:c r="C112" s="20" t="n"/>
      <x:c r="D112" s="20" t="n"/>
      <x:c r="E112" s="20" t="n"/>
      <x:c r="F112" s="20" t="n"/>
      <x:c r="G112" s="20" t="n"/>
      <x:c r="H112" s="20" t="n"/>
      <x:c r="I112" s="20" t="n"/>
      <x:c r="J112" s="20" t="n"/>
    </x:row>
    <x:row r="113">
      <x:c r="A113" s="15" t="str">
        <x:f>INDEX(Einstellungen!$J$2:$J$13,MONTH(EDATE(Einstellungen!$E$6,3)))&amp;" "&amp;YEAR(EDATE(Einstellungen!$E$6,3))</x:f>
        <x:v>Dezember 2025</x:v>
      </x:c>
    </x:row>
    <x:row r="114">
      <x:c r="A114" s="16" t="inlineStr">
        <x:is>
          <x:t xml:space="preserve">Datum</x:t>
        </x:is>
      </x:c>
      <x:c r="B114" s="16" t="inlineStr">
        <x:is>
          <x:t xml:space="preserve">Tag</x:t>
        </x:is>
      </x:c>
      <x:c r="C114" s="16" t="inlineStr">
        <x:is>
          <x:t xml:space="preserve">KW</x:t>
        </x:is>
      </x:c>
      <x:c r="D114" s="16" t="inlineStr">
        <x:is>
          <x:t xml:space="preserve">Feiertag / Termin</x:t>
        </x:is>
      </x:c>
      <x:c r="E114" s="16" t="str">
        <x:f>Einstellungen!$B$11</x:f>
        <x:v>Arbeitszeit</x:v>
      </x:c>
      <x:c r="F114" s="16" t="str">
        <x:f>Einstellungen!$B$12</x:f>
        <x:v>E-Mail</x:v>
      </x:c>
      <x:c r="G114" s="16" t="str">
        <x:f>Einstellungen!$B$13</x:f>
        <x:v>Meetings</x:v>
      </x:c>
      <x:c r="H114" s="16" t="str">
        <x:f>Einstellungen!$B$14</x:f>
        <x:v>Telefonate</x:v>
      </x:c>
      <x:c r="I114" s="16" t="str">
        <x:f>Einstellungen!$B$15</x:f>
        <x:v>Sonstiges</x:v>
      </x:c>
      <x:c r="J114" s="16" t="inlineStr">
        <x:is>
          <x:t xml:space="preserve">Gesamt</x:t>
        </x:is>
      </x:c>
    </x:row>
    <x:row r="115">
      <x:c r="A115" s="10">
        <x:f>IF(1&lt;=DAY(EOMONTH(EDATE(Einstellungen!$E$6,3),0)),DATE(YEAR(EDATE(Einstellungen!$E$6,3)),MONTH(EDATE(Einstellungen!$E$6,3)),1),"")</x:f>
        <x:v>45992</x:v>
      </x:c>
      <x:c r="B115" s="12" t="str">
        <x:f>IF(A115="","",CHOOSE(WEEKDAY(A115,2),"Mo","Di","Mi","Do","Fr","Sa","So"))</x:f>
        <x:v>Mo</x:v>
      </x:c>
      <x:c r="C115" s="12">
        <x:f>IF(A115="","",ISOWEEKNUM(A115))</x:f>
        <x:v>49</x:v>
      </x:c>
      <x:c r="D115" s="11">
        <x:f>IF(A115="","",IFERROR(INDEX(Einstellungen!$B$19:$B$118,MATCH(A115,Einstellungen!$A$19:$A$118,0)),""))</x:f>
      </x:c>
      <x:c r="E115" s="17" t="n">
        <x:v>5.5</x:v>
      </x:c>
      <x:c r="F115" s="17" t="n">
        <x:v>0.75</x:v>
      </x:c>
      <x:c r="G115" s="17" t="n">
        <x:v>0.5</x:v>
      </x:c>
      <x:c r="H115" s="17" t="n">
        <x:v>0.5</x:v>
      </x:c>
      <x:c r="I115" s="17" t="n">
        <x:v>0.25</x:v>
      </x:c>
      <x:c r="J115" s="17">
        <x:f>IF(A115="","",SUM(E115:I115))</x:f>
        <x:v>7.5</x:v>
      </x:c>
    </x:row>
    <x:row r="116">
      <x:c r="A116" s="10">
        <x:f>IF(2&lt;=DAY(EOMONTH(EDATE(Einstellungen!$E$6,3),0)),DATE(YEAR(EDATE(Einstellungen!$E$6,3)),MONTH(EDATE(Einstellungen!$E$6,3)),2),"")</x:f>
        <x:v>45993</x:v>
      </x:c>
      <x:c r="B116" s="12" t="str">
        <x:f>IF(A116="","",CHOOSE(WEEKDAY(A116,2),"Mo","Di","Mi","Do","Fr","Sa","So"))</x:f>
        <x:v>Di</x:v>
      </x:c>
      <x:c r="C116" s="12">
        <x:f>IF(A116="","",ISOWEEKNUM(A116))</x:f>
        <x:v>49</x:v>
      </x:c>
      <x:c r="D116" s="11">
        <x:f>IF(A116="","",IFERROR(INDEX(Einstellungen!$B$19:$B$118,MATCH(A116,Einstellungen!$A$19:$A$118,0)),""))</x:f>
      </x:c>
      <x:c r="E116" s="17" t="n">
        <x:v>6</x:v>
      </x:c>
      <x:c r="F116" s="17" t="n">
        <x:v>0.5</x:v>
      </x:c>
      <x:c r="G116" s="17" t="n">
        <x:v>1.5</x:v>
      </x:c>
      <x:c r="H116" s="17" t="n">
        <x:v>0.25</x:v>
      </x:c>
      <x:c r="I116" s="17" t="n">
        <x:v>0.25</x:v>
      </x:c>
      <x:c r="J116" s="17">
        <x:f>IF(A116="","",SUM(E116:I116))</x:f>
        <x:v>8.5</x:v>
      </x:c>
    </x:row>
    <x:row r="117">
      <x:c r="A117" s="10">
        <x:f>IF(3&lt;=DAY(EOMONTH(EDATE(Einstellungen!$E$6,3),0)),DATE(YEAR(EDATE(Einstellungen!$E$6,3)),MONTH(EDATE(Einstellungen!$E$6,3)),3),"")</x:f>
        <x:v>45994</x:v>
      </x:c>
      <x:c r="B117" s="12" t="str">
        <x:f>IF(A117="","",CHOOSE(WEEKDAY(A117,2),"Mo","Di","Mi","Do","Fr","Sa","So"))</x:f>
        <x:v>Mi</x:v>
      </x:c>
      <x:c r="C117" s="12">
        <x:f>IF(A117="","",ISOWEEKNUM(A117))</x:f>
        <x:v>49</x:v>
      </x:c>
      <x:c r="D117" s="11">
        <x:f>IF(A117="","",IFERROR(INDEX(Einstellungen!$B$19:$B$118,MATCH(A117,Einstellungen!$A$19:$A$118,0)),""))</x:f>
      </x:c>
      <x:c r="E117" s="17" t="n">
        <x:v>6.5</x:v>
      </x:c>
      <x:c r="F117" s="17" t="n">
        <x:v>0.75</x:v>
      </x:c>
      <x:c r="G117" s="17" t="n">
        <x:v>0.5</x:v>
      </x:c>
      <x:c r="H117" s="17" t="n">
        <x:v>0.25</x:v>
      </x:c>
      <x:c r="I117" s="17" t="n">
        <x:v>0.25</x:v>
      </x:c>
      <x:c r="J117" s="17">
        <x:f>IF(A117="","",SUM(E117:I117))</x:f>
        <x:v>8.25</x:v>
      </x:c>
    </x:row>
    <x:row r="118">
      <x:c r="A118" s="10">
        <x:f>IF(4&lt;=DAY(EOMONTH(EDATE(Einstellungen!$E$6,3),0)),DATE(YEAR(EDATE(Einstellungen!$E$6,3)),MONTH(EDATE(Einstellungen!$E$6,3)),4),"")</x:f>
        <x:v>45995</x:v>
      </x:c>
      <x:c r="B118" s="12" t="str">
        <x:f>IF(A118="","",CHOOSE(WEEKDAY(A118,2),"Mo","Di","Mi","Do","Fr","Sa","So"))</x:f>
        <x:v>Do</x:v>
      </x:c>
      <x:c r="C118" s="12">
        <x:f>IF(A118="","",ISOWEEKNUM(A118))</x:f>
        <x:v>49</x:v>
      </x:c>
      <x:c r="D118" s="11">
        <x:f>IF(A118="","",IFERROR(INDEX(Einstellungen!$B$19:$B$118,MATCH(A118,Einstellungen!$A$19:$A$118,0)),""))</x:f>
      </x:c>
      <x:c r="E118" s="17" t="n">
        <x:v>5.5</x:v>
      </x:c>
      <x:c r="F118" s="17" t="n">
        <x:v>0.5</x:v>
      </x:c>
      <x:c r="G118" s="17" t="n">
        <x:v>1.5</x:v>
      </x:c>
      <x:c r="H118" s="17" t="n">
        <x:v>0.25</x:v>
      </x:c>
      <x:c r="I118" s="17" t="n">
        <x:v>0.25</x:v>
      </x:c>
      <x:c r="J118" s="17">
        <x:f>IF(A118="","",SUM(E118:I118))</x:f>
        <x:v>8</x:v>
      </x:c>
    </x:row>
    <x:row r="119">
      <x:c r="A119" s="10">
        <x:f>IF(5&lt;=DAY(EOMONTH(EDATE(Einstellungen!$E$6,3),0)),DATE(YEAR(EDATE(Einstellungen!$E$6,3)),MONTH(EDATE(Einstellungen!$E$6,3)),5),"")</x:f>
        <x:v>45996</x:v>
      </x:c>
      <x:c r="B119" s="12" t="str">
        <x:f>IF(A119="","",CHOOSE(WEEKDAY(A119,2),"Mo","Di","Mi","Do","Fr","Sa","So"))</x:f>
        <x:v>Fr</x:v>
      </x:c>
      <x:c r="C119" s="12">
        <x:f>IF(A119="","",ISOWEEKNUM(A119))</x:f>
        <x:v>49</x:v>
      </x:c>
      <x:c r="D119" s="11">
        <x:f>IF(A119="","",IFERROR(INDEX(Einstellungen!$B$19:$B$118,MATCH(A119,Einstellungen!$A$19:$A$118,0)),""))</x:f>
      </x:c>
      <x:c r="E119" s="17" t="n">
        <x:v>6</x:v>
      </x:c>
      <x:c r="F119" s="17" t="n">
        <x:v>0.5</x:v>
      </x:c>
      <x:c r="G119" s="17" t="n">
        <x:v>0.5</x:v>
      </x:c>
      <x:c r="H119" s="17" t="n">
        <x:v>0.5</x:v>
      </x:c>
      <x:c r="I119" s="17" t="n">
        <x:v>0.5</x:v>
      </x:c>
      <x:c r="J119" s="17">
        <x:f>IF(A119="","",SUM(E119:I119))</x:f>
        <x:v>8</x:v>
      </x:c>
    </x:row>
    <x:row r="120">
      <x:c r="A120" s="10">
        <x:f>IF(6&lt;=DAY(EOMONTH(EDATE(Einstellungen!$E$6,3),0)),DATE(YEAR(EDATE(Einstellungen!$E$6,3)),MONTH(EDATE(Einstellungen!$E$6,3)),6),"")</x:f>
        <x:v>45997</x:v>
      </x:c>
      <x:c r="B120" s="12" t="str">
        <x:f>IF(A120="","",CHOOSE(WEEKDAY(A120,2),"Mo","Di","Mi","Do","Fr","Sa","So"))</x:f>
        <x:v>Sa</x:v>
      </x:c>
      <x:c r="C120" s="12">
        <x:f>IF(A120="","",ISOWEEKNUM(A120))</x:f>
        <x:v>49</x:v>
      </x:c>
      <x:c r="D120" s="11">
        <x:f>IF(A120="","",IFERROR(INDEX(Einstellungen!$B$19:$B$118,MATCH(A120,Einstellungen!$A$19:$A$118,0)),""))</x:f>
      </x:c>
      <x:c r="E120" s="18" t="inlineStr">
        <x:is>
          <x:t xml:space="preserve"/>
        </x:is>
      </x:c>
      <x:c r="F120" s="18" t="inlineStr">
        <x:is>
          <x:t xml:space="preserve"/>
        </x:is>
      </x:c>
      <x:c r="G120" s="18" t="inlineStr">
        <x:is>
          <x:t xml:space="preserve"/>
        </x:is>
      </x:c>
      <x:c r="H120" s="18" t="inlineStr">
        <x:is>
          <x:t xml:space="preserve"/>
        </x:is>
      </x:c>
      <x:c r="I120" s="18" t="inlineStr">
        <x:is>
          <x:t xml:space="preserve"/>
        </x:is>
      </x:c>
      <x:c r="J120" s="17">
        <x:f>IF(A120="","",SUM(E120:I120))</x:f>
        <x:v>0</x:v>
      </x:c>
    </x:row>
    <x:row r="121">
      <x:c r="A121" s="10">
        <x:f>IF(7&lt;=DAY(EOMONTH(EDATE(Einstellungen!$E$6,3),0)),DATE(YEAR(EDATE(Einstellungen!$E$6,3)),MONTH(EDATE(Einstellungen!$E$6,3)),7),"")</x:f>
        <x:v>45998</x:v>
      </x:c>
      <x:c r="B121" s="12" t="str">
        <x:f>IF(A121="","",CHOOSE(WEEKDAY(A121,2),"Mo","Di","Mi","Do","Fr","Sa","So"))</x:f>
        <x:v>So</x:v>
      </x:c>
      <x:c r="C121" s="12">
        <x:f>IF(A121="","",ISOWEEKNUM(A121))</x:f>
        <x:v>49</x:v>
      </x:c>
      <x:c r="D121" s="11">
        <x:f>IF(A121="","",IFERROR(INDEX(Einstellungen!$B$19:$B$118,MATCH(A121,Einstellungen!$A$19:$A$118,0)),""))</x:f>
      </x:c>
      <x:c r="E121" s="18" t="inlineStr">
        <x:is>
          <x:t xml:space="preserve"/>
        </x:is>
      </x:c>
      <x:c r="F121" s="18" t="inlineStr">
        <x:is>
          <x:t xml:space="preserve"/>
        </x:is>
      </x:c>
      <x:c r="G121" s="18" t="inlineStr">
        <x:is>
          <x:t xml:space="preserve"/>
        </x:is>
      </x:c>
      <x:c r="H121" s="18" t="inlineStr">
        <x:is>
          <x:t xml:space="preserve"/>
        </x:is>
      </x:c>
      <x:c r="I121" s="18" t="inlineStr">
        <x:is>
          <x:t xml:space="preserve"/>
        </x:is>
      </x:c>
      <x:c r="J121" s="17">
        <x:f>IF(A121="","",SUM(E121:I121))</x:f>
        <x:v>0</x:v>
      </x:c>
    </x:row>
    <x:row r="122">
      <x:c r="A122" s="10">
        <x:f>IF(8&lt;=DAY(EOMONTH(EDATE(Einstellungen!$E$6,3),0)),DATE(YEAR(EDATE(Einstellungen!$E$6,3)),MONTH(EDATE(Einstellungen!$E$6,3)),8),"")</x:f>
        <x:v>45999</x:v>
      </x:c>
      <x:c r="B122" s="12" t="str">
        <x:f>IF(A122="","",CHOOSE(WEEKDAY(A122,2),"Mo","Di","Mi","Do","Fr","Sa","So"))</x:f>
        <x:v>Mo</x:v>
      </x:c>
      <x:c r="C122" s="12">
        <x:f>IF(A122="","",ISOWEEKNUM(A122))</x:f>
        <x:v>50</x:v>
      </x:c>
      <x:c r="D122" s="11">
        <x:f>IF(A122="","",IFERROR(INDEX(Einstellungen!$B$19:$B$118,MATCH(A122,Einstellungen!$A$19:$A$118,0)),""))</x:f>
      </x:c>
      <x:c r="E122" s="17" t="n">
        <x:v>5.5</x:v>
      </x:c>
      <x:c r="F122" s="17" t="n">
        <x:v>0.75</x:v>
      </x:c>
      <x:c r="G122" s="17" t="n">
        <x:v>0.5</x:v>
      </x:c>
      <x:c r="H122" s="17" t="n">
        <x:v>0.5</x:v>
      </x:c>
      <x:c r="I122" s="17" t="n">
        <x:v>0.25</x:v>
      </x:c>
      <x:c r="J122" s="17">
        <x:f>IF(A122="","",SUM(E122:I122))</x:f>
        <x:v>7.5</x:v>
      </x:c>
    </x:row>
    <x:row r="123">
      <x:c r="A123" s="10">
        <x:f>IF(9&lt;=DAY(EOMONTH(EDATE(Einstellungen!$E$6,3),0)),DATE(YEAR(EDATE(Einstellungen!$E$6,3)),MONTH(EDATE(Einstellungen!$E$6,3)),9),"")</x:f>
        <x:v>46000</x:v>
      </x:c>
      <x:c r="B123" s="12" t="str">
        <x:f>IF(A123="","",CHOOSE(WEEKDAY(A123,2),"Mo","Di","Mi","Do","Fr","Sa","So"))</x:f>
        <x:v>Di</x:v>
      </x:c>
      <x:c r="C123" s="12">
        <x:f>IF(A123="","",ISOWEEKNUM(A123))</x:f>
        <x:v>50</x:v>
      </x:c>
      <x:c r="D123" s="11">
        <x:f>IF(A123="","",IFERROR(INDEX(Einstellungen!$B$19:$B$118,MATCH(A123,Einstellungen!$A$19:$A$118,0)),""))</x:f>
      </x:c>
      <x:c r="E123" s="17" t="n">
        <x:v>6</x:v>
      </x:c>
      <x:c r="F123" s="17" t="n">
        <x:v>0.5</x:v>
      </x:c>
      <x:c r="G123" s="17" t="n">
        <x:v>1.5</x:v>
      </x:c>
      <x:c r="H123" s="17" t="n">
        <x:v>0.25</x:v>
      </x:c>
      <x:c r="I123" s="17" t="n">
        <x:v>0.25</x:v>
      </x:c>
      <x:c r="J123" s="17">
        <x:f>IF(A123="","",SUM(E123:I123))</x:f>
        <x:v>8.5</x:v>
      </x:c>
    </x:row>
    <x:row r="124">
      <x:c r="A124" s="10">
        <x:f>IF(10&lt;=DAY(EOMONTH(EDATE(Einstellungen!$E$6,3),0)),DATE(YEAR(EDATE(Einstellungen!$E$6,3)),MONTH(EDATE(Einstellungen!$E$6,3)),10),"")</x:f>
        <x:v>46001</x:v>
      </x:c>
      <x:c r="B124" s="12" t="str">
        <x:f>IF(A124="","",CHOOSE(WEEKDAY(A124,2),"Mo","Di","Mi","Do","Fr","Sa","So"))</x:f>
        <x:v>Mi</x:v>
      </x:c>
      <x:c r="C124" s="12">
        <x:f>IF(A124="","",ISOWEEKNUM(A124))</x:f>
        <x:v>50</x:v>
      </x:c>
      <x:c r="D124" s="11">
        <x:f>IF(A124="","",IFERROR(INDEX(Einstellungen!$B$19:$B$118,MATCH(A124,Einstellungen!$A$19:$A$118,0)),""))</x:f>
      </x:c>
      <x:c r="E124" s="17" t="n">
        <x:v>6.5</x:v>
      </x:c>
      <x:c r="F124" s="17" t="n">
        <x:v>0.75</x:v>
      </x:c>
      <x:c r="G124" s="17" t="n">
        <x:v>0.5</x:v>
      </x:c>
      <x:c r="H124" s="17" t="n">
        <x:v>0.25</x:v>
      </x:c>
      <x:c r="I124" s="17" t="n">
        <x:v>0.25</x:v>
      </x:c>
      <x:c r="J124" s="17">
        <x:f>IF(A124="","",SUM(E124:I124))</x:f>
        <x:v>8.25</x:v>
      </x:c>
    </x:row>
    <x:row r="125">
      <x:c r="A125" s="10">
        <x:f>IF(11&lt;=DAY(EOMONTH(EDATE(Einstellungen!$E$6,3),0)),DATE(YEAR(EDATE(Einstellungen!$E$6,3)),MONTH(EDATE(Einstellungen!$E$6,3)),11),"")</x:f>
        <x:v>46002</x:v>
      </x:c>
      <x:c r="B125" s="12" t="str">
        <x:f>IF(A125="","",CHOOSE(WEEKDAY(A125,2),"Mo","Di","Mi","Do","Fr","Sa","So"))</x:f>
        <x:v>Do</x:v>
      </x:c>
      <x:c r="C125" s="12">
        <x:f>IF(A125="","",ISOWEEKNUM(A125))</x:f>
        <x:v>50</x:v>
      </x:c>
      <x:c r="D125" s="11">
        <x:f>IF(A125="","",IFERROR(INDEX(Einstellungen!$B$19:$B$118,MATCH(A125,Einstellungen!$A$19:$A$118,0)),""))</x:f>
      </x:c>
      <x:c r="E125" s="17" t="n">
        <x:v>5.5</x:v>
      </x:c>
      <x:c r="F125" s="17" t="n">
        <x:v>0.5</x:v>
      </x:c>
      <x:c r="G125" s="17" t="n">
        <x:v>1.5</x:v>
      </x:c>
      <x:c r="H125" s="17" t="n">
        <x:v>0.25</x:v>
      </x:c>
      <x:c r="I125" s="17" t="n">
        <x:v>0.25</x:v>
      </x:c>
      <x:c r="J125" s="17">
        <x:f>IF(A125="","",SUM(E125:I125))</x:f>
        <x:v>8</x:v>
      </x:c>
    </x:row>
    <x:row r="126">
      <x:c r="A126" s="10">
        <x:f>IF(12&lt;=DAY(EOMONTH(EDATE(Einstellungen!$E$6,3),0)),DATE(YEAR(EDATE(Einstellungen!$E$6,3)),MONTH(EDATE(Einstellungen!$E$6,3)),12),"")</x:f>
        <x:v>46003</x:v>
      </x:c>
      <x:c r="B126" s="12" t="str">
        <x:f>IF(A126="","",CHOOSE(WEEKDAY(A126,2),"Mo","Di","Mi","Do","Fr","Sa","So"))</x:f>
        <x:v>Fr</x:v>
      </x:c>
      <x:c r="C126" s="12">
        <x:f>IF(A126="","",ISOWEEKNUM(A126))</x:f>
        <x:v>50</x:v>
      </x:c>
      <x:c r="D126" s="11">
        <x:f>IF(A126="","",IFERROR(INDEX(Einstellungen!$B$19:$B$118,MATCH(A126,Einstellungen!$A$19:$A$118,0)),""))</x:f>
      </x:c>
      <x:c r="E126" s="17" t="n">
        <x:v>6</x:v>
      </x:c>
      <x:c r="F126" s="17" t="n">
        <x:v>0.5</x:v>
      </x:c>
      <x:c r="G126" s="17" t="n">
        <x:v>0.5</x:v>
      </x:c>
      <x:c r="H126" s="17" t="n">
        <x:v>0.5</x:v>
      </x:c>
      <x:c r="I126" s="17" t="n">
        <x:v>0.25</x:v>
      </x:c>
      <x:c r="J126" s="17">
        <x:f>IF(A126="","",SUM(E126:I126))</x:f>
        <x:v>7.75</x:v>
      </x:c>
    </x:row>
    <x:row r="127">
      <x:c r="A127" s="10">
        <x:f>IF(13&lt;=DAY(EOMONTH(EDATE(Einstellungen!$E$6,3),0)),DATE(YEAR(EDATE(Einstellungen!$E$6,3)),MONTH(EDATE(Einstellungen!$E$6,3)),13),"")</x:f>
        <x:v>46004</x:v>
      </x:c>
      <x:c r="B127" s="12" t="str">
        <x:f>IF(A127="","",CHOOSE(WEEKDAY(A127,2),"Mo","Di","Mi","Do","Fr","Sa","So"))</x:f>
        <x:v>Sa</x:v>
      </x:c>
      <x:c r="C127" s="12">
        <x:f>IF(A127="","",ISOWEEKNUM(A127))</x:f>
        <x:v>50</x:v>
      </x:c>
      <x:c r="D127" s="11">
        <x:f>IF(A127="","",IFERROR(INDEX(Einstellungen!$B$19:$B$118,MATCH(A127,Einstellungen!$A$19:$A$118,0)),""))</x:f>
      </x:c>
      <x:c r="E127" s="18" t="inlineStr">
        <x:is>
          <x:t xml:space="preserve"/>
        </x:is>
      </x:c>
      <x:c r="F127" s="18" t="inlineStr">
        <x:is>
          <x:t xml:space="preserve"/>
        </x:is>
      </x:c>
      <x:c r="G127" s="18" t="inlineStr">
        <x:is>
          <x:t xml:space="preserve"/>
        </x:is>
      </x:c>
      <x:c r="H127" s="18" t="inlineStr">
        <x:is>
          <x:t xml:space="preserve"/>
        </x:is>
      </x:c>
      <x:c r="I127" s="18" t="inlineStr">
        <x:is>
          <x:t xml:space="preserve"/>
        </x:is>
      </x:c>
      <x:c r="J127" s="17">
        <x:f>IF(A127="","",SUM(E127:I127))</x:f>
        <x:v>0</x:v>
      </x:c>
    </x:row>
    <x:row r="128">
      <x:c r="A128" s="10">
        <x:f>IF(14&lt;=DAY(EOMONTH(EDATE(Einstellungen!$E$6,3),0)),DATE(YEAR(EDATE(Einstellungen!$E$6,3)),MONTH(EDATE(Einstellungen!$E$6,3)),14),"")</x:f>
        <x:v>46005</x:v>
      </x:c>
      <x:c r="B128" s="12" t="str">
        <x:f>IF(A128="","",CHOOSE(WEEKDAY(A128,2),"Mo","Di","Mi","Do","Fr","Sa","So"))</x:f>
        <x:v>So</x:v>
      </x:c>
      <x:c r="C128" s="12">
        <x:f>IF(A128="","",ISOWEEKNUM(A128))</x:f>
        <x:v>50</x:v>
      </x:c>
      <x:c r="D128" s="11">
        <x:f>IF(A128="","",IFERROR(INDEX(Einstellungen!$B$19:$B$118,MATCH(A128,Einstellungen!$A$19:$A$118,0)),""))</x:f>
      </x:c>
      <x:c r="E128" s="18" t="inlineStr">
        <x:is>
          <x:t xml:space="preserve"/>
        </x:is>
      </x:c>
      <x:c r="F128" s="18" t="inlineStr">
        <x:is>
          <x:t xml:space="preserve"/>
        </x:is>
      </x:c>
      <x:c r="G128" s="18" t="inlineStr">
        <x:is>
          <x:t xml:space="preserve"/>
        </x:is>
      </x:c>
      <x:c r="H128" s="18" t="inlineStr">
        <x:is>
          <x:t xml:space="preserve"/>
        </x:is>
      </x:c>
      <x:c r="I128" s="18" t="inlineStr">
        <x:is>
          <x:t xml:space="preserve"/>
        </x:is>
      </x:c>
      <x:c r="J128" s="17">
        <x:f>IF(A128="","",SUM(E128:I128))</x:f>
        <x:v>0</x:v>
      </x:c>
    </x:row>
    <x:row r="129">
      <x:c r="A129" s="10">
        <x:f>IF(15&lt;=DAY(EOMONTH(EDATE(Einstellungen!$E$6,3),0)),DATE(YEAR(EDATE(Einstellungen!$E$6,3)),MONTH(EDATE(Einstellungen!$E$6,3)),15),"")</x:f>
        <x:v>46006</x:v>
      </x:c>
      <x:c r="B129" s="12" t="str">
        <x:f>IF(A129="","",CHOOSE(WEEKDAY(A129,2),"Mo","Di","Mi","Do","Fr","Sa","So"))</x:f>
        <x:v>Mo</x:v>
      </x:c>
      <x:c r="C129" s="12">
        <x:f>IF(A129="","",ISOWEEKNUM(A129))</x:f>
        <x:v>51</x:v>
      </x:c>
      <x:c r="D129" s="11">
        <x:f>IF(A129="","",IFERROR(INDEX(Einstellungen!$B$19:$B$118,MATCH(A129,Einstellungen!$A$19:$A$118,0)),""))</x:f>
      </x:c>
      <x:c r="E129" s="17" t="n">
        <x:v>5.5</x:v>
      </x:c>
      <x:c r="F129" s="17" t="n">
        <x:v>0.75</x:v>
      </x:c>
      <x:c r="G129" s="17" t="n">
        <x:v>0.5</x:v>
      </x:c>
      <x:c r="H129" s="17" t="n">
        <x:v>0.5</x:v>
      </x:c>
      <x:c r="I129" s="17" t="n">
        <x:v>0.5</x:v>
      </x:c>
      <x:c r="J129" s="17">
        <x:f>IF(A129="","",SUM(E129:I129))</x:f>
        <x:v>7.75</x:v>
      </x:c>
    </x:row>
    <x:row r="130">
      <x:c r="A130" s="10">
        <x:f>IF(16&lt;=DAY(EOMONTH(EDATE(Einstellungen!$E$6,3),0)),DATE(YEAR(EDATE(Einstellungen!$E$6,3)),MONTH(EDATE(Einstellungen!$E$6,3)),16),"")</x:f>
        <x:v>46007</x:v>
      </x:c>
      <x:c r="B130" s="12" t="str">
        <x:f>IF(A130="","",CHOOSE(WEEKDAY(A130,2),"Mo","Di","Mi","Do","Fr","Sa","So"))</x:f>
        <x:v>Di</x:v>
      </x:c>
      <x:c r="C130" s="12">
        <x:f>IF(A130="","",ISOWEEKNUM(A130))</x:f>
        <x:v>51</x:v>
      </x:c>
      <x:c r="D130" s="11">
        <x:f>IF(A130="","",IFERROR(INDEX(Einstellungen!$B$19:$B$118,MATCH(A130,Einstellungen!$A$19:$A$118,0)),""))</x:f>
      </x:c>
      <x:c r="E130" s="17" t="n">
        <x:v>6</x:v>
      </x:c>
      <x:c r="F130" s="17" t="n">
        <x:v>0.5</x:v>
      </x:c>
      <x:c r="G130" s="17" t="n">
        <x:v>1.5</x:v>
      </x:c>
      <x:c r="H130" s="17" t="n">
        <x:v>0.25</x:v>
      </x:c>
      <x:c r="I130" s="17" t="n">
        <x:v>0.25</x:v>
      </x:c>
      <x:c r="J130" s="17">
        <x:f>IF(A130="","",SUM(E130:I130))</x:f>
        <x:v>8.5</x:v>
      </x:c>
    </x:row>
    <x:row r="131">
      <x:c r="A131" s="10">
        <x:f>IF(17&lt;=DAY(EOMONTH(EDATE(Einstellungen!$E$6,3),0)),DATE(YEAR(EDATE(Einstellungen!$E$6,3)),MONTH(EDATE(Einstellungen!$E$6,3)),17),"")</x:f>
        <x:v>46008</x:v>
      </x:c>
      <x:c r="B131" s="12" t="str">
        <x:f>IF(A131="","",CHOOSE(WEEKDAY(A131,2),"Mo","Di","Mi","Do","Fr","Sa","So"))</x:f>
        <x:v>Mi</x:v>
      </x:c>
      <x:c r="C131" s="12">
        <x:f>IF(A131="","",ISOWEEKNUM(A131))</x:f>
        <x:v>51</x:v>
      </x:c>
      <x:c r="D131" s="11">
        <x:f>IF(A131="","",IFERROR(INDEX(Einstellungen!$B$19:$B$118,MATCH(A131,Einstellungen!$A$19:$A$118,0)),""))</x:f>
      </x:c>
      <x:c r="E131" s="17" t="n">
        <x:v>6.5</x:v>
      </x:c>
      <x:c r="F131" s="17" t="n">
        <x:v>0.75</x:v>
      </x:c>
      <x:c r="G131" s="17" t="n">
        <x:v>0.5</x:v>
      </x:c>
      <x:c r="H131" s="17" t="n">
        <x:v>0.25</x:v>
      </x:c>
      <x:c r="I131" s="17" t="n">
        <x:v>0.25</x:v>
      </x:c>
      <x:c r="J131" s="17">
        <x:f>IF(A131="","",SUM(E131:I131))</x:f>
        <x:v>8.25</x:v>
      </x:c>
    </x:row>
    <x:row r="132">
      <x:c r="A132" s="10">
        <x:f>IF(18&lt;=DAY(EOMONTH(EDATE(Einstellungen!$E$6,3),0)),DATE(YEAR(EDATE(Einstellungen!$E$6,3)),MONTH(EDATE(Einstellungen!$E$6,3)),18),"")</x:f>
        <x:v>46009</x:v>
      </x:c>
      <x:c r="B132" s="12" t="str">
        <x:f>IF(A132="","",CHOOSE(WEEKDAY(A132,2),"Mo","Di","Mi","Do","Fr","Sa","So"))</x:f>
        <x:v>Do</x:v>
      </x:c>
      <x:c r="C132" s="12">
        <x:f>IF(A132="","",ISOWEEKNUM(A132))</x:f>
        <x:v>51</x:v>
      </x:c>
      <x:c r="D132" s="11">
        <x:f>IF(A132="","",IFERROR(INDEX(Einstellungen!$B$19:$B$118,MATCH(A132,Einstellungen!$A$19:$A$118,0)),""))</x:f>
      </x:c>
      <x:c r="E132" s="17" t="n">
        <x:v>5.5</x:v>
      </x:c>
      <x:c r="F132" s="17" t="n">
        <x:v>0.5</x:v>
      </x:c>
      <x:c r="G132" s="17" t="n">
        <x:v>1.5</x:v>
      </x:c>
      <x:c r="H132" s="17" t="n">
        <x:v>0.25</x:v>
      </x:c>
      <x:c r="I132" s="17" t="n">
        <x:v>0.25</x:v>
      </x:c>
      <x:c r="J132" s="17">
        <x:f>IF(A132="","",SUM(E132:I132))</x:f>
        <x:v>8</x:v>
      </x:c>
    </x:row>
    <x:row r="133">
      <x:c r="A133" s="10">
        <x:f>IF(19&lt;=DAY(EOMONTH(EDATE(Einstellungen!$E$6,3),0)),DATE(YEAR(EDATE(Einstellungen!$E$6,3)),MONTH(EDATE(Einstellungen!$E$6,3)),19),"")</x:f>
        <x:v>46010</x:v>
      </x:c>
      <x:c r="B133" s="12" t="str">
        <x:f>IF(A133="","",CHOOSE(WEEKDAY(A133,2),"Mo","Di","Mi","Do","Fr","Sa","So"))</x:f>
        <x:v>Fr</x:v>
      </x:c>
      <x:c r="C133" s="12">
        <x:f>IF(A133="","",ISOWEEKNUM(A133))</x:f>
        <x:v>51</x:v>
      </x:c>
      <x:c r="D133" s="11">
        <x:f>IF(A133="","",IFERROR(INDEX(Einstellungen!$B$19:$B$118,MATCH(A133,Einstellungen!$A$19:$A$118,0)),""))</x:f>
      </x:c>
      <x:c r="E133" s="17" t="n">
        <x:v>6</x:v>
      </x:c>
      <x:c r="F133" s="17" t="n">
        <x:v>0.5</x:v>
      </x:c>
      <x:c r="G133" s="17" t="n">
        <x:v>0.5</x:v>
      </x:c>
      <x:c r="H133" s="17" t="n">
        <x:v>0.5</x:v>
      </x:c>
      <x:c r="I133" s="17" t="n">
        <x:v>0.25</x:v>
      </x:c>
      <x:c r="J133" s="17">
        <x:f>IF(A133="","",SUM(E133:I133))</x:f>
        <x:v>7.75</x:v>
      </x:c>
    </x:row>
    <x:row r="134">
      <x:c r="A134" s="10">
        <x:f>IF(20&lt;=DAY(EOMONTH(EDATE(Einstellungen!$E$6,3),0)),DATE(YEAR(EDATE(Einstellungen!$E$6,3)),MONTH(EDATE(Einstellungen!$E$6,3)),20),"")</x:f>
        <x:v>46011</x:v>
      </x:c>
      <x:c r="B134" s="12" t="str">
        <x:f>IF(A134="","",CHOOSE(WEEKDAY(A134,2),"Mo","Di","Mi","Do","Fr","Sa","So"))</x:f>
        <x:v>Sa</x:v>
      </x:c>
      <x:c r="C134" s="12">
        <x:f>IF(A134="","",ISOWEEKNUM(A134))</x:f>
        <x:v>51</x:v>
      </x:c>
      <x:c r="D134" s="11">
        <x:f>IF(A134="","",IFERROR(INDEX(Einstellungen!$B$19:$B$118,MATCH(A134,Einstellungen!$A$19:$A$118,0)),""))</x:f>
      </x:c>
      <x:c r="E134" s="18" t="inlineStr">
        <x:is>
          <x:t xml:space="preserve"/>
        </x:is>
      </x:c>
      <x:c r="F134" s="18" t="inlineStr">
        <x:is>
          <x:t xml:space="preserve"/>
        </x:is>
      </x:c>
      <x:c r="G134" s="18" t="inlineStr">
        <x:is>
          <x:t xml:space="preserve"/>
        </x:is>
      </x:c>
      <x:c r="H134" s="18" t="inlineStr">
        <x:is>
          <x:t xml:space="preserve"/>
        </x:is>
      </x:c>
      <x:c r="I134" s="18" t="inlineStr">
        <x:is>
          <x:t xml:space="preserve"/>
        </x:is>
      </x:c>
      <x:c r="J134" s="17">
        <x:f>IF(A134="","",SUM(E134:I134))</x:f>
        <x:v>0</x:v>
      </x:c>
    </x:row>
    <x:row r="135">
      <x:c r="A135" s="10">
        <x:f>IF(21&lt;=DAY(EOMONTH(EDATE(Einstellungen!$E$6,3),0)),DATE(YEAR(EDATE(Einstellungen!$E$6,3)),MONTH(EDATE(Einstellungen!$E$6,3)),21),"")</x:f>
        <x:v>46012</x:v>
      </x:c>
      <x:c r="B135" s="12" t="str">
        <x:f>IF(A135="","",CHOOSE(WEEKDAY(A135,2),"Mo","Di","Mi","Do","Fr","Sa","So"))</x:f>
        <x:v>So</x:v>
      </x:c>
      <x:c r="C135" s="12">
        <x:f>IF(A135="","",ISOWEEKNUM(A135))</x:f>
        <x:v>51</x:v>
      </x:c>
      <x:c r="D135" s="11">
        <x:f>IF(A135="","",IFERROR(INDEX(Einstellungen!$B$19:$B$118,MATCH(A135,Einstellungen!$A$19:$A$118,0)),""))</x:f>
      </x:c>
      <x:c r="E135" s="18" t="inlineStr">
        <x:is>
          <x:t xml:space="preserve"/>
        </x:is>
      </x:c>
      <x:c r="F135" s="18" t="inlineStr">
        <x:is>
          <x:t xml:space="preserve"/>
        </x:is>
      </x:c>
      <x:c r="G135" s="18" t="inlineStr">
        <x:is>
          <x:t xml:space="preserve"/>
        </x:is>
      </x:c>
      <x:c r="H135" s="18" t="inlineStr">
        <x:is>
          <x:t xml:space="preserve"/>
        </x:is>
      </x:c>
      <x:c r="I135" s="18" t="inlineStr">
        <x:is>
          <x:t xml:space="preserve"/>
        </x:is>
      </x:c>
      <x:c r="J135" s="17">
        <x:f>IF(A135="","",SUM(E135:I135))</x:f>
        <x:v>0</x:v>
      </x:c>
    </x:row>
    <x:row r="136">
      <x:c r="A136" s="10">
        <x:f>IF(22&lt;=DAY(EOMONTH(EDATE(Einstellungen!$E$6,3),0)),DATE(YEAR(EDATE(Einstellungen!$E$6,3)),MONTH(EDATE(Einstellungen!$E$6,3)),22),"")</x:f>
        <x:v>46013</x:v>
      </x:c>
      <x:c r="B136" s="12" t="str">
        <x:f>IF(A136="","",CHOOSE(WEEKDAY(A136,2),"Mo","Di","Mi","Do","Fr","Sa","So"))</x:f>
        <x:v>Mo</x:v>
      </x:c>
      <x:c r="C136" s="12">
        <x:f>IF(A136="","",ISOWEEKNUM(A136))</x:f>
        <x:v>52</x:v>
      </x:c>
      <x:c r="D136" s="11">
        <x:f>IF(A136="","",IFERROR(INDEX(Einstellungen!$B$19:$B$118,MATCH(A136,Einstellungen!$A$19:$A$118,0)),""))</x:f>
      </x:c>
      <x:c r="E136" s="17" t="n">
        <x:v>5.5</x:v>
      </x:c>
      <x:c r="F136" s="17" t="n">
        <x:v>0.75</x:v>
      </x:c>
      <x:c r="G136" s="17" t="n">
        <x:v>0.5</x:v>
      </x:c>
      <x:c r="H136" s="17" t="n">
        <x:v>0.5</x:v>
      </x:c>
      <x:c r="I136" s="17" t="n">
        <x:v>0.25</x:v>
      </x:c>
      <x:c r="J136" s="17">
        <x:f>IF(A136="","",SUM(E136:I136))</x:f>
        <x:v>7.5</x:v>
      </x:c>
    </x:row>
    <x:row r="137">
      <x:c r="A137" s="10">
        <x:f>IF(23&lt;=DAY(EOMONTH(EDATE(Einstellungen!$E$6,3),0)),DATE(YEAR(EDATE(Einstellungen!$E$6,3)),MONTH(EDATE(Einstellungen!$E$6,3)),23),"")</x:f>
        <x:v>46014</x:v>
      </x:c>
      <x:c r="B137" s="12" t="str">
        <x:f>IF(A137="","",CHOOSE(WEEKDAY(A137,2),"Mo","Di","Mi","Do","Fr","Sa","So"))</x:f>
        <x:v>Di</x:v>
      </x:c>
      <x:c r="C137" s="12">
        <x:f>IF(A137="","",ISOWEEKNUM(A137))</x:f>
        <x:v>52</x:v>
      </x:c>
      <x:c r="D137" s="11">
        <x:f>IF(A137="","",IFERROR(INDEX(Einstellungen!$B$19:$B$118,MATCH(A137,Einstellungen!$A$19:$A$118,0)),""))</x:f>
      </x:c>
      <x:c r="E137" s="17" t="n">
        <x:v>6</x:v>
      </x:c>
      <x:c r="F137" s="17" t="n">
        <x:v>0.5</x:v>
      </x:c>
      <x:c r="G137" s="17" t="n">
        <x:v>1.5</x:v>
      </x:c>
      <x:c r="H137" s="17" t="n">
        <x:v>0.25</x:v>
      </x:c>
      <x:c r="I137" s="17" t="n">
        <x:v>0.25</x:v>
      </x:c>
      <x:c r="J137" s="17">
        <x:f>IF(A137="","",SUM(E137:I137))</x:f>
        <x:v>8.5</x:v>
      </x:c>
    </x:row>
    <x:row r="138">
      <x:c r="A138" s="10">
        <x:f>IF(24&lt;=DAY(EOMONTH(EDATE(Einstellungen!$E$6,3),0)),DATE(YEAR(EDATE(Einstellungen!$E$6,3)),MONTH(EDATE(Einstellungen!$E$6,3)),24),"")</x:f>
        <x:v>46015</x:v>
      </x:c>
      <x:c r="B138" s="12" t="str">
        <x:f>IF(A138="","",CHOOSE(WEEKDAY(A138,2),"Mo","Di","Mi","Do","Fr","Sa","So"))</x:f>
        <x:v>Mi</x:v>
      </x:c>
      <x:c r="C138" s="12">
        <x:f>IF(A138="","",ISOWEEKNUM(A138))</x:f>
        <x:v>52</x:v>
      </x:c>
      <x:c r="D138" s="11" t="str">
        <x:f>IF(A138="","",IFERROR(INDEX(Einstellungen!$B$19:$B$118,MATCH(A138,Einstellungen!$A$19:$A$118,0)),""))</x:f>
        <x:v>Weihnachtspause</x:v>
      </x:c>
      <x:c r="E138" s="17" t="n">
        <x:v>6.5</x:v>
      </x:c>
      <x:c r="F138" s="17" t="n">
        <x:v>0.75</x:v>
      </x:c>
      <x:c r="G138" s="17" t="n">
        <x:v>0.5</x:v>
      </x:c>
      <x:c r="H138" s="17" t="n">
        <x:v>0.25</x:v>
      </x:c>
      <x:c r="I138" s="17" t="n">
        <x:v>0.25</x:v>
      </x:c>
      <x:c r="J138" s="17">
        <x:f>IF(A138="","",SUM(E138:I138))</x:f>
        <x:v>8.25</x:v>
      </x:c>
    </x:row>
    <x:row r="139">
      <x:c r="A139" s="10">
        <x:f>IF(25&lt;=DAY(EOMONTH(EDATE(Einstellungen!$E$6,3),0)),DATE(YEAR(EDATE(Einstellungen!$E$6,3)),MONTH(EDATE(Einstellungen!$E$6,3)),25),"")</x:f>
        <x:v>46016</x:v>
      </x:c>
      <x:c r="B139" s="12" t="str">
        <x:f>IF(A139="","",CHOOSE(WEEKDAY(A139,2),"Mo","Di","Mi","Do","Fr","Sa","So"))</x:f>
        <x:v>Do</x:v>
      </x:c>
      <x:c r="C139" s="12">
        <x:f>IF(A139="","",ISOWEEKNUM(A139))</x:f>
        <x:v>52</x:v>
      </x:c>
      <x:c r="D139" s="11" t="str">
        <x:f>IF(A139="","",IFERROR(INDEX(Einstellungen!$B$19:$B$118,MATCH(A139,Einstellungen!$A$19:$A$118,0)),""))</x:f>
        <x:v>1. Weihnachtstag</x:v>
      </x:c>
      <x:c r="E139" s="17" t="n">
        <x:v>5.5</x:v>
      </x:c>
      <x:c r="F139" s="17" t="n">
        <x:v>0.5</x:v>
      </x:c>
      <x:c r="G139" s="17" t="n">
        <x:v>1.5</x:v>
      </x:c>
      <x:c r="H139" s="17" t="n">
        <x:v>0.25</x:v>
      </x:c>
      <x:c r="I139" s="17" t="n">
        <x:v>0.5</x:v>
      </x:c>
      <x:c r="J139" s="17">
        <x:f>IF(A139="","",SUM(E139:I139))</x:f>
        <x:v>8.25</x:v>
      </x:c>
    </x:row>
    <x:row r="140">
      <x:c r="A140" s="10">
        <x:f>IF(26&lt;=DAY(EOMONTH(EDATE(Einstellungen!$E$6,3),0)),DATE(YEAR(EDATE(Einstellungen!$E$6,3)),MONTH(EDATE(Einstellungen!$E$6,3)),26),"")</x:f>
        <x:v>46017</x:v>
      </x:c>
      <x:c r="B140" s="12" t="str">
        <x:f>IF(A140="","",CHOOSE(WEEKDAY(A140,2),"Mo","Di","Mi","Do","Fr","Sa","So"))</x:f>
        <x:v>Fr</x:v>
      </x:c>
      <x:c r="C140" s="12">
        <x:f>IF(A140="","",ISOWEEKNUM(A140))</x:f>
        <x:v>52</x:v>
      </x:c>
      <x:c r="D140" s="11">
        <x:f>IF(A140="","",IFERROR(INDEX(Einstellungen!$B$19:$B$118,MATCH(A140,Einstellungen!$A$19:$A$118,0)),""))</x:f>
      </x:c>
      <x:c r="E140" s="17" t="n">
        <x:v>6</x:v>
      </x:c>
      <x:c r="F140" s="17" t="n">
        <x:v>0.5</x:v>
      </x:c>
      <x:c r="G140" s="17" t="n">
        <x:v>0.5</x:v>
      </x:c>
      <x:c r="H140" s="17" t="n">
        <x:v>0.5</x:v>
      </x:c>
      <x:c r="I140" s="17" t="n">
        <x:v>0.25</x:v>
      </x:c>
      <x:c r="J140" s="17">
        <x:f>IF(A140="","",SUM(E140:I140))</x:f>
        <x:v>7.75</x:v>
      </x:c>
    </x:row>
    <x:row r="141">
      <x:c r="A141" s="10">
        <x:f>IF(27&lt;=DAY(EOMONTH(EDATE(Einstellungen!$E$6,3),0)),DATE(YEAR(EDATE(Einstellungen!$E$6,3)),MONTH(EDATE(Einstellungen!$E$6,3)),27),"")</x:f>
        <x:v>46018</x:v>
      </x:c>
      <x:c r="B141" s="12" t="str">
        <x:f>IF(A141="","",CHOOSE(WEEKDAY(A141,2),"Mo","Di","Mi","Do","Fr","Sa","So"))</x:f>
        <x:v>Sa</x:v>
      </x:c>
      <x:c r="C141" s="12">
        <x:f>IF(A141="","",ISOWEEKNUM(A141))</x:f>
        <x:v>52</x:v>
      </x:c>
      <x:c r="D141" s="11">
        <x:f>IF(A141="","",IFERROR(INDEX(Einstellungen!$B$19:$B$118,MATCH(A141,Einstellungen!$A$19:$A$118,0)),""))</x:f>
      </x:c>
      <x:c r="E141" s="18" t="inlineStr">
        <x:is>
          <x:t xml:space="preserve"/>
        </x:is>
      </x:c>
      <x:c r="F141" s="18" t="inlineStr">
        <x:is>
          <x:t xml:space="preserve"/>
        </x:is>
      </x:c>
      <x:c r="G141" s="18" t="inlineStr">
        <x:is>
          <x:t xml:space="preserve"/>
        </x:is>
      </x:c>
      <x:c r="H141" s="18" t="inlineStr">
        <x:is>
          <x:t xml:space="preserve"/>
        </x:is>
      </x:c>
      <x:c r="I141" s="18" t="inlineStr">
        <x:is>
          <x:t xml:space="preserve"/>
        </x:is>
      </x:c>
      <x:c r="J141" s="17">
        <x:f>IF(A141="","",SUM(E141:I141))</x:f>
        <x:v>0</x:v>
      </x:c>
    </x:row>
    <x:row r="142">
      <x:c r="A142" s="10">
        <x:f>IF(28&lt;=DAY(EOMONTH(EDATE(Einstellungen!$E$6,3),0)),DATE(YEAR(EDATE(Einstellungen!$E$6,3)),MONTH(EDATE(Einstellungen!$E$6,3)),28),"")</x:f>
        <x:v>46019</x:v>
      </x:c>
      <x:c r="B142" s="12" t="str">
        <x:f>IF(A142="","",CHOOSE(WEEKDAY(A142,2),"Mo","Di","Mi","Do","Fr","Sa","So"))</x:f>
        <x:v>So</x:v>
      </x:c>
      <x:c r="C142" s="12">
        <x:f>IF(A142="","",ISOWEEKNUM(A142))</x:f>
        <x:v>52</x:v>
      </x:c>
      <x:c r="D142" s="11">
        <x:f>IF(A142="","",IFERROR(INDEX(Einstellungen!$B$19:$B$118,MATCH(A142,Einstellungen!$A$19:$A$118,0)),""))</x:f>
      </x:c>
      <x:c r="E142" s="18" t="inlineStr">
        <x:is>
          <x:t xml:space="preserve"/>
        </x:is>
      </x:c>
      <x:c r="F142" s="18" t="inlineStr">
        <x:is>
          <x:t xml:space="preserve"/>
        </x:is>
      </x:c>
      <x:c r="G142" s="18" t="inlineStr">
        <x:is>
          <x:t xml:space="preserve"/>
        </x:is>
      </x:c>
      <x:c r="H142" s="18" t="inlineStr">
        <x:is>
          <x:t xml:space="preserve"/>
        </x:is>
      </x:c>
      <x:c r="I142" s="18" t="inlineStr">
        <x:is>
          <x:t xml:space="preserve"/>
        </x:is>
      </x:c>
      <x:c r="J142" s="17">
        <x:f>IF(A142="","",SUM(E142:I142))</x:f>
        <x:v>0</x:v>
      </x:c>
    </x:row>
    <x:row r="143">
      <x:c r="A143" s="10">
        <x:f>IF(29&lt;=DAY(EOMONTH(EDATE(Einstellungen!$E$6,3),0)),DATE(YEAR(EDATE(Einstellungen!$E$6,3)),MONTH(EDATE(Einstellungen!$E$6,3)),29),"")</x:f>
        <x:v>46020</x:v>
      </x:c>
      <x:c r="B143" s="12" t="str">
        <x:f>IF(A143="","",CHOOSE(WEEKDAY(A143,2),"Mo","Di","Mi","Do","Fr","Sa","So"))</x:f>
        <x:v>Mo</x:v>
      </x:c>
      <x:c r="C143" s="12">
        <x:f>IF(A143="","",ISOWEEKNUM(A143))</x:f>
        <x:v>1</x:v>
      </x:c>
      <x:c r="D143" s="11">
        <x:f>IF(A143="","",IFERROR(INDEX(Einstellungen!$B$19:$B$118,MATCH(A143,Einstellungen!$A$19:$A$118,0)),""))</x:f>
      </x:c>
      <x:c r="E143" s="17" t="n">
        <x:v>5.5</x:v>
      </x:c>
      <x:c r="F143" s="17" t="n">
        <x:v>0.75</x:v>
      </x:c>
      <x:c r="G143" s="17" t="n">
        <x:v>0.5</x:v>
      </x:c>
      <x:c r="H143" s="17" t="n">
        <x:v>0.5</x:v>
      </x:c>
      <x:c r="I143" s="17" t="n">
        <x:v>0.25</x:v>
      </x:c>
      <x:c r="J143" s="17">
        <x:f>IF(A143="","",SUM(E143:I143))</x:f>
        <x:v>7.5</x:v>
      </x:c>
    </x:row>
    <x:row r="144">
      <x:c r="A144" s="10">
        <x:f>IF(30&lt;=DAY(EOMONTH(EDATE(Einstellungen!$E$6,3),0)),DATE(YEAR(EDATE(Einstellungen!$E$6,3)),MONTH(EDATE(Einstellungen!$E$6,3)),30),"")</x:f>
        <x:v>46021</x:v>
      </x:c>
      <x:c r="B144" s="12" t="str">
        <x:f>IF(A144="","",CHOOSE(WEEKDAY(A144,2),"Mo","Di","Mi","Do","Fr","Sa","So"))</x:f>
        <x:v>Di</x:v>
      </x:c>
      <x:c r="C144" s="12">
        <x:f>IF(A144="","",ISOWEEKNUM(A144))</x:f>
        <x:v>1</x:v>
      </x:c>
      <x:c r="D144" s="11">
        <x:f>IF(A144="","",IFERROR(INDEX(Einstellungen!$B$19:$B$118,MATCH(A144,Einstellungen!$A$19:$A$118,0)),""))</x:f>
      </x:c>
      <x:c r="E144" s="17" t="n">
        <x:v>6</x:v>
      </x:c>
      <x:c r="F144" s="17" t="n">
        <x:v>0.5</x:v>
      </x:c>
      <x:c r="G144" s="17" t="n">
        <x:v>1.5</x:v>
      </x:c>
      <x:c r="H144" s="17" t="n">
        <x:v>0.25</x:v>
      </x:c>
      <x:c r="I144" s="17" t="n">
        <x:v>0.25</x:v>
      </x:c>
      <x:c r="J144" s="17">
        <x:f>IF(A144="","",SUM(E144:I144))</x:f>
        <x:v>8.5</x:v>
      </x:c>
    </x:row>
    <x:row r="145">
      <x:c r="A145" s="10">
        <x:f>IF(31&lt;=DAY(EOMONTH(EDATE(Einstellungen!$E$6,3),0)),DATE(YEAR(EDATE(Einstellungen!$E$6,3)),MONTH(EDATE(Einstellungen!$E$6,3)),31),"")</x:f>
        <x:v>46022</x:v>
      </x:c>
      <x:c r="B145" s="12" t="str">
        <x:f>IF(A145="","",CHOOSE(WEEKDAY(A145,2),"Mo","Di","Mi","Do","Fr","Sa","So"))</x:f>
        <x:v>Mi</x:v>
      </x:c>
      <x:c r="C145" s="12">
        <x:f>IF(A145="","",ISOWEEKNUM(A145))</x:f>
        <x:v>1</x:v>
      </x:c>
      <x:c r="D145" s="11">
        <x:f>IF(A145="","",IFERROR(INDEX(Einstellungen!$B$19:$B$118,MATCH(A145,Einstellungen!$A$19:$A$118,0)),""))</x:f>
      </x:c>
      <x:c r="E145" s="17" t="n">
        <x:v>6.5</x:v>
      </x:c>
      <x:c r="F145" s="17" t="n">
        <x:v>0.75</x:v>
      </x:c>
      <x:c r="G145" s="17" t="n">
        <x:v>0.5</x:v>
      </x:c>
      <x:c r="H145" s="17" t="n">
        <x:v>0.25</x:v>
      </x:c>
      <x:c r="I145" s="17" t="n">
        <x:v>0.25</x:v>
      </x:c>
      <x:c r="J145" s="17">
        <x:f>IF(A145="","",SUM(E145:I145))</x:f>
        <x:v>8.25</x:v>
      </x:c>
    </x:row>
    <x:row r="146">
      <x:c r="A146" s="4" t="inlineStr">
        <x:is>
          <x:t xml:space="preserve">Monatssumme</x:t>
        </x:is>
      </x:c>
      <x:c r="B146" s="15" t="n"/>
      <x:c r="C146" s="15" t="n"/>
      <x:c r="D146" s="15" t="n"/>
      <x:c r="E146" s="19">
        <x:f>SUM(E115:E145)</x:f>
        <x:v>136</x:v>
      </x:c>
      <x:c r="F146" s="19">
        <x:f>SUM(F115:F145)</x:f>
        <x:v>14</x:v>
      </x:c>
      <x:c r="G146" s="19">
        <x:f>SUM(G115:G145)</x:f>
        <x:v>20.5</x:v>
      </x:c>
      <x:c r="H146" s="19">
        <x:f>SUM(H115:H145)</x:f>
        <x:v>8</x:v>
      </x:c>
      <x:c r="I146" s="19">
        <x:f>SUM(I115:I145)</x:f>
        <x:v>6.5</x:v>
      </x:c>
      <x:c r="J146" s="19">
        <x:f>SUM(J115:J145)</x:f>
        <x:v>185</x:v>
      </x:c>
    </x:row>
    <x:row r="147">
      <x:c r="A147" s="20" t="n"/>
      <x:c r="B147" s="20" t="n"/>
      <x:c r="C147" s="20" t="n"/>
      <x:c r="D147" s="20" t="n"/>
      <x:c r="E147" s="20" t="n"/>
      <x:c r="F147" s="20" t="n"/>
      <x:c r="G147" s="20" t="n"/>
      <x:c r="H147" s="20" t="n"/>
      <x:c r="I147" s="20" t="n"/>
      <x:c r="J147" s="20" t="n"/>
    </x:row>
    <x:row r="148">
      <x:c r="A148" s="20" t="n"/>
      <x:c r="B148" s="20" t="n"/>
      <x:c r="C148" s="20" t="n"/>
      <x:c r="D148" s="20" t="n"/>
      <x:c r="E148" s="20" t="n"/>
      <x:c r="F148" s="20" t="n"/>
      <x:c r="G148" s="20" t="n"/>
      <x:c r="H148" s="20" t="n"/>
      <x:c r="I148" s="20" t="n"/>
      <x:c r="J148" s="20" t="n"/>
    </x:row>
    <x:row r="149">
      <x:c r="A149" s="15" t="str">
        <x:f>INDEX(Einstellungen!$J$2:$J$13,MONTH(EDATE(Einstellungen!$E$6,4)))&amp;" "&amp;YEAR(EDATE(Einstellungen!$E$6,4))</x:f>
        <x:v>Januar 2026</x:v>
      </x:c>
    </x:row>
    <x:row r="150">
      <x:c r="A150" s="16" t="inlineStr">
        <x:is>
          <x:t xml:space="preserve">Datum</x:t>
        </x:is>
      </x:c>
      <x:c r="B150" s="16" t="inlineStr">
        <x:is>
          <x:t xml:space="preserve">Tag</x:t>
        </x:is>
      </x:c>
      <x:c r="C150" s="16" t="inlineStr">
        <x:is>
          <x:t xml:space="preserve">KW</x:t>
        </x:is>
      </x:c>
      <x:c r="D150" s="16" t="inlineStr">
        <x:is>
          <x:t xml:space="preserve">Feiertag / Termin</x:t>
        </x:is>
      </x:c>
      <x:c r="E150" s="16" t="str">
        <x:f>Einstellungen!$B$11</x:f>
        <x:v>Arbeitszeit</x:v>
      </x:c>
      <x:c r="F150" s="16" t="str">
        <x:f>Einstellungen!$B$12</x:f>
        <x:v>E-Mail</x:v>
      </x:c>
      <x:c r="G150" s="16" t="str">
        <x:f>Einstellungen!$B$13</x:f>
        <x:v>Meetings</x:v>
      </x:c>
      <x:c r="H150" s="16" t="str">
        <x:f>Einstellungen!$B$14</x:f>
        <x:v>Telefonate</x:v>
      </x:c>
      <x:c r="I150" s="16" t="str">
        <x:f>Einstellungen!$B$15</x:f>
        <x:v>Sonstiges</x:v>
      </x:c>
      <x:c r="J150" s="16" t="inlineStr">
        <x:is>
          <x:t xml:space="preserve">Gesamt</x:t>
        </x:is>
      </x:c>
    </x:row>
    <x:row r="151">
      <x:c r="A151" s="10">
        <x:f>IF(1&lt;=DAY(EOMONTH(EDATE(Einstellungen!$E$6,4),0)),DATE(YEAR(EDATE(Einstellungen!$E$6,4)),MONTH(EDATE(Einstellungen!$E$6,4)),1),"")</x:f>
        <x:v>46023</x:v>
      </x:c>
      <x:c r="B151" s="12" t="str">
        <x:f>IF(A151="","",CHOOSE(WEEKDAY(A151,2),"Mo","Di","Mi","Do","Fr","Sa","So"))</x:f>
        <x:v>Do</x:v>
      </x:c>
      <x:c r="C151" s="12">
        <x:f>IF(A151="","",ISOWEEKNUM(A151))</x:f>
        <x:v>1</x:v>
      </x:c>
      <x:c r="D151" s="11" t="str">
        <x:f>IF(A151="","",IFERROR(INDEX(Einstellungen!$B$19:$B$118,MATCH(A151,Einstellungen!$A$19:$A$118,0)),""))</x:f>
        <x:v>Neujahr</x:v>
      </x:c>
      <x:c r="E151" s="17" t="n">
        <x:v>5.5</x:v>
      </x:c>
      <x:c r="F151" s="17" t="n">
        <x:v>0.5</x:v>
      </x:c>
      <x:c r="G151" s="17" t="n">
        <x:v>1.5</x:v>
      </x:c>
      <x:c r="H151" s="17" t="n">
        <x:v>0.25</x:v>
      </x:c>
      <x:c r="I151" s="17" t="n">
        <x:v>0.25</x:v>
      </x:c>
      <x:c r="J151" s="17">
        <x:f>IF(A151="","",SUM(E151:I151))</x:f>
        <x:v>8</x:v>
      </x:c>
    </x:row>
    <x:row r="152">
      <x:c r="A152" s="10">
        <x:f>IF(2&lt;=DAY(EOMONTH(EDATE(Einstellungen!$E$6,4),0)),DATE(YEAR(EDATE(Einstellungen!$E$6,4)),MONTH(EDATE(Einstellungen!$E$6,4)),2),"")</x:f>
        <x:v>46024</x:v>
      </x:c>
      <x:c r="B152" s="12" t="str">
        <x:f>IF(A152="","",CHOOSE(WEEKDAY(A152,2),"Mo","Di","Mi","Do","Fr","Sa","So"))</x:f>
        <x:v>Fr</x:v>
      </x:c>
      <x:c r="C152" s="12">
        <x:f>IF(A152="","",ISOWEEKNUM(A152))</x:f>
        <x:v>1</x:v>
      </x:c>
      <x:c r="D152" s="11">
        <x:f>IF(A152="","",IFERROR(INDEX(Einstellungen!$B$19:$B$118,MATCH(A152,Einstellungen!$A$19:$A$118,0)),""))</x:f>
      </x:c>
      <x:c r="E152" s="17" t="n">
        <x:v>6</x:v>
      </x:c>
      <x:c r="F152" s="17" t="n">
        <x:v>0.5</x:v>
      </x:c>
      <x:c r="G152" s="17" t="n">
        <x:v>0.5</x:v>
      </x:c>
      <x:c r="H152" s="17" t="n">
        <x:v>0.5</x:v>
      </x:c>
      <x:c r="I152" s="17" t="n">
        <x:v>0.25</x:v>
      </x:c>
      <x:c r="J152" s="17">
        <x:f>IF(A152="","",SUM(E152:I152))</x:f>
        <x:v>7.75</x:v>
      </x:c>
    </x:row>
    <x:row r="153">
      <x:c r="A153" s="10">
        <x:f>IF(3&lt;=DAY(EOMONTH(EDATE(Einstellungen!$E$6,4),0)),DATE(YEAR(EDATE(Einstellungen!$E$6,4)),MONTH(EDATE(Einstellungen!$E$6,4)),3),"")</x:f>
        <x:v>46025</x:v>
      </x:c>
      <x:c r="B153" s="12" t="str">
        <x:f>IF(A153="","",CHOOSE(WEEKDAY(A153,2),"Mo","Di","Mi","Do","Fr","Sa","So"))</x:f>
        <x:v>Sa</x:v>
      </x:c>
      <x:c r="C153" s="12">
        <x:f>IF(A153="","",ISOWEEKNUM(A153))</x:f>
        <x:v>1</x:v>
      </x:c>
      <x:c r="D153" s="11">
        <x:f>IF(A153="","",IFERROR(INDEX(Einstellungen!$B$19:$B$118,MATCH(A153,Einstellungen!$A$19:$A$118,0)),""))</x:f>
      </x:c>
      <x:c r="E153" s="18" t="inlineStr">
        <x:is>
          <x:t xml:space="preserve"/>
        </x:is>
      </x:c>
      <x:c r="F153" s="18" t="inlineStr">
        <x:is>
          <x:t xml:space="preserve"/>
        </x:is>
      </x:c>
      <x:c r="G153" s="18" t="inlineStr">
        <x:is>
          <x:t xml:space="preserve"/>
        </x:is>
      </x:c>
      <x:c r="H153" s="18" t="inlineStr">
        <x:is>
          <x:t xml:space="preserve"/>
        </x:is>
      </x:c>
      <x:c r="I153" s="18" t="inlineStr">
        <x:is>
          <x:t xml:space="preserve"/>
        </x:is>
      </x:c>
      <x:c r="J153" s="17">
        <x:f>IF(A153="","",SUM(E153:I153))</x:f>
        <x:v>0</x:v>
      </x:c>
    </x:row>
    <x:row r="154">
      <x:c r="A154" s="10">
        <x:f>IF(4&lt;=DAY(EOMONTH(EDATE(Einstellungen!$E$6,4),0)),DATE(YEAR(EDATE(Einstellungen!$E$6,4)),MONTH(EDATE(Einstellungen!$E$6,4)),4),"")</x:f>
        <x:v>46026</x:v>
      </x:c>
      <x:c r="B154" s="12" t="str">
        <x:f>IF(A154="","",CHOOSE(WEEKDAY(A154,2),"Mo","Di","Mi","Do","Fr","Sa","So"))</x:f>
        <x:v>So</x:v>
      </x:c>
      <x:c r="C154" s="12">
        <x:f>IF(A154="","",ISOWEEKNUM(A154))</x:f>
        <x:v>1</x:v>
      </x:c>
      <x:c r="D154" s="11">
        <x:f>IF(A154="","",IFERROR(INDEX(Einstellungen!$B$19:$B$118,MATCH(A154,Einstellungen!$A$19:$A$118,0)),""))</x:f>
      </x:c>
      <x:c r="E154" s="18" t="inlineStr">
        <x:is>
          <x:t xml:space="preserve"/>
        </x:is>
      </x:c>
      <x:c r="F154" s="18" t="inlineStr">
        <x:is>
          <x:t xml:space="preserve"/>
        </x:is>
      </x:c>
      <x:c r="G154" s="18" t="inlineStr">
        <x:is>
          <x:t xml:space="preserve"/>
        </x:is>
      </x:c>
      <x:c r="H154" s="18" t="inlineStr">
        <x:is>
          <x:t xml:space="preserve"/>
        </x:is>
      </x:c>
      <x:c r="I154" s="18" t="inlineStr">
        <x:is>
          <x:t xml:space="preserve"/>
        </x:is>
      </x:c>
      <x:c r="J154" s="17">
        <x:f>IF(A154="","",SUM(E154:I154))</x:f>
        <x:v>0</x:v>
      </x:c>
    </x:row>
    <x:row r="155">
      <x:c r="A155" s="10">
        <x:f>IF(5&lt;=DAY(EOMONTH(EDATE(Einstellungen!$E$6,4),0)),DATE(YEAR(EDATE(Einstellungen!$E$6,4)),MONTH(EDATE(Einstellungen!$E$6,4)),5),"")</x:f>
        <x:v>46027</x:v>
      </x:c>
      <x:c r="B155" s="12" t="str">
        <x:f>IF(A155="","",CHOOSE(WEEKDAY(A155,2),"Mo","Di","Mi","Do","Fr","Sa","So"))</x:f>
        <x:v>Mo</x:v>
      </x:c>
      <x:c r="C155" s="12">
        <x:f>IF(A155="","",ISOWEEKNUM(A155))</x:f>
        <x:v>2</x:v>
      </x:c>
      <x:c r="D155" s="11">
        <x:f>IF(A155="","",IFERROR(INDEX(Einstellungen!$B$19:$B$118,MATCH(A155,Einstellungen!$A$19:$A$118,0)),""))</x:f>
      </x:c>
      <x:c r="E155" s="17" t="n">
        <x:v>5.5</x:v>
      </x:c>
      <x:c r="F155" s="17" t="n">
        <x:v>0.75</x:v>
      </x:c>
      <x:c r="G155" s="17" t="n">
        <x:v>0.5</x:v>
      </x:c>
      <x:c r="H155" s="17" t="n">
        <x:v>0.5</x:v>
      </x:c>
      <x:c r="I155" s="17" t="n">
        <x:v>0.5</x:v>
      </x:c>
      <x:c r="J155" s="17">
        <x:f>IF(A155="","",SUM(E155:I155))</x:f>
        <x:v>7.75</x:v>
      </x:c>
    </x:row>
    <x:row r="156">
      <x:c r="A156" s="10">
        <x:f>IF(6&lt;=DAY(EOMONTH(EDATE(Einstellungen!$E$6,4),0)),DATE(YEAR(EDATE(Einstellungen!$E$6,4)),MONTH(EDATE(Einstellungen!$E$6,4)),6),"")</x:f>
        <x:v>46028</x:v>
      </x:c>
      <x:c r="B156" s="12" t="str">
        <x:f>IF(A156="","",CHOOSE(WEEKDAY(A156,2),"Mo","Di","Mi","Do","Fr","Sa","So"))</x:f>
        <x:v>Di</x:v>
      </x:c>
      <x:c r="C156" s="12">
        <x:f>IF(A156="","",ISOWEEKNUM(A156))</x:f>
        <x:v>2</x:v>
      </x:c>
      <x:c r="D156" s="11">
        <x:f>IF(A156="","",IFERROR(INDEX(Einstellungen!$B$19:$B$118,MATCH(A156,Einstellungen!$A$19:$A$118,0)),""))</x:f>
      </x:c>
      <x:c r="E156" s="17" t="n">
        <x:v>6</x:v>
      </x:c>
      <x:c r="F156" s="17" t="n">
        <x:v>0.5</x:v>
      </x:c>
      <x:c r="G156" s="17" t="n">
        <x:v>1.5</x:v>
      </x:c>
      <x:c r="H156" s="17" t="n">
        <x:v>0.25</x:v>
      </x:c>
      <x:c r="I156" s="17" t="n">
        <x:v>0.25</x:v>
      </x:c>
      <x:c r="J156" s="17">
        <x:f>IF(A156="","",SUM(E156:I156))</x:f>
        <x:v>8.5</x:v>
      </x:c>
    </x:row>
    <x:row r="157">
      <x:c r="A157" s="10">
        <x:f>IF(7&lt;=DAY(EOMONTH(EDATE(Einstellungen!$E$6,4),0)),DATE(YEAR(EDATE(Einstellungen!$E$6,4)),MONTH(EDATE(Einstellungen!$E$6,4)),7),"")</x:f>
        <x:v>46029</x:v>
      </x:c>
      <x:c r="B157" s="12" t="str">
        <x:f>IF(A157="","",CHOOSE(WEEKDAY(A157,2),"Mo","Di","Mi","Do","Fr","Sa","So"))</x:f>
        <x:v>Mi</x:v>
      </x:c>
      <x:c r="C157" s="12">
        <x:f>IF(A157="","",ISOWEEKNUM(A157))</x:f>
        <x:v>2</x:v>
      </x:c>
      <x:c r="D157" s="11">
        <x:f>IF(A157="","",IFERROR(INDEX(Einstellungen!$B$19:$B$118,MATCH(A157,Einstellungen!$A$19:$A$118,0)),""))</x:f>
      </x:c>
      <x:c r="E157" s="17" t="n">
        <x:v>6.5</x:v>
      </x:c>
      <x:c r="F157" s="17" t="n">
        <x:v>0.75</x:v>
      </x:c>
      <x:c r="G157" s="17" t="n">
        <x:v>0.5</x:v>
      </x:c>
      <x:c r="H157" s="17" t="n">
        <x:v>0.25</x:v>
      </x:c>
      <x:c r="I157" s="17" t="n">
        <x:v>0.25</x:v>
      </x:c>
      <x:c r="J157" s="17">
        <x:f>IF(A157="","",SUM(E157:I157))</x:f>
        <x:v>8.25</x:v>
      </x:c>
    </x:row>
    <x:row r="158">
      <x:c r="A158" s="10">
        <x:f>IF(8&lt;=DAY(EOMONTH(EDATE(Einstellungen!$E$6,4),0)),DATE(YEAR(EDATE(Einstellungen!$E$6,4)),MONTH(EDATE(Einstellungen!$E$6,4)),8),"")</x:f>
        <x:v>46030</x:v>
      </x:c>
      <x:c r="B158" s="12" t="str">
        <x:f>IF(A158="","",CHOOSE(WEEKDAY(A158,2),"Mo","Di","Mi","Do","Fr","Sa","So"))</x:f>
        <x:v>Do</x:v>
      </x:c>
      <x:c r="C158" s="12">
        <x:f>IF(A158="","",ISOWEEKNUM(A158))</x:f>
        <x:v>2</x:v>
      </x:c>
      <x:c r="D158" s="11">
        <x:f>IF(A158="","",IFERROR(INDEX(Einstellungen!$B$19:$B$118,MATCH(A158,Einstellungen!$A$19:$A$118,0)),""))</x:f>
      </x:c>
      <x:c r="E158" s="17" t="n">
        <x:v>5.5</x:v>
      </x:c>
      <x:c r="F158" s="17" t="n">
        <x:v>0.5</x:v>
      </x:c>
      <x:c r="G158" s="17" t="n">
        <x:v>1.5</x:v>
      </x:c>
      <x:c r="H158" s="17" t="n">
        <x:v>0.25</x:v>
      </x:c>
      <x:c r="I158" s="17" t="n">
        <x:v>0.25</x:v>
      </x:c>
      <x:c r="J158" s="17">
        <x:f>IF(A158="","",SUM(E158:I158))</x:f>
        <x:v>8</x:v>
      </x:c>
    </x:row>
    <x:row r="159">
      <x:c r="A159" s="10">
        <x:f>IF(9&lt;=DAY(EOMONTH(EDATE(Einstellungen!$E$6,4),0)),DATE(YEAR(EDATE(Einstellungen!$E$6,4)),MONTH(EDATE(Einstellungen!$E$6,4)),9),"")</x:f>
        <x:v>46031</x:v>
      </x:c>
      <x:c r="B159" s="12" t="str">
        <x:f>IF(A159="","",CHOOSE(WEEKDAY(A159,2),"Mo","Di","Mi","Do","Fr","Sa","So"))</x:f>
        <x:v>Fr</x:v>
      </x:c>
      <x:c r="C159" s="12">
        <x:f>IF(A159="","",ISOWEEKNUM(A159))</x:f>
        <x:v>2</x:v>
      </x:c>
      <x:c r="D159" s="11">
        <x:f>IF(A159="","",IFERROR(INDEX(Einstellungen!$B$19:$B$118,MATCH(A159,Einstellungen!$A$19:$A$118,0)),""))</x:f>
      </x:c>
      <x:c r="E159" s="17" t="n">
        <x:v>6</x:v>
      </x:c>
      <x:c r="F159" s="17" t="n">
        <x:v>0.5</x:v>
      </x:c>
      <x:c r="G159" s="17" t="n">
        <x:v>0.5</x:v>
      </x:c>
      <x:c r="H159" s="17" t="n">
        <x:v>0.5</x:v>
      </x:c>
      <x:c r="I159" s="17" t="n">
        <x:v>0.25</x:v>
      </x:c>
      <x:c r="J159" s="17">
        <x:f>IF(A159="","",SUM(E159:I159))</x:f>
        <x:v>7.75</x:v>
      </x:c>
    </x:row>
    <x:row r="160">
      <x:c r="A160" s="10">
        <x:f>IF(10&lt;=DAY(EOMONTH(EDATE(Einstellungen!$E$6,4),0)),DATE(YEAR(EDATE(Einstellungen!$E$6,4)),MONTH(EDATE(Einstellungen!$E$6,4)),10),"")</x:f>
        <x:v>46032</x:v>
      </x:c>
      <x:c r="B160" s="12" t="str">
        <x:f>IF(A160="","",CHOOSE(WEEKDAY(A160,2),"Mo","Di","Mi","Do","Fr","Sa","So"))</x:f>
        <x:v>Sa</x:v>
      </x:c>
      <x:c r="C160" s="12">
        <x:f>IF(A160="","",ISOWEEKNUM(A160))</x:f>
        <x:v>2</x:v>
      </x:c>
      <x:c r="D160" s="11">
        <x:f>IF(A160="","",IFERROR(INDEX(Einstellungen!$B$19:$B$118,MATCH(A160,Einstellungen!$A$19:$A$118,0)),""))</x:f>
      </x:c>
      <x:c r="E160" s="18" t="inlineStr">
        <x:is>
          <x:t xml:space="preserve"/>
        </x:is>
      </x:c>
      <x:c r="F160" s="18" t="inlineStr">
        <x:is>
          <x:t xml:space="preserve"/>
        </x:is>
      </x:c>
      <x:c r="G160" s="18" t="inlineStr">
        <x:is>
          <x:t xml:space="preserve"/>
        </x:is>
      </x:c>
      <x:c r="H160" s="18" t="inlineStr">
        <x:is>
          <x:t xml:space="preserve"/>
        </x:is>
      </x:c>
      <x:c r="I160" s="18" t="inlineStr">
        <x:is>
          <x:t xml:space="preserve"/>
        </x:is>
      </x:c>
      <x:c r="J160" s="17">
        <x:f>IF(A160="","",SUM(E160:I160))</x:f>
        <x:v>0</x:v>
      </x:c>
    </x:row>
    <x:row r="161">
      <x:c r="A161" s="10">
        <x:f>IF(11&lt;=DAY(EOMONTH(EDATE(Einstellungen!$E$6,4),0)),DATE(YEAR(EDATE(Einstellungen!$E$6,4)),MONTH(EDATE(Einstellungen!$E$6,4)),11),"")</x:f>
        <x:v>46033</x:v>
      </x:c>
      <x:c r="B161" s="12" t="str">
        <x:f>IF(A161="","",CHOOSE(WEEKDAY(A161,2),"Mo","Di","Mi","Do","Fr","Sa","So"))</x:f>
        <x:v>So</x:v>
      </x:c>
      <x:c r="C161" s="12">
        <x:f>IF(A161="","",ISOWEEKNUM(A161))</x:f>
        <x:v>2</x:v>
      </x:c>
      <x:c r="D161" s="11">
        <x:f>IF(A161="","",IFERROR(INDEX(Einstellungen!$B$19:$B$118,MATCH(A161,Einstellungen!$A$19:$A$118,0)),""))</x:f>
      </x:c>
      <x:c r="E161" s="18" t="inlineStr">
        <x:is>
          <x:t xml:space="preserve"/>
        </x:is>
      </x:c>
      <x:c r="F161" s="18" t="inlineStr">
        <x:is>
          <x:t xml:space="preserve"/>
        </x:is>
      </x:c>
      <x:c r="G161" s="18" t="inlineStr">
        <x:is>
          <x:t xml:space="preserve"/>
        </x:is>
      </x:c>
      <x:c r="H161" s="18" t="inlineStr">
        <x:is>
          <x:t xml:space="preserve"/>
        </x:is>
      </x:c>
      <x:c r="I161" s="18" t="inlineStr">
        <x:is>
          <x:t xml:space="preserve"/>
        </x:is>
      </x:c>
      <x:c r="J161" s="17">
        <x:f>IF(A161="","",SUM(E161:I161))</x:f>
        <x:v>0</x:v>
      </x:c>
    </x:row>
    <x:row r="162">
      <x:c r="A162" s="10">
        <x:f>IF(12&lt;=DAY(EOMONTH(EDATE(Einstellungen!$E$6,4),0)),DATE(YEAR(EDATE(Einstellungen!$E$6,4)),MONTH(EDATE(Einstellungen!$E$6,4)),12),"")</x:f>
        <x:v>46034</x:v>
      </x:c>
      <x:c r="B162" s="12" t="str">
        <x:f>IF(A162="","",CHOOSE(WEEKDAY(A162,2),"Mo","Di","Mi","Do","Fr","Sa","So"))</x:f>
        <x:v>Mo</x:v>
      </x:c>
      <x:c r="C162" s="12">
        <x:f>IF(A162="","",ISOWEEKNUM(A162))</x:f>
        <x:v>3</x:v>
      </x:c>
      <x:c r="D162" s="11">
        <x:f>IF(A162="","",IFERROR(INDEX(Einstellungen!$B$19:$B$118,MATCH(A162,Einstellungen!$A$19:$A$118,0)),""))</x:f>
      </x:c>
      <x:c r="E162" s="17" t="n">
        <x:v>5.5</x:v>
      </x:c>
      <x:c r="F162" s="17" t="n">
        <x:v>0.75</x:v>
      </x:c>
      <x:c r="G162" s="17" t="n">
        <x:v>0.5</x:v>
      </x:c>
      <x:c r="H162" s="17" t="n">
        <x:v>0.5</x:v>
      </x:c>
      <x:c r="I162" s="17" t="n">
        <x:v>0.25</x:v>
      </x:c>
      <x:c r="J162" s="17">
        <x:f>IF(A162="","",SUM(E162:I162))</x:f>
        <x:v>7.5</x:v>
      </x:c>
    </x:row>
    <x:row r="163">
      <x:c r="A163" s="10">
        <x:f>IF(13&lt;=DAY(EOMONTH(EDATE(Einstellungen!$E$6,4),0)),DATE(YEAR(EDATE(Einstellungen!$E$6,4)),MONTH(EDATE(Einstellungen!$E$6,4)),13),"")</x:f>
        <x:v>46035</x:v>
      </x:c>
      <x:c r="B163" s="12" t="str">
        <x:f>IF(A163="","",CHOOSE(WEEKDAY(A163,2),"Mo","Di","Mi","Do","Fr","Sa","So"))</x:f>
        <x:v>Di</x:v>
      </x:c>
      <x:c r="C163" s="12">
        <x:f>IF(A163="","",ISOWEEKNUM(A163))</x:f>
        <x:v>3</x:v>
      </x:c>
      <x:c r="D163" s="11">
        <x:f>IF(A163="","",IFERROR(INDEX(Einstellungen!$B$19:$B$118,MATCH(A163,Einstellungen!$A$19:$A$118,0)),""))</x:f>
      </x:c>
      <x:c r="E163" s="17" t="n">
        <x:v>6</x:v>
      </x:c>
      <x:c r="F163" s="17" t="n">
        <x:v>0.5</x:v>
      </x:c>
      <x:c r="G163" s="17" t="n">
        <x:v>1.5</x:v>
      </x:c>
      <x:c r="H163" s="17" t="n">
        <x:v>0.25</x:v>
      </x:c>
      <x:c r="I163" s="17" t="n">
        <x:v>0.25</x:v>
      </x:c>
      <x:c r="J163" s="17">
        <x:f>IF(A163="","",SUM(E163:I163))</x:f>
        <x:v>8.5</x:v>
      </x:c>
    </x:row>
    <x:row r="164">
      <x:c r="A164" s="10">
        <x:f>IF(14&lt;=DAY(EOMONTH(EDATE(Einstellungen!$E$6,4),0)),DATE(YEAR(EDATE(Einstellungen!$E$6,4)),MONTH(EDATE(Einstellungen!$E$6,4)),14),"")</x:f>
        <x:v>46036</x:v>
      </x:c>
      <x:c r="B164" s="12" t="str">
        <x:f>IF(A164="","",CHOOSE(WEEKDAY(A164,2),"Mo","Di","Mi","Do","Fr","Sa","So"))</x:f>
        <x:v>Mi</x:v>
      </x:c>
      <x:c r="C164" s="12">
        <x:f>IF(A164="","",ISOWEEKNUM(A164))</x:f>
        <x:v>3</x:v>
      </x:c>
      <x:c r="D164" s="11">
        <x:f>IF(A164="","",IFERROR(INDEX(Einstellungen!$B$19:$B$118,MATCH(A164,Einstellungen!$A$19:$A$118,0)),""))</x:f>
      </x:c>
      <x:c r="E164" s="17" t="n">
        <x:v>6.5</x:v>
      </x:c>
      <x:c r="F164" s="17" t="n">
        <x:v>0.75</x:v>
      </x:c>
      <x:c r="G164" s="17" t="n">
        <x:v>0.5</x:v>
      </x:c>
      <x:c r="H164" s="17" t="n">
        <x:v>0.25</x:v>
      </x:c>
      <x:c r="I164" s="17" t="n">
        <x:v>0.25</x:v>
      </x:c>
      <x:c r="J164" s="17">
        <x:f>IF(A164="","",SUM(E164:I164))</x:f>
        <x:v>8.25</x:v>
      </x:c>
    </x:row>
    <x:row r="165">
      <x:c r="A165" s="10">
        <x:f>IF(15&lt;=DAY(EOMONTH(EDATE(Einstellungen!$E$6,4),0)),DATE(YEAR(EDATE(Einstellungen!$E$6,4)),MONTH(EDATE(Einstellungen!$E$6,4)),15),"")</x:f>
        <x:v>46037</x:v>
      </x:c>
      <x:c r="B165" s="12" t="str">
        <x:f>IF(A165="","",CHOOSE(WEEKDAY(A165,2),"Mo","Di","Mi","Do","Fr","Sa","So"))</x:f>
        <x:v>Do</x:v>
      </x:c>
      <x:c r="C165" s="12">
        <x:f>IF(A165="","",ISOWEEKNUM(A165))</x:f>
        <x:v>3</x:v>
      </x:c>
      <x:c r="D165" s="11">
        <x:f>IF(A165="","",IFERROR(INDEX(Einstellungen!$B$19:$B$118,MATCH(A165,Einstellungen!$A$19:$A$118,0)),""))</x:f>
      </x:c>
      <x:c r="E165" s="17" t="n">
        <x:v>5.5</x:v>
      </x:c>
      <x:c r="F165" s="17" t="n">
        <x:v>0.5</x:v>
      </x:c>
      <x:c r="G165" s="17" t="n">
        <x:v>1.5</x:v>
      </x:c>
      <x:c r="H165" s="17" t="n">
        <x:v>0.25</x:v>
      </x:c>
      <x:c r="I165" s="17" t="n">
        <x:v>0.5</x:v>
      </x:c>
      <x:c r="J165" s="17">
        <x:f>IF(A165="","",SUM(E165:I165))</x:f>
        <x:v>8.25</x:v>
      </x:c>
    </x:row>
    <x:row r="166">
      <x:c r="A166" s="10">
        <x:f>IF(16&lt;=DAY(EOMONTH(EDATE(Einstellungen!$E$6,4),0)),DATE(YEAR(EDATE(Einstellungen!$E$6,4)),MONTH(EDATE(Einstellungen!$E$6,4)),16),"")</x:f>
        <x:v>46038</x:v>
      </x:c>
      <x:c r="B166" s="12" t="str">
        <x:f>IF(A166="","",CHOOSE(WEEKDAY(A166,2),"Mo","Di","Mi","Do","Fr","Sa","So"))</x:f>
        <x:v>Fr</x:v>
      </x:c>
      <x:c r="C166" s="12">
        <x:f>IF(A166="","",ISOWEEKNUM(A166))</x:f>
        <x:v>3</x:v>
      </x:c>
      <x:c r="D166" s="11">
        <x:f>IF(A166="","",IFERROR(INDEX(Einstellungen!$B$19:$B$118,MATCH(A166,Einstellungen!$A$19:$A$118,0)),""))</x:f>
      </x:c>
      <x:c r="E166" s="17" t="n">
        <x:v>6</x:v>
      </x:c>
      <x:c r="F166" s="17" t="n">
        <x:v>0.5</x:v>
      </x:c>
      <x:c r="G166" s="17" t="n">
        <x:v>0.5</x:v>
      </x:c>
      <x:c r="H166" s="17" t="n">
        <x:v>0.5</x:v>
      </x:c>
      <x:c r="I166" s="17" t="n">
        <x:v>0.25</x:v>
      </x:c>
      <x:c r="J166" s="17">
        <x:f>IF(A166="","",SUM(E166:I166))</x:f>
        <x:v>7.75</x:v>
      </x:c>
    </x:row>
    <x:row r="167">
      <x:c r="A167" s="10">
        <x:f>IF(17&lt;=DAY(EOMONTH(EDATE(Einstellungen!$E$6,4),0)),DATE(YEAR(EDATE(Einstellungen!$E$6,4)),MONTH(EDATE(Einstellungen!$E$6,4)),17),"")</x:f>
        <x:v>46039</x:v>
      </x:c>
      <x:c r="B167" s="12" t="str">
        <x:f>IF(A167="","",CHOOSE(WEEKDAY(A167,2),"Mo","Di","Mi","Do","Fr","Sa","So"))</x:f>
        <x:v>Sa</x:v>
      </x:c>
      <x:c r="C167" s="12">
        <x:f>IF(A167="","",ISOWEEKNUM(A167))</x:f>
        <x:v>3</x:v>
      </x:c>
      <x:c r="D167" s="11">
        <x:f>IF(A167="","",IFERROR(INDEX(Einstellungen!$B$19:$B$118,MATCH(A167,Einstellungen!$A$19:$A$118,0)),""))</x:f>
      </x:c>
      <x:c r="E167" s="18" t="inlineStr">
        <x:is>
          <x:t xml:space="preserve"/>
        </x:is>
      </x:c>
      <x:c r="F167" s="18" t="inlineStr">
        <x:is>
          <x:t xml:space="preserve"/>
        </x:is>
      </x:c>
      <x:c r="G167" s="18" t="inlineStr">
        <x:is>
          <x:t xml:space="preserve"/>
        </x:is>
      </x:c>
      <x:c r="H167" s="18" t="inlineStr">
        <x:is>
          <x:t xml:space="preserve"/>
        </x:is>
      </x:c>
      <x:c r="I167" s="18" t="inlineStr">
        <x:is>
          <x:t xml:space="preserve"/>
        </x:is>
      </x:c>
      <x:c r="J167" s="17">
        <x:f>IF(A167="","",SUM(E167:I167))</x:f>
        <x:v>0</x:v>
      </x:c>
    </x:row>
    <x:row r="168">
      <x:c r="A168" s="10">
        <x:f>IF(18&lt;=DAY(EOMONTH(EDATE(Einstellungen!$E$6,4),0)),DATE(YEAR(EDATE(Einstellungen!$E$6,4)),MONTH(EDATE(Einstellungen!$E$6,4)),18),"")</x:f>
        <x:v>46040</x:v>
      </x:c>
      <x:c r="B168" s="12" t="str">
        <x:f>IF(A168="","",CHOOSE(WEEKDAY(A168,2),"Mo","Di","Mi","Do","Fr","Sa","So"))</x:f>
        <x:v>So</x:v>
      </x:c>
      <x:c r="C168" s="12">
        <x:f>IF(A168="","",ISOWEEKNUM(A168))</x:f>
        <x:v>3</x:v>
      </x:c>
      <x:c r="D168" s="11">
        <x:f>IF(A168="","",IFERROR(INDEX(Einstellungen!$B$19:$B$118,MATCH(A168,Einstellungen!$A$19:$A$118,0)),""))</x:f>
      </x:c>
      <x:c r="E168" s="18" t="inlineStr">
        <x:is>
          <x:t xml:space="preserve"/>
        </x:is>
      </x:c>
      <x:c r="F168" s="18" t="inlineStr">
        <x:is>
          <x:t xml:space="preserve"/>
        </x:is>
      </x:c>
      <x:c r="G168" s="18" t="inlineStr">
        <x:is>
          <x:t xml:space="preserve"/>
        </x:is>
      </x:c>
      <x:c r="H168" s="18" t="inlineStr">
        <x:is>
          <x:t xml:space="preserve"/>
        </x:is>
      </x:c>
      <x:c r="I168" s="18" t="inlineStr">
        <x:is>
          <x:t xml:space="preserve"/>
        </x:is>
      </x:c>
      <x:c r="J168" s="17">
        <x:f>IF(A168="","",SUM(E168:I168))</x:f>
        <x:v>0</x:v>
      </x:c>
    </x:row>
    <x:row r="169">
      <x:c r="A169" s="10">
        <x:f>IF(19&lt;=DAY(EOMONTH(EDATE(Einstellungen!$E$6,4),0)),DATE(YEAR(EDATE(Einstellungen!$E$6,4)),MONTH(EDATE(Einstellungen!$E$6,4)),19),"")</x:f>
        <x:v>46041</x:v>
      </x:c>
      <x:c r="B169" s="12" t="str">
        <x:f>IF(A169="","",CHOOSE(WEEKDAY(A169,2),"Mo","Di","Mi","Do","Fr","Sa","So"))</x:f>
        <x:v>Mo</x:v>
      </x:c>
      <x:c r="C169" s="12">
        <x:f>IF(A169="","",ISOWEEKNUM(A169))</x:f>
        <x:v>4</x:v>
      </x:c>
      <x:c r="D169" s="11">
        <x:f>IF(A169="","",IFERROR(INDEX(Einstellungen!$B$19:$B$118,MATCH(A169,Einstellungen!$A$19:$A$118,0)),""))</x:f>
      </x:c>
      <x:c r="E169" s="17" t="n">
        <x:v>5.5</x:v>
      </x:c>
      <x:c r="F169" s="17" t="n">
        <x:v>0.75</x:v>
      </x:c>
      <x:c r="G169" s="17" t="n">
        <x:v>0.5</x:v>
      </x:c>
      <x:c r="H169" s="17" t="n">
        <x:v>0.5</x:v>
      </x:c>
      <x:c r="I169" s="17" t="n">
        <x:v>0.25</x:v>
      </x:c>
      <x:c r="J169" s="17">
        <x:f>IF(A169="","",SUM(E169:I169))</x:f>
        <x:v>7.5</x:v>
      </x:c>
    </x:row>
    <x:row r="170">
      <x:c r="A170" s="10">
        <x:f>IF(20&lt;=DAY(EOMONTH(EDATE(Einstellungen!$E$6,4),0)),DATE(YEAR(EDATE(Einstellungen!$E$6,4)),MONTH(EDATE(Einstellungen!$E$6,4)),20),"")</x:f>
        <x:v>46042</x:v>
      </x:c>
      <x:c r="B170" s="12" t="str">
        <x:f>IF(A170="","",CHOOSE(WEEKDAY(A170,2),"Mo","Di","Mi","Do","Fr","Sa","So"))</x:f>
        <x:v>Di</x:v>
      </x:c>
      <x:c r="C170" s="12">
        <x:f>IF(A170="","",ISOWEEKNUM(A170))</x:f>
        <x:v>4</x:v>
      </x:c>
      <x:c r="D170" s="11">
        <x:f>IF(A170="","",IFERROR(INDEX(Einstellungen!$B$19:$B$118,MATCH(A170,Einstellungen!$A$19:$A$118,0)),""))</x:f>
      </x:c>
      <x:c r="E170" s="17" t="n">
        <x:v>6</x:v>
      </x:c>
      <x:c r="F170" s="17" t="n">
        <x:v>0.5</x:v>
      </x:c>
      <x:c r="G170" s="17" t="n">
        <x:v>1.5</x:v>
      </x:c>
      <x:c r="H170" s="17" t="n">
        <x:v>0.25</x:v>
      </x:c>
      <x:c r="I170" s="17" t="n">
        <x:v>0.25</x:v>
      </x:c>
      <x:c r="J170" s="17">
        <x:f>IF(A170="","",SUM(E170:I170))</x:f>
        <x:v>8.5</x:v>
      </x:c>
    </x:row>
    <x:row r="171">
      <x:c r="A171" s="10">
        <x:f>IF(21&lt;=DAY(EOMONTH(EDATE(Einstellungen!$E$6,4),0)),DATE(YEAR(EDATE(Einstellungen!$E$6,4)),MONTH(EDATE(Einstellungen!$E$6,4)),21),"")</x:f>
        <x:v>46043</x:v>
      </x:c>
      <x:c r="B171" s="12" t="str">
        <x:f>IF(A171="","",CHOOSE(WEEKDAY(A171,2),"Mo","Di","Mi","Do","Fr","Sa","So"))</x:f>
        <x:v>Mi</x:v>
      </x:c>
      <x:c r="C171" s="12">
        <x:f>IF(A171="","",ISOWEEKNUM(A171))</x:f>
        <x:v>4</x:v>
      </x:c>
      <x:c r="D171" s="11">
        <x:f>IF(A171="","",IFERROR(INDEX(Einstellungen!$B$19:$B$118,MATCH(A171,Einstellungen!$A$19:$A$118,0)),""))</x:f>
      </x:c>
      <x:c r="E171" s="17" t="n">
        <x:v>6.5</x:v>
      </x:c>
      <x:c r="F171" s="17" t="n">
        <x:v>0.75</x:v>
      </x:c>
      <x:c r="G171" s="17" t="n">
        <x:v>0.5</x:v>
      </x:c>
      <x:c r="H171" s="17" t="n">
        <x:v>0.25</x:v>
      </x:c>
      <x:c r="I171" s="17" t="n">
        <x:v>0.25</x:v>
      </x:c>
      <x:c r="J171" s="17">
        <x:f>IF(A171="","",SUM(E171:I171))</x:f>
        <x:v>8.25</x:v>
      </x:c>
    </x:row>
    <x:row r="172">
      <x:c r="A172" s="10">
        <x:f>IF(22&lt;=DAY(EOMONTH(EDATE(Einstellungen!$E$6,4),0)),DATE(YEAR(EDATE(Einstellungen!$E$6,4)),MONTH(EDATE(Einstellungen!$E$6,4)),22),"")</x:f>
        <x:v>46044</x:v>
      </x:c>
      <x:c r="B172" s="12" t="str">
        <x:f>IF(A172="","",CHOOSE(WEEKDAY(A172,2),"Mo","Di","Mi","Do","Fr","Sa","So"))</x:f>
        <x:v>Do</x:v>
      </x:c>
      <x:c r="C172" s="12">
        <x:f>IF(A172="","",ISOWEEKNUM(A172))</x:f>
        <x:v>4</x:v>
      </x:c>
      <x:c r="D172" s="11">
        <x:f>IF(A172="","",IFERROR(INDEX(Einstellungen!$B$19:$B$118,MATCH(A172,Einstellungen!$A$19:$A$118,0)),""))</x:f>
      </x:c>
      <x:c r="E172" s="17" t="n">
        <x:v>5.5</x:v>
      </x:c>
      <x:c r="F172" s="17" t="n">
        <x:v>0.5</x:v>
      </x:c>
      <x:c r="G172" s="17" t="n">
        <x:v>1.5</x:v>
      </x:c>
      <x:c r="H172" s="17" t="n">
        <x:v>0.25</x:v>
      </x:c>
      <x:c r="I172" s="17" t="n">
        <x:v>0.25</x:v>
      </x:c>
      <x:c r="J172" s="17">
        <x:f>IF(A172="","",SUM(E172:I172))</x:f>
        <x:v>8</x:v>
      </x:c>
    </x:row>
    <x:row r="173">
      <x:c r="A173" s="10">
        <x:f>IF(23&lt;=DAY(EOMONTH(EDATE(Einstellungen!$E$6,4),0)),DATE(YEAR(EDATE(Einstellungen!$E$6,4)),MONTH(EDATE(Einstellungen!$E$6,4)),23),"")</x:f>
        <x:v>46045</x:v>
      </x:c>
      <x:c r="B173" s="12" t="str">
        <x:f>IF(A173="","",CHOOSE(WEEKDAY(A173,2),"Mo","Di","Mi","Do","Fr","Sa","So"))</x:f>
        <x:v>Fr</x:v>
      </x:c>
      <x:c r="C173" s="12">
        <x:f>IF(A173="","",ISOWEEKNUM(A173))</x:f>
        <x:v>4</x:v>
      </x:c>
      <x:c r="D173" s="11">
        <x:f>IF(A173="","",IFERROR(INDEX(Einstellungen!$B$19:$B$118,MATCH(A173,Einstellungen!$A$19:$A$118,0)),""))</x:f>
      </x:c>
      <x:c r="E173" s="17" t="n">
        <x:v>6</x:v>
      </x:c>
      <x:c r="F173" s="17" t="n">
        <x:v>0.5</x:v>
      </x:c>
      <x:c r="G173" s="17" t="n">
        <x:v>0.5</x:v>
      </x:c>
      <x:c r="H173" s="17" t="n">
        <x:v>0.5</x:v>
      </x:c>
      <x:c r="I173" s="17" t="n">
        <x:v>0.25</x:v>
      </x:c>
      <x:c r="J173" s="17">
        <x:f>IF(A173="","",SUM(E173:I173))</x:f>
        <x:v>7.75</x:v>
      </x:c>
    </x:row>
    <x:row r="174">
      <x:c r="A174" s="10">
        <x:f>IF(24&lt;=DAY(EOMONTH(EDATE(Einstellungen!$E$6,4),0)),DATE(YEAR(EDATE(Einstellungen!$E$6,4)),MONTH(EDATE(Einstellungen!$E$6,4)),24),"")</x:f>
        <x:v>46046</x:v>
      </x:c>
      <x:c r="B174" s="12" t="str">
        <x:f>IF(A174="","",CHOOSE(WEEKDAY(A174,2),"Mo","Di","Mi","Do","Fr","Sa","So"))</x:f>
        <x:v>Sa</x:v>
      </x:c>
      <x:c r="C174" s="12">
        <x:f>IF(A174="","",ISOWEEKNUM(A174))</x:f>
        <x:v>4</x:v>
      </x:c>
      <x:c r="D174" s="11">
        <x:f>IF(A174="","",IFERROR(INDEX(Einstellungen!$B$19:$B$118,MATCH(A174,Einstellungen!$A$19:$A$118,0)),""))</x:f>
      </x:c>
      <x:c r="E174" s="18" t="inlineStr">
        <x:is>
          <x:t xml:space="preserve"/>
        </x:is>
      </x:c>
      <x:c r="F174" s="18" t="inlineStr">
        <x:is>
          <x:t xml:space="preserve"/>
        </x:is>
      </x:c>
      <x:c r="G174" s="18" t="inlineStr">
        <x:is>
          <x:t xml:space="preserve"/>
        </x:is>
      </x:c>
      <x:c r="H174" s="18" t="inlineStr">
        <x:is>
          <x:t xml:space="preserve"/>
        </x:is>
      </x:c>
      <x:c r="I174" s="18" t="inlineStr">
        <x:is>
          <x:t xml:space="preserve"/>
        </x:is>
      </x:c>
      <x:c r="J174" s="17">
        <x:f>IF(A174="","",SUM(E174:I174))</x:f>
        <x:v>0</x:v>
      </x:c>
    </x:row>
    <x:row r="175">
      <x:c r="A175" s="10">
        <x:f>IF(25&lt;=DAY(EOMONTH(EDATE(Einstellungen!$E$6,4),0)),DATE(YEAR(EDATE(Einstellungen!$E$6,4)),MONTH(EDATE(Einstellungen!$E$6,4)),25),"")</x:f>
        <x:v>46047</x:v>
      </x:c>
      <x:c r="B175" s="12" t="str">
        <x:f>IF(A175="","",CHOOSE(WEEKDAY(A175,2),"Mo","Di","Mi","Do","Fr","Sa","So"))</x:f>
        <x:v>So</x:v>
      </x:c>
      <x:c r="C175" s="12">
        <x:f>IF(A175="","",ISOWEEKNUM(A175))</x:f>
        <x:v>4</x:v>
      </x:c>
      <x:c r="D175" s="11">
        <x:f>IF(A175="","",IFERROR(INDEX(Einstellungen!$B$19:$B$118,MATCH(A175,Einstellungen!$A$19:$A$118,0)),""))</x:f>
      </x:c>
      <x:c r="E175" s="18" t="inlineStr">
        <x:is>
          <x:t xml:space="preserve"/>
        </x:is>
      </x:c>
      <x:c r="F175" s="18" t="inlineStr">
        <x:is>
          <x:t xml:space="preserve"/>
        </x:is>
      </x:c>
      <x:c r="G175" s="18" t="inlineStr">
        <x:is>
          <x:t xml:space="preserve"/>
        </x:is>
      </x:c>
      <x:c r="H175" s="18" t="inlineStr">
        <x:is>
          <x:t xml:space="preserve"/>
        </x:is>
      </x:c>
      <x:c r="I175" s="18" t="inlineStr">
        <x:is>
          <x:t xml:space="preserve"/>
        </x:is>
      </x:c>
      <x:c r="J175" s="17">
        <x:f>IF(A175="","",SUM(E175:I175))</x:f>
        <x:v>0</x:v>
      </x:c>
    </x:row>
    <x:row r="176">
      <x:c r="A176" s="10">
        <x:f>IF(26&lt;=DAY(EOMONTH(EDATE(Einstellungen!$E$6,4),0)),DATE(YEAR(EDATE(Einstellungen!$E$6,4)),MONTH(EDATE(Einstellungen!$E$6,4)),26),"")</x:f>
        <x:v>46048</x:v>
      </x:c>
      <x:c r="B176" s="12" t="str">
        <x:f>IF(A176="","",CHOOSE(WEEKDAY(A176,2),"Mo","Di","Mi","Do","Fr","Sa","So"))</x:f>
        <x:v>Mo</x:v>
      </x:c>
      <x:c r="C176" s="12">
        <x:f>IF(A176="","",ISOWEEKNUM(A176))</x:f>
        <x:v>5</x:v>
      </x:c>
      <x:c r="D176" s="11">
        <x:f>IF(A176="","",IFERROR(INDEX(Einstellungen!$B$19:$B$118,MATCH(A176,Einstellungen!$A$19:$A$118,0)),""))</x:f>
      </x:c>
      <x:c r="E176" s="17" t="n">
        <x:v>5.5</x:v>
      </x:c>
      <x:c r="F176" s="17" t="n">
        <x:v>0.75</x:v>
      </x:c>
      <x:c r="G176" s="17" t="n">
        <x:v>0.5</x:v>
      </x:c>
      <x:c r="H176" s="17" t="n">
        <x:v>0.5</x:v>
      </x:c>
      <x:c r="I176" s="17" t="n">
        <x:v>0.25</x:v>
      </x:c>
      <x:c r="J176" s="17">
        <x:f>IF(A176="","",SUM(E176:I176))</x:f>
        <x:v>7.5</x:v>
      </x:c>
    </x:row>
    <x:row r="177">
      <x:c r="A177" s="10">
        <x:f>IF(27&lt;=DAY(EOMONTH(EDATE(Einstellungen!$E$6,4),0)),DATE(YEAR(EDATE(Einstellungen!$E$6,4)),MONTH(EDATE(Einstellungen!$E$6,4)),27),"")</x:f>
        <x:v>46049</x:v>
      </x:c>
      <x:c r="B177" s="12" t="str">
        <x:f>IF(A177="","",CHOOSE(WEEKDAY(A177,2),"Mo","Di","Mi","Do","Fr","Sa","So"))</x:f>
        <x:v>Di</x:v>
      </x:c>
      <x:c r="C177" s="12">
        <x:f>IF(A177="","",ISOWEEKNUM(A177))</x:f>
        <x:v>5</x:v>
      </x:c>
      <x:c r="D177" s="11">
        <x:f>IF(A177="","",IFERROR(INDEX(Einstellungen!$B$19:$B$118,MATCH(A177,Einstellungen!$A$19:$A$118,0)),""))</x:f>
      </x:c>
      <x:c r="E177" s="17" t="n">
        <x:v>6</x:v>
      </x:c>
      <x:c r="F177" s="17" t="n">
        <x:v>0.5</x:v>
      </x:c>
      <x:c r="G177" s="17" t="n">
        <x:v>1.5</x:v>
      </x:c>
      <x:c r="H177" s="17" t="n">
        <x:v>0.25</x:v>
      </x:c>
      <x:c r="I177" s="17" t="n">
        <x:v>0.25</x:v>
      </x:c>
      <x:c r="J177" s="17">
        <x:f>IF(A177="","",SUM(E177:I177))</x:f>
        <x:v>8.5</x:v>
      </x:c>
    </x:row>
    <x:row r="178">
      <x:c r="A178" s="10">
        <x:f>IF(28&lt;=DAY(EOMONTH(EDATE(Einstellungen!$E$6,4),0)),DATE(YEAR(EDATE(Einstellungen!$E$6,4)),MONTH(EDATE(Einstellungen!$E$6,4)),28),"")</x:f>
        <x:v>46050</x:v>
      </x:c>
      <x:c r="B178" s="12" t="str">
        <x:f>IF(A178="","",CHOOSE(WEEKDAY(A178,2),"Mo","Di","Mi","Do","Fr","Sa","So"))</x:f>
        <x:v>Mi</x:v>
      </x:c>
      <x:c r="C178" s="12">
        <x:f>IF(A178="","",ISOWEEKNUM(A178))</x:f>
        <x:v>5</x:v>
      </x:c>
      <x:c r="D178" s="11">
        <x:f>IF(A178="","",IFERROR(INDEX(Einstellungen!$B$19:$B$118,MATCH(A178,Einstellungen!$A$19:$A$118,0)),""))</x:f>
      </x:c>
      <x:c r="E178" s="17" t="n">
        <x:v>6.5</x:v>
      </x:c>
      <x:c r="F178" s="17" t="n">
        <x:v>0.75</x:v>
      </x:c>
      <x:c r="G178" s="17" t="n">
        <x:v>0.5</x:v>
      </x:c>
      <x:c r="H178" s="17" t="n">
        <x:v>0.25</x:v>
      </x:c>
      <x:c r="I178" s="17" t="n">
        <x:v>0.25</x:v>
      </x:c>
      <x:c r="J178" s="17">
        <x:f>IF(A178="","",SUM(E178:I178))</x:f>
        <x:v>8.25</x:v>
      </x:c>
    </x:row>
    <x:row r="179">
      <x:c r="A179" s="10">
        <x:f>IF(29&lt;=DAY(EOMONTH(EDATE(Einstellungen!$E$6,4),0)),DATE(YEAR(EDATE(Einstellungen!$E$6,4)),MONTH(EDATE(Einstellungen!$E$6,4)),29),"")</x:f>
        <x:v>46051</x:v>
      </x:c>
      <x:c r="B179" s="12" t="str">
        <x:f>IF(A179="","",CHOOSE(WEEKDAY(A179,2),"Mo","Di","Mi","Do","Fr","Sa","So"))</x:f>
        <x:v>Do</x:v>
      </x:c>
      <x:c r="C179" s="12">
        <x:f>IF(A179="","",ISOWEEKNUM(A179))</x:f>
        <x:v>5</x:v>
      </x:c>
      <x:c r="D179" s="11">
        <x:f>IF(A179="","",IFERROR(INDEX(Einstellungen!$B$19:$B$118,MATCH(A179,Einstellungen!$A$19:$A$118,0)),""))</x:f>
      </x:c>
      <x:c r="E179" s="17" t="n">
        <x:v>5.5</x:v>
      </x:c>
      <x:c r="F179" s="17" t="n">
        <x:v>0.5</x:v>
      </x:c>
      <x:c r="G179" s="17" t="n">
        <x:v>1.5</x:v>
      </x:c>
      <x:c r="H179" s="17" t="n">
        <x:v>0.25</x:v>
      </x:c>
      <x:c r="I179" s="17" t="n">
        <x:v>0.25</x:v>
      </x:c>
      <x:c r="J179" s="17">
        <x:f>IF(A179="","",SUM(E179:I179))</x:f>
        <x:v>8</x:v>
      </x:c>
    </x:row>
    <x:row r="180">
      <x:c r="A180" s="10">
        <x:f>IF(30&lt;=DAY(EOMONTH(EDATE(Einstellungen!$E$6,4),0)),DATE(YEAR(EDATE(Einstellungen!$E$6,4)),MONTH(EDATE(Einstellungen!$E$6,4)),30),"")</x:f>
        <x:v>46052</x:v>
      </x:c>
      <x:c r="B180" s="12" t="str">
        <x:f>IF(A180="","",CHOOSE(WEEKDAY(A180,2),"Mo","Di","Mi","Do","Fr","Sa","So"))</x:f>
        <x:v>Fr</x:v>
      </x:c>
      <x:c r="C180" s="12">
        <x:f>IF(A180="","",ISOWEEKNUM(A180))</x:f>
        <x:v>5</x:v>
      </x:c>
      <x:c r="D180" s="11">
        <x:f>IF(A180="","",IFERROR(INDEX(Einstellungen!$B$19:$B$118,MATCH(A180,Einstellungen!$A$19:$A$118,0)),""))</x:f>
      </x:c>
      <x:c r="E180" s="17" t="n">
        <x:v>6</x:v>
      </x:c>
      <x:c r="F180" s="17" t="n">
        <x:v>0.5</x:v>
      </x:c>
      <x:c r="G180" s="17" t="n">
        <x:v>0.5</x:v>
      </x:c>
      <x:c r="H180" s="17" t="n">
        <x:v>0.5</x:v>
      </x:c>
      <x:c r="I180" s="17" t="n">
        <x:v>0.25</x:v>
      </x:c>
      <x:c r="J180" s="17">
        <x:f>IF(A180="","",SUM(E180:I180))</x:f>
        <x:v>7.75</x:v>
      </x:c>
    </x:row>
    <x:row r="181">
      <x:c r="A181" s="10">
        <x:f>IF(31&lt;=DAY(EOMONTH(EDATE(Einstellungen!$E$6,4),0)),DATE(YEAR(EDATE(Einstellungen!$E$6,4)),MONTH(EDATE(Einstellungen!$E$6,4)),31),"")</x:f>
        <x:v>46053</x:v>
      </x:c>
      <x:c r="B181" s="12" t="str">
        <x:f>IF(A181="","",CHOOSE(WEEKDAY(A181,2),"Mo","Di","Mi","Do","Fr","Sa","So"))</x:f>
        <x:v>Sa</x:v>
      </x:c>
      <x:c r="C181" s="12">
        <x:f>IF(A181="","",ISOWEEKNUM(A181))</x:f>
        <x:v>5</x:v>
      </x:c>
      <x:c r="D181" s="11">
        <x:f>IF(A181="","",IFERROR(INDEX(Einstellungen!$B$19:$B$118,MATCH(A181,Einstellungen!$A$19:$A$118,0)),""))</x:f>
      </x:c>
      <x:c r="E181" s="18" t="inlineStr">
        <x:is>
          <x:t xml:space="preserve"/>
        </x:is>
      </x:c>
      <x:c r="F181" s="18" t="inlineStr">
        <x:is>
          <x:t xml:space="preserve"/>
        </x:is>
      </x:c>
      <x:c r="G181" s="18" t="inlineStr">
        <x:is>
          <x:t xml:space="preserve"/>
        </x:is>
      </x:c>
      <x:c r="H181" s="18" t="inlineStr">
        <x:is>
          <x:t xml:space="preserve"/>
        </x:is>
      </x:c>
      <x:c r="I181" s="18" t="inlineStr">
        <x:is>
          <x:t xml:space="preserve"/>
        </x:is>
      </x:c>
      <x:c r="J181" s="17">
        <x:f>IF(A181="","",SUM(E181:I181))</x:f>
        <x:v>0</x:v>
      </x:c>
    </x:row>
    <x:row r="182">
      <x:c r="A182" s="4" t="inlineStr">
        <x:is>
          <x:t xml:space="preserve">Monatssumme</x:t>
        </x:is>
      </x:c>
      <x:c r="B182" s="15" t="n"/>
      <x:c r="C182" s="15" t="n"/>
      <x:c r="D182" s="15" t="n"/>
      <x:c r="E182" s="19">
        <x:f>SUM(E151:E181)</x:f>
        <x:v>129.5</x:v>
      </x:c>
      <x:c r="F182" s="19">
        <x:f>SUM(F151:F181)</x:f>
        <x:v>13</x:v>
      </x:c>
      <x:c r="G182" s="19">
        <x:f>SUM(G151:G181)</x:f>
        <x:v>20</x:v>
      </x:c>
      <x:c r="H182" s="19">
        <x:f>SUM(H151:H181)</x:f>
        <x:v>7.75</x:v>
      </x:c>
      <x:c r="I182" s="19">
        <x:f>SUM(I151:I181)</x:f>
        <x:v>6</x:v>
      </x:c>
      <x:c r="J182" s="19">
        <x:f>SUM(J151:J181)</x:f>
        <x:v>176.25</x:v>
      </x:c>
    </x:row>
    <x:row r="183">
      <x:c r="A183" s="20" t="n"/>
      <x:c r="B183" s="20" t="n"/>
      <x:c r="C183" s="20" t="n"/>
      <x:c r="D183" s="20" t="n"/>
      <x:c r="E183" s="20" t="n"/>
      <x:c r="F183" s="20" t="n"/>
      <x:c r="G183" s="20" t="n"/>
      <x:c r="H183" s="20" t="n"/>
      <x:c r="I183" s="20" t="n"/>
      <x:c r="J183" s="20" t="n"/>
    </x:row>
    <x:row r="184">
      <x:c r="A184" s="20" t="n"/>
      <x:c r="B184" s="20" t="n"/>
      <x:c r="C184" s="20" t="n"/>
      <x:c r="D184" s="20" t="n"/>
      <x:c r="E184" s="20" t="n"/>
      <x:c r="F184" s="20" t="n"/>
      <x:c r="G184" s="20" t="n"/>
      <x:c r="H184" s="20" t="n"/>
      <x:c r="I184" s="20" t="n"/>
      <x:c r="J184" s="20" t="n"/>
    </x:row>
    <x:row r="185">
      <x:c r="A185" s="15" t="str">
        <x:f>INDEX(Einstellungen!$J$2:$J$13,MONTH(EDATE(Einstellungen!$E$6,5)))&amp;" "&amp;YEAR(EDATE(Einstellungen!$E$6,5))</x:f>
        <x:v>Februar 2026</x:v>
      </x:c>
    </x:row>
    <x:row r="186">
      <x:c r="A186" s="16" t="inlineStr">
        <x:is>
          <x:t xml:space="preserve">Datum</x:t>
        </x:is>
      </x:c>
      <x:c r="B186" s="16" t="inlineStr">
        <x:is>
          <x:t xml:space="preserve">Tag</x:t>
        </x:is>
      </x:c>
      <x:c r="C186" s="16" t="inlineStr">
        <x:is>
          <x:t xml:space="preserve">KW</x:t>
        </x:is>
      </x:c>
      <x:c r="D186" s="16" t="inlineStr">
        <x:is>
          <x:t xml:space="preserve">Feiertag / Termin</x:t>
        </x:is>
      </x:c>
      <x:c r="E186" s="16" t="str">
        <x:f>Einstellungen!$B$11</x:f>
        <x:v>Arbeitszeit</x:v>
      </x:c>
      <x:c r="F186" s="16" t="str">
        <x:f>Einstellungen!$B$12</x:f>
        <x:v>E-Mail</x:v>
      </x:c>
      <x:c r="G186" s="16" t="str">
        <x:f>Einstellungen!$B$13</x:f>
        <x:v>Meetings</x:v>
      </x:c>
      <x:c r="H186" s="16" t="str">
        <x:f>Einstellungen!$B$14</x:f>
        <x:v>Telefonate</x:v>
      </x:c>
      <x:c r="I186" s="16" t="str">
        <x:f>Einstellungen!$B$15</x:f>
        <x:v>Sonstiges</x:v>
      </x:c>
      <x:c r="J186" s="16" t="inlineStr">
        <x:is>
          <x:t xml:space="preserve">Gesamt</x:t>
        </x:is>
      </x:c>
    </x:row>
    <x:row r="187">
      <x:c r="A187" s="10">
        <x:f>IF(1&lt;=DAY(EOMONTH(EDATE(Einstellungen!$E$6,5),0)),DATE(YEAR(EDATE(Einstellungen!$E$6,5)),MONTH(EDATE(Einstellungen!$E$6,5)),1),"")</x:f>
        <x:v>46054</x:v>
      </x:c>
      <x:c r="B187" s="12" t="str">
        <x:f>IF(A187="","",CHOOSE(WEEKDAY(A187,2),"Mo","Di","Mi","Do","Fr","Sa","So"))</x:f>
        <x:v>So</x:v>
      </x:c>
      <x:c r="C187" s="12">
        <x:f>IF(A187="","",ISOWEEKNUM(A187))</x:f>
        <x:v>5</x:v>
      </x:c>
      <x:c r="D187" s="11">
        <x:f>IF(A187="","",IFERROR(INDEX(Einstellungen!$B$19:$B$118,MATCH(A187,Einstellungen!$A$19:$A$118,0)),""))</x:f>
      </x:c>
      <x:c r="E187" s="18" t="inlineStr">
        <x:is>
          <x:t xml:space="preserve"/>
        </x:is>
      </x:c>
      <x:c r="F187" s="18" t="inlineStr">
        <x:is>
          <x:t xml:space="preserve"/>
        </x:is>
      </x:c>
      <x:c r="G187" s="18" t="inlineStr">
        <x:is>
          <x:t xml:space="preserve"/>
        </x:is>
      </x:c>
      <x:c r="H187" s="18" t="inlineStr">
        <x:is>
          <x:t xml:space="preserve"/>
        </x:is>
      </x:c>
      <x:c r="I187" s="18" t="inlineStr">
        <x:is>
          <x:t xml:space="preserve"/>
        </x:is>
      </x:c>
      <x:c r="J187" s="17">
        <x:f>IF(A187="","",SUM(E187:I187))</x:f>
        <x:v>0</x:v>
      </x:c>
    </x:row>
    <x:row r="188">
      <x:c r="A188" s="10">
        <x:f>IF(2&lt;=DAY(EOMONTH(EDATE(Einstellungen!$E$6,5),0)),DATE(YEAR(EDATE(Einstellungen!$E$6,5)),MONTH(EDATE(Einstellungen!$E$6,5)),2),"")</x:f>
        <x:v>46055</x:v>
      </x:c>
      <x:c r="B188" s="12" t="str">
        <x:f>IF(A188="","",CHOOSE(WEEKDAY(A188,2),"Mo","Di","Mi","Do","Fr","Sa","So"))</x:f>
        <x:v>Mo</x:v>
      </x:c>
      <x:c r="C188" s="12">
        <x:f>IF(A188="","",ISOWEEKNUM(A188))</x:f>
        <x:v>6</x:v>
      </x:c>
      <x:c r="D188" s="11">
        <x:f>IF(A188="","",IFERROR(INDEX(Einstellungen!$B$19:$B$118,MATCH(A188,Einstellungen!$A$19:$A$118,0)),""))</x:f>
      </x:c>
      <x:c r="E188" s="17" t="n">
        <x:v>5.5</x:v>
      </x:c>
      <x:c r="F188" s="17" t="n">
        <x:v>0.75</x:v>
      </x:c>
      <x:c r="G188" s="17" t="n">
        <x:v>0.5</x:v>
      </x:c>
      <x:c r="H188" s="17" t="n">
        <x:v>0.5</x:v>
      </x:c>
      <x:c r="I188" s="17" t="n">
        <x:v>0.25</x:v>
      </x:c>
      <x:c r="J188" s="17">
        <x:f>IF(A188="","",SUM(E188:I188))</x:f>
        <x:v>7.5</x:v>
      </x:c>
    </x:row>
    <x:row r="189">
      <x:c r="A189" s="10">
        <x:f>IF(3&lt;=DAY(EOMONTH(EDATE(Einstellungen!$E$6,5),0)),DATE(YEAR(EDATE(Einstellungen!$E$6,5)),MONTH(EDATE(Einstellungen!$E$6,5)),3),"")</x:f>
        <x:v>46056</x:v>
      </x:c>
      <x:c r="B189" s="12" t="str">
        <x:f>IF(A189="","",CHOOSE(WEEKDAY(A189,2),"Mo","Di","Mi","Do","Fr","Sa","So"))</x:f>
        <x:v>Di</x:v>
      </x:c>
      <x:c r="C189" s="12">
        <x:f>IF(A189="","",ISOWEEKNUM(A189))</x:f>
        <x:v>6</x:v>
      </x:c>
      <x:c r="D189" s="11">
        <x:f>IF(A189="","",IFERROR(INDEX(Einstellungen!$B$19:$B$118,MATCH(A189,Einstellungen!$A$19:$A$118,0)),""))</x:f>
      </x:c>
      <x:c r="E189" s="17" t="n">
        <x:v>6</x:v>
      </x:c>
      <x:c r="F189" s="17" t="n">
        <x:v>0.5</x:v>
      </x:c>
      <x:c r="G189" s="17" t="n">
        <x:v>1.5</x:v>
      </x:c>
      <x:c r="H189" s="17" t="n">
        <x:v>0.25</x:v>
      </x:c>
      <x:c r="I189" s="17" t="n">
        <x:v>0.25</x:v>
      </x:c>
      <x:c r="J189" s="17">
        <x:f>IF(A189="","",SUM(E189:I189))</x:f>
        <x:v>8.5</x:v>
      </x:c>
    </x:row>
    <x:row r="190">
      <x:c r="A190" s="10">
        <x:f>IF(4&lt;=DAY(EOMONTH(EDATE(Einstellungen!$E$6,5),0)),DATE(YEAR(EDATE(Einstellungen!$E$6,5)),MONTH(EDATE(Einstellungen!$E$6,5)),4),"")</x:f>
        <x:v>46057</x:v>
      </x:c>
      <x:c r="B190" s="12" t="str">
        <x:f>IF(A190="","",CHOOSE(WEEKDAY(A190,2),"Mo","Di","Mi","Do","Fr","Sa","So"))</x:f>
        <x:v>Mi</x:v>
      </x:c>
      <x:c r="C190" s="12">
        <x:f>IF(A190="","",ISOWEEKNUM(A190))</x:f>
        <x:v>6</x:v>
      </x:c>
      <x:c r="D190" s="11">
        <x:f>IF(A190="","",IFERROR(INDEX(Einstellungen!$B$19:$B$118,MATCH(A190,Einstellungen!$A$19:$A$118,0)),""))</x:f>
      </x:c>
      <x:c r="E190" s="17" t="n">
        <x:v>6.5</x:v>
      </x:c>
      <x:c r="F190" s="17" t="n">
        <x:v>0.75</x:v>
      </x:c>
      <x:c r="G190" s="17" t="n">
        <x:v>0.5</x:v>
      </x:c>
      <x:c r="H190" s="17" t="n">
        <x:v>0.25</x:v>
      </x:c>
      <x:c r="I190" s="17" t="n">
        <x:v>0.25</x:v>
      </x:c>
      <x:c r="J190" s="17">
        <x:f>IF(A190="","",SUM(E190:I190))</x:f>
        <x:v>8.25</x:v>
      </x:c>
    </x:row>
    <x:row r="191">
      <x:c r="A191" s="10">
        <x:f>IF(5&lt;=DAY(EOMONTH(EDATE(Einstellungen!$E$6,5),0)),DATE(YEAR(EDATE(Einstellungen!$E$6,5)),MONTH(EDATE(Einstellungen!$E$6,5)),5),"")</x:f>
        <x:v>46058</x:v>
      </x:c>
      <x:c r="B191" s="12" t="str">
        <x:f>IF(A191="","",CHOOSE(WEEKDAY(A191,2),"Mo","Di","Mi","Do","Fr","Sa","So"))</x:f>
        <x:v>Do</x:v>
      </x:c>
      <x:c r="C191" s="12">
        <x:f>IF(A191="","",ISOWEEKNUM(A191))</x:f>
        <x:v>6</x:v>
      </x:c>
      <x:c r="D191" s="11">
        <x:f>IF(A191="","",IFERROR(INDEX(Einstellungen!$B$19:$B$118,MATCH(A191,Einstellungen!$A$19:$A$118,0)),""))</x:f>
      </x:c>
      <x:c r="E191" s="17" t="n">
        <x:v>5.5</x:v>
      </x:c>
      <x:c r="F191" s="17" t="n">
        <x:v>0.5</x:v>
      </x:c>
      <x:c r="G191" s="17" t="n">
        <x:v>1.5</x:v>
      </x:c>
      <x:c r="H191" s="17" t="n">
        <x:v>0.25</x:v>
      </x:c>
      <x:c r="I191" s="17" t="n">
        <x:v>0.5</x:v>
      </x:c>
      <x:c r="J191" s="17">
        <x:f>IF(A191="","",SUM(E191:I191))</x:f>
        <x:v>8.25</x:v>
      </x:c>
    </x:row>
    <x:row r="192">
      <x:c r="A192" s="10">
        <x:f>IF(6&lt;=DAY(EOMONTH(EDATE(Einstellungen!$E$6,5),0)),DATE(YEAR(EDATE(Einstellungen!$E$6,5)),MONTH(EDATE(Einstellungen!$E$6,5)),6),"")</x:f>
        <x:v>46059</x:v>
      </x:c>
      <x:c r="B192" s="12" t="str">
        <x:f>IF(A192="","",CHOOSE(WEEKDAY(A192,2),"Mo","Di","Mi","Do","Fr","Sa","So"))</x:f>
        <x:v>Fr</x:v>
      </x:c>
      <x:c r="C192" s="12">
        <x:f>IF(A192="","",ISOWEEKNUM(A192))</x:f>
        <x:v>6</x:v>
      </x:c>
      <x:c r="D192" s="11">
        <x:f>IF(A192="","",IFERROR(INDEX(Einstellungen!$B$19:$B$118,MATCH(A192,Einstellungen!$A$19:$A$118,0)),""))</x:f>
      </x:c>
      <x:c r="E192" s="17" t="n">
        <x:v>6</x:v>
      </x:c>
      <x:c r="F192" s="17" t="n">
        <x:v>0.5</x:v>
      </x:c>
      <x:c r="G192" s="17" t="n">
        <x:v>0.5</x:v>
      </x:c>
      <x:c r="H192" s="17" t="n">
        <x:v>0.5</x:v>
      </x:c>
      <x:c r="I192" s="17" t="n">
        <x:v>0.25</x:v>
      </x:c>
      <x:c r="J192" s="17">
        <x:f>IF(A192="","",SUM(E192:I192))</x:f>
        <x:v>7.75</x:v>
      </x:c>
    </x:row>
    <x:row r="193">
      <x:c r="A193" s="10">
        <x:f>IF(7&lt;=DAY(EOMONTH(EDATE(Einstellungen!$E$6,5),0)),DATE(YEAR(EDATE(Einstellungen!$E$6,5)),MONTH(EDATE(Einstellungen!$E$6,5)),7),"")</x:f>
        <x:v>46060</x:v>
      </x:c>
      <x:c r="B193" s="12" t="str">
        <x:f>IF(A193="","",CHOOSE(WEEKDAY(A193,2),"Mo","Di","Mi","Do","Fr","Sa","So"))</x:f>
        <x:v>Sa</x:v>
      </x:c>
      <x:c r="C193" s="12">
        <x:f>IF(A193="","",ISOWEEKNUM(A193))</x:f>
        <x:v>6</x:v>
      </x:c>
      <x:c r="D193" s="11">
        <x:f>IF(A193="","",IFERROR(INDEX(Einstellungen!$B$19:$B$118,MATCH(A193,Einstellungen!$A$19:$A$118,0)),""))</x:f>
      </x:c>
      <x:c r="E193" s="18" t="inlineStr">
        <x:is>
          <x:t xml:space="preserve"/>
        </x:is>
      </x:c>
      <x:c r="F193" s="18" t="inlineStr">
        <x:is>
          <x:t xml:space="preserve"/>
        </x:is>
      </x:c>
      <x:c r="G193" s="18" t="inlineStr">
        <x:is>
          <x:t xml:space="preserve"/>
        </x:is>
      </x:c>
      <x:c r="H193" s="18" t="inlineStr">
        <x:is>
          <x:t xml:space="preserve"/>
        </x:is>
      </x:c>
      <x:c r="I193" s="18" t="inlineStr">
        <x:is>
          <x:t xml:space="preserve"/>
        </x:is>
      </x:c>
      <x:c r="J193" s="17">
        <x:f>IF(A193="","",SUM(E193:I193))</x:f>
        <x:v>0</x:v>
      </x:c>
    </x:row>
    <x:row r="194">
      <x:c r="A194" s="10">
        <x:f>IF(8&lt;=DAY(EOMONTH(EDATE(Einstellungen!$E$6,5),0)),DATE(YEAR(EDATE(Einstellungen!$E$6,5)),MONTH(EDATE(Einstellungen!$E$6,5)),8),"")</x:f>
        <x:v>46061</x:v>
      </x:c>
      <x:c r="B194" s="12" t="str">
        <x:f>IF(A194="","",CHOOSE(WEEKDAY(A194,2),"Mo","Di","Mi","Do","Fr","Sa","So"))</x:f>
        <x:v>So</x:v>
      </x:c>
      <x:c r="C194" s="12">
        <x:f>IF(A194="","",ISOWEEKNUM(A194))</x:f>
        <x:v>6</x:v>
      </x:c>
      <x:c r="D194" s="11">
        <x:f>IF(A194="","",IFERROR(INDEX(Einstellungen!$B$19:$B$118,MATCH(A194,Einstellungen!$A$19:$A$118,0)),""))</x:f>
      </x:c>
      <x:c r="E194" s="18" t="inlineStr">
        <x:is>
          <x:t xml:space="preserve"/>
        </x:is>
      </x:c>
      <x:c r="F194" s="18" t="inlineStr">
        <x:is>
          <x:t xml:space="preserve"/>
        </x:is>
      </x:c>
      <x:c r="G194" s="18" t="inlineStr">
        <x:is>
          <x:t xml:space="preserve"/>
        </x:is>
      </x:c>
      <x:c r="H194" s="18" t="inlineStr">
        <x:is>
          <x:t xml:space="preserve"/>
        </x:is>
      </x:c>
      <x:c r="I194" s="18" t="inlineStr">
        <x:is>
          <x:t xml:space="preserve"/>
        </x:is>
      </x:c>
      <x:c r="J194" s="17">
        <x:f>IF(A194="","",SUM(E194:I194))</x:f>
        <x:v>0</x:v>
      </x:c>
    </x:row>
    <x:row r="195">
      <x:c r="A195" s="10">
        <x:f>IF(9&lt;=DAY(EOMONTH(EDATE(Einstellungen!$E$6,5),0)),DATE(YEAR(EDATE(Einstellungen!$E$6,5)),MONTH(EDATE(Einstellungen!$E$6,5)),9),"")</x:f>
        <x:v>46062</x:v>
      </x:c>
      <x:c r="B195" s="12" t="str">
        <x:f>IF(A195="","",CHOOSE(WEEKDAY(A195,2),"Mo","Di","Mi","Do","Fr","Sa","So"))</x:f>
        <x:v>Mo</x:v>
      </x:c>
      <x:c r="C195" s="12">
        <x:f>IF(A195="","",ISOWEEKNUM(A195))</x:f>
        <x:v>7</x:v>
      </x:c>
      <x:c r="D195" s="11">
        <x:f>IF(A195="","",IFERROR(INDEX(Einstellungen!$B$19:$B$118,MATCH(A195,Einstellungen!$A$19:$A$118,0)),""))</x:f>
      </x:c>
      <x:c r="E195" s="17" t="n">
        <x:v>5.5</x:v>
      </x:c>
      <x:c r="F195" s="17" t="n">
        <x:v>0.75</x:v>
      </x:c>
      <x:c r="G195" s="17" t="n">
        <x:v>0.5</x:v>
      </x:c>
      <x:c r="H195" s="17" t="n">
        <x:v>0.5</x:v>
      </x:c>
      <x:c r="I195" s="17" t="n">
        <x:v>0.25</x:v>
      </x:c>
      <x:c r="J195" s="17">
        <x:f>IF(A195="","",SUM(E195:I195))</x:f>
        <x:v>7.5</x:v>
      </x:c>
    </x:row>
    <x:row r="196">
      <x:c r="A196" s="10">
        <x:f>IF(10&lt;=DAY(EOMONTH(EDATE(Einstellungen!$E$6,5),0)),DATE(YEAR(EDATE(Einstellungen!$E$6,5)),MONTH(EDATE(Einstellungen!$E$6,5)),10),"")</x:f>
        <x:v>46063</x:v>
      </x:c>
      <x:c r="B196" s="12" t="str">
        <x:f>IF(A196="","",CHOOSE(WEEKDAY(A196,2),"Mo","Di","Mi","Do","Fr","Sa","So"))</x:f>
        <x:v>Di</x:v>
      </x:c>
      <x:c r="C196" s="12">
        <x:f>IF(A196="","",ISOWEEKNUM(A196))</x:f>
        <x:v>7</x:v>
      </x:c>
      <x:c r="D196" s="11">
        <x:f>IF(A196="","",IFERROR(INDEX(Einstellungen!$B$19:$B$118,MATCH(A196,Einstellungen!$A$19:$A$118,0)),""))</x:f>
      </x:c>
      <x:c r="E196" s="17" t="n">
        <x:v>6</x:v>
      </x:c>
      <x:c r="F196" s="17" t="n">
        <x:v>0.5</x:v>
      </x:c>
      <x:c r="G196" s="17" t="n">
        <x:v>1.5</x:v>
      </x:c>
      <x:c r="H196" s="17" t="n">
        <x:v>0.25</x:v>
      </x:c>
      <x:c r="I196" s="17" t="n">
        <x:v>0.25</x:v>
      </x:c>
      <x:c r="J196" s="17">
        <x:f>IF(A196="","",SUM(E196:I196))</x:f>
        <x:v>8.5</x:v>
      </x:c>
    </x:row>
    <x:row r="197">
      <x:c r="A197" s="10">
        <x:f>IF(11&lt;=DAY(EOMONTH(EDATE(Einstellungen!$E$6,5),0)),DATE(YEAR(EDATE(Einstellungen!$E$6,5)),MONTH(EDATE(Einstellungen!$E$6,5)),11),"")</x:f>
        <x:v>46064</x:v>
      </x:c>
      <x:c r="B197" s="12" t="str">
        <x:f>IF(A197="","",CHOOSE(WEEKDAY(A197,2),"Mo","Di","Mi","Do","Fr","Sa","So"))</x:f>
        <x:v>Mi</x:v>
      </x:c>
      <x:c r="C197" s="12">
        <x:f>IF(A197="","",ISOWEEKNUM(A197))</x:f>
        <x:v>7</x:v>
      </x:c>
      <x:c r="D197" s="11">
        <x:f>IF(A197="","",IFERROR(INDEX(Einstellungen!$B$19:$B$118,MATCH(A197,Einstellungen!$A$19:$A$118,0)),""))</x:f>
      </x:c>
      <x:c r="E197" s="17" t="n">
        <x:v>6.5</x:v>
      </x:c>
      <x:c r="F197" s="17" t="n">
        <x:v>0.75</x:v>
      </x:c>
      <x:c r="G197" s="17" t="n">
        <x:v>0.5</x:v>
      </x:c>
      <x:c r="H197" s="17" t="n">
        <x:v>0.25</x:v>
      </x:c>
      <x:c r="I197" s="17" t="n">
        <x:v>0.25</x:v>
      </x:c>
      <x:c r="J197" s="17">
        <x:f>IF(A197="","",SUM(E197:I197))</x:f>
        <x:v>8.25</x:v>
      </x:c>
    </x:row>
    <x:row r="198">
      <x:c r="A198" s="10">
        <x:f>IF(12&lt;=DAY(EOMONTH(EDATE(Einstellungen!$E$6,5),0)),DATE(YEAR(EDATE(Einstellungen!$E$6,5)),MONTH(EDATE(Einstellungen!$E$6,5)),12),"")</x:f>
        <x:v>46065</x:v>
      </x:c>
      <x:c r="B198" s="12" t="str">
        <x:f>IF(A198="","",CHOOSE(WEEKDAY(A198,2),"Mo","Di","Mi","Do","Fr","Sa","So"))</x:f>
        <x:v>Do</x:v>
      </x:c>
      <x:c r="C198" s="12">
        <x:f>IF(A198="","",ISOWEEKNUM(A198))</x:f>
        <x:v>7</x:v>
      </x:c>
      <x:c r="D198" s="11">
        <x:f>IF(A198="","",IFERROR(INDEX(Einstellungen!$B$19:$B$118,MATCH(A198,Einstellungen!$A$19:$A$118,0)),""))</x:f>
      </x:c>
      <x:c r="E198" s="17" t="n">
        <x:v>5.5</x:v>
      </x:c>
      <x:c r="F198" s="17" t="n">
        <x:v>0.5</x:v>
      </x:c>
      <x:c r="G198" s="17" t="n">
        <x:v>1.5</x:v>
      </x:c>
      <x:c r="H198" s="17" t="n">
        <x:v>0.25</x:v>
      </x:c>
      <x:c r="I198" s="17" t="n">
        <x:v>0.25</x:v>
      </x:c>
      <x:c r="J198" s="17">
        <x:f>IF(A198="","",SUM(E198:I198))</x:f>
        <x:v>8</x:v>
      </x:c>
    </x:row>
    <x:row r="199">
      <x:c r="A199" s="10">
        <x:f>IF(13&lt;=DAY(EOMONTH(EDATE(Einstellungen!$E$6,5),0)),DATE(YEAR(EDATE(Einstellungen!$E$6,5)),MONTH(EDATE(Einstellungen!$E$6,5)),13),"")</x:f>
        <x:v>46066</x:v>
      </x:c>
      <x:c r="B199" s="12" t="str">
        <x:f>IF(A199="","",CHOOSE(WEEKDAY(A199,2),"Mo","Di","Mi","Do","Fr","Sa","So"))</x:f>
        <x:v>Fr</x:v>
      </x:c>
      <x:c r="C199" s="12">
        <x:f>IF(A199="","",ISOWEEKNUM(A199))</x:f>
        <x:v>7</x:v>
      </x:c>
      <x:c r="D199" s="11">
        <x:f>IF(A199="","",IFERROR(INDEX(Einstellungen!$B$19:$B$118,MATCH(A199,Einstellungen!$A$19:$A$118,0)),""))</x:f>
      </x:c>
      <x:c r="E199" s="17" t="n">
        <x:v>6</x:v>
      </x:c>
      <x:c r="F199" s="17" t="n">
        <x:v>0.5</x:v>
      </x:c>
      <x:c r="G199" s="17" t="n">
        <x:v>0.5</x:v>
      </x:c>
      <x:c r="H199" s="17" t="n">
        <x:v>0.5</x:v>
      </x:c>
      <x:c r="I199" s="17" t="n">
        <x:v>0.25</x:v>
      </x:c>
      <x:c r="J199" s="17">
        <x:f>IF(A199="","",SUM(E199:I199))</x:f>
        <x:v>7.75</x:v>
      </x:c>
    </x:row>
    <x:row r="200">
      <x:c r="A200" s="10">
        <x:f>IF(14&lt;=DAY(EOMONTH(EDATE(Einstellungen!$E$6,5),0)),DATE(YEAR(EDATE(Einstellungen!$E$6,5)),MONTH(EDATE(Einstellungen!$E$6,5)),14),"")</x:f>
        <x:v>46067</x:v>
      </x:c>
      <x:c r="B200" s="12" t="str">
        <x:f>IF(A200="","",CHOOSE(WEEKDAY(A200,2),"Mo","Di","Mi","Do","Fr","Sa","So"))</x:f>
        <x:v>Sa</x:v>
      </x:c>
      <x:c r="C200" s="12">
        <x:f>IF(A200="","",ISOWEEKNUM(A200))</x:f>
        <x:v>7</x:v>
      </x:c>
      <x:c r="D200" s="11">
        <x:f>IF(A200="","",IFERROR(INDEX(Einstellungen!$B$19:$B$118,MATCH(A200,Einstellungen!$A$19:$A$118,0)),""))</x:f>
      </x:c>
      <x:c r="E200" s="18" t="inlineStr">
        <x:is>
          <x:t xml:space="preserve"/>
        </x:is>
      </x:c>
      <x:c r="F200" s="18" t="inlineStr">
        <x:is>
          <x:t xml:space="preserve"/>
        </x:is>
      </x:c>
      <x:c r="G200" s="18" t="inlineStr">
        <x:is>
          <x:t xml:space="preserve"/>
        </x:is>
      </x:c>
      <x:c r="H200" s="18" t="inlineStr">
        <x:is>
          <x:t xml:space="preserve"/>
        </x:is>
      </x:c>
      <x:c r="I200" s="18" t="inlineStr">
        <x:is>
          <x:t xml:space="preserve"/>
        </x:is>
      </x:c>
      <x:c r="J200" s="17">
        <x:f>IF(A200="","",SUM(E200:I200))</x:f>
        <x:v>0</x:v>
      </x:c>
    </x:row>
    <x:row r="201">
      <x:c r="A201" s="10">
        <x:f>IF(15&lt;=DAY(EOMONTH(EDATE(Einstellungen!$E$6,5),0)),DATE(YEAR(EDATE(Einstellungen!$E$6,5)),MONTH(EDATE(Einstellungen!$E$6,5)),15),"")</x:f>
        <x:v>46068</x:v>
      </x:c>
      <x:c r="B201" s="12" t="str">
        <x:f>IF(A201="","",CHOOSE(WEEKDAY(A201,2),"Mo","Di","Mi","Do","Fr","Sa","So"))</x:f>
        <x:v>So</x:v>
      </x:c>
      <x:c r="C201" s="12">
        <x:f>IF(A201="","",ISOWEEKNUM(A201))</x:f>
        <x:v>7</x:v>
      </x:c>
      <x:c r="D201" s="11">
        <x:f>IF(A201="","",IFERROR(INDEX(Einstellungen!$B$19:$B$118,MATCH(A201,Einstellungen!$A$19:$A$118,0)),""))</x:f>
      </x:c>
      <x:c r="E201" s="18" t="inlineStr">
        <x:is>
          <x:t xml:space="preserve"/>
        </x:is>
      </x:c>
      <x:c r="F201" s="18" t="inlineStr">
        <x:is>
          <x:t xml:space="preserve"/>
        </x:is>
      </x:c>
      <x:c r="G201" s="18" t="inlineStr">
        <x:is>
          <x:t xml:space="preserve"/>
        </x:is>
      </x:c>
      <x:c r="H201" s="18" t="inlineStr">
        <x:is>
          <x:t xml:space="preserve"/>
        </x:is>
      </x:c>
      <x:c r="I201" s="18" t="inlineStr">
        <x:is>
          <x:t xml:space="preserve"/>
        </x:is>
      </x:c>
      <x:c r="J201" s="17">
        <x:f>IF(A201="","",SUM(E201:I201))</x:f>
        <x:v>0</x:v>
      </x:c>
    </x:row>
    <x:row r="202">
      <x:c r="A202" s="10">
        <x:f>IF(16&lt;=DAY(EOMONTH(EDATE(Einstellungen!$E$6,5),0)),DATE(YEAR(EDATE(Einstellungen!$E$6,5)),MONTH(EDATE(Einstellungen!$E$6,5)),16),"")</x:f>
        <x:v>46069</x:v>
      </x:c>
      <x:c r="B202" s="12" t="str">
        <x:f>IF(A202="","",CHOOSE(WEEKDAY(A202,2),"Mo","Di","Mi","Do","Fr","Sa","So"))</x:f>
        <x:v>Mo</x:v>
      </x:c>
      <x:c r="C202" s="12">
        <x:f>IF(A202="","",ISOWEEKNUM(A202))</x:f>
        <x:v>8</x:v>
      </x:c>
      <x:c r="D202" s="11" t="str">
        <x:f>IF(A202="","",IFERROR(INDEX(Einstellungen!$B$19:$B$118,MATCH(A202,Einstellungen!$A$19:$A$118,0)),""))</x:f>
        <x:v>Abgabetermin</x:v>
      </x:c>
      <x:c r="E202" s="17" t="n">
        <x:v>5.5</x:v>
      </x:c>
      <x:c r="F202" s="17" t="n">
        <x:v>0.75</x:v>
      </x:c>
      <x:c r="G202" s="17" t="n">
        <x:v>0.5</x:v>
      </x:c>
      <x:c r="H202" s="17" t="n">
        <x:v>0.5</x:v>
      </x:c>
      <x:c r="I202" s="17" t="n">
        <x:v>0.25</x:v>
      </x:c>
      <x:c r="J202" s="17">
        <x:f>IF(A202="","",SUM(E202:I202))</x:f>
        <x:v>7.5</x:v>
      </x:c>
    </x:row>
    <x:row r="203">
      <x:c r="A203" s="10">
        <x:f>IF(17&lt;=DAY(EOMONTH(EDATE(Einstellungen!$E$6,5),0)),DATE(YEAR(EDATE(Einstellungen!$E$6,5)),MONTH(EDATE(Einstellungen!$E$6,5)),17),"")</x:f>
        <x:v>46070</x:v>
      </x:c>
      <x:c r="B203" s="12" t="str">
        <x:f>IF(A203="","",CHOOSE(WEEKDAY(A203,2),"Mo","Di","Mi","Do","Fr","Sa","So"))</x:f>
        <x:v>Di</x:v>
      </x:c>
      <x:c r="C203" s="12">
        <x:f>IF(A203="","",ISOWEEKNUM(A203))</x:f>
        <x:v>8</x:v>
      </x:c>
      <x:c r="D203" s="11">
        <x:f>IF(A203="","",IFERROR(INDEX(Einstellungen!$B$19:$B$118,MATCH(A203,Einstellungen!$A$19:$A$118,0)),""))</x:f>
      </x:c>
      <x:c r="E203" s="17" t="n">
        <x:v>6</x:v>
      </x:c>
      <x:c r="F203" s="17" t="n">
        <x:v>0.5</x:v>
      </x:c>
      <x:c r="G203" s="17" t="n">
        <x:v>1.5</x:v>
      </x:c>
      <x:c r="H203" s="17" t="n">
        <x:v>0.25</x:v>
      </x:c>
      <x:c r="I203" s="17" t="n">
        <x:v>0.25</x:v>
      </x:c>
      <x:c r="J203" s="17">
        <x:f>IF(A203="","",SUM(E203:I203))</x:f>
        <x:v>8.5</x:v>
      </x:c>
    </x:row>
    <x:row r="204">
      <x:c r="A204" s="10">
        <x:f>IF(18&lt;=DAY(EOMONTH(EDATE(Einstellungen!$E$6,5),0)),DATE(YEAR(EDATE(Einstellungen!$E$6,5)),MONTH(EDATE(Einstellungen!$E$6,5)),18),"")</x:f>
        <x:v>46071</x:v>
      </x:c>
      <x:c r="B204" s="12" t="str">
        <x:f>IF(A204="","",CHOOSE(WEEKDAY(A204,2),"Mo","Di","Mi","Do","Fr","Sa","So"))</x:f>
        <x:v>Mi</x:v>
      </x:c>
      <x:c r="C204" s="12">
        <x:f>IF(A204="","",ISOWEEKNUM(A204))</x:f>
        <x:v>8</x:v>
      </x:c>
      <x:c r="D204" s="11">
        <x:f>IF(A204="","",IFERROR(INDEX(Einstellungen!$B$19:$B$118,MATCH(A204,Einstellungen!$A$19:$A$118,0)),""))</x:f>
      </x:c>
      <x:c r="E204" s="17" t="n">
        <x:v>6.5</x:v>
      </x:c>
      <x:c r="F204" s="17" t="n">
        <x:v>0.75</x:v>
      </x:c>
      <x:c r="G204" s="17" t="n">
        <x:v>0.5</x:v>
      </x:c>
      <x:c r="H204" s="17" t="n">
        <x:v>0.25</x:v>
      </x:c>
      <x:c r="I204" s="17" t="n">
        <x:v>0.25</x:v>
      </x:c>
      <x:c r="J204" s="17">
        <x:f>IF(A204="","",SUM(E204:I204))</x:f>
        <x:v>8.25</x:v>
      </x:c>
    </x:row>
    <x:row r="205">
      <x:c r="A205" s="10">
        <x:f>IF(19&lt;=DAY(EOMONTH(EDATE(Einstellungen!$E$6,5),0)),DATE(YEAR(EDATE(Einstellungen!$E$6,5)),MONTH(EDATE(Einstellungen!$E$6,5)),19),"")</x:f>
        <x:v>46072</x:v>
      </x:c>
      <x:c r="B205" s="12" t="str">
        <x:f>IF(A205="","",CHOOSE(WEEKDAY(A205,2),"Mo","Di","Mi","Do","Fr","Sa","So"))</x:f>
        <x:v>Do</x:v>
      </x:c>
      <x:c r="C205" s="12">
        <x:f>IF(A205="","",ISOWEEKNUM(A205))</x:f>
        <x:v>8</x:v>
      </x:c>
      <x:c r="D205" s="11">
        <x:f>IF(A205="","",IFERROR(INDEX(Einstellungen!$B$19:$B$118,MATCH(A205,Einstellungen!$A$19:$A$118,0)),""))</x:f>
      </x:c>
      <x:c r="E205" s="17" t="n">
        <x:v>5.5</x:v>
      </x:c>
      <x:c r="F205" s="17" t="n">
        <x:v>0.5</x:v>
      </x:c>
      <x:c r="G205" s="17" t="n">
        <x:v>1.5</x:v>
      </x:c>
      <x:c r="H205" s="17" t="n">
        <x:v>0.25</x:v>
      </x:c>
      <x:c r="I205" s="17" t="n">
        <x:v>0.25</x:v>
      </x:c>
      <x:c r="J205" s="17">
        <x:f>IF(A205="","",SUM(E205:I205))</x:f>
        <x:v>8</x:v>
      </x:c>
    </x:row>
    <x:row r="206">
      <x:c r="A206" s="10">
        <x:f>IF(20&lt;=DAY(EOMONTH(EDATE(Einstellungen!$E$6,5),0)),DATE(YEAR(EDATE(Einstellungen!$E$6,5)),MONTH(EDATE(Einstellungen!$E$6,5)),20),"")</x:f>
        <x:v>46073</x:v>
      </x:c>
      <x:c r="B206" s="12" t="str">
        <x:f>IF(A206="","",CHOOSE(WEEKDAY(A206,2),"Mo","Di","Mi","Do","Fr","Sa","So"))</x:f>
        <x:v>Fr</x:v>
      </x:c>
      <x:c r="C206" s="12">
        <x:f>IF(A206="","",ISOWEEKNUM(A206))</x:f>
        <x:v>8</x:v>
      </x:c>
      <x:c r="D206" s="11">
        <x:f>IF(A206="","",IFERROR(INDEX(Einstellungen!$B$19:$B$118,MATCH(A206,Einstellungen!$A$19:$A$118,0)),""))</x:f>
      </x:c>
      <x:c r="E206" s="17" t="n">
        <x:v>6</x:v>
      </x:c>
      <x:c r="F206" s="17" t="n">
        <x:v>0.5</x:v>
      </x:c>
      <x:c r="G206" s="17" t="n">
        <x:v>0.5</x:v>
      </x:c>
      <x:c r="H206" s="17" t="n">
        <x:v>0.5</x:v>
      </x:c>
      <x:c r="I206" s="17" t="n">
        <x:v>0.25</x:v>
      </x:c>
      <x:c r="J206" s="17">
        <x:f>IF(A206="","",SUM(E206:I206))</x:f>
        <x:v>7.75</x:v>
      </x:c>
    </x:row>
    <x:row r="207">
      <x:c r="A207" s="10">
        <x:f>IF(21&lt;=DAY(EOMONTH(EDATE(Einstellungen!$E$6,5),0)),DATE(YEAR(EDATE(Einstellungen!$E$6,5)),MONTH(EDATE(Einstellungen!$E$6,5)),21),"")</x:f>
        <x:v>46074</x:v>
      </x:c>
      <x:c r="B207" s="12" t="str">
        <x:f>IF(A207="","",CHOOSE(WEEKDAY(A207,2),"Mo","Di","Mi","Do","Fr","Sa","So"))</x:f>
        <x:v>Sa</x:v>
      </x:c>
      <x:c r="C207" s="12">
        <x:f>IF(A207="","",ISOWEEKNUM(A207))</x:f>
        <x:v>8</x:v>
      </x:c>
      <x:c r="D207" s="11">
        <x:f>IF(A207="","",IFERROR(INDEX(Einstellungen!$B$19:$B$118,MATCH(A207,Einstellungen!$A$19:$A$118,0)),""))</x:f>
      </x:c>
      <x:c r="E207" s="18" t="inlineStr">
        <x:is>
          <x:t xml:space="preserve"/>
        </x:is>
      </x:c>
      <x:c r="F207" s="18" t="inlineStr">
        <x:is>
          <x:t xml:space="preserve"/>
        </x:is>
      </x:c>
      <x:c r="G207" s="18" t="inlineStr">
        <x:is>
          <x:t xml:space="preserve"/>
        </x:is>
      </x:c>
      <x:c r="H207" s="18" t="inlineStr">
        <x:is>
          <x:t xml:space="preserve"/>
        </x:is>
      </x:c>
      <x:c r="I207" s="18" t="inlineStr">
        <x:is>
          <x:t xml:space="preserve"/>
        </x:is>
      </x:c>
      <x:c r="J207" s="17">
        <x:f>IF(A207="","",SUM(E207:I207))</x:f>
        <x:v>0</x:v>
      </x:c>
    </x:row>
    <x:row r="208">
      <x:c r="A208" s="10">
        <x:f>IF(22&lt;=DAY(EOMONTH(EDATE(Einstellungen!$E$6,5),0)),DATE(YEAR(EDATE(Einstellungen!$E$6,5)),MONTH(EDATE(Einstellungen!$E$6,5)),22),"")</x:f>
        <x:v>46075</x:v>
      </x:c>
      <x:c r="B208" s="12" t="str">
        <x:f>IF(A208="","",CHOOSE(WEEKDAY(A208,2),"Mo","Di","Mi","Do","Fr","Sa","So"))</x:f>
        <x:v>So</x:v>
      </x:c>
      <x:c r="C208" s="12">
        <x:f>IF(A208="","",ISOWEEKNUM(A208))</x:f>
        <x:v>8</x:v>
      </x:c>
      <x:c r="D208" s="11">
        <x:f>IF(A208="","",IFERROR(INDEX(Einstellungen!$B$19:$B$118,MATCH(A208,Einstellungen!$A$19:$A$118,0)),""))</x:f>
      </x:c>
      <x:c r="E208" s="18" t="inlineStr">
        <x:is>
          <x:t xml:space="preserve"/>
        </x:is>
      </x:c>
      <x:c r="F208" s="18" t="inlineStr">
        <x:is>
          <x:t xml:space="preserve"/>
        </x:is>
      </x:c>
      <x:c r="G208" s="18" t="inlineStr">
        <x:is>
          <x:t xml:space="preserve"/>
        </x:is>
      </x:c>
      <x:c r="H208" s="18" t="inlineStr">
        <x:is>
          <x:t xml:space="preserve"/>
        </x:is>
      </x:c>
      <x:c r="I208" s="18" t="inlineStr">
        <x:is>
          <x:t xml:space="preserve"/>
        </x:is>
      </x:c>
      <x:c r="J208" s="17">
        <x:f>IF(A208="","",SUM(E208:I208))</x:f>
        <x:v>0</x:v>
      </x:c>
    </x:row>
    <x:row r="209">
      <x:c r="A209" s="10">
        <x:f>IF(23&lt;=DAY(EOMONTH(EDATE(Einstellungen!$E$6,5),0)),DATE(YEAR(EDATE(Einstellungen!$E$6,5)),MONTH(EDATE(Einstellungen!$E$6,5)),23),"")</x:f>
        <x:v>46076</x:v>
      </x:c>
      <x:c r="B209" s="12" t="str">
        <x:f>IF(A209="","",CHOOSE(WEEKDAY(A209,2),"Mo","Di","Mi","Do","Fr","Sa","So"))</x:f>
        <x:v>Mo</x:v>
      </x:c>
      <x:c r="C209" s="12">
        <x:f>IF(A209="","",ISOWEEKNUM(A209))</x:f>
        <x:v>9</x:v>
      </x:c>
      <x:c r="D209" s="11">
        <x:f>IF(A209="","",IFERROR(INDEX(Einstellungen!$B$19:$B$118,MATCH(A209,Einstellungen!$A$19:$A$118,0)),""))</x:f>
      </x:c>
      <x:c r="E209" s="17" t="n">
        <x:v>5.5</x:v>
      </x:c>
      <x:c r="F209" s="17" t="n">
        <x:v>0.75</x:v>
      </x:c>
      <x:c r="G209" s="17" t="n">
        <x:v>0.5</x:v>
      </x:c>
      <x:c r="H209" s="17" t="n">
        <x:v>0.5</x:v>
      </x:c>
      <x:c r="I209" s="17" t="n">
        <x:v>0.25</x:v>
      </x:c>
      <x:c r="J209" s="17">
        <x:f>IF(A209="","",SUM(E209:I209))</x:f>
        <x:v>7.5</x:v>
      </x:c>
    </x:row>
    <x:row r="210">
      <x:c r="A210" s="10">
        <x:f>IF(24&lt;=DAY(EOMONTH(EDATE(Einstellungen!$E$6,5),0)),DATE(YEAR(EDATE(Einstellungen!$E$6,5)),MONTH(EDATE(Einstellungen!$E$6,5)),24),"")</x:f>
        <x:v>46077</x:v>
      </x:c>
      <x:c r="B210" s="12" t="str">
        <x:f>IF(A210="","",CHOOSE(WEEKDAY(A210,2),"Mo","Di","Mi","Do","Fr","Sa","So"))</x:f>
        <x:v>Di</x:v>
      </x:c>
      <x:c r="C210" s="12">
        <x:f>IF(A210="","",ISOWEEKNUM(A210))</x:f>
        <x:v>9</x:v>
      </x:c>
      <x:c r="D210" s="11">
        <x:f>IF(A210="","",IFERROR(INDEX(Einstellungen!$B$19:$B$118,MATCH(A210,Einstellungen!$A$19:$A$118,0)),""))</x:f>
      </x:c>
      <x:c r="E210" s="17" t="n">
        <x:v>6</x:v>
      </x:c>
      <x:c r="F210" s="17" t="n">
        <x:v>0.5</x:v>
      </x:c>
      <x:c r="G210" s="17" t="n">
        <x:v>1.5</x:v>
      </x:c>
      <x:c r="H210" s="17" t="n">
        <x:v>0.25</x:v>
      </x:c>
      <x:c r="I210" s="17" t="n">
        <x:v>0.25</x:v>
      </x:c>
      <x:c r="J210" s="17">
        <x:f>IF(A210="","",SUM(E210:I210))</x:f>
        <x:v>8.5</x:v>
      </x:c>
    </x:row>
    <x:row r="211">
      <x:c r="A211" s="10">
        <x:f>IF(25&lt;=DAY(EOMONTH(EDATE(Einstellungen!$E$6,5),0)),DATE(YEAR(EDATE(Einstellungen!$E$6,5)),MONTH(EDATE(Einstellungen!$E$6,5)),25),"")</x:f>
        <x:v>46078</x:v>
      </x:c>
      <x:c r="B211" s="12" t="str">
        <x:f>IF(A211="","",CHOOSE(WEEKDAY(A211,2),"Mo","Di","Mi","Do","Fr","Sa","So"))</x:f>
        <x:v>Mi</x:v>
      </x:c>
      <x:c r="C211" s="12">
        <x:f>IF(A211="","",ISOWEEKNUM(A211))</x:f>
        <x:v>9</x:v>
      </x:c>
      <x:c r="D211" s="11">
        <x:f>IF(A211="","",IFERROR(INDEX(Einstellungen!$B$19:$B$118,MATCH(A211,Einstellungen!$A$19:$A$118,0)),""))</x:f>
      </x:c>
      <x:c r="E211" s="17" t="n">
        <x:v>6.5</x:v>
      </x:c>
      <x:c r="F211" s="17" t="n">
        <x:v>0.75</x:v>
      </x:c>
      <x:c r="G211" s="17" t="n">
        <x:v>0.5</x:v>
      </x:c>
      <x:c r="H211" s="17" t="n">
        <x:v>0.25</x:v>
      </x:c>
      <x:c r="I211" s="17" t="n">
        <x:v>0.5</x:v>
      </x:c>
      <x:c r="J211" s="17">
        <x:f>IF(A211="","",SUM(E211:I211))</x:f>
        <x:v>8.5</x:v>
      </x:c>
    </x:row>
    <x:row r="212">
      <x:c r="A212" s="10">
        <x:f>IF(26&lt;=DAY(EOMONTH(EDATE(Einstellungen!$E$6,5),0)),DATE(YEAR(EDATE(Einstellungen!$E$6,5)),MONTH(EDATE(Einstellungen!$E$6,5)),26),"")</x:f>
        <x:v>46079</x:v>
      </x:c>
      <x:c r="B212" s="12" t="str">
        <x:f>IF(A212="","",CHOOSE(WEEKDAY(A212,2),"Mo","Di","Mi","Do","Fr","Sa","So"))</x:f>
        <x:v>Do</x:v>
      </x:c>
      <x:c r="C212" s="12">
        <x:f>IF(A212="","",ISOWEEKNUM(A212))</x:f>
        <x:v>9</x:v>
      </x:c>
      <x:c r="D212" s="11">
        <x:f>IF(A212="","",IFERROR(INDEX(Einstellungen!$B$19:$B$118,MATCH(A212,Einstellungen!$A$19:$A$118,0)),""))</x:f>
      </x:c>
      <x:c r="E212" s="17" t="n">
        <x:v>5.5</x:v>
      </x:c>
      <x:c r="F212" s="17" t="n">
        <x:v>0.5</x:v>
      </x:c>
      <x:c r="G212" s="17" t="n">
        <x:v>1.5</x:v>
      </x:c>
      <x:c r="H212" s="17" t="n">
        <x:v>0.25</x:v>
      </x:c>
      <x:c r="I212" s="17" t="n">
        <x:v>0.25</x:v>
      </x:c>
      <x:c r="J212" s="17">
        <x:f>IF(A212="","",SUM(E212:I212))</x:f>
        <x:v>8</x:v>
      </x:c>
    </x:row>
    <x:row r="213">
      <x:c r="A213" s="10">
        <x:f>IF(27&lt;=DAY(EOMONTH(EDATE(Einstellungen!$E$6,5),0)),DATE(YEAR(EDATE(Einstellungen!$E$6,5)),MONTH(EDATE(Einstellungen!$E$6,5)),27),"")</x:f>
        <x:v>46080</x:v>
      </x:c>
      <x:c r="B213" s="12" t="str">
        <x:f>IF(A213="","",CHOOSE(WEEKDAY(A213,2),"Mo","Di","Mi","Do","Fr","Sa","So"))</x:f>
        <x:v>Fr</x:v>
      </x:c>
      <x:c r="C213" s="12">
        <x:f>IF(A213="","",ISOWEEKNUM(A213))</x:f>
        <x:v>9</x:v>
      </x:c>
      <x:c r="D213" s="11">
        <x:f>IF(A213="","",IFERROR(INDEX(Einstellungen!$B$19:$B$118,MATCH(A213,Einstellungen!$A$19:$A$118,0)),""))</x:f>
      </x:c>
      <x:c r="E213" s="17" t="n">
        <x:v>6</x:v>
      </x:c>
      <x:c r="F213" s="17" t="n">
        <x:v>0.5</x:v>
      </x:c>
      <x:c r="G213" s="17" t="n">
        <x:v>0.5</x:v>
      </x:c>
      <x:c r="H213" s="17" t="n">
        <x:v>0.5</x:v>
      </x:c>
      <x:c r="I213" s="17" t="n">
        <x:v>0.25</x:v>
      </x:c>
      <x:c r="J213" s="17">
        <x:f>IF(A213="","",SUM(E213:I213))</x:f>
        <x:v>7.75</x:v>
      </x:c>
    </x:row>
    <x:row r="214">
      <x:c r="A214" s="10">
        <x:f>IF(28&lt;=DAY(EOMONTH(EDATE(Einstellungen!$E$6,5),0)),DATE(YEAR(EDATE(Einstellungen!$E$6,5)),MONTH(EDATE(Einstellungen!$E$6,5)),28),"")</x:f>
        <x:v>46081</x:v>
      </x:c>
      <x:c r="B214" s="12" t="str">
        <x:f>IF(A214="","",CHOOSE(WEEKDAY(A214,2),"Mo","Di","Mi","Do","Fr","Sa","So"))</x:f>
        <x:v>Sa</x:v>
      </x:c>
      <x:c r="C214" s="12">
        <x:f>IF(A214="","",ISOWEEKNUM(A214))</x:f>
        <x:v>9</x:v>
      </x:c>
      <x:c r="D214" s="11">
        <x:f>IF(A214="","",IFERROR(INDEX(Einstellungen!$B$19:$B$118,MATCH(A214,Einstellungen!$A$19:$A$118,0)),""))</x:f>
      </x:c>
      <x:c r="E214" s="18" t="inlineStr">
        <x:is>
          <x:t xml:space="preserve"/>
        </x:is>
      </x:c>
      <x:c r="F214" s="18" t="inlineStr">
        <x:is>
          <x:t xml:space="preserve"/>
        </x:is>
      </x:c>
      <x:c r="G214" s="18" t="inlineStr">
        <x:is>
          <x:t xml:space="preserve"/>
        </x:is>
      </x:c>
      <x:c r="H214" s="18" t="inlineStr">
        <x:is>
          <x:t xml:space="preserve"/>
        </x:is>
      </x:c>
      <x:c r="I214" s="18" t="inlineStr">
        <x:is>
          <x:t xml:space="preserve"/>
        </x:is>
      </x:c>
      <x:c r="J214" s="17">
        <x:f>IF(A214="","",SUM(E214:I214))</x:f>
        <x:v>0</x:v>
      </x:c>
    </x:row>
    <x:row r="215">
      <x:c r="A215" s="10">
        <x:f>IF(29&lt;=DAY(EOMONTH(EDATE(Einstellungen!$E$6,5),0)),DATE(YEAR(EDATE(Einstellungen!$E$6,5)),MONTH(EDATE(Einstellungen!$E$6,5)),29),"")</x:f>
      </x:c>
      <x:c r="B215" s="12">
        <x:f>IF(A215="","",CHOOSE(WEEKDAY(A215,2),"Mo","Di","Mi","Do","Fr","Sa","So"))</x:f>
      </x:c>
      <x:c r="C215" s="12">
        <x:f>IF(A215="","",ISOWEEKNUM(A215))</x:f>
      </x:c>
      <x:c r="D215" s="11">
        <x:f>IF(A215="","",IFERROR(INDEX(Einstellungen!$B$19:$B$118,MATCH(A215,Einstellungen!$A$19:$A$118,0)),""))</x:f>
      </x:c>
      <x:c r="E215" s="18" t="n"/>
      <x:c r="F215" s="18" t="n"/>
      <x:c r="G215" s="18" t="n"/>
      <x:c r="H215" s="18" t="n"/>
      <x:c r="I215" s="18" t="n"/>
      <x:c r="J215" s="17">
        <x:f>IF(A215="","",SUM(E215:I215))</x:f>
      </x:c>
    </x:row>
    <x:row r="216">
      <x:c r="A216" s="10">
        <x:f>IF(30&lt;=DAY(EOMONTH(EDATE(Einstellungen!$E$6,5),0)),DATE(YEAR(EDATE(Einstellungen!$E$6,5)),MONTH(EDATE(Einstellungen!$E$6,5)),30),"")</x:f>
      </x:c>
      <x:c r="B216" s="12">
        <x:f>IF(A216="","",CHOOSE(WEEKDAY(A216,2),"Mo","Di","Mi","Do","Fr","Sa","So"))</x:f>
      </x:c>
      <x:c r="C216" s="12">
        <x:f>IF(A216="","",ISOWEEKNUM(A216))</x:f>
      </x:c>
      <x:c r="D216" s="11">
        <x:f>IF(A216="","",IFERROR(INDEX(Einstellungen!$B$19:$B$118,MATCH(A216,Einstellungen!$A$19:$A$118,0)),""))</x:f>
      </x:c>
      <x:c r="E216" s="18" t="n"/>
      <x:c r="F216" s="18" t="n"/>
      <x:c r="G216" s="18" t="n"/>
      <x:c r="H216" s="18" t="n"/>
      <x:c r="I216" s="18" t="n"/>
      <x:c r="J216" s="17">
        <x:f>IF(A216="","",SUM(E216:I216))</x:f>
      </x:c>
    </x:row>
    <x:row r="217">
      <x:c r="A217" s="10">
        <x:f>IF(31&lt;=DAY(EOMONTH(EDATE(Einstellungen!$E$6,5),0)),DATE(YEAR(EDATE(Einstellungen!$E$6,5)),MONTH(EDATE(Einstellungen!$E$6,5)),31),"")</x:f>
      </x:c>
      <x:c r="B217" s="12">
        <x:f>IF(A217="","",CHOOSE(WEEKDAY(A217,2),"Mo","Di","Mi","Do","Fr","Sa","So"))</x:f>
      </x:c>
      <x:c r="C217" s="12">
        <x:f>IF(A217="","",ISOWEEKNUM(A217))</x:f>
      </x:c>
      <x:c r="D217" s="11">
        <x:f>IF(A217="","",IFERROR(INDEX(Einstellungen!$B$19:$B$118,MATCH(A217,Einstellungen!$A$19:$A$118,0)),""))</x:f>
      </x:c>
      <x:c r="E217" s="18" t="n"/>
      <x:c r="F217" s="18" t="n"/>
      <x:c r="G217" s="18" t="n"/>
      <x:c r="H217" s="18" t="n"/>
      <x:c r="I217" s="18" t="n"/>
      <x:c r="J217" s="17">
        <x:f>IF(A217="","",SUM(E217:I217))</x:f>
      </x:c>
    </x:row>
    <x:row r="218">
      <x:c r="A218" s="4" t="inlineStr">
        <x:is>
          <x:t xml:space="preserve">Monatssumme</x:t>
        </x:is>
      </x:c>
      <x:c r="B218" s="15" t="n"/>
      <x:c r="C218" s="15" t="n"/>
      <x:c r="D218" s="15" t="n"/>
      <x:c r="E218" s="19">
        <x:f>SUM(E187:E217)</x:f>
        <x:v>118</x:v>
      </x:c>
      <x:c r="F218" s="19">
        <x:f>SUM(F187:F217)</x:f>
        <x:v>12</x:v>
      </x:c>
      <x:c r="G218" s="19">
        <x:f>SUM(G187:G217)</x:f>
        <x:v>18</x:v>
      </x:c>
      <x:c r="H218" s="19">
        <x:f>SUM(H187:H217)</x:f>
        <x:v>7</x:v>
      </x:c>
      <x:c r="I218" s="19">
        <x:f>SUM(I187:I217)</x:f>
        <x:v>5.5</x:v>
      </x:c>
      <x:c r="J218" s="19">
        <x:f>SUM(J187:J217)</x:f>
        <x:v>160.5</x:v>
      </x:c>
    </x:row>
    <x:row r="219">
      <x:c r="A219" s="20" t="n"/>
      <x:c r="B219" s="20" t="n"/>
      <x:c r="C219" s="20" t="n"/>
      <x:c r="D219" s="20" t="n"/>
      <x:c r="E219" s="20" t="n"/>
      <x:c r="F219" s="20" t="n"/>
      <x:c r="G219" s="20" t="n"/>
      <x:c r="H219" s="20" t="n"/>
      <x:c r="I219" s="20" t="n"/>
      <x:c r="J219" s="20" t="n"/>
    </x:row>
    <x:row r="220">
      <x:c r="A220" s="20" t="n"/>
      <x:c r="B220" s="20" t="n"/>
      <x:c r="C220" s="20" t="n"/>
      <x:c r="D220" s="20" t="n"/>
      <x:c r="E220" s="20" t="n"/>
      <x:c r="F220" s="20" t="n"/>
      <x:c r="G220" s="20" t="n"/>
      <x:c r="H220" s="20" t="n"/>
      <x:c r="I220" s="20" t="n"/>
      <x:c r="J220" s="20" t="n"/>
    </x:row>
    <x:row r="221">
      <x:c r="A221" s="15" t="str">
        <x:f>INDEX(Einstellungen!$J$2:$J$13,MONTH(EDATE(Einstellungen!$E$6,6)))&amp;" "&amp;YEAR(EDATE(Einstellungen!$E$6,6))</x:f>
        <x:v>März 2026</x:v>
      </x:c>
    </x:row>
    <x:row r="222">
      <x:c r="A222" s="16" t="inlineStr">
        <x:is>
          <x:t xml:space="preserve">Datum</x:t>
        </x:is>
      </x:c>
      <x:c r="B222" s="16" t="inlineStr">
        <x:is>
          <x:t xml:space="preserve">Tag</x:t>
        </x:is>
      </x:c>
      <x:c r="C222" s="16" t="inlineStr">
        <x:is>
          <x:t xml:space="preserve">KW</x:t>
        </x:is>
      </x:c>
      <x:c r="D222" s="16" t="inlineStr">
        <x:is>
          <x:t xml:space="preserve">Feiertag / Termin</x:t>
        </x:is>
      </x:c>
      <x:c r="E222" s="16" t="str">
        <x:f>Einstellungen!$B$11</x:f>
        <x:v>Arbeitszeit</x:v>
      </x:c>
      <x:c r="F222" s="16" t="str">
        <x:f>Einstellungen!$B$12</x:f>
        <x:v>E-Mail</x:v>
      </x:c>
      <x:c r="G222" s="16" t="str">
        <x:f>Einstellungen!$B$13</x:f>
        <x:v>Meetings</x:v>
      </x:c>
      <x:c r="H222" s="16" t="str">
        <x:f>Einstellungen!$B$14</x:f>
        <x:v>Telefonate</x:v>
      </x:c>
      <x:c r="I222" s="16" t="str">
        <x:f>Einstellungen!$B$15</x:f>
        <x:v>Sonstiges</x:v>
      </x:c>
      <x:c r="J222" s="16" t="inlineStr">
        <x:is>
          <x:t xml:space="preserve">Gesamt</x:t>
        </x:is>
      </x:c>
    </x:row>
    <x:row r="223">
      <x:c r="A223" s="10">
        <x:f>IF(1&lt;=DAY(EOMONTH(EDATE(Einstellungen!$E$6,6),0)),DATE(YEAR(EDATE(Einstellungen!$E$6,6)),MONTH(EDATE(Einstellungen!$E$6,6)),1),"")</x:f>
        <x:v>46082</x:v>
      </x:c>
      <x:c r="B223" s="12" t="str">
        <x:f>IF(A223="","",CHOOSE(WEEKDAY(A223,2),"Mo","Di","Mi","Do","Fr","Sa","So"))</x:f>
        <x:v>So</x:v>
      </x:c>
      <x:c r="C223" s="12">
        <x:f>IF(A223="","",ISOWEEKNUM(A223))</x:f>
        <x:v>9</x:v>
      </x:c>
      <x:c r="D223" s="11">
        <x:f>IF(A223="","",IFERROR(INDEX(Einstellungen!$B$19:$B$118,MATCH(A223,Einstellungen!$A$19:$A$118,0)),""))</x:f>
      </x:c>
      <x:c r="E223" s="18" t="inlineStr">
        <x:is>
          <x:t xml:space="preserve"/>
        </x:is>
      </x:c>
      <x:c r="F223" s="18" t="inlineStr">
        <x:is>
          <x:t xml:space="preserve"/>
        </x:is>
      </x:c>
      <x:c r="G223" s="18" t="inlineStr">
        <x:is>
          <x:t xml:space="preserve"/>
        </x:is>
      </x:c>
      <x:c r="H223" s="18" t="inlineStr">
        <x:is>
          <x:t xml:space="preserve"/>
        </x:is>
      </x:c>
      <x:c r="I223" s="18" t="inlineStr">
        <x:is>
          <x:t xml:space="preserve"/>
        </x:is>
      </x:c>
      <x:c r="J223" s="17">
        <x:f>IF(A223="","",SUM(E223:I223))</x:f>
        <x:v>0</x:v>
      </x:c>
    </x:row>
    <x:row r="224">
      <x:c r="A224" s="10">
        <x:f>IF(2&lt;=DAY(EOMONTH(EDATE(Einstellungen!$E$6,6),0)),DATE(YEAR(EDATE(Einstellungen!$E$6,6)),MONTH(EDATE(Einstellungen!$E$6,6)),2),"")</x:f>
        <x:v>46083</x:v>
      </x:c>
      <x:c r="B224" s="12" t="str">
        <x:f>IF(A224="","",CHOOSE(WEEKDAY(A224,2),"Mo","Di","Mi","Do","Fr","Sa","So"))</x:f>
        <x:v>Mo</x:v>
      </x:c>
      <x:c r="C224" s="12">
        <x:f>IF(A224="","",ISOWEEKNUM(A224))</x:f>
        <x:v>10</x:v>
      </x:c>
      <x:c r="D224" s="11">
        <x:f>IF(A224="","",IFERROR(INDEX(Einstellungen!$B$19:$B$118,MATCH(A224,Einstellungen!$A$19:$A$118,0)),""))</x:f>
      </x:c>
      <x:c r="E224" s="17" t="n">
        <x:v>5.5</x:v>
      </x:c>
      <x:c r="F224" s="17" t="n">
        <x:v>0.75</x:v>
      </x:c>
      <x:c r="G224" s="17" t="n">
        <x:v>0.5</x:v>
      </x:c>
      <x:c r="H224" s="17" t="n">
        <x:v>0.5</x:v>
      </x:c>
      <x:c r="I224" s="17" t="n">
        <x:v>0.25</x:v>
      </x:c>
      <x:c r="J224" s="17">
        <x:f>IF(A224="","",SUM(E224:I224))</x:f>
        <x:v>7.5</x:v>
      </x:c>
    </x:row>
    <x:row r="225">
      <x:c r="A225" s="10">
        <x:f>IF(3&lt;=DAY(EOMONTH(EDATE(Einstellungen!$E$6,6),0)),DATE(YEAR(EDATE(Einstellungen!$E$6,6)),MONTH(EDATE(Einstellungen!$E$6,6)),3),"")</x:f>
        <x:v>46084</x:v>
      </x:c>
      <x:c r="B225" s="12" t="str">
        <x:f>IF(A225="","",CHOOSE(WEEKDAY(A225,2),"Mo","Di","Mi","Do","Fr","Sa","So"))</x:f>
        <x:v>Di</x:v>
      </x:c>
      <x:c r="C225" s="12">
        <x:f>IF(A225="","",ISOWEEKNUM(A225))</x:f>
        <x:v>10</x:v>
      </x:c>
      <x:c r="D225" s="11">
        <x:f>IF(A225="","",IFERROR(INDEX(Einstellungen!$B$19:$B$118,MATCH(A225,Einstellungen!$A$19:$A$118,0)),""))</x:f>
      </x:c>
      <x:c r="E225" s="17" t="n">
        <x:v>6</x:v>
      </x:c>
      <x:c r="F225" s="17" t="n">
        <x:v>0.5</x:v>
      </x:c>
      <x:c r="G225" s="17" t="n">
        <x:v>1.5</x:v>
      </x:c>
      <x:c r="H225" s="17" t="n">
        <x:v>0.25</x:v>
      </x:c>
      <x:c r="I225" s="17" t="n">
        <x:v>0.25</x:v>
      </x:c>
      <x:c r="J225" s="17">
        <x:f>IF(A225="","",SUM(E225:I225))</x:f>
        <x:v>8.5</x:v>
      </x:c>
    </x:row>
    <x:row r="226">
      <x:c r="A226" s="10">
        <x:f>IF(4&lt;=DAY(EOMONTH(EDATE(Einstellungen!$E$6,6),0)),DATE(YEAR(EDATE(Einstellungen!$E$6,6)),MONTH(EDATE(Einstellungen!$E$6,6)),4),"")</x:f>
        <x:v>46085</x:v>
      </x:c>
      <x:c r="B226" s="12" t="str">
        <x:f>IF(A226="","",CHOOSE(WEEKDAY(A226,2),"Mo","Di","Mi","Do","Fr","Sa","So"))</x:f>
        <x:v>Mi</x:v>
      </x:c>
      <x:c r="C226" s="12">
        <x:f>IF(A226="","",ISOWEEKNUM(A226))</x:f>
        <x:v>10</x:v>
      </x:c>
      <x:c r="D226" s="11">
        <x:f>IF(A226="","",IFERROR(INDEX(Einstellungen!$B$19:$B$118,MATCH(A226,Einstellungen!$A$19:$A$118,0)),""))</x:f>
      </x:c>
      <x:c r="E226" s="17" t="n">
        <x:v>6.5</x:v>
      </x:c>
      <x:c r="F226" s="17" t="n">
        <x:v>0.75</x:v>
      </x:c>
      <x:c r="G226" s="17" t="n">
        <x:v>0.5</x:v>
      </x:c>
      <x:c r="H226" s="17" t="n">
        <x:v>0.25</x:v>
      </x:c>
      <x:c r="I226" s="17" t="n">
        <x:v>0.25</x:v>
      </x:c>
      <x:c r="J226" s="17">
        <x:f>IF(A226="","",SUM(E226:I226))</x:f>
        <x:v>8.25</x:v>
      </x:c>
    </x:row>
    <x:row r="227">
      <x:c r="A227" s="10">
        <x:f>IF(5&lt;=DAY(EOMONTH(EDATE(Einstellungen!$E$6,6),0)),DATE(YEAR(EDATE(Einstellungen!$E$6,6)),MONTH(EDATE(Einstellungen!$E$6,6)),5),"")</x:f>
        <x:v>46086</x:v>
      </x:c>
      <x:c r="B227" s="12" t="str">
        <x:f>IF(A227="","",CHOOSE(WEEKDAY(A227,2),"Mo","Di","Mi","Do","Fr","Sa","So"))</x:f>
        <x:v>Do</x:v>
      </x:c>
      <x:c r="C227" s="12">
        <x:f>IF(A227="","",ISOWEEKNUM(A227))</x:f>
        <x:v>10</x:v>
      </x:c>
      <x:c r="D227" s="11">
        <x:f>IF(A227="","",IFERROR(INDEX(Einstellungen!$B$19:$B$118,MATCH(A227,Einstellungen!$A$19:$A$118,0)),""))</x:f>
      </x:c>
      <x:c r="E227" s="17" t="n">
        <x:v>5.5</x:v>
      </x:c>
      <x:c r="F227" s="17" t="n">
        <x:v>0.5</x:v>
      </x:c>
      <x:c r="G227" s="17" t="n">
        <x:v>1.5</x:v>
      </x:c>
      <x:c r="H227" s="17" t="n">
        <x:v>0.25</x:v>
      </x:c>
      <x:c r="I227" s="17" t="n">
        <x:v>0.5</x:v>
      </x:c>
      <x:c r="J227" s="17">
        <x:f>IF(A227="","",SUM(E227:I227))</x:f>
        <x:v>8.25</x:v>
      </x:c>
    </x:row>
    <x:row r="228">
      <x:c r="A228" s="10">
        <x:f>IF(6&lt;=DAY(EOMONTH(EDATE(Einstellungen!$E$6,6),0)),DATE(YEAR(EDATE(Einstellungen!$E$6,6)),MONTH(EDATE(Einstellungen!$E$6,6)),6),"")</x:f>
        <x:v>46087</x:v>
      </x:c>
      <x:c r="B228" s="12" t="str">
        <x:f>IF(A228="","",CHOOSE(WEEKDAY(A228,2),"Mo","Di","Mi","Do","Fr","Sa","So"))</x:f>
        <x:v>Fr</x:v>
      </x:c>
      <x:c r="C228" s="12">
        <x:f>IF(A228="","",ISOWEEKNUM(A228))</x:f>
        <x:v>10</x:v>
      </x:c>
      <x:c r="D228" s="11">
        <x:f>IF(A228="","",IFERROR(INDEX(Einstellungen!$B$19:$B$118,MATCH(A228,Einstellungen!$A$19:$A$118,0)),""))</x:f>
      </x:c>
      <x:c r="E228" s="17" t="n">
        <x:v>6</x:v>
      </x:c>
      <x:c r="F228" s="17" t="n">
        <x:v>0.5</x:v>
      </x:c>
      <x:c r="G228" s="17" t="n">
        <x:v>0.5</x:v>
      </x:c>
      <x:c r="H228" s="17" t="n">
        <x:v>0.5</x:v>
      </x:c>
      <x:c r="I228" s="17" t="n">
        <x:v>0.25</x:v>
      </x:c>
      <x:c r="J228" s="17">
        <x:f>IF(A228="","",SUM(E228:I228))</x:f>
        <x:v>7.75</x:v>
      </x:c>
    </x:row>
    <x:row r="229">
      <x:c r="A229" s="10">
        <x:f>IF(7&lt;=DAY(EOMONTH(EDATE(Einstellungen!$E$6,6),0)),DATE(YEAR(EDATE(Einstellungen!$E$6,6)),MONTH(EDATE(Einstellungen!$E$6,6)),7),"")</x:f>
        <x:v>46088</x:v>
      </x:c>
      <x:c r="B229" s="12" t="str">
        <x:f>IF(A229="","",CHOOSE(WEEKDAY(A229,2),"Mo","Di","Mi","Do","Fr","Sa","So"))</x:f>
        <x:v>Sa</x:v>
      </x:c>
      <x:c r="C229" s="12">
        <x:f>IF(A229="","",ISOWEEKNUM(A229))</x:f>
        <x:v>10</x:v>
      </x:c>
      <x:c r="D229" s="11">
        <x:f>IF(A229="","",IFERROR(INDEX(Einstellungen!$B$19:$B$118,MATCH(A229,Einstellungen!$A$19:$A$118,0)),""))</x:f>
      </x:c>
      <x:c r="E229" s="18" t="inlineStr">
        <x:is>
          <x:t xml:space="preserve"/>
        </x:is>
      </x:c>
      <x:c r="F229" s="18" t="inlineStr">
        <x:is>
          <x:t xml:space="preserve"/>
        </x:is>
      </x:c>
      <x:c r="G229" s="18" t="inlineStr">
        <x:is>
          <x:t xml:space="preserve"/>
        </x:is>
      </x:c>
      <x:c r="H229" s="18" t="inlineStr">
        <x:is>
          <x:t xml:space="preserve"/>
        </x:is>
      </x:c>
      <x:c r="I229" s="18" t="inlineStr">
        <x:is>
          <x:t xml:space="preserve"/>
        </x:is>
      </x:c>
      <x:c r="J229" s="17">
        <x:f>IF(A229="","",SUM(E229:I229))</x:f>
        <x:v>0</x:v>
      </x:c>
    </x:row>
    <x:row r="230">
      <x:c r="A230" s="10">
        <x:f>IF(8&lt;=DAY(EOMONTH(EDATE(Einstellungen!$E$6,6),0)),DATE(YEAR(EDATE(Einstellungen!$E$6,6)),MONTH(EDATE(Einstellungen!$E$6,6)),8),"")</x:f>
        <x:v>46089</x:v>
      </x:c>
      <x:c r="B230" s="12" t="str">
        <x:f>IF(A230="","",CHOOSE(WEEKDAY(A230,2),"Mo","Di","Mi","Do","Fr","Sa","So"))</x:f>
        <x:v>So</x:v>
      </x:c>
      <x:c r="C230" s="12">
        <x:f>IF(A230="","",ISOWEEKNUM(A230))</x:f>
        <x:v>10</x:v>
      </x:c>
      <x:c r="D230" s="11">
        <x:f>IF(A230="","",IFERROR(INDEX(Einstellungen!$B$19:$B$118,MATCH(A230,Einstellungen!$A$19:$A$118,0)),""))</x:f>
      </x:c>
      <x:c r="E230" s="18" t="inlineStr">
        <x:is>
          <x:t xml:space="preserve"/>
        </x:is>
      </x:c>
      <x:c r="F230" s="18" t="inlineStr">
        <x:is>
          <x:t xml:space="preserve"/>
        </x:is>
      </x:c>
      <x:c r="G230" s="18" t="inlineStr">
        <x:is>
          <x:t xml:space="preserve"/>
        </x:is>
      </x:c>
      <x:c r="H230" s="18" t="inlineStr">
        <x:is>
          <x:t xml:space="preserve"/>
        </x:is>
      </x:c>
      <x:c r="I230" s="18" t="inlineStr">
        <x:is>
          <x:t xml:space="preserve"/>
        </x:is>
      </x:c>
      <x:c r="J230" s="17">
        <x:f>IF(A230="","",SUM(E230:I230))</x:f>
        <x:v>0</x:v>
      </x:c>
    </x:row>
    <x:row r="231">
      <x:c r="A231" s="10">
        <x:f>IF(9&lt;=DAY(EOMONTH(EDATE(Einstellungen!$E$6,6),0)),DATE(YEAR(EDATE(Einstellungen!$E$6,6)),MONTH(EDATE(Einstellungen!$E$6,6)),9),"")</x:f>
        <x:v>46090</x:v>
      </x:c>
      <x:c r="B231" s="12" t="str">
        <x:f>IF(A231="","",CHOOSE(WEEKDAY(A231,2),"Mo","Di","Mi","Do","Fr","Sa","So"))</x:f>
        <x:v>Mo</x:v>
      </x:c>
      <x:c r="C231" s="12">
        <x:f>IF(A231="","",ISOWEEKNUM(A231))</x:f>
        <x:v>11</x:v>
      </x:c>
      <x:c r="D231" s="11">
        <x:f>IF(A231="","",IFERROR(INDEX(Einstellungen!$B$19:$B$118,MATCH(A231,Einstellungen!$A$19:$A$118,0)),""))</x:f>
      </x:c>
      <x:c r="E231" s="17" t="n">
        <x:v>5.5</x:v>
      </x:c>
      <x:c r="F231" s="17" t="n">
        <x:v>0.75</x:v>
      </x:c>
      <x:c r="G231" s="17" t="n">
        <x:v>0.5</x:v>
      </x:c>
      <x:c r="H231" s="17" t="n">
        <x:v>0.5</x:v>
      </x:c>
      <x:c r="I231" s="17" t="n">
        <x:v>0.25</x:v>
      </x:c>
      <x:c r="J231" s="17">
        <x:f>IF(A231="","",SUM(E231:I231))</x:f>
        <x:v>7.5</x:v>
      </x:c>
    </x:row>
    <x:row r="232">
      <x:c r="A232" s="10">
        <x:f>IF(10&lt;=DAY(EOMONTH(EDATE(Einstellungen!$E$6,6),0)),DATE(YEAR(EDATE(Einstellungen!$E$6,6)),MONTH(EDATE(Einstellungen!$E$6,6)),10),"")</x:f>
        <x:v>46091</x:v>
      </x:c>
      <x:c r="B232" s="12" t="str">
        <x:f>IF(A232="","",CHOOSE(WEEKDAY(A232,2),"Mo","Di","Mi","Do","Fr","Sa","So"))</x:f>
        <x:v>Di</x:v>
      </x:c>
      <x:c r="C232" s="12">
        <x:f>IF(A232="","",ISOWEEKNUM(A232))</x:f>
        <x:v>11</x:v>
      </x:c>
      <x:c r="D232" s="11">
        <x:f>IF(A232="","",IFERROR(INDEX(Einstellungen!$B$19:$B$118,MATCH(A232,Einstellungen!$A$19:$A$118,0)),""))</x:f>
      </x:c>
      <x:c r="E232" s="17" t="n">
        <x:v>6</x:v>
      </x:c>
      <x:c r="F232" s="17" t="n">
        <x:v>0.5</x:v>
      </x:c>
      <x:c r="G232" s="17" t="n">
        <x:v>1.5</x:v>
      </x:c>
      <x:c r="H232" s="17" t="n">
        <x:v>0.25</x:v>
      </x:c>
      <x:c r="I232" s="17" t="n">
        <x:v>0.25</x:v>
      </x:c>
      <x:c r="J232" s="17">
        <x:f>IF(A232="","",SUM(E232:I232))</x:f>
        <x:v>8.5</x:v>
      </x:c>
    </x:row>
    <x:row r="233">
      <x:c r="A233" s="10">
        <x:f>IF(11&lt;=DAY(EOMONTH(EDATE(Einstellungen!$E$6,6),0)),DATE(YEAR(EDATE(Einstellungen!$E$6,6)),MONTH(EDATE(Einstellungen!$E$6,6)),11),"")</x:f>
        <x:v>46092</x:v>
      </x:c>
      <x:c r="B233" s="12" t="str">
        <x:f>IF(A233="","",CHOOSE(WEEKDAY(A233,2),"Mo","Di","Mi","Do","Fr","Sa","So"))</x:f>
        <x:v>Mi</x:v>
      </x:c>
      <x:c r="C233" s="12">
        <x:f>IF(A233="","",ISOWEEKNUM(A233))</x:f>
        <x:v>11</x:v>
      </x:c>
      <x:c r="D233" s="11">
        <x:f>IF(A233="","",IFERROR(INDEX(Einstellungen!$B$19:$B$118,MATCH(A233,Einstellungen!$A$19:$A$118,0)),""))</x:f>
      </x:c>
      <x:c r="E233" s="17" t="n">
        <x:v>6.5</x:v>
      </x:c>
      <x:c r="F233" s="17" t="n">
        <x:v>0.75</x:v>
      </x:c>
      <x:c r="G233" s="17" t="n">
        <x:v>0.5</x:v>
      </x:c>
      <x:c r="H233" s="17" t="n">
        <x:v>0.25</x:v>
      </x:c>
      <x:c r="I233" s="17" t="n">
        <x:v>0.25</x:v>
      </x:c>
      <x:c r="J233" s="17">
        <x:f>IF(A233="","",SUM(E233:I233))</x:f>
        <x:v>8.25</x:v>
      </x:c>
    </x:row>
    <x:row r="234">
      <x:c r="A234" s="10">
        <x:f>IF(12&lt;=DAY(EOMONTH(EDATE(Einstellungen!$E$6,6),0)),DATE(YEAR(EDATE(Einstellungen!$E$6,6)),MONTH(EDATE(Einstellungen!$E$6,6)),12),"")</x:f>
        <x:v>46093</x:v>
      </x:c>
      <x:c r="B234" s="12" t="str">
        <x:f>IF(A234="","",CHOOSE(WEEKDAY(A234,2),"Mo","Di","Mi","Do","Fr","Sa","So"))</x:f>
        <x:v>Do</x:v>
      </x:c>
      <x:c r="C234" s="12">
        <x:f>IF(A234="","",ISOWEEKNUM(A234))</x:f>
        <x:v>11</x:v>
      </x:c>
      <x:c r="D234" s="11">
        <x:f>IF(A234="","",IFERROR(INDEX(Einstellungen!$B$19:$B$118,MATCH(A234,Einstellungen!$A$19:$A$118,0)),""))</x:f>
      </x:c>
      <x:c r="E234" s="17" t="n">
        <x:v>5.5</x:v>
      </x:c>
      <x:c r="F234" s="17" t="n">
        <x:v>0.5</x:v>
      </x:c>
      <x:c r="G234" s="17" t="n">
        <x:v>1.5</x:v>
      </x:c>
      <x:c r="H234" s="17" t="n">
        <x:v>0.25</x:v>
      </x:c>
      <x:c r="I234" s="17" t="n">
        <x:v>0.25</x:v>
      </x:c>
      <x:c r="J234" s="17">
        <x:f>IF(A234="","",SUM(E234:I234))</x:f>
        <x:v>8</x:v>
      </x:c>
    </x:row>
    <x:row r="235">
      <x:c r="A235" s="10">
        <x:f>IF(13&lt;=DAY(EOMONTH(EDATE(Einstellungen!$E$6,6),0)),DATE(YEAR(EDATE(Einstellungen!$E$6,6)),MONTH(EDATE(Einstellungen!$E$6,6)),13),"")</x:f>
        <x:v>46094</x:v>
      </x:c>
      <x:c r="B235" s="12" t="str">
        <x:f>IF(A235="","",CHOOSE(WEEKDAY(A235,2),"Mo","Di","Mi","Do","Fr","Sa","So"))</x:f>
        <x:v>Fr</x:v>
      </x:c>
      <x:c r="C235" s="12">
        <x:f>IF(A235="","",ISOWEEKNUM(A235))</x:f>
        <x:v>11</x:v>
      </x:c>
      <x:c r="D235" s="11">
        <x:f>IF(A235="","",IFERROR(INDEX(Einstellungen!$B$19:$B$118,MATCH(A235,Einstellungen!$A$19:$A$118,0)),""))</x:f>
      </x:c>
      <x:c r="E235" s="17" t="n">
        <x:v>6</x:v>
      </x:c>
      <x:c r="F235" s="17" t="n">
        <x:v>0.5</x:v>
      </x:c>
      <x:c r="G235" s="17" t="n">
        <x:v>0.5</x:v>
      </x:c>
      <x:c r="H235" s="17" t="n">
        <x:v>0.5</x:v>
      </x:c>
      <x:c r="I235" s="17" t="n">
        <x:v>0.25</x:v>
      </x:c>
      <x:c r="J235" s="17">
        <x:f>IF(A235="","",SUM(E235:I235))</x:f>
        <x:v>7.75</x:v>
      </x:c>
    </x:row>
    <x:row r="236">
      <x:c r="A236" s="10">
        <x:f>IF(14&lt;=DAY(EOMONTH(EDATE(Einstellungen!$E$6,6),0)),DATE(YEAR(EDATE(Einstellungen!$E$6,6)),MONTH(EDATE(Einstellungen!$E$6,6)),14),"")</x:f>
        <x:v>46095</x:v>
      </x:c>
      <x:c r="B236" s="12" t="str">
        <x:f>IF(A236="","",CHOOSE(WEEKDAY(A236,2),"Mo","Di","Mi","Do","Fr","Sa","So"))</x:f>
        <x:v>Sa</x:v>
      </x:c>
      <x:c r="C236" s="12">
        <x:f>IF(A236="","",ISOWEEKNUM(A236))</x:f>
        <x:v>11</x:v>
      </x:c>
      <x:c r="D236" s="11">
        <x:f>IF(A236="","",IFERROR(INDEX(Einstellungen!$B$19:$B$118,MATCH(A236,Einstellungen!$A$19:$A$118,0)),""))</x:f>
      </x:c>
      <x:c r="E236" s="18" t="inlineStr">
        <x:is>
          <x:t xml:space="preserve"/>
        </x:is>
      </x:c>
      <x:c r="F236" s="18" t="inlineStr">
        <x:is>
          <x:t xml:space="preserve"/>
        </x:is>
      </x:c>
      <x:c r="G236" s="18" t="inlineStr">
        <x:is>
          <x:t xml:space="preserve"/>
        </x:is>
      </x:c>
      <x:c r="H236" s="18" t="inlineStr">
        <x:is>
          <x:t xml:space="preserve"/>
        </x:is>
      </x:c>
      <x:c r="I236" s="18" t="inlineStr">
        <x:is>
          <x:t xml:space="preserve"/>
        </x:is>
      </x:c>
      <x:c r="J236" s="17">
        <x:f>IF(A236="","",SUM(E236:I236))</x:f>
        <x:v>0</x:v>
      </x:c>
    </x:row>
    <x:row r="237">
      <x:c r="A237" s="10">
        <x:f>IF(15&lt;=DAY(EOMONTH(EDATE(Einstellungen!$E$6,6),0)),DATE(YEAR(EDATE(Einstellungen!$E$6,6)),MONTH(EDATE(Einstellungen!$E$6,6)),15),"")</x:f>
        <x:v>46096</x:v>
      </x:c>
      <x:c r="B237" s="12" t="str">
        <x:f>IF(A237="","",CHOOSE(WEEKDAY(A237,2),"Mo","Di","Mi","Do","Fr","Sa","So"))</x:f>
        <x:v>So</x:v>
      </x:c>
      <x:c r="C237" s="12">
        <x:f>IF(A237="","",ISOWEEKNUM(A237))</x:f>
        <x:v>11</x:v>
      </x:c>
      <x:c r="D237" s="11">
        <x:f>IF(A237="","",IFERROR(INDEX(Einstellungen!$B$19:$B$118,MATCH(A237,Einstellungen!$A$19:$A$118,0)),""))</x:f>
      </x:c>
      <x:c r="E237" s="18" t="inlineStr">
        <x:is>
          <x:t xml:space="preserve"/>
        </x:is>
      </x:c>
      <x:c r="F237" s="18" t="inlineStr">
        <x:is>
          <x:t xml:space="preserve"/>
        </x:is>
      </x:c>
      <x:c r="G237" s="18" t="inlineStr">
        <x:is>
          <x:t xml:space="preserve"/>
        </x:is>
      </x:c>
      <x:c r="H237" s="18" t="inlineStr">
        <x:is>
          <x:t xml:space="preserve"/>
        </x:is>
      </x:c>
      <x:c r="I237" s="18" t="inlineStr">
        <x:is>
          <x:t xml:space="preserve"/>
        </x:is>
      </x:c>
      <x:c r="J237" s="17">
        <x:f>IF(A237="","",SUM(E237:I237))</x:f>
        <x:v>0</x:v>
      </x:c>
    </x:row>
    <x:row r="238">
      <x:c r="A238" s="10">
        <x:f>IF(16&lt;=DAY(EOMONTH(EDATE(Einstellungen!$E$6,6),0)),DATE(YEAR(EDATE(Einstellungen!$E$6,6)),MONTH(EDATE(Einstellungen!$E$6,6)),16),"")</x:f>
        <x:v>46097</x:v>
      </x:c>
      <x:c r="B238" s="12" t="str">
        <x:f>IF(A238="","",CHOOSE(WEEKDAY(A238,2),"Mo","Di","Mi","Do","Fr","Sa","So"))</x:f>
        <x:v>Mo</x:v>
      </x:c>
      <x:c r="C238" s="12">
        <x:f>IF(A238="","",ISOWEEKNUM(A238))</x:f>
        <x:v>12</x:v>
      </x:c>
      <x:c r="D238" s="11">
        <x:f>IF(A238="","",IFERROR(INDEX(Einstellungen!$B$19:$B$118,MATCH(A238,Einstellungen!$A$19:$A$118,0)),""))</x:f>
      </x:c>
      <x:c r="E238" s="17" t="n">
        <x:v>5.5</x:v>
      </x:c>
      <x:c r="F238" s="17" t="n">
        <x:v>0.75</x:v>
      </x:c>
      <x:c r="G238" s="17" t="n">
        <x:v>0.5</x:v>
      </x:c>
      <x:c r="H238" s="17" t="n">
        <x:v>0.5</x:v>
      </x:c>
      <x:c r="I238" s="17" t="n">
        <x:v>0.25</x:v>
      </x:c>
      <x:c r="J238" s="17">
        <x:f>IF(A238="","",SUM(E238:I238))</x:f>
        <x:v>7.5</x:v>
      </x:c>
    </x:row>
    <x:row r="239">
      <x:c r="A239" s="10">
        <x:f>IF(17&lt;=DAY(EOMONTH(EDATE(Einstellungen!$E$6,6),0)),DATE(YEAR(EDATE(Einstellungen!$E$6,6)),MONTH(EDATE(Einstellungen!$E$6,6)),17),"")</x:f>
        <x:v>46098</x:v>
      </x:c>
      <x:c r="B239" s="12" t="str">
        <x:f>IF(A239="","",CHOOSE(WEEKDAY(A239,2),"Mo","Di","Mi","Do","Fr","Sa","So"))</x:f>
        <x:v>Di</x:v>
      </x:c>
      <x:c r="C239" s="12">
        <x:f>IF(A239="","",ISOWEEKNUM(A239))</x:f>
        <x:v>12</x:v>
      </x:c>
      <x:c r="D239" s="11">
        <x:f>IF(A239="","",IFERROR(INDEX(Einstellungen!$B$19:$B$118,MATCH(A239,Einstellungen!$A$19:$A$118,0)),""))</x:f>
      </x:c>
      <x:c r="E239" s="17" t="n">
        <x:v>6</x:v>
      </x:c>
      <x:c r="F239" s="17" t="n">
        <x:v>0.5</x:v>
      </x:c>
      <x:c r="G239" s="17" t="n">
        <x:v>1.5</x:v>
      </x:c>
      <x:c r="H239" s="17" t="n">
        <x:v>0.25</x:v>
      </x:c>
      <x:c r="I239" s="17" t="n">
        <x:v>0.25</x:v>
      </x:c>
      <x:c r="J239" s="17">
        <x:f>IF(A239="","",SUM(E239:I239))</x:f>
        <x:v>8.5</x:v>
      </x:c>
    </x:row>
    <x:row r="240">
      <x:c r="A240" s="10">
        <x:f>IF(18&lt;=DAY(EOMONTH(EDATE(Einstellungen!$E$6,6),0)),DATE(YEAR(EDATE(Einstellungen!$E$6,6)),MONTH(EDATE(Einstellungen!$E$6,6)),18),"")</x:f>
        <x:v>46099</x:v>
      </x:c>
      <x:c r="B240" s="12" t="str">
        <x:f>IF(A240="","",CHOOSE(WEEKDAY(A240,2),"Mo","Di","Mi","Do","Fr","Sa","So"))</x:f>
        <x:v>Mi</x:v>
      </x:c>
      <x:c r="C240" s="12">
        <x:f>IF(A240="","",ISOWEEKNUM(A240))</x:f>
        <x:v>12</x:v>
      </x:c>
      <x:c r="D240" s="11">
        <x:f>IF(A240="","",IFERROR(INDEX(Einstellungen!$B$19:$B$118,MATCH(A240,Einstellungen!$A$19:$A$118,0)),""))</x:f>
      </x:c>
      <x:c r="E240" s="17" t="n">
        <x:v>6.5</x:v>
      </x:c>
      <x:c r="F240" s="17" t="n">
        <x:v>0.75</x:v>
      </x:c>
      <x:c r="G240" s="17" t="n">
        <x:v>0.5</x:v>
      </x:c>
      <x:c r="H240" s="17" t="n">
        <x:v>0.25</x:v>
      </x:c>
      <x:c r="I240" s="17" t="n">
        <x:v>0.25</x:v>
      </x:c>
      <x:c r="J240" s="17">
        <x:f>IF(A240="","",SUM(E240:I240))</x:f>
        <x:v>8.25</x:v>
      </x:c>
    </x:row>
    <x:row r="241">
      <x:c r="A241" s="10">
        <x:f>IF(19&lt;=DAY(EOMONTH(EDATE(Einstellungen!$E$6,6),0)),DATE(YEAR(EDATE(Einstellungen!$E$6,6)),MONTH(EDATE(Einstellungen!$E$6,6)),19),"")</x:f>
        <x:v>46100</x:v>
      </x:c>
      <x:c r="B241" s="12" t="str">
        <x:f>IF(A241="","",CHOOSE(WEEKDAY(A241,2),"Mo","Di","Mi","Do","Fr","Sa","So"))</x:f>
        <x:v>Do</x:v>
      </x:c>
      <x:c r="C241" s="12">
        <x:f>IF(A241="","",ISOWEEKNUM(A241))</x:f>
        <x:v>12</x:v>
      </x:c>
      <x:c r="D241" s="11">
        <x:f>IF(A241="","",IFERROR(INDEX(Einstellungen!$B$19:$B$118,MATCH(A241,Einstellungen!$A$19:$A$118,0)),""))</x:f>
      </x:c>
      <x:c r="E241" s="17" t="n">
        <x:v>5.5</x:v>
      </x:c>
      <x:c r="F241" s="17" t="n">
        <x:v>0.5</x:v>
      </x:c>
      <x:c r="G241" s="17" t="n">
        <x:v>1.5</x:v>
      </x:c>
      <x:c r="H241" s="17" t="n">
        <x:v>0.25</x:v>
      </x:c>
      <x:c r="I241" s="17" t="n">
        <x:v>0.25</x:v>
      </x:c>
      <x:c r="J241" s="17">
        <x:f>IF(A241="","",SUM(E241:I241))</x:f>
        <x:v>8</x:v>
      </x:c>
    </x:row>
    <x:row r="242">
      <x:c r="A242" s="10">
        <x:f>IF(20&lt;=DAY(EOMONTH(EDATE(Einstellungen!$E$6,6),0)),DATE(YEAR(EDATE(Einstellungen!$E$6,6)),MONTH(EDATE(Einstellungen!$E$6,6)),20),"")</x:f>
        <x:v>46101</x:v>
      </x:c>
      <x:c r="B242" s="12" t="str">
        <x:f>IF(A242="","",CHOOSE(WEEKDAY(A242,2),"Mo","Di","Mi","Do","Fr","Sa","So"))</x:f>
        <x:v>Fr</x:v>
      </x:c>
      <x:c r="C242" s="12">
        <x:f>IF(A242="","",ISOWEEKNUM(A242))</x:f>
        <x:v>12</x:v>
      </x:c>
      <x:c r="D242" s="11">
        <x:f>IF(A242="","",IFERROR(INDEX(Einstellungen!$B$19:$B$118,MATCH(A242,Einstellungen!$A$19:$A$118,0)),""))</x:f>
      </x:c>
      <x:c r="E242" s="17" t="n">
        <x:v>6</x:v>
      </x:c>
      <x:c r="F242" s="17" t="n">
        <x:v>0.5</x:v>
      </x:c>
      <x:c r="G242" s="17" t="n">
        <x:v>0.5</x:v>
      </x:c>
      <x:c r="H242" s="17" t="n">
        <x:v>0.5</x:v>
      </x:c>
      <x:c r="I242" s="17" t="n">
        <x:v>0.25</x:v>
      </x:c>
      <x:c r="J242" s="17">
        <x:f>IF(A242="","",SUM(E242:I242))</x:f>
        <x:v>7.75</x:v>
      </x:c>
    </x:row>
    <x:row r="243">
      <x:c r="A243" s="10">
        <x:f>IF(21&lt;=DAY(EOMONTH(EDATE(Einstellungen!$E$6,6),0)),DATE(YEAR(EDATE(Einstellungen!$E$6,6)),MONTH(EDATE(Einstellungen!$E$6,6)),21),"")</x:f>
        <x:v>46102</x:v>
      </x:c>
      <x:c r="B243" s="12" t="str">
        <x:f>IF(A243="","",CHOOSE(WEEKDAY(A243,2),"Mo","Di","Mi","Do","Fr","Sa","So"))</x:f>
        <x:v>Sa</x:v>
      </x:c>
      <x:c r="C243" s="12">
        <x:f>IF(A243="","",ISOWEEKNUM(A243))</x:f>
        <x:v>12</x:v>
      </x:c>
      <x:c r="D243" s="11">
        <x:f>IF(A243="","",IFERROR(INDEX(Einstellungen!$B$19:$B$118,MATCH(A243,Einstellungen!$A$19:$A$118,0)),""))</x:f>
      </x:c>
      <x:c r="E243" s="18" t="inlineStr">
        <x:is>
          <x:t xml:space="preserve"/>
        </x:is>
      </x:c>
      <x:c r="F243" s="18" t="inlineStr">
        <x:is>
          <x:t xml:space="preserve"/>
        </x:is>
      </x:c>
      <x:c r="G243" s="18" t="inlineStr">
        <x:is>
          <x:t xml:space="preserve"/>
        </x:is>
      </x:c>
      <x:c r="H243" s="18" t="inlineStr">
        <x:is>
          <x:t xml:space="preserve"/>
        </x:is>
      </x:c>
      <x:c r="I243" s="18" t="inlineStr">
        <x:is>
          <x:t xml:space="preserve"/>
        </x:is>
      </x:c>
      <x:c r="J243" s="17">
        <x:f>IF(A243="","",SUM(E243:I243))</x:f>
        <x:v>0</x:v>
      </x:c>
    </x:row>
    <x:row r="244">
      <x:c r="A244" s="10">
        <x:f>IF(22&lt;=DAY(EOMONTH(EDATE(Einstellungen!$E$6,6),0)),DATE(YEAR(EDATE(Einstellungen!$E$6,6)),MONTH(EDATE(Einstellungen!$E$6,6)),22),"")</x:f>
        <x:v>46103</x:v>
      </x:c>
      <x:c r="B244" s="12" t="str">
        <x:f>IF(A244="","",CHOOSE(WEEKDAY(A244,2),"Mo","Di","Mi","Do","Fr","Sa","So"))</x:f>
        <x:v>So</x:v>
      </x:c>
      <x:c r="C244" s="12">
        <x:f>IF(A244="","",ISOWEEKNUM(A244))</x:f>
        <x:v>12</x:v>
      </x:c>
      <x:c r="D244" s="11">
        <x:f>IF(A244="","",IFERROR(INDEX(Einstellungen!$B$19:$B$118,MATCH(A244,Einstellungen!$A$19:$A$118,0)),""))</x:f>
      </x:c>
      <x:c r="E244" s="18" t="inlineStr">
        <x:is>
          <x:t xml:space="preserve"/>
        </x:is>
      </x:c>
      <x:c r="F244" s="18" t="inlineStr">
        <x:is>
          <x:t xml:space="preserve"/>
        </x:is>
      </x:c>
      <x:c r="G244" s="18" t="inlineStr">
        <x:is>
          <x:t xml:space="preserve"/>
        </x:is>
      </x:c>
      <x:c r="H244" s="18" t="inlineStr">
        <x:is>
          <x:t xml:space="preserve"/>
        </x:is>
      </x:c>
      <x:c r="I244" s="18" t="inlineStr">
        <x:is>
          <x:t xml:space="preserve"/>
        </x:is>
      </x:c>
      <x:c r="J244" s="17">
        <x:f>IF(A244="","",SUM(E244:I244))</x:f>
        <x:v>0</x:v>
      </x:c>
    </x:row>
    <x:row r="245">
      <x:c r="A245" s="10">
        <x:f>IF(23&lt;=DAY(EOMONTH(EDATE(Einstellungen!$E$6,6),0)),DATE(YEAR(EDATE(Einstellungen!$E$6,6)),MONTH(EDATE(Einstellungen!$E$6,6)),23),"")</x:f>
        <x:v>46104</x:v>
      </x:c>
      <x:c r="B245" s="12" t="str">
        <x:f>IF(A245="","",CHOOSE(WEEKDAY(A245,2),"Mo","Di","Mi","Do","Fr","Sa","So"))</x:f>
        <x:v>Mo</x:v>
      </x:c>
      <x:c r="C245" s="12">
        <x:f>IF(A245="","",ISOWEEKNUM(A245))</x:f>
        <x:v>13</x:v>
      </x:c>
      <x:c r="D245" s="11">
        <x:f>IF(A245="","",IFERROR(INDEX(Einstellungen!$B$19:$B$118,MATCH(A245,Einstellungen!$A$19:$A$118,0)),""))</x:f>
      </x:c>
      <x:c r="E245" s="17" t="n">
        <x:v>5.5</x:v>
      </x:c>
      <x:c r="F245" s="17" t="n">
        <x:v>0.75</x:v>
      </x:c>
      <x:c r="G245" s="17" t="n">
        <x:v>0.5</x:v>
      </x:c>
      <x:c r="H245" s="17" t="n">
        <x:v>0.5</x:v>
      </x:c>
      <x:c r="I245" s="17" t="n">
        <x:v>0.25</x:v>
      </x:c>
      <x:c r="J245" s="17">
        <x:f>IF(A245="","",SUM(E245:I245))</x:f>
        <x:v>7.5</x:v>
      </x:c>
    </x:row>
    <x:row r="246">
      <x:c r="A246" s="10">
        <x:f>IF(24&lt;=DAY(EOMONTH(EDATE(Einstellungen!$E$6,6),0)),DATE(YEAR(EDATE(Einstellungen!$E$6,6)),MONTH(EDATE(Einstellungen!$E$6,6)),24),"")</x:f>
        <x:v>46105</x:v>
      </x:c>
      <x:c r="B246" s="12" t="str">
        <x:f>IF(A246="","",CHOOSE(WEEKDAY(A246,2),"Mo","Di","Mi","Do","Fr","Sa","So"))</x:f>
        <x:v>Di</x:v>
      </x:c>
      <x:c r="C246" s="12">
        <x:f>IF(A246="","",ISOWEEKNUM(A246))</x:f>
        <x:v>13</x:v>
      </x:c>
      <x:c r="D246" s="11">
        <x:f>IF(A246="","",IFERROR(INDEX(Einstellungen!$B$19:$B$118,MATCH(A246,Einstellungen!$A$19:$A$118,0)),""))</x:f>
      </x:c>
      <x:c r="E246" s="17" t="n">
        <x:v>6</x:v>
      </x:c>
      <x:c r="F246" s="17" t="n">
        <x:v>0.5</x:v>
      </x:c>
      <x:c r="G246" s="17" t="n">
        <x:v>1.5</x:v>
      </x:c>
      <x:c r="H246" s="17" t="n">
        <x:v>0.25</x:v>
      </x:c>
      <x:c r="I246" s="17" t="n">
        <x:v>0.25</x:v>
      </x:c>
      <x:c r="J246" s="17">
        <x:f>IF(A246="","",SUM(E246:I246))</x:f>
        <x:v>8.5</x:v>
      </x:c>
    </x:row>
    <x:row r="247">
      <x:c r="A247" s="10">
        <x:f>IF(25&lt;=DAY(EOMONTH(EDATE(Einstellungen!$E$6,6),0)),DATE(YEAR(EDATE(Einstellungen!$E$6,6)),MONTH(EDATE(Einstellungen!$E$6,6)),25),"")</x:f>
        <x:v>46106</x:v>
      </x:c>
      <x:c r="B247" s="12" t="str">
        <x:f>IF(A247="","",CHOOSE(WEEKDAY(A247,2),"Mo","Di","Mi","Do","Fr","Sa","So"))</x:f>
        <x:v>Mi</x:v>
      </x:c>
      <x:c r="C247" s="12">
        <x:f>IF(A247="","",ISOWEEKNUM(A247))</x:f>
        <x:v>13</x:v>
      </x:c>
      <x:c r="D247" s="11">
        <x:f>IF(A247="","",IFERROR(INDEX(Einstellungen!$B$19:$B$118,MATCH(A247,Einstellungen!$A$19:$A$118,0)),""))</x:f>
      </x:c>
      <x:c r="E247" s="17" t="n">
        <x:v>6.5</x:v>
      </x:c>
      <x:c r="F247" s="17" t="n">
        <x:v>0.75</x:v>
      </x:c>
      <x:c r="G247" s="17" t="n">
        <x:v>0.5</x:v>
      </x:c>
      <x:c r="H247" s="17" t="n">
        <x:v>0.25</x:v>
      </x:c>
      <x:c r="I247" s="17" t="n">
        <x:v>0.5</x:v>
      </x:c>
      <x:c r="J247" s="17">
        <x:f>IF(A247="","",SUM(E247:I247))</x:f>
        <x:v>8.5</x:v>
      </x:c>
    </x:row>
    <x:row r="248">
      <x:c r="A248" s="10">
        <x:f>IF(26&lt;=DAY(EOMONTH(EDATE(Einstellungen!$E$6,6),0)),DATE(YEAR(EDATE(Einstellungen!$E$6,6)),MONTH(EDATE(Einstellungen!$E$6,6)),26),"")</x:f>
        <x:v>46107</x:v>
      </x:c>
      <x:c r="B248" s="12" t="str">
        <x:f>IF(A248="","",CHOOSE(WEEKDAY(A248,2),"Mo","Di","Mi","Do","Fr","Sa","So"))</x:f>
        <x:v>Do</x:v>
      </x:c>
      <x:c r="C248" s="12">
        <x:f>IF(A248="","",ISOWEEKNUM(A248))</x:f>
        <x:v>13</x:v>
      </x:c>
      <x:c r="D248" s="11">
        <x:f>IF(A248="","",IFERROR(INDEX(Einstellungen!$B$19:$B$118,MATCH(A248,Einstellungen!$A$19:$A$118,0)),""))</x:f>
      </x:c>
      <x:c r="E248" s="17" t="n">
        <x:v>5.5</x:v>
      </x:c>
      <x:c r="F248" s="17" t="n">
        <x:v>0.5</x:v>
      </x:c>
      <x:c r="G248" s="17" t="n">
        <x:v>1.5</x:v>
      </x:c>
      <x:c r="H248" s="17" t="n">
        <x:v>0.25</x:v>
      </x:c>
      <x:c r="I248" s="17" t="n">
        <x:v>0.25</x:v>
      </x:c>
      <x:c r="J248" s="17">
        <x:f>IF(A248="","",SUM(E248:I248))</x:f>
        <x:v>8</x:v>
      </x:c>
    </x:row>
    <x:row r="249">
      <x:c r="A249" s="10">
        <x:f>IF(27&lt;=DAY(EOMONTH(EDATE(Einstellungen!$E$6,6),0)),DATE(YEAR(EDATE(Einstellungen!$E$6,6)),MONTH(EDATE(Einstellungen!$E$6,6)),27),"")</x:f>
        <x:v>46108</x:v>
      </x:c>
      <x:c r="B249" s="12" t="str">
        <x:f>IF(A249="","",CHOOSE(WEEKDAY(A249,2),"Mo","Di","Mi","Do","Fr","Sa","So"))</x:f>
        <x:v>Fr</x:v>
      </x:c>
      <x:c r="C249" s="12">
        <x:f>IF(A249="","",ISOWEEKNUM(A249))</x:f>
        <x:v>13</x:v>
      </x:c>
      <x:c r="D249" s="11">
        <x:f>IF(A249="","",IFERROR(INDEX(Einstellungen!$B$19:$B$118,MATCH(A249,Einstellungen!$A$19:$A$118,0)),""))</x:f>
      </x:c>
      <x:c r="E249" s="17" t="n">
        <x:v>6</x:v>
      </x:c>
      <x:c r="F249" s="17" t="n">
        <x:v>0.5</x:v>
      </x:c>
      <x:c r="G249" s="17" t="n">
        <x:v>0.5</x:v>
      </x:c>
      <x:c r="H249" s="17" t="n">
        <x:v>0.5</x:v>
      </x:c>
      <x:c r="I249" s="17" t="n">
        <x:v>0.25</x:v>
      </x:c>
      <x:c r="J249" s="17">
        <x:f>IF(A249="","",SUM(E249:I249))</x:f>
        <x:v>7.75</x:v>
      </x:c>
    </x:row>
    <x:row r="250">
      <x:c r="A250" s="10">
        <x:f>IF(28&lt;=DAY(EOMONTH(EDATE(Einstellungen!$E$6,6),0)),DATE(YEAR(EDATE(Einstellungen!$E$6,6)),MONTH(EDATE(Einstellungen!$E$6,6)),28),"")</x:f>
        <x:v>46109</x:v>
      </x:c>
      <x:c r="B250" s="12" t="str">
        <x:f>IF(A250="","",CHOOSE(WEEKDAY(A250,2),"Mo","Di","Mi","Do","Fr","Sa","So"))</x:f>
        <x:v>Sa</x:v>
      </x:c>
      <x:c r="C250" s="12">
        <x:f>IF(A250="","",ISOWEEKNUM(A250))</x:f>
        <x:v>13</x:v>
      </x:c>
      <x:c r="D250" s="11">
        <x:f>IF(A250="","",IFERROR(INDEX(Einstellungen!$B$19:$B$118,MATCH(A250,Einstellungen!$A$19:$A$118,0)),""))</x:f>
      </x:c>
      <x:c r="E250" s="18" t="inlineStr">
        <x:is>
          <x:t xml:space="preserve"/>
        </x:is>
      </x:c>
      <x:c r="F250" s="18" t="inlineStr">
        <x:is>
          <x:t xml:space="preserve"/>
        </x:is>
      </x:c>
      <x:c r="G250" s="18" t="inlineStr">
        <x:is>
          <x:t xml:space="preserve"/>
        </x:is>
      </x:c>
      <x:c r="H250" s="18" t="inlineStr">
        <x:is>
          <x:t xml:space="preserve"/>
        </x:is>
      </x:c>
      <x:c r="I250" s="18" t="inlineStr">
        <x:is>
          <x:t xml:space="preserve"/>
        </x:is>
      </x:c>
      <x:c r="J250" s="17">
        <x:f>IF(A250="","",SUM(E250:I250))</x:f>
        <x:v>0</x:v>
      </x:c>
    </x:row>
    <x:row r="251">
      <x:c r="A251" s="10">
        <x:f>IF(29&lt;=DAY(EOMONTH(EDATE(Einstellungen!$E$6,6),0)),DATE(YEAR(EDATE(Einstellungen!$E$6,6)),MONTH(EDATE(Einstellungen!$E$6,6)),29),"")</x:f>
        <x:v>46110</x:v>
      </x:c>
      <x:c r="B251" s="12" t="str">
        <x:f>IF(A251="","",CHOOSE(WEEKDAY(A251,2),"Mo","Di","Mi","Do","Fr","Sa","So"))</x:f>
        <x:v>So</x:v>
      </x:c>
      <x:c r="C251" s="12">
        <x:f>IF(A251="","",ISOWEEKNUM(A251))</x:f>
        <x:v>13</x:v>
      </x:c>
      <x:c r="D251" s="11">
        <x:f>IF(A251="","",IFERROR(INDEX(Einstellungen!$B$19:$B$118,MATCH(A251,Einstellungen!$A$19:$A$118,0)),""))</x:f>
      </x:c>
      <x:c r="E251" s="18" t="inlineStr">
        <x:is>
          <x:t xml:space="preserve"/>
        </x:is>
      </x:c>
      <x:c r="F251" s="18" t="inlineStr">
        <x:is>
          <x:t xml:space="preserve"/>
        </x:is>
      </x:c>
      <x:c r="G251" s="18" t="inlineStr">
        <x:is>
          <x:t xml:space="preserve"/>
        </x:is>
      </x:c>
      <x:c r="H251" s="18" t="inlineStr">
        <x:is>
          <x:t xml:space="preserve"/>
        </x:is>
      </x:c>
      <x:c r="I251" s="18" t="inlineStr">
        <x:is>
          <x:t xml:space="preserve"/>
        </x:is>
      </x:c>
      <x:c r="J251" s="17">
        <x:f>IF(A251="","",SUM(E251:I251))</x:f>
        <x:v>0</x:v>
      </x:c>
    </x:row>
    <x:row r="252">
      <x:c r="A252" s="10">
        <x:f>IF(30&lt;=DAY(EOMONTH(EDATE(Einstellungen!$E$6,6),0)),DATE(YEAR(EDATE(Einstellungen!$E$6,6)),MONTH(EDATE(Einstellungen!$E$6,6)),30),"")</x:f>
        <x:v>46111</x:v>
      </x:c>
      <x:c r="B252" s="12" t="str">
        <x:f>IF(A252="","",CHOOSE(WEEKDAY(A252,2),"Mo","Di","Mi","Do","Fr","Sa","So"))</x:f>
        <x:v>Mo</x:v>
      </x:c>
      <x:c r="C252" s="12">
        <x:f>IF(A252="","",ISOWEEKNUM(A252))</x:f>
        <x:v>14</x:v>
      </x:c>
      <x:c r="D252" s="11" t="str">
        <x:f>IF(A252="","",IFERROR(INDEX(Einstellungen!$B$19:$B$118,MATCH(A252,Einstellungen!$A$19:$A$118,0)),""))</x:f>
        <x:v>Projektwoche</x:v>
      </x:c>
      <x:c r="E252" s="17" t="n">
        <x:v>5.5</x:v>
      </x:c>
      <x:c r="F252" s="17" t="n">
        <x:v>0.75</x:v>
      </x:c>
      <x:c r="G252" s="17" t="n">
        <x:v>0.5</x:v>
      </x:c>
      <x:c r="H252" s="17" t="n">
        <x:v>0.5</x:v>
      </x:c>
      <x:c r="I252" s="17" t="n">
        <x:v>0.25</x:v>
      </x:c>
      <x:c r="J252" s="17">
        <x:f>IF(A252="","",SUM(E252:I252))</x:f>
        <x:v>7.5</x:v>
      </x:c>
    </x:row>
    <x:row r="253">
      <x:c r="A253" s="10">
        <x:f>IF(31&lt;=DAY(EOMONTH(EDATE(Einstellungen!$E$6,6),0)),DATE(YEAR(EDATE(Einstellungen!$E$6,6)),MONTH(EDATE(Einstellungen!$E$6,6)),31),"")</x:f>
        <x:v>46112</x:v>
      </x:c>
      <x:c r="B253" s="12" t="str">
        <x:f>IF(A253="","",CHOOSE(WEEKDAY(A253,2),"Mo","Di","Mi","Do","Fr","Sa","So"))</x:f>
        <x:v>Di</x:v>
      </x:c>
      <x:c r="C253" s="12">
        <x:f>IF(A253="","",ISOWEEKNUM(A253))</x:f>
        <x:v>14</x:v>
      </x:c>
      <x:c r="D253" s="11">
        <x:f>IF(A253="","",IFERROR(INDEX(Einstellungen!$B$19:$B$118,MATCH(A253,Einstellungen!$A$19:$A$118,0)),""))</x:f>
      </x:c>
      <x:c r="E253" s="17" t="n">
        <x:v>6</x:v>
      </x:c>
      <x:c r="F253" s="17" t="n">
        <x:v>0.5</x:v>
      </x:c>
      <x:c r="G253" s="17" t="n">
        <x:v>1.5</x:v>
      </x:c>
      <x:c r="H253" s="17" t="n">
        <x:v>0.25</x:v>
      </x:c>
      <x:c r="I253" s="17" t="n">
        <x:v>0.25</x:v>
      </x:c>
      <x:c r="J253" s="17">
        <x:f>IF(A253="","",SUM(E253:I253))</x:f>
        <x:v>8.5</x:v>
      </x:c>
    </x:row>
    <x:row r="254">
      <x:c r="A254" s="4" t="inlineStr">
        <x:is>
          <x:t xml:space="preserve">Monatssumme</x:t>
        </x:is>
      </x:c>
      <x:c r="B254" s="15" t="n"/>
      <x:c r="C254" s="15" t="n"/>
      <x:c r="D254" s="15" t="n"/>
      <x:c r="E254" s="19">
        <x:f>SUM(E223:E253)</x:f>
        <x:v>129.5</x:v>
      </x:c>
      <x:c r="F254" s="19">
        <x:f>SUM(F223:F253)</x:f>
        <x:v>13.25</x:v>
      </x:c>
      <x:c r="G254" s="19">
        <x:f>SUM(G223:G253)</x:f>
        <x:v>20</x:v>
      </x:c>
      <x:c r="H254" s="19">
        <x:f>SUM(H223:H253)</x:f>
        <x:v>7.75</x:v>
      </x:c>
      <x:c r="I254" s="19">
        <x:f>SUM(I223:I253)</x:f>
        <x:v>6</x:v>
      </x:c>
      <x:c r="J254" s="19">
        <x:f>SUM(J223:J253)</x:f>
        <x:v>176.5</x:v>
      </x:c>
    </x:row>
    <x:row r="255">
      <x:c r="A255" s="20" t="n"/>
      <x:c r="B255" s="20" t="n"/>
      <x:c r="C255" s="20" t="n"/>
      <x:c r="D255" s="20" t="n"/>
      <x:c r="E255" s="20" t="n"/>
      <x:c r="F255" s="20" t="n"/>
      <x:c r="G255" s="20" t="n"/>
      <x:c r="H255" s="20" t="n"/>
      <x:c r="I255" s="20" t="n"/>
      <x:c r="J255" s="20" t="n"/>
    </x:row>
    <x:row r="256">
      <x:c r="A256" s="20" t="n"/>
      <x:c r="B256" s="20" t="n"/>
      <x:c r="C256" s="20" t="n"/>
      <x:c r="D256" s="20" t="n"/>
      <x:c r="E256" s="20" t="n"/>
      <x:c r="F256" s="20" t="n"/>
      <x:c r="G256" s="20" t="n"/>
      <x:c r="H256" s="20" t="n"/>
      <x:c r="I256" s="20" t="n"/>
      <x:c r="J256" s="20" t="n"/>
    </x:row>
    <x:row r="257">
      <x:c r="A257" s="15" t="str">
        <x:f>INDEX(Einstellungen!$J$2:$J$13,MONTH(EDATE(Einstellungen!$E$6,7)))&amp;" "&amp;YEAR(EDATE(Einstellungen!$E$6,7))</x:f>
        <x:v>April 2026</x:v>
      </x:c>
    </x:row>
    <x:row r="258">
      <x:c r="A258" s="16" t="inlineStr">
        <x:is>
          <x:t xml:space="preserve">Datum</x:t>
        </x:is>
      </x:c>
      <x:c r="B258" s="16" t="inlineStr">
        <x:is>
          <x:t xml:space="preserve">Tag</x:t>
        </x:is>
      </x:c>
      <x:c r="C258" s="16" t="inlineStr">
        <x:is>
          <x:t xml:space="preserve">KW</x:t>
        </x:is>
      </x:c>
      <x:c r="D258" s="16" t="inlineStr">
        <x:is>
          <x:t xml:space="preserve">Feiertag / Termin</x:t>
        </x:is>
      </x:c>
      <x:c r="E258" s="16" t="str">
        <x:f>Einstellungen!$B$11</x:f>
        <x:v>Arbeitszeit</x:v>
      </x:c>
      <x:c r="F258" s="16" t="str">
        <x:f>Einstellungen!$B$12</x:f>
        <x:v>E-Mail</x:v>
      </x:c>
      <x:c r="G258" s="16" t="str">
        <x:f>Einstellungen!$B$13</x:f>
        <x:v>Meetings</x:v>
      </x:c>
      <x:c r="H258" s="16" t="str">
        <x:f>Einstellungen!$B$14</x:f>
        <x:v>Telefonate</x:v>
      </x:c>
      <x:c r="I258" s="16" t="str">
        <x:f>Einstellungen!$B$15</x:f>
        <x:v>Sonstiges</x:v>
      </x:c>
      <x:c r="J258" s="16" t="inlineStr">
        <x:is>
          <x:t xml:space="preserve">Gesamt</x:t>
        </x:is>
      </x:c>
    </x:row>
    <x:row r="259">
      <x:c r="A259" s="10">
        <x:f>IF(1&lt;=DAY(EOMONTH(EDATE(Einstellungen!$E$6,7),0)),DATE(YEAR(EDATE(Einstellungen!$E$6,7)),MONTH(EDATE(Einstellungen!$E$6,7)),1),"")</x:f>
        <x:v>46113</x:v>
      </x:c>
      <x:c r="B259" s="12" t="str">
        <x:f>IF(A259="","",CHOOSE(WEEKDAY(A259,2),"Mo","Di","Mi","Do","Fr","Sa","So"))</x:f>
        <x:v>Mi</x:v>
      </x:c>
      <x:c r="C259" s="12">
        <x:f>IF(A259="","",ISOWEEKNUM(A259))</x:f>
        <x:v>14</x:v>
      </x:c>
      <x:c r="D259" s="11">
        <x:f>IF(A259="","",IFERROR(INDEX(Einstellungen!$B$19:$B$118,MATCH(A259,Einstellungen!$A$19:$A$118,0)),""))</x:f>
      </x:c>
      <x:c r="E259" s="17" t="n">
        <x:v>6.5</x:v>
      </x:c>
      <x:c r="F259" s="17" t="n">
        <x:v>0.75</x:v>
      </x:c>
      <x:c r="G259" s="17" t="n">
        <x:v>0.5</x:v>
      </x:c>
      <x:c r="H259" s="17" t="n">
        <x:v>0.25</x:v>
      </x:c>
      <x:c r="I259" s="17" t="n">
        <x:v>0.25</x:v>
      </x:c>
      <x:c r="J259" s="17">
        <x:f>IF(A259="","",SUM(E259:I259))</x:f>
        <x:v>8.25</x:v>
      </x:c>
    </x:row>
    <x:row r="260">
      <x:c r="A260" s="10">
        <x:f>IF(2&lt;=DAY(EOMONTH(EDATE(Einstellungen!$E$6,7),0)),DATE(YEAR(EDATE(Einstellungen!$E$6,7)),MONTH(EDATE(Einstellungen!$E$6,7)),2),"")</x:f>
        <x:v>46114</x:v>
      </x:c>
      <x:c r="B260" s="12" t="str">
        <x:f>IF(A260="","",CHOOSE(WEEKDAY(A260,2),"Mo","Di","Mi","Do","Fr","Sa","So"))</x:f>
        <x:v>Do</x:v>
      </x:c>
      <x:c r="C260" s="12">
        <x:f>IF(A260="","",ISOWEEKNUM(A260))</x:f>
        <x:v>14</x:v>
      </x:c>
      <x:c r="D260" s="11">
        <x:f>IF(A260="","",IFERROR(INDEX(Einstellungen!$B$19:$B$118,MATCH(A260,Einstellungen!$A$19:$A$118,0)),""))</x:f>
      </x:c>
      <x:c r="E260" s="17" t="n">
        <x:v>5.5</x:v>
      </x:c>
      <x:c r="F260" s="17" t="n">
        <x:v>0.5</x:v>
      </x:c>
      <x:c r="G260" s="17" t="n">
        <x:v>1.5</x:v>
      </x:c>
      <x:c r="H260" s="17" t="n">
        <x:v>0.25</x:v>
      </x:c>
      <x:c r="I260" s="17" t="n">
        <x:v>0.25</x:v>
      </x:c>
      <x:c r="J260" s="17">
        <x:f>IF(A260="","",SUM(E260:I260))</x:f>
        <x:v>8</x:v>
      </x:c>
    </x:row>
    <x:row r="261">
      <x:c r="A261" s="10">
        <x:f>IF(3&lt;=DAY(EOMONTH(EDATE(Einstellungen!$E$6,7),0)),DATE(YEAR(EDATE(Einstellungen!$E$6,7)),MONTH(EDATE(Einstellungen!$E$6,7)),3),"")</x:f>
        <x:v>46115</x:v>
      </x:c>
      <x:c r="B261" s="12" t="str">
        <x:f>IF(A261="","",CHOOSE(WEEKDAY(A261,2),"Mo","Di","Mi","Do","Fr","Sa","So"))</x:f>
        <x:v>Fr</x:v>
      </x:c>
      <x:c r="C261" s="12">
        <x:f>IF(A261="","",ISOWEEKNUM(A261))</x:f>
        <x:v>14</x:v>
      </x:c>
      <x:c r="D261" s="11">
        <x:f>IF(A261="","",IFERROR(INDEX(Einstellungen!$B$19:$B$118,MATCH(A261,Einstellungen!$A$19:$A$118,0)),""))</x:f>
      </x:c>
      <x:c r="E261" s="17" t="n">
        <x:v>6</x:v>
      </x:c>
      <x:c r="F261" s="17" t="n">
        <x:v>0.5</x:v>
      </x:c>
      <x:c r="G261" s="17" t="n">
        <x:v>0.5</x:v>
      </x:c>
      <x:c r="H261" s="17" t="n">
        <x:v>0.5</x:v>
      </x:c>
      <x:c r="I261" s="17" t="n">
        <x:v>0.25</x:v>
      </x:c>
      <x:c r="J261" s="17">
        <x:f>IF(A261="","",SUM(E261:I261))</x:f>
        <x:v>7.75</x:v>
      </x:c>
    </x:row>
    <x:row r="262">
      <x:c r="A262" s="10">
        <x:f>IF(4&lt;=DAY(EOMONTH(EDATE(Einstellungen!$E$6,7),0)),DATE(YEAR(EDATE(Einstellungen!$E$6,7)),MONTH(EDATE(Einstellungen!$E$6,7)),4),"")</x:f>
        <x:v>46116</x:v>
      </x:c>
      <x:c r="B262" s="12" t="str">
        <x:f>IF(A262="","",CHOOSE(WEEKDAY(A262,2),"Mo","Di","Mi","Do","Fr","Sa","So"))</x:f>
        <x:v>Sa</x:v>
      </x:c>
      <x:c r="C262" s="12">
        <x:f>IF(A262="","",ISOWEEKNUM(A262))</x:f>
        <x:v>14</x:v>
      </x:c>
      <x:c r="D262" s="11">
        <x:f>IF(A262="","",IFERROR(INDEX(Einstellungen!$B$19:$B$118,MATCH(A262,Einstellungen!$A$19:$A$118,0)),""))</x:f>
      </x:c>
      <x:c r="E262" s="18" t="inlineStr">
        <x:is>
          <x:t xml:space="preserve"/>
        </x:is>
      </x:c>
      <x:c r="F262" s="18" t="inlineStr">
        <x:is>
          <x:t xml:space="preserve"/>
        </x:is>
      </x:c>
      <x:c r="G262" s="18" t="inlineStr">
        <x:is>
          <x:t xml:space="preserve"/>
        </x:is>
      </x:c>
      <x:c r="H262" s="18" t="inlineStr">
        <x:is>
          <x:t xml:space="preserve"/>
        </x:is>
      </x:c>
      <x:c r="I262" s="18" t="inlineStr">
        <x:is>
          <x:t xml:space="preserve"/>
        </x:is>
      </x:c>
      <x:c r="J262" s="17">
        <x:f>IF(A262="","",SUM(E262:I262))</x:f>
        <x:v>0</x:v>
      </x:c>
    </x:row>
    <x:row r="263">
      <x:c r="A263" s="10">
        <x:f>IF(5&lt;=DAY(EOMONTH(EDATE(Einstellungen!$E$6,7),0)),DATE(YEAR(EDATE(Einstellungen!$E$6,7)),MONTH(EDATE(Einstellungen!$E$6,7)),5),"")</x:f>
        <x:v>46117</x:v>
      </x:c>
      <x:c r="B263" s="12" t="str">
        <x:f>IF(A263="","",CHOOSE(WEEKDAY(A263,2),"Mo","Di","Mi","Do","Fr","Sa","So"))</x:f>
        <x:v>So</x:v>
      </x:c>
      <x:c r="C263" s="12">
        <x:f>IF(A263="","",ISOWEEKNUM(A263))</x:f>
        <x:v>14</x:v>
      </x:c>
      <x:c r="D263" s="11">
        <x:f>IF(A263="","",IFERROR(INDEX(Einstellungen!$B$19:$B$118,MATCH(A263,Einstellungen!$A$19:$A$118,0)),""))</x:f>
      </x:c>
      <x:c r="E263" s="18" t="inlineStr">
        <x:is>
          <x:t xml:space="preserve"/>
        </x:is>
      </x:c>
      <x:c r="F263" s="18" t="inlineStr">
        <x:is>
          <x:t xml:space="preserve"/>
        </x:is>
      </x:c>
      <x:c r="G263" s="18" t="inlineStr">
        <x:is>
          <x:t xml:space="preserve"/>
        </x:is>
      </x:c>
      <x:c r="H263" s="18" t="inlineStr">
        <x:is>
          <x:t xml:space="preserve"/>
        </x:is>
      </x:c>
      <x:c r="I263" s="18" t="inlineStr">
        <x:is>
          <x:t xml:space="preserve"/>
        </x:is>
      </x:c>
      <x:c r="J263" s="17">
        <x:f>IF(A263="","",SUM(E263:I263))</x:f>
        <x:v>0</x:v>
      </x:c>
    </x:row>
    <x:row r="264">
      <x:c r="A264" s="10">
        <x:f>IF(6&lt;=DAY(EOMONTH(EDATE(Einstellungen!$E$6,7),0)),DATE(YEAR(EDATE(Einstellungen!$E$6,7)),MONTH(EDATE(Einstellungen!$E$6,7)),6),"")</x:f>
        <x:v>46118</x:v>
      </x:c>
      <x:c r="B264" s="12" t="str">
        <x:f>IF(A264="","",CHOOSE(WEEKDAY(A264,2),"Mo","Di","Mi","Do","Fr","Sa","So"))</x:f>
        <x:v>Mo</x:v>
      </x:c>
      <x:c r="C264" s="12">
        <x:f>IF(A264="","",ISOWEEKNUM(A264))</x:f>
        <x:v>15</x:v>
      </x:c>
      <x:c r="D264" s="11" t="str">
        <x:f>IF(A264="","",IFERROR(INDEX(Einstellungen!$B$19:$B$118,MATCH(A264,Einstellungen!$A$19:$A$118,0)),""))</x:f>
        <x:v>Osterpause</x:v>
      </x:c>
      <x:c r="E264" s="17" t="n">
        <x:v>5.5</x:v>
      </x:c>
      <x:c r="F264" s="17" t="n">
        <x:v>0.75</x:v>
      </x:c>
      <x:c r="G264" s="17" t="n">
        <x:v>0.5</x:v>
      </x:c>
      <x:c r="H264" s="17" t="n">
        <x:v>0.5</x:v>
      </x:c>
      <x:c r="I264" s="17" t="n">
        <x:v>0.25</x:v>
      </x:c>
      <x:c r="J264" s="17">
        <x:f>IF(A264="","",SUM(E264:I264))</x:f>
        <x:v>7.5</x:v>
      </x:c>
    </x:row>
    <x:row r="265">
      <x:c r="A265" s="10">
        <x:f>IF(7&lt;=DAY(EOMONTH(EDATE(Einstellungen!$E$6,7),0)),DATE(YEAR(EDATE(Einstellungen!$E$6,7)),MONTH(EDATE(Einstellungen!$E$6,7)),7),"")</x:f>
        <x:v>46119</x:v>
      </x:c>
      <x:c r="B265" s="12" t="str">
        <x:f>IF(A265="","",CHOOSE(WEEKDAY(A265,2),"Mo","Di","Mi","Do","Fr","Sa","So"))</x:f>
        <x:v>Di</x:v>
      </x:c>
      <x:c r="C265" s="12">
        <x:f>IF(A265="","",ISOWEEKNUM(A265))</x:f>
        <x:v>15</x:v>
      </x:c>
      <x:c r="D265" s="11">
        <x:f>IF(A265="","",IFERROR(INDEX(Einstellungen!$B$19:$B$118,MATCH(A265,Einstellungen!$A$19:$A$118,0)),""))</x:f>
      </x:c>
      <x:c r="E265" s="17" t="n">
        <x:v>6</x:v>
      </x:c>
      <x:c r="F265" s="17" t="n">
        <x:v>0.5</x:v>
      </x:c>
      <x:c r="G265" s="17" t="n">
        <x:v>1.5</x:v>
      </x:c>
      <x:c r="H265" s="17" t="n">
        <x:v>0.25</x:v>
      </x:c>
      <x:c r="I265" s="17" t="n">
        <x:v>0.25</x:v>
      </x:c>
      <x:c r="J265" s="17">
        <x:f>IF(A265="","",SUM(E265:I265))</x:f>
        <x:v>8.5</x:v>
      </x:c>
    </x:row>
    <x:row r="266">
      <x:c r="A266" s="10">
        <x:f>IF(8&lt;=DAY(EOMONTH(EDATE(Einstellungen!$E$6,7),0)),DATE(YEAR(EDATE(Einstellungen!$E$6,7)),MONTH(EDATE(Einstellungen!$E$6,7)),8),"")</x:f>
        <x:v>46120</x:v>
      </x:c>
      <x:c r="B266" s="12" t="str">
        <x:f>IF(A266="","",CHOOSE(WEEKDAY(A266,2),"Mo","Di","Mi","Do","Fr","Sa","So"))</x:f>
        <x:v>Mi</x:v>
      </x:c>
      <x:c r="C266" s="12">
        <x:f>IF(A266="","",ISOWEEKNUM(A266))</x:f>
        <x:v>15</x:v>
      </x:c>
      <x:c r="D266" s="11">
        <x:f>IF(A266="","",IFERROR(INDEX(Einstellungen!$B$19:$B$118,MATCH(A266,Einstellungen!$A$19:$A$118,0)),""))</x:f>
      </x:c>
      <x:c r="E266" s="17" t="n">
        <x:v>6.5</x:v>
      </x:c>
      <x:c r="F266" s="17" t="n">
        <x:v>0.75</x:v>
      </x:c>
      <x:c r="G266" s="17" t="n">
        <x:v>0.5</x:v>
      </x:c>
      <x:c r="H266" s="17" t="n">
        <x:v>0.25</x:v>
      </x:c>
      <x:c r="I266" s="17" t="n">
        <x:v>0.25</x:v>
      </x:c>
      <x:c r="J266" s="17">
        <x:f>IF(A266="","",SUM(E266:I266))</x:f>
        <x:v>8.25</x:v>
      </x:c>
    </x:row>
    <x:row r="267">
      <x:c r="A267" s="10">
        <x:f>IF(9&lt;=DAY(EOMONTH(EDATE(Einstellungen!$E$6,7),0)),DATE(YEAR(EDATE(Einstellungen!$E$6,7)),MONTH(EDATE(Einstellungen!$E$6,7)),9),"")</x:f>
        <x:v>46121</x:v>
      </x:c>
      <x:c r="B267" s="12" t="str">
        <x:f>IF(A267="","",CHOOSE(WEEKDAY(A267,2),"Mo","Di","Mi","Do","Fr","Sa","So"))</x:f>
        <x:v>Do</x:v>
      </x:c>
      <x:c r="C267" s="12">
        <x:f>IF(A267="","",ISOWEEKNUM(A267))</x:f>
        <x:v>15</x:v>
      </x:c>
      <x:c r="D267" s="11">
        <x:f>IF(A267="","",IFERROR(INDEX(Einstellungen!$B$19:$B$118,MATCH(A267,Einstellungen!$A$19:$A$118,0)),""))</x:f>
      </x:c>
      <x:c r="E267" s="17" t="n">
        <x:v>5.5</x:v>
      </x:c>
      <x:c r="F267" s="17" t="n">
        <x:v>0.5</x:v>
      </x:c>
      <x:c r="G267" s="17" t="n">
        <x:v>1.5</x:v>
      </x:c>
      <x:c r="H267" s="17" t="n">
        <x:v>0.25</x:v>
      </x:c>
      <x:c r="I267" s="17" t="n">
        <x:v>0.25</x:v>
      </x:c>
      <x:c r="J267" s="17">
        <x:f>IF(A267="","",SUM(E267:I267))</x:f>
        <x:v>8</x:v>
      </x:c>
    </x:row>
    <x:row r="268">
      <x:c r="A268" s="10">
        <x:f>IF(10&lt;=DAY(EOMONTH(EDATE(Einstellungen!$E$6,7),0)),DATE(YEAR(EDATE(Einstellungen!$E$6,7)),MONTH(EDATE(Einstellungen!$E$6,7)),10),"")</x:f>
        <x:v>46122</x:v>
      </x:c>
      <x:c r="B268" s="12" t="str">
        <x:f>IF(A268="","",CHOOSE(WEEKDAY(A268,2),"Mo","Di","Mi","Do","Fr","Sa","So"))</x:f>
        <x:v>Fr</x:v>
      </x:c>
      <x:c r="C268" s="12">
        <x:f>IF(A268="","",ISOWEEKNUM(A268))</x:f>
        <x:v>15</x:v>
      </x:c>
      <x:c r="D268" s="11">
        <x:f>IF(A268="","",IFERROR(INDEX(Einstellungen!$B$19:$B$118,MATCH(A268,Einstellungen!$A$19:$A$118,0)),""))</x:f>
      </x:c>
      <x:c r="E268" s="17" t="n">
        <x:v>6</x:v>
      </x:c>
      <x:c r="F268" s="17" t="n">
        <x:v>0.5</x:v>
      </x:c>
      <x:c r="G268" s="17" t="n">
        <x:v>0.5</x:v>
      </x:c>
      <x:c r="H268" s="17" t="n">
        <x:v>0.5</x:v>
      </x:c>
      <x:c r="I268" s="17" t="n">
        <x:v>0.25</x:v>
      </x:c>
      <x:c r="J268" s="17">
        <x:f>IF(A268="","",SUM(E268:I268))</x:f>
        <x:v>7.75</x:v>
      </x:c>
    </x:row>
    <x:row r="269">
      <x:c r="A269" s="10">
        <x:f>IF(11&lt;=DAY(EOMONTH(EDATE(Einstellungen!$E$6,7),0)),DATE(YEAR(EDATE(Einstellungen!$E$6,7)),MONTH(EDATE(Einstellungen!$E$6,7)),11),"")</x:f>
        <x:v>46123</x:v>
      </x:c>
      <x:c r="B269" s="12" t="str">
        <x:f>IF(A269="","",CHOOSE(WEEKDAY(A269,2),"Mo","Di","Mi","Do","Fr","Sa","So"))</x:f>
        <x:v>Sa</x:v>
      </x:c>
      <x:c r="C269" s="12">
        <x:f>IF(A269="","",ISOWEEKNUM(A269))</x:f>
        <x:v>15</x:v>
      </x:c>
      <x:c r="D269" s="11">
        <x:f>IF(A269="","",IFERROR(INDEX(Einstellungen!$B$19:$B$118,MATCH(A269,Einstellungen!$A$19:$A$118,0)),""))</x:f>
      </x:c>
      <x:c r="E269" s="18" t="inlineStr">
        <x:is>
          <x:t xml:space="preserve"/>
        </x:is>
      </x:c>
      <x:c r="F269" s="18" t="inlineStr">
        <x:is>
          <x:t xml:space="preserve"/>
        </x:is>
      </x:c>
      <x:c r="G269" s="18" t="inlineStr">
        <x:is>
          <x:t xml:space="preserve"/>
        </x:is>
      </x:c>
      <x:c r="H269" s="18" t="inlineStr">
        <x:is>
          <x:t xml:space="preserve"/>
        </x:is>
      </x:c>
      <x:c r="I269" s="18" t="inlineStr">
        <x:is>
          <x:t xml:space="preserve"/>
        </x:is>
      </x:c>
      <x:c r="J269" s="17">
        <x:f>IF(A269="","",SUM(E269:I269))</x:f>
        <x:v>0</x:v>
      </x:c>
    </x:row>
    <x:row r="270">
      <x:c r="A270" s="10">
        <x:f>IF(12&lt;=DAY(EOMONTH(EDATE(Einstellungen!$E$6,7),0)),DATE(YEAR(EDATE(Einstellungen!$E$6,7)),MONTH(EDATE(Einstellungen!$E$6,7)),12),"")</x:f>
        <x:v>46124</x:v>
      </x:c>
      <x:c r="B270" s="12" t="str">
        <x:f>IF(A270="","",CHOOSE(WEEKDAY(A270,2),"Mo","Di","Mi","Do","Fr","Sa","So"))</x:f>
        <x:v>So</x:v>
      </x:c>
      <x:c r="C270" s="12">
        <x:f>IF(A270="","",ISOWEEKNUM(A270))</x:f>
        <x:v>15</x:v>
      </x:c>
      <x:c r="D270" s="11">
        <x:f>IF(A270="","",IFERROR(INDEX(Einstellungen!$B$19:$B$118,MATCH(A270,Einstellungen!$A$19:$A$118,0)),""))</x:f>
      </x:c>
      <x:c r="E270" s="18" t="inlineStr">
        <x:is>
          <x:t xml:space="preserve"/>
        </x:is>
      </x:c>
      <x:c r="F270" s="18" t="inlineStr">
        <x:is>
          <x:t xml:space="preserve"/>
        </x:is>
      </x:c>
      <x:c r="G270" s="18" t="inlineStr">
        <x:is>
          <x:t xml:space="preserve"/>
        </x:is>
      </x:c>
      <x:c r="H270" s="18" t="inlineStr">
        <x:is>
          <x:t xml:space="preserve"/>
        </x:is>
      </x:c>
      <x:c r="I270" s="18" t="inlineStr">
        <x:is>
          <x:t xml:space="preserve"/>
        </x:is>
      </x:c>
      <x:c r="J270" s="17">
        <x:f>IF(A270="","",SUM(E270:I270))</x:f>
        <x:v>0</x:v>
      </x:c>
    </x:row>
    <x:row r="271">
      <x:c r="A271" s="10">
        <x:f>IF(13&lt;=DAY(EOMONTH(EDATE(Einstellungen!$E$6,7),0)),DATE(YEAR(EDATE(Einstellungen!$E$6,7)),MONTH(EDATE(Einstellungen!$E$6,7)),13),"")</x:f>
        <x:v>46125</x:v>
      </x:c>
      <x:c r="B271" s="12" t="str">
        <x:f>IF(A271="","",CHOOSE(WEEKDAY(A271,2),"Mo","Di","Mi","Do","Fr","Sa","So"))</x:f>
        <x:v>Mo</x:v>
      </x:c>
      <x:c r="C271" s="12">
        <x:f>IF(A271="","",ISOWEEKNUM(A271))</x:f>
        <x:v>16</x:v>
      </x:c>
      <x:c r="D271" s="11">
        <x:f>IF(A271="","",IFERROR(INDEX(Einstellungen!$B$19:$B$118,MATCH(A271,Einstellungen!$A$19:$A$118,0)),""))</x:f>
      </x:c>
      <x:c r="E271" s="17" t="n">
        <x:v>5.5</x:v>
      </x:c>
      <x:c r="F271" s="17" t="n">
        <x:v>0.75</x:v>
      </x:c>
      <x:c r="G271" s="17" t="n">
        <x:v>0.5</x:v>
      </x:c>
      <x:c r="H271" s="17" t="n">
        <x:v>0.5</x:v>
      </x:c>
      <x:c r="I271" s="17" t="n">
        <x:v>0.25</x:v>
      </x:c>
      <x:c r="J271" s="17">
        <x:f>IF(A271="","",SUM(E271:I271))</x:f>
        <x:v>7.5</x:v>
      </x:c>
    </x:row>
    <x:row r="272">
      <x:c r="A272" s="10">
        <x:f>IF(14&lt;=DAY(EOMONTH(EDATE(Einstellungen!$E$6,7),0)),DATE(YEAR(EDATE(Einstellungen!$E$6,7)),MONTH(EDATE(Einstellungen!$E$6,7)),14),"")</x:f>
        <x:v>46126</x:v>
      </x:c>
      <x:c r="B272" s="12" t="str">
        <x:f>IF(A272="","",CHOOSE(WEEKDAY(A272,2),"Mo","Di","Mi","Do","Fr","Sa","So"))</x:f>
        <x:v>Di</x:v>
      </x:c>
      <x:c r="C272" s="12">
        <x:f>IF(A272="","",ISOWEEKNUM(A272))</x:f>
        <x:v>16</x:v>
      </x:c>
      <x:c r="D272" s="11">
        <x:f>IF(A272="","",IFERROR(INDEX(Einstellungen!$B$19:$B$118,MATCH(A272,Einstellungen!$A$19:$A$118,0)),""))</x:f>
      </x:c>
      <x:c r="E272" s="17" t="n">
        <x:v>6</x:v>
      </x:c>
      <x:c r="F272" s="17" t="n">
        <x:v>0.5</x:v>
      </x:c>
      <x:c r="G272" s="17" t="n">
        <x:v>1.5</x:v>
      </x:c>
      <x:c r="H272" s="17" t="n">
        <x:v>0.25</x:v>
      </x:c>
      <x:c r="I272" s="17" t="n">
        <x:v>0.25</x:v>
      </x:c>
      <x:c r="J272" s="17">
        <x:f>IF(A272="","",SUM(E272:I272))</x:f>
        <x:v>8.5</x:v>
      </x:c>
    </x:row>
    <x:row r="273">
      <x:c r="A273" s="10">
        <x:f>IF(15&lt;=DAY(EOMONTH(EDATE(Einstellungen!$E$6,7),0)),DATE(YEAR(EDATE(Einstellungen!$E$6,7)),MONTH(EDATE(Einstellungen!$E$6,7)),15),"")</x:f>
        <x:v>46127</x:v>
      </x:c>
      <x:c r="B273" s="12" t="str">
        <x:f>IF(A273="","",CHOOSE(WEEKDAY(A273,2),"Mo","Di","Mi","Do","Fr","Sa","So"))</x:f>
        <x:v>Mi</x:v>
      </x:c>
      <x:c r="C273" s="12">
        <x:f>IF(A273="","",ISOWEEKNUM(A273))</x:f>
        <x:v>16</x:v>
      </x:c>
      <x:c r="D273" s="11">
        <x:f>IF(A273="","",IFERROR(INDEX(Einstellungen!$B$19:$B$118,MATCH(A273,Einstellungen!$A$19:$A$118,0)),""))</x:f>
      </x:c>
      <x:c r="E273" s="17" t="n">
        <x:v>6.5</x:v>
      </x:c>
      <x:c r="F273" s="17" t="n">
        <x:v>0.75</x:v>
      </x:c>
      <x:c r="G273" s="17" t="n">
        <x:v>0.5</x:v>
      </x:c>
      <x:c r="H273" s="17" t="n">
        <x:v>0.25</x:v>
      </x:c>
      <x:c r="I273" s="17" t="n">
        <x:v>0.5</x:v>
      </x:c>
      <x:c r="J273" s="17">
        <x:f>IF(A273="","",SUM(E273:I273))</x:f>
        <x:v>8.5</x:v>
      </x:c>
    </x:row>
    <x:row r="274">
      <x:c r="A274" s="10">
        <x:f>IF(16&lt;=DAY(EOMONTH(EDATE(Einstellungen!$E$6,7),0)),DATE(YEAR(EDATE(Einstellungen!$E$6,7)),MONTH(EDATE(Einstellungen!$E$6,7)),16),"")</x:f>
        <x:v>46128</x:v>
      </x:c>
      <x:c r="B274" s="12" t="str">
        <x:f>IF(A274="","",CHOOSE(WEEKDAY(A274,2),"Mo","Di","Mi","Do","Fr","Sa","So"))</x:f>
        <x:v>Do</x:v>
      </x:c>
      <x:c r="C274" s="12">
        <x:f>IF(A274="","",ISOWEEKNUM(A274))</x:f>
        <x:v>16</x:v>
      </x:c>
      <x:c r="D274" s="11">
        <x:f>IF(A274="","",IFERROR(INDEX(Einstellungen!$B$19:$B$118,MATCH(A274,Einstellungen!$A$19:$A$118,0)),""))</x:f>
      </x:c>
      <x:c r="E274" s="17" t="n">
        <x:v>5.5</x:v>
      </x:c>
      <x:c r="F274" s="17" t="n">
        <x:v>0.5</x:v>
      </x:c>
      <x:c r="G274" s="17" t="n">
        <x:v>1.5</x:v>
      </x:c>
      <x:c r="H274" s="17" t="n">
        <x:v>0.25</x:v>
      </x:c>
      <x:c r="I274" s="17" t="n">
        <x:v>0.25</x:v>
      </x:c>
      <x:c r="J274" s="17">
        <x:f>IF(A274="","",SUM(E274:I274))</x:f>
        <x:v>8</x:v>
      </x:c>
    </x:row>
    <x:row r="275">
      <x:c r="A275" s="10">
        <x:f>IF(17&lt;=DAY(EOMONTH(EDATE(Einstellungen!$E$6,7),0)),DATE(YEAR(EDATE(Einstellungen!$E$6,7)),MONTH(EDATE(Einstellungen!$E$6,7)),17),"")</x:f>
        <x:v>46129</x:v>
      </x:c>
      <x:c r="B275" s="12" t="str">
        <x:f>IF(A275="","",CHOOSE(WEEKDAY(A275,2),"Mo","Di","Mi","Do","Fr","Sa","So"))</x:f>
        <x:v>Fr</x:v>
      </x:c>
      <x:c r="C275" s="12">
        <x:f>IF(A275="","",ISOWEEKNUM(A275))</x:f>
        <x:v>16</x:v>
      </x:c>
      <x:c r="D275" s="11">
        <x:f>IF(A275="","",IFERROR(INDEX(Einstellungen!$B$19:$B$118,MATCH(A275,Einstellungen!$A$19:$A$118,0)),""))</x:f>
      </x:c>
      <x:c r="E275" s="17" t="n">
        <x:v>6</x:v>
      </x:c>
      <x:c r="F275" s="17" t="n">
        <x:v>0.5</x:v>
      </x:c>
      <x:c r="G275" s="17" t="n">
        <x:v>0.5</x:v>
      </x:c>
      <x:c r="H275" s="17" t="n">
        <x:v>0.5</x:v>
      </x:c>
      <x:c r="I275" s="17" t="n">
        <x:v>0.25</x:v>
      </x:c>
      <x:c r="J275" s="17">
        <x:f>IF(A275="","",SUM(E275:I275))</x:f>
        <x:v>7.75</x:v>
      </x:c>
    </x:row>
    <x:row r="276">
      <x:c r="A276" s="10">
        <x:f>IF(18&lt;=DAY(EOMONTH(EDATE(Einstellungen!$E$6,7),0)),DATE(YEAR(EDATE(Einstellungen!$E$6,7)),MONTH(EDATE(Einstellungen!$E$6,7)),18),"")</x:f>
        <x:v>46130</x:v>
      </x:c>
      <x:c r="B276" s="12" t="str">
        <x:f>IF(A276="","",CHOOSE(WEEKDAY(A276,2),"Mo","Di","Mi","Do","Fr","Sa","So"))</x:f>
        <x:v>Sa</x:v>
      </x:c>
      <x:c r="C276" s="12">
        <x:f>IF(A276="","",ISOWEEKNUM(A276))</x:f>
        <x:v>16</x:v>
      </x:c>
      <x:c r="D276" s="11">
        <x:f>IF(A276="","",IFERROR(INDEX(Einstellungen!$B$19:$B$118,MATCH(A276,Einstellungen!$A$19:$A$118,0)),""))</x:f>
      </x:c>
      <x:c r="E276" s="18" t="inlineStr">
        <x:is>
          <x:t xml:space="preserve"/>
        </x:is>
      </x:c>
      <x:c r="F276" s="18" t="inlineStr">
        <x:is>
          <x:t xml:space="preserve"/>
        </x:is>
      </x:c>
      <x:c r="G276" s="18" t="inlineStr">
        <x:is>
          <x:t xml:space="preserve"/>
        </x:is>
      </x:c>
      <x:c r="H276" s="18" t="inlineStr">
        <x:is>
          <x:t xml:space="preserve"/>
        </x:is>
      </x:c>
      <x:c r="I276" s="18" t="inlineStr">
        <x:is>
          <x:t xml:space="preserve"/>
        </x:is>
      </x:c>
      <x:c r="J276" s="17">
        <x:f>IF(A276="","",SUM(E276:I276))</x:f>
        <x:v>0</x:v>
      </x:c>
    </x:row>
    <x:row r="277">
      <x:c r="A277" s="10">
        <x:f>IF(19&lt;=DAY(EOMONTH(EDATE(Einstellungen!$E$6,7),0)),DATE(YEAR(EDATE(Einstellungen!$E$6,7)),MONTH(EDATE(Einstellungen!$E$6,7)),19),"")</x:f>
        <x:v>46131</x:v>
      </x:c>
      <x:c r="B277" s="12" t="str">
        <x:f>IF(A277="","",CHOOSE(WEEKDAY(A277,2),"Mo","Di","Mi","Do","Fr","Sa","So"))</x:f>
        <x:v>So</x:v>
      </x:c>
      <x:c r="C277" s="12">
        <x:f>IF(A277="","",ISOWEEKNUM(A277))</x:f>
        <x:v>16</x:v>
      </x:c>
      <x:c r="D277" s="11">
        <x:f>IF(A277="","",IFERROR(INDEX(Einstellungen!$B$19:$B$118,MATCH(A277,Einstellungen!$A$19:$A$118,0)),""))</x:f>
      </x:c>
      <x:c r="E277" s="18" t="inlineStr">
        <x:is>
          <x:t xml:space="preserve"/>
        </x:is>
      </x:c>
      <x:c r="F277" s="18" t="inlineStr">
        <x:is>
          <x:t xml:space="preserve"/>
        </x:is>
      </x:c>
      <x:c r="G277" s="18" t="inlineStr">
        <x:is>
          <x:t xml:space="preserve"/>
        </x:is>
      </x:c>
      <x:c r="H277" s="18" t="inlineStr">
        <x:is>
          <x:t xml:space="preserve"/>
        </x:is>
      </x:c>
      <x:c r="I277" s="18" t="inlineStr">
        <x:is>
          <x:t xml:space="preserve"/>
        </x:is>
      </x:c>
      <x:c r="J277" s="17">
        <x:f>IF(A277="","",SUM(E277:I277))</x:f>
        <x:v>0</x:v>
      </x:c>
    </x:row>
    <x:row r="278">
      <x:c r="A278" s="10">
        <x:f>IF(20&lt;=DAY(EOMONTH(EDATE(Einstellungen!$E$6,7),0)),DATE(YEAR(EDATE(Einstellungen!$E$6,7)),MONTH(EDATE(Einstellungen!$E$6,7)),20),"")</x:f>
        <x:v>46132</x:v>
      </x:c>
      <x:c r="B278" s="12" t="str">
        <x:f>IF(A278="","",CHOOSE(WEEKDAY(A278,2),"Mo","Di","Mi","Do","Fr","Sa","So"))</x:f>
        <x:v>Mo</x:v>
      </x:c>
      <x:c r="C278" s="12">
        <x:f>IF(A278="","",ISOWEEKNUM(A278))</x:f>
        <x:v>17</x:v>
      </x:c>
      <x:c r="D278" s="11">
        <x:f>IF(A278="","",IFERROR(INDEX(Einstellungen!$B$19:$B$118,MATCH(A278,Einstellungen!$A$19:$A$118,0)),""))</x:f>
      </x:c>
      <x:c r="E278" s="17" t="n">
        <x:v>5.5</x:v>
      </x:c>
      <x:c r="F278" s="17" t="n">
        <x:v>0.75</x:v>
      </x:c>
      <x:c r="G278" s="17" t="n">
        <x:v>0.5</x:v>
      </x:c>
      <x:c r="H278" s="17" t="n">
        <x:v>0.5</x:v>
      </x:c>
      <x:c r="I278" s="17" t="n">
        <x:v>0.25</x:v>
      </x:c>
      <x:c r="J278" s="17">
        <x:f>IF(A278="","",SUM(E278:I278))</x:f>
        <x:v>7.5</x:v>
      </x:c>
    </x:row>
    <x:row r="279">
      <x:c r="A279" s="10">
        <x:f>IF(21&lt;=DAY(EOMONTH(EDATE(Einstellungen!$E$6,7),0)),DATE(YEAR(EDATE(Einstellungen!$E$6,7)),MONTH(EDATE(Einstellungen!$E$6,7)),21),"")</x:f>
        <x:v>46133</x:v>
      </x:c>
      <x:c r="B279" s="12" t="str">
        <x:f>IF(A279="","",CHOOSE(WEEKDAY(A279,2),"Mo","Di","Mi","Do","Fr","Sa","So"))</x:f>
        <x:v>Di</x:v>
      </x:c>
      <x:c r="C279" s="12">
        <x:f>IF(A279="","",ISOWEEKNUM(A279))</x:f>
        <x:v>17</x:v>
      </x:c>
      <x:c r="D279" s="11">
        <x:f>IF(A279="","",IFERROR(INDEX(Einstellungen!$B$19:$B$118,MATCH(A279,Einstellungen!$A$19:$A$118,0)),""))</x:f>
      </x:c>
      <x:c r="E279" s="17" t="n">
        <x:v>6</x:v>
      </x:c>
      <x:c r="F279" s="17" t="n">
        <x:v>0.5</x:v>
      </x:c>
      <x:c r="G279" s="17" t="n">
        <x:v>1.5</x:v>
      </x:c>
      <x:c r="H279" s="17" t="n">
        <x:v>0.25</x:v>
      </x:c>
      <x:c r="I279" s="17" t="n">
        <x:v>0.25</x:v>
      </x:c>
      <x:c r="J279" s="17">
        <x:f>IF(A279="","",SUM(E279:I279))</x:f>
        <x:v>8.5</x:v>
      </x:c>
    </x:row>
    <x:row r="280">
      <x:c r="A280" s="10">
        <x:f>IF(22&lt;=DAY(EOMONTH(EDATE(Einstellungen!$E$6,7),0)),DATE(YEAR(EDATE(Einstellungen!$E$6,7)),MONTH(EDATE(Einstellungen!$E$6,7)),22),"")</x:f>
        <x:v>46134</x:v>
      </x:c>
      <x:c r="B280" s="12" t="str">
        <x:f>IF(A280="","",CHOOSE(WEEKDAY(A280,2),"Mo","Di","Mi","Do","Fr","Sa","So"))</x:f>
        <x:v>Mi</x:v>
      </x:c>
      <x:c r="C280" s="12">
        <x:f>IF(A280="","",ISOWEEKNUM(A280))</x:f>
        <x:v>17</x:v>
      </x:c>
      <x:c r="D280" s="11">
        <x:f>IF(A280="","",IFERROR(INDEX(Einstellungen!$B$19:$B$118,MATCH(A280,Einstellungen!$A$19:$A$118,0)),""))</x:f>
      </x:c>
      <x:c r="E280" s="17" t="n">
        <x:v>6.5</x:v>
      </x:c>
      <x:c r="F280" s="17" t="n">
        <x:v>0.75</x:v>
      </x:c>
      <x:c r="G280" s="17" t="n">
        <x:v>0.5</x:v>
      </x:c>
      <x:c r="H280" s="17" t="n">
        <x:v>0.25</x:v>
      </x:c>
      <x:c r="I280" s="17" t="n">
        <x:v>0.25</x:v>
      </x:c>
      <x:c r="J280" s="17">
        <x:f>IF(A280="","",SUM(E280:I280))</x:f>
        <x:v>8.25</x:v>
      </x:c>
    </x:row>
    <x:row r="281">
      <x:c r="A281" s="10">
        <x:f>IF(23&lt;=DAY(EOMONTH(EDATE(Einstellungen!$E$6,7),0)),DATE(YEAR(EDATE(Einstellungen!$E$6,7)),MONTH(EDATE(Einstellungen!$E$6,7)),23),"")</x:f>
        <x:v>46135</x:v>
      </x:c>
      <x:c r="B281" s="12" t="str">
        <x:f>IF(A281="","",CHOOSE(WEEKDAY(A281,2),"Mo","Di","Mi","Do","Fr","Sa","So"))</x:f>
        <x:v>Do</x:v>
      </x:c>
      <x:c r="C281" s="12">
        <x:f>IF(A281="","",ISOWEEKNUM(A281))</x:f>
        <x:v>17</x:v>
      </x:c>
      <x:c r="D281" s="11">
        <x:f>IF(A281="","",IFERROR(INDEX(Einstellungen!$B$19:$B$118,MATCH(A281,Einstellungen!$A$19:$A$118,0)),""))</x:f>
      </x:c>
      <x:c r="E281" s="17" t="n">
        <x:v>5.5</x:v>
      </x:c>
      <x:c r="F281" s="17" t="n">
        <x:v>0.5</x:v>
      </x:c>
      <x:c r="G281" s="17" t="n">
        <x:v>1.5</x:v>
      </x:c>
      <x:c r="H281" s="17" t="n">
        <x:v>0.25</x:v>
      </x:c>
      <x:c r="I281" s="17" t="n">
        <x:v>0.25</x:v>
      </x:c>
      <x:c r="J281" s="17">
        <x:f>IF(A281="","",SUM(E281:I281))</x:f>
        <x:v>8</x:v>
      </x:c>
    </x:row>
    <x:row r="282">
      <x:c r="A282" s="10">
        <x:f>IF(24&lt;=DAY(EOMONTH(EDATE(Einstellungen!$E$6,7),0)),DATE(YEAR(EDATE(Einstellungen!$E$6,7)),MONTH(EDATE(Einstellungen!$E$6,7)),24),"")</x:f>
        <x:v>46136</x:v>
      </x:c>
      <x:c r="B282" s="12" t="str">
        <x:f>IF(A282="","",CHOOSE(WEEKDAY(A282,2),"Mo","Di","Mi","Do","Fr","Sa","So"))</x:f>
        <x:v>Fr</x:v>
      </x:c>
      <x:c r="C282" s="12">
        <x:f>IF(A282="","",ISOWEEKNUM(A282))</x:f>
        <x:v>17</x:v>
      </x:c>
      <x:c r="D282" s="11">
        <x:f>IF(A282="","",IFERROR(INDEX(Einstellungen!$B$19:$B$118,MATCH(A282,Einstellungen!$A$19:$A$118,0)),""))</x:f>
      </x:c>
      <x:c r="E282" s="17" t="n">
        <x:v>6</x:v>
      </x:c>
      <x:c r="F282" s="17" t="n">
        <x:v>0.5</x:v>
      </x:c>
      <x:c r="G282" s="17" t="n">
        <x:v>0.5</x:v>
      </x:c>
      <x:c r="H282" s="17" t="n">
        <x:v>0.5</x:v>
      </x:c>
      <x:c r="I282" s="17" t="n">
        <x:v>0.25</x:v>
      </x:c>
      <x:c r="J282" s="17">
        <x:f>IF(A282="","",SUM(E282:I282))</x:f>
        <x:v>7.75</x:v>
      </x:c>
    </x:row>
    <x:row r="283">
      <x:c r="A283" s="10">
        <x:f>IF(25&lt;=DAY(EOMONTH(EDATE(Einstellungen!$E$6,7),0)),DATE(YEAR(EDATE(Einstellungen!$E$6,7)),MONTH(EDATE(Einstellungen!$E$6,7)),25),"")</x:f>
        <x:v>46137</x:v>
      </x:c>
      <x:c r="B283" s="12" t="str">
        <x:f>IF(A283="","",CHOOSE(WEEKDAY(A283,2),"Mo","Di","Mi","Do","Fr","Sa","So"))</x:f>
        <x:v>Sa</x:v>
      </x:c>
      <x:c r="C283" s="12">
        <x:f>IF(A283="","",ISOWEEKNUM(A283))</x:f>
        <x:v>17</x:v>
      </x:c>
      <x:c r="D283" s="11">
        <x:f>IF(A283="","",IFERROR(INDEX(Einstellungen!$B$19:$B$118,MATCH(A283,Einstellungen!$A$19:$A$118,0)),""))</x:f>
      </x:c>
      <x:c r="E283" s="18" t="inlineStr">
        <x:is>
          <x:t xml:space="preserve"/>
        </x:is>
      </x:c>
      <x:c r="F283" s="18" t="inlineStr">
        <x:is>
          <x:t xml:space="preserve"/>
        </x:is>
      </x:c>
      <x:c r="G283" s="18" t="inlineStr">
        <x:is>
          <x:t xml:space="preserve"/>
        </x:is>
      </x:c>
      <x:c r="H283" s="18" t="inlineStr">
        <x:is>
          <x:t xml:space="preserve"/>
        </x:is>
      </x:c>
      <x:c r="I283" s="18" t="inlineStr">
        <x:is>
          <x:t xml:space="preserve"/>
        </x:is>
      </x:c>
      <x:c r="J283" s="17">
        <x:f>IF(A283="","",SUM(E283:I283))</x:f>
        <x:v>0</x:v>
      </x:c>
    </x:row>
    <x:row r="284">
      <x:c r="A284" s="10">
        <x:f>IF(26&lt;=DAY(EOMONTH(EDATE(Einstellungen!$E$6,7),0)),DATE(YEAR(EDATE(Einstellungen!$E$6,7)),MONTH(EDATE(Einstellungen!$E$6,7)),26),"")</x:f>
        <x:v>46138</x:v>
      </x:c>
      <x:c r="B284" s="12" t="str">
        <x:f>IF(A284="","",CHOOSE(WEEKDAY(A284,2),"Mo","Di","Mi","Do","Fr","Sa","So"))</x:f>
        <x:v>So</x:v>
      </x:c>
      <x:c r="C284" s="12">
        <x:f>IF(A284="","",ISOWEEKNUM(A284))</x:f>
        <x:v>17</x:v>
      </x:c>
      <x:c r="D284" s="11">
        <x:f>IF(A284="","",IFERROR(INDEX(Einstellungen!$B$19:$B$118,MATCH(A284,Einstellungen!$A$19:$A$118,0)),""))</x:f>
      </x:c>
      <x:c r="E284" s="18" t="inlineStr">
        <x:is>
          <x:t xml:space="preserve"/>
        </x:is>
      </x:c>
      <x:c r="F284" s="18" t="inlineStr">
        <x:is>
          <x:t xml:space="preserve"/>
        </x:is>
      </x:c>
      <x:c r="G284" s="18" t="inlineStr">
        <x:is>
          <x:t xml:space="preserve"/>
        </x:is>
      </x:c>
      <x:c r="H284" s="18" t="inlineStr">
        <x:is>
          <x:t xml:space="preserve"/>
        </x:is>
      </x:c>
      <x:c r="I284" s="18" t="inlineStr">
        <x:is>
          <x:t xml:space="preserve"/>
        </x:is>
      </x:c>
      <x:c r="J284" s="17">
        <x:f>IF(A284="","",SUM(E284:I284))</x:f>
        <x:v>0</x:v>
      </x:c>
    </x:row>
    <x:row r="285">
      <x:c r="A285" s="10">
        <x:f>IF(27&lt;=DAY(EOMONTH(EDATE(Einstellungen!$E$6,7),0)),DATE(YEAR(EDATE(Einstellungen!$E$6,7)),MONTH(EDATE(Einstellungen!$E$6,7)),27),"")</x:f>
        <x:v>46139</x:v>
      </x:c>
      <x:c r="B285" s="12" t="str">
        <x:f>IF(A285="","",CHOOSE(WEEKDAY(A285,2),"Mo","Di","Mi","Do","Fr","Sa","So"))</x:f>
        <x:v>Mo</x:v>
      </x:c>
      <x:c r="C285" s="12">
        <x:f>IF(A285="","",ISOWEEKNUM(A285))</x:f>
        <x:v>18</x:v>
      </x:c>
      <x:c r="D285" s="11">
        <x:f>IF(A285="","",IFERROR(INDEX(Einstellungen!$B$19:$B$118,MATCH(A285,Einstellungen!$A$19:$A$118,0)),""))</x:f>
      </x:c>
      <x:c r="E285" s="17" t="n">
        <x:v>5.5</x:v>
      </x:c>
      <x:c r="F285" s="17" t="n">
        <x:v>0.75</x:v>
      </x:c>
      <x:c r="G285" s="17" t="n">
        <x:v>0.5</x:v>
      </x:c>
      <x:c r="H285" s="17" t="n">
        <x:v>0.5</x:v>
      </x:c>
      <x:c r="I285" s="17" t="n">
        <x:v>0.25</x:v>
      </x:c>
      <x:c r="J285" s="17">
        <x:f>IF(A285="","",SUM(E285:I285))</x:f>
        <x:v>7.5</x:v>
      </x:c>
    </x:row>
    <x:row r="286">
      <x:c r="A286" s="10">
        <x:f>IF(28&lt;=DAY(EOMONTH(EDATE(Einstellungen!$E$6,7),0)),DATE(YEAR(EDATE(Einstellungen!$E$6,7)),MONTH(EDATE(Einstellungen!$E$6,7)),28),"")</x:f>
        <x:v>46140</x:v>
      </x:c>
      <x:c r="B286" s="12" t="str">
        <x:f>IF(A286="","",CHOOSE(WEEKDAY(A286,2),"Mo","Di","Mi","Do","Fr","Sa","So"))</x:f>
        <x:v>Di</x:v>
      </x:c>
      <x:c r="C286" s="12">
        <x:f>IF(A286="","",ISOWEEKNUM(A286))</x:f>
        <x:v>18</x:v>
      </x:c>
      <x:c r="D286" s="11">
        <x:f>IF(A286="","",IFERROR(INDEX(Einstellungen!$B$19:$B$118,MATCH(A286,Einstellungen!$A$19:$A$118,0)),""))</x:f>
      </x:c>
      <x:c r="E286" s="17" t="n">
        <x:v>6</x:v>
      </x:c>
      <x:c r="F286" s="17" t="n">
        <x:v>0.5</x:v>
      </x:c>
      <x:c r="G286" s="17" t="n">
        <x:v>1.5</x:v>
      </x:c>
      <x:c r="H286" s="17" t="n">
        <x:v>0.25</x:v>
      </x:c>
      <x:c r="I286" s="17" t="n">
        <x:v>0.25</x:v>
      </x:c>
      <x:c r="J286" s="17">
        <x:f>IF(A286="","",SUM(E286:I286))</x:f>
        <x:v>8.5</x:v>
      </x:c>
    </x:row>
    <x:row r="287">
      <x:c r="A287" s="10">
        <x:f>IF(29&lt;=DAY(EOMONTH(EDATE(Einstellungen!$E$6,7),0)),DATE(YEAR(EDATE(Einstellungen!$E$6,7)),MONTH(EDATE(Einstellungen!$E$6,7)),29),"")</x:f>
        <x:v>46141</x:v>
      </x:c>
      <x:c r="B287" s="12" t="str">
        <x:f>IF(A287="","",CHOOSE(WEEKDAY(A287,2),"Mo","Di","Mi","Do","Fr","Sa","So"))</x:f>
        <x:v>Mi</x:v>
      </x:c>
      <x:c r="C287" s="12">
        <x:f>IF(A287="","",ISOWEEKNUM(A287))</x:f>
        <x:v>18</x:v>
      </x:c>
      <x:c r="D287" s="11">
        <x:f>IF(A287="","",IFERROR(INDEX(Einstellungen!$B$19:$B$118,MATCH(A287,Einstellungen!$A$19:$A$118,0)),""))</x:f>
      </x:c>
      <x:c r="E287" s="17" t="n">
        <x:v>6.5</x:v>
      </x:c>
      <x:c r="F287" s="17" t="n">
        <x:v>0.75</x:v>
      </x:c>
      <x:c r="G287" s="17" t="n">
        <x:v>0.5</x:v>
      </x:c>
      <x:c r="H287" s="17" t="n">
        <x:v>0.25</x:v>
      </x:c>
      <x:c r="I287" s="17" t="n">
        <x:v>0.25</x:v>
      </x:c>
      <x:c r="J287" s="17">
        <x:f>IF(A287="","",SUM(E287:I287))</x:f>
        <x:v>8.25</x:v>
      </x:c>
    </x:row>
    <x:row r="288">
      <x:c r="A288" s="10">
        <x:f>IF(30&lt;=DAY(EOMONTH(EDATE(Einstellungen!$E$6,7),0)),DATE(YEAR(EDATE(Einstellungen!$E$6,7)),MONTH(EDATE(Einstellungen!$E$6,7)),30),"")</x:f>
        <x:v>46142</x:v>
      </x:c>
      <x:c r="B288" s="12" t="str">
        <x:f>IF(A288="","",CHOOSE(WEEKDAY(A288,2),"Mo","Di","Mi","Do","Fr","Sa","So"))</x:f>
        <x:v>Do</x:v>
      </x:c>
      <x:c r="C288" s="12">
        <x:f>IF(A288="","",ISOWEEKNUM(A288))</x:f>
        <x:v>18</x:v>
      </x:c>
      <x:c r="D288" s="11">
        <x:f>IF(A288="","",IFERROR(INDEX(Einstellungen!$B$19:$B$118,MATCH(A288,Einstellungen!$A$19:$A$118,0)),""))</x:f>
      </x:c>
      <x:c r="E288" s="17" t="n">
        <x:v>5.5</x:v>
      </x:c>
      <x:c r="F288" s="17" t="n">
        <x:v>0.5</x:v>
      </x:c>
      <x:c r="G288" s="17" t="n">
        <x:v>1.5</x:v>
      </x:c>
      <x:c r="H288" s="17" t="n">
        <x:v>0.25</x:v>
      </x:c>
      <x:c r="I288" s="17" t="n">
        <x:v>0.25</x:v>
      </x:c>
      <x:c r="J288" s="17">
        <x:f>IF(A288="","",SUM(E288:I288))</x:f>
        <x:v>8</x:v>
      </x:c>
    </x:row>
    <x:row r="289">
      <x:c r="A289" s="10">
        <x:f>IF(31&lt;=DAY(EOMONTH(EDATE(Einstellungen!$E$6,7),0)),DATE(YEAR(EDATE(Einstellungen!$E$6,7)),MONTH(EDATE(Einstellungen!$E$6,7)),31),"")</x:f>
      </x:c>
      <x:c r="B289" s="12">
        <x:f>IF(A289="","",CHOOSE(WEEKDAY(A289,2),"Mo","Di","Mi","Do","Fr","Sa","So"))</x:f>
      </x:c>
      <x:c r="C289" s="12">
        <x:f>IF(A289="","",ISOWEEKNUM(A289))</x:f>
      </x:c>
      <x:c r="D289" s="11">
        <x:f>IF(A289="","",IFERROR(INDEX(Einstellungen!$B$19:$B$118,MATCH(A289,Einstellungen!$A$19:$A$118,0)),""))</x:f>
      </x:c>
      <x:c r="E289" s="18" t="n"/>
      <x:c r="F289" s="18" t="n"/>
      <x:c r="G289" s="18" t="n"/>
      <x:c r="H289" s="18" t="n"/>
      <x:c r="I289" s="18" t="n"/>
      <x:c r="J289" s="17">
        <x:f>IF(A289="","",SUM(E289:I289))</x:f>
      </x:c>
    </x:row>
    <x:row r="290">
      <x:c r="A290" s="4" t="inlineStr">
        <x:is>
          <x:t xml:space="preserve">Monatssumme</x:t>
        </x:is>
      </x:c>
      <x:c r="B290" s="15" t="n"/>
      <x:c r="C290" s="15" t="n"/>
      <x:c r="D290" s="15" t="n"/>
      <x:c r="E290" s="19">
        <x:f>SUM(E259:E289)</x:f>
        <x:v>130</x:v>
      </x:c>
      <x:c r="F290" s="19">
        <x:f>SUM(F259:F289)</x:f>
        <x:v>13.25</x:v>
      </x:c>
      <x:c r="G290" s="19">
        <x:f>SUM(G259:G289)</x:f>
        <x:v>20</x:v>
      </x:c>
      <x:c r="H290" s="19">
        <x:f>SUM(H259:H289)</x:f>
        <x:v>7.5</x:v>
      </x:c>
      <x:c r="I290" s="19">
        <x:f>SUM(I259:I289)</x:f>
        <x:v>5.75</x:v>
      </x:c>
      <x:c r="J290" s="19">
        <x:f>SUM(J259:J289)</x:f>
        <x:v>176.5</x:v>
      </x:c>
    </x:row>
    <x:row r="291">
      <x:c r="A291" s="20" t="n"/>
      <x:c r="B291" s="20" t="n"/>
      <x:c r="C291" s="20" t="n"/>
      <x:c r="D291" s="20" t="n"/>
      <x:c r="E291" s="20" t="n"/>
      <x:c r="F291" s="20" t="n"/>
      <x:c r="G291" s="20" t="n"/>
      <x:c r="H291" s="20" t="n"/>
      <x:c r="I291" s="20" t="n"/>
      <x:c r="J291" s="20" t="n"/>
    </x:row>
    <x:row r="292">
      <x:c r="A292" s="20" t="n"/>
      <x:c r="B292" s="20" t="n"/>
      <x:c r="C292" s="20" t="n"/>
      <x:c r="D292" s="20" t="n"/>
      <x:c r="E292" s="20" t="n"/>
      <x:c r="F292" s="20" t="n"/>
      <x:c r="G292" s="20" t="n"/>
      <x:c r="H292" s="20" t="n"/>
      <x:c r="I292" s="20" t="n"/>
      <x:c r="J292" s="20" t="n"/>
    </x:row>
    <x:row r="293">
      <x:c r="A293" s="15" t="str">
        <x:f>INDEX(Einstellungen!$J$2:$J$13,MONTH(EDATE(Einstellungen!$E$6,8)))&amp;" "&amp;YEAR(EDATE(Einstellungen!$E$6,8))</x:f>
        <x:v>Mai 2026</x:v>
      </x:c>
    </x:row>
    <x:row r="294">
      <x:c r="A294" s="16" t="inlineStr">
        <x:is>
          <x:t xml:space="preserve">Datum</x:t>
        </x:is>
      </x:c>
      <x:c r="B294" s="16" t="inlineStr">
        <x:is>
          <x:t xml:space="preserve">Tag</x:t>
        </x:is>
      </x:c>
      <x:c r="C294" s="16" t="inlineStr">
        <x:is>
          <x:t xml:space="preserve">KW</x:t>
        </x:is>
      </x:c>
      <x:c r="D294" s="16" t="inlineStr">
        <x:is>
          <x:t xml:space="preserve">Feiertag / Termin</x:t>
        </x:is>
      </x:c>
      <x:c r="E294" s="16" t="str">
        <x:f>Einstellungen!$B$11</x:f>
        <x:v>Arbeitszeit</x:v>
      </x:c>
      <x:c r="F294" s="16" t="str">
        <x:f>Einstellungen!$B$12</x:f>
        <x:v>E-Mail</x:v>
      </x:c>
      <x:c r="G294" s="16" t="str">
        <x:f>Einstellungen!$B$13</x:f>
        <x:v>Meetings</x:v>
      </x:c>
      <x:c r="H294" s="16" t="str">
        <x:f>Einstellungen!$B$14</x:f>
        <x:v>Telefonate</x:v>
      </x:c>
      <x:c r="I294" s="16" t="str">
        <x:f>Einstellungen!$B$15</x:f>
        <x:v>Sonstiges</x:v>
      </x:c>
      <x:c r="J294" s="16" t="inlineStr">
        <x:is>
          <x:t xml:space="preserve">Gesamt</x:t>
        </x:is>
      </x:c>
    </x:row>
    <x:row r="295">
      <x:c r="A295" s="10">
        <x:f>IF(1&lt;=DAY(EOMONTH(EDATE(Einstellungen!$E$6,8),0)),DATE(YEAR(EDATE(Einstellungen!$E$6,8)),MONTH(EDATE(Einstellungen!$E$6,8)),1),"")</x:f>
        <x:v>46143</x:v>
      </x:c>
      <x:c r="B295" s="12" t="str">
        <x:f>IF(A295="","",CHOOSE(WEEKDAY(A295,2),"Mo","Di","Mi","Do","Fr","Sa","So"))</x:f>
        <x:v>Fr</x:v>
      </x:c>
      <x:c r="C295" s="12">
        <x:f>IF(A295="","",ISOWEEKNUM(A295))</x:f>
        <x:v>18</x:v>
      </x:c>
      <x:c r="D295" s="11">
        <x:f>IF(A295="","",IFERROR(INDEX(Einstellungen!$B$19:$B$118,MATCH(A295,Einstellungen!$A$19:$A$118,0)),""))</x:f>
      </x:c>
      <x:c r="E295" s="17" t="n">
        <x:v>6</x:v>
      </x:c>
      <x:c r="F295" s="17" t="n">
        <x:v>0.5</x:v>
      </x:c>
      <x:c r="G295" s="17" t="n">
        <x:v>0.5</x:v>
      </x:c>
      <x:c r="H295" s="17" t="n">
        <x:v>0.5</x:v>
      </x:c>
      <x:c r="I295" s="17" t="n">
        <x:v>0.25</x:v>
      </x:c>
      <x:c r="J295" s="17">
        <x:f>IF(A295="","",SUM(E295:I295))</x:f>
        <x:v>7.75</x:v>
      </x:c>
    </x:row>
    <x:row r="296">
      <x:c r="A296" s="10">
        <x:f>IF(2&lt;=DAY(EOMONTH(EDATE(Einstellungen!$E$6,8),0)),DATE(YEAR(EDATE(Einstellungen!$E$6,8)),MONTH(EDATE(Einstellungen!$E$6,8)),2),"")</x:f>
        <x:v>46144</x:v>
      </x:c>
      <x:c r="B296" s="12" t="str">
        <x:f>IF(A296="","",CHOOSE(WEEKDAY(A296,2),"Mo","Di","Mi","Do","Fr","Sa","So"))</x:f>
        <x:v>Sa</x:v>
      </x:c>
      <x:c r="C296" s="12">
        <x:f>IF(A296="","",ISOWEEKNUM(A296))</x:f>
        <x:v>18</x:v>
      </x:c>
      <x:c r="D296" s="11">
        <x:f>IF(A296="","",IFERROR(INDEX(Einstellungen!$B$19:$B$118,MATCH(A296,Einstellungen!$A$19:$A$118,0)),""))</x:f>
      </x:c>
      <x:c r="E296" s="18" t="inlineStr">
        <x:is>
          <x:t xml:space="preserve"/>
        </x:is>
      </x:c>
      <x:c r="F296" s="18" t="inlineStr">
        <x:is>
          <x:t xml:space="preserve"/>
        </x:is>
      </x:c>
      <x:c r="G296" s="18" t="inlineStr">
        <x:is>
          <x:t xml:space="preserve"/>
        </x:is>
      </x:c>
      <x:c r="H296" s="18" t="inlineStr">
        <x:is>
          <x:t xml:space="preserve"/>
        </x:is>
      </x:c>
      <x:c r="I296" s="18" t="inlineStr">
        <x:is>
          <x:t xml:space="preserve"/>
        </x:is>
      </x:c>
      <x:c r="J296" s="17">
        <x:f>IF(A296="","",SUM(E296:I296))</x:f>
        <x:v>0</x:v>
      </x:c>
    </x:row>
    <x:row r="297">
      <x:c r="A297" s="10">
        <x:f>IF(3&lt;=DAY(EOMONTH(EDATE(Einstellungen!$E$6,8),0)),DATE(YEAR(EDATE(Einstellungen!$E$6,8)),MONTH(EDATE(Einstellungen!$E$6,8)),3),"")</x:f>
        <x:v>46145</x:v>
      </x:c>
      <x:c r="B297" s="12" t="str">
        <x:f>IF(A297="","",CHOOSE(WEEKDAY(A297,2),"Mo","Di","Mi","Do","Fr","Sa","So"))</x:f>
        <x:v>So</x:v>
      </x:c>
      <x:c r="C297" s="12">
        <x:f>IF(A297="","",ISOWEEKNUM(A297))</x:f>
        <x:v>18</x:v>
      </x:c>
      <x:c r="D297" s="11">
        <x:f>IF(A297="","",IFERROR(INDEX(Einstellungen!$B$19:$B$118,MATCH(A297,Einstellungen!$A$19:$A$118,0)),""))</x:f>
      </x:c>
      <x:c r="E297" s="18" t="inlineStr">
        <x:is>
          <x:t xml:space="preserve"/>
        </x:is>
      </x:c>
      <x:c r="F297" s="18" t="inlineStr">
        <x:is>
          <x:t xml:space="preserve"/>
        </x:is>
      </x:c>
      <x:c r="G297" s="18" t="inlineStr">
        <x:is>
          <x:t xml:space="preserve"/>
        </x:is>
      </x:c>
      <x:c r="H297" s="18" t="inlineStr">
        <x:is>
          <x:t xml:space="preserve"/>
        </x:is>
      </x:c>
      <x:c r="I297" s="18" t="inlineStr">
        <x:is>
          <x:t xml:space="preserve"/>
        </x:is>
      </x:c>
      <x:c r="J297" s="17">
        <x:f>IF(A297="","",SUM(E297:I297))</x:f>
        <x:v>0</x:v>
      </x:c>
    </x:row>
    <x:row r="298">
      <x:c r="A298" s="10">
        <x:f>IF(4&lt;=DAY(EOMONTH(EDATE(Einstellungen!$E$6,8),0)),DATE(YEAR(EDATE(Einstellungen!$E$6,8)),MONTH(EDATE(Einstellungen!$E$6,8)),4),"")</x:f>
        <x:v>46146</x:v>
      </x:c>
      <x:c r="B298" s="12" t="str">
        <x:f>IF(A298="","",CHOOSE(WEEKDAY(A298,2),"Mo","Di","Mi","Do","Fr","Sa","So"))</x:f>
        <x:v>Mo</x:v>
      </x:c>
      <x:c r="C298" s="12">
        <x:f>IF(A298="","",ISOWEEKNUM(A298))</x:f>
        <x:v>19</x:v>
      </x:c>
      <x:c r="D298" s="11">
        <x:f>IF(A298="","",IFERROR(INDEX(Einstellungen!$B$19:$B$118,MATCH(A298,Einstellungen!$A$19:$A$118,0)),""))</x:f>
      </x:c>
      <x:c r="E298" s="17" t="n">
        <x:v>5.5</x:v>
      </x:c>
      <x:c r="F298" s="17" t="n">
        <x:v>0.75</x:v>
      </x:c>
      <x:c r="G298" s="17" t="n">
        <x:v>0.5</x:v>
      </x:c>
      <x:c r="H298" s="17" t="n">
        <x:v>0.5</x:v>
      </x:c>
      <x:c r="I298" s="17" t="n">
        <x:v>0.25</x:v>
      </x:c>
      <x:c r="J298" s="17">
        <x:f>IF(A298="","",SUM(E298:I298))</x:f>
        <x:v>7.5</x:v>
      </x:c>
    </x:row>
    <x:row r="299">
      <x:c r="A299" s="10">
        <x:f>IF(5&lt;=DAY(EOMONTH(EDATE(Einstellungen!$E$6,8),0)),DATE(YEAR(EDATE(Einstellungen!$E$6,8)),MONTH(EDATE(Einstellungen!$E$6,8)),5),"")</x:f>
        <x:v>46147</x:v>
      </x:c>
      <x:c r="B299" s="12" t="str">
        <x:f>IF(A299="","",CHOOSE(WEEKDAY(A299,2),"Mo","Di","Mi","Do","Fr","Sa","So"))</x:f>
        <x:v>Di</x:v>
      </x:c>
      <x:c r="C299" s="12">
        <x:f>IF(A299="","",ISOWEEKNUM(A299))</x:f>
        <x:v>19</x:v>
      </x:c>
      <x:c r="D299" s="11">
        <x:f>IF(A299="","",IFERROR(INDEX(Einstellungen!$B$19:$B$118,MATCH(A299,Einstellungen!$A$19:$A$118,0)),""))</x:f>
      </x:c>
      <x:c r="E299" s="17" t="n">
        <x:v>6</x:v>
      </x:c>
      <x:c r="F299" s="17" t="n">
        <x:v>0.5</x:v>
      </x:c>
      <x:c r="G299" s="17" t="n">
        <x:v>1.5</x:v>
      </x:c>
      <x:c r="H299" s="17" t="n">
        <x:v>0.25</x:v>
      </x:c>
      <x:c r="I299" s="17" t="n">
        <x:v>0.5</x:v>
      </x:c>
      <x:c r="J299" s="17">
        <x:f>IF(A299="","",SUM(E299:I299))</x:f>
        <x:v>8.75</x:v>
      </x:c>
    </x:row>
    <x:row r="300">
      <x:c r="A300" s="10">
        <x:f>IF(6&lt;=DAY(EOMONTH(EDATE(Einstellungen!$E$6,8),0)),DATE(YEAR(EDATE(Einstellungen!$E$6,8)),MONTH(EDATE(Einstellungen!$E$6,8)),6),"")</x:f>
        <x:v>46148</x:v>
      </x:c>
      <x:c r="B300" s="12" t="str">
        <x:f>IF(A300="","",CHOOSE(WEEKDAY(A300,2),"Mo","Di","Mi","Do","Fr","Sa","So"))</x:f>
        <x:v>Mi</x:v>
      </x:c>
      <x:c r="C300" s="12">
        <x:f>IF(A300="","",ISOWEEKNUM(A300))</x:f>
        <x:v>19</x:v>
      </x:c>
      <x:c r="D300" s="11">
        <x:f>IF(A300="","",IFERROR(INDEX(Einstellungen!$B$19:$B$118,MATCH(A300,Einstellungen!$A$19:$A$118,0)),""))</x:f>
      </x:c>
      <x:c r="E300" s="17" t="n">
        <x:v>6.5</x:v>
      </x:c>
      <x:c r="F300" s="17" t="n">
        <x:v>0.75</x:v>
      </x:c>
      <x:c r="G300" s="17" t="n">
        <x:v>0.5</x:v>
      </x:c>
      <x:c r="H300" s="17" t="n">
        <x:v>0.25</x:v>
      </x:c>
      <x:c r="I300" s="17" t="n">
        <x:v>0.25</x:v>
      </x:c>
      <x:c r="J300" s="17">
        <x:f>IF(A300="","",SUM(E300:I300))</x:f>
        <x:v>8.25</x:v>
      </x:c>
    </x:row>
    <x:row r="301">
      <x:c r="A301" s="10">
        <x:f>IF(7&lt;=DAY(EOMONTH(EDATE(Einstellungen!$E$6,8),0)),DATE(YEAR(EDATE(Einstellungen!$E$6,8)),MONTH(EDATE(Einstellungen!$E$6,8)),7),"")</x:f>
        <x:v>46149</x:v>
      </x:c>
      <x:c r="B301" s="12" t="str">
        <x:f>IF(A301="","",CHOOSE(WEEKDAY(A301,2),"Mo","Di","Mi","Do","Fr","Sa","So"))</x:f>
        <x:v>Do</x:v>
      </x:c>
      <x:c r="C301" s="12">
        <x:f>IF(A301="","",ISOWEEKNUM(A301))</x:f>
        <x:v>19</x:v>
      </x:c>
      <x:c r="D301" s="11">
        <x:f>IF(A301="","",IFERROR(INDEX(Einstellungen!$B$19:$B$118,MATCH(A301,Einstellungen!$A$19:$A$118,0)),""))</x:f>
      </x:c>
      <x:c r="E301" s="17" t="n">
        <x:v>5.5</x:v>
      </x:c>
      <x:c r="F301" s="17" t="n">
        <x:v>0.5</x:v>
      </x:c>
      <x:c r="G301" s="17" t="n">
        <x:v>1.5</x:v>
      </x:c>
      <x:c r="H301" s="17" t="n">
        <x:v>0.25</x:v>
      </x:c>
      <x:c r="I301" s="17" t="n">
        <x:v>0.25</x:v>
      </x:c>
      <x:c r="J301" s="17">
        <x:f>IF(A301="","",SUM(E301:I301))</x:f>
        <x:v>8</x:v>
      </x:c>
    </x:row>
    <x:row r="302">
      <x:c r="A302" s="10">
        <x:f>IF(8&lt;=DAY(EOMONTH(EDATE(Einstellungen!$E$6,8),0)),DATE(YEAR(EDATE(Einstellungen!$E$6,8)),MONTH(EDATE(Einstellungen!$E$6,8)),8),"")</x:f>
        <x:v>46150</x:v>
      </x:c>
      <x:c r="B302" s="12" t="str">
        <x:f>IF(A302="","",CHOOSE(WEEKDAY(A302,2),"Mo","Di","Mi","Do","Fr","Sa","So"))</x:f>
        <x:v>Fr</x:v>
      </x:c>
      <x:c r="C302" s="12">
        <x:f>IF(A302="","",ISOWEEKNUM(A302))</x:f>
        <x:v>19</x:v>
      </x:c>
      <x:c r="D302" s="11">
        <x:f>IF(A302="","",IFERROR(INDEX(Einstellungen!$B$19:$B$118,MATCH(A302,Einstellungen!$A$19:$A$118,0)),""))</x:f>
      </x:c>
      <x:c r="E302" s="17" t="n">
        <x:v>6</x:v>
      </x:c>
      <x:c r="F302" s="17" t="n">
        <x:v>0.5</x:v>
      </x:c>
      <x:c r="G302" s="17" t="n">
        <x:v>0.5</x:v>
      </x:c>
      <x:c r="H302" s="17" t="n">
        <x:v>0.5</x:v>
      </x:c>
      <x:c r="I302" s="17" t="n">
        <x:v>0.25</x:v>
      </x:c>
      <x:c r="J302" s="17">
        <x:f>IF(A302="","",SUM(E302:I302))</x:f>
        <x:v>7.75</x:v>
      </x:c>
    </x:row>
    <x:row r="303">
      <x:c r="A303" s="10">
        <x:f>IF(9&lt;=DAY(EOMONTH(EDATE(Einstellungen!$E$6,8),0)),DATE(YEAR(EDATE(Einstellungen!$E$6,8)),MONTH(EDATE(Einstellungen!$E$6,8)),9),"")</x:f>
        <x:v>46151</x:v>
      </x:c>
      <x:c r="B303" s="12" t="str">
        <x:f>IF(A303="","",CHOOSE(WEEKDAY(A303,2),"Mo","Di","Mi","Do","Fr","Sa","So"))</x:f>
        <x:v>Sa</x:v>
      </x:c>
      <x:c r="C303" s="12">
        <x:f>IF(A303="","",ISOWEEKNUM(A303))</x:f>
        <x:v>19</x:v>
      </x:c>
      <x:c r="D303" s="11">
        <x:f>IF(A303="","",IFERROR(INDEX(Einstellungen!$B$19:$B$118,MATCH(A303,Einstellungen!$A$19:$A$118,0)),""))</x:f>
      </x:c>
      <x:c r="E303" s="18" t="inlineStr">
        <x:is>
          <x:t xml:space="preserve"/>
        </x:is>
      </x:c>
      <x:c r="F303" s="18" t="inlineStr">
        <x:is>
          <x:t xml:space="preserve"/>
        </x:is>
      </x:c>
      <x:c r="G303" s="18" t="inlineStr">
        <x:is>
          <x:t xml:space="preserve"/>
        </x:is>
      </x:c>
      <x:c r="H303" s="18" t="inlineStr">
        <x:is>
          <x:t xml:space="preserve"/>
        </x:is>
      </x:c>
      <x:c r="I303" s="18" t="inlineStr">
        <x:is>
          <x:t xml:space="preserve"/>
        </x:is>
      </x:c>
      <x:c r="J303" s="17">
        <x:f>IF(A303="","",SUM(E303:I303))</x:f>
        <x:v>0</x:v>
      </x:c>
    </x:row>
    <x:row r="304">
      <x:c r="A304" s="10">
        <x:f>IF(10&lt;=DAY(EOMONTH(EDATE(Einstellungen!$E$6,8),0)),DATE(YEAR(EDATE(Einstellungen!$E$6,8)),MONTH(EDATE(Einstellungen!$E$6,8)),10),"")</x:f>
        <x:v>46152</x:v>
      </x:c>
      <x:c r="B304" s="12" t="str">
        <x:f>IF(A304="","",CHOOSE(WEEKDAY(A304,2),"Mo","Di","Mi","Do","Fr","Sa","So"))</x:f>
        <x:v>So</x:v>
      </x:c>
      <x:c r="C304" s="12">
        <x:f>IF(A304="","",ISOWEEKNUM(A304))</x:f>
        <x:v>19</x:v>
      </x:c>
      <x:c r="D304" s="11">
        <x:f>IF(A304="","",IFERROR(INDEX(Einstellungen!$B$19:$B$118,MATCH(A304,Einstellungen!$A$19:$A$118,0)),""))</x:f>
      </x:c>
      <x:c r="E304" s="18" t="inlineStr">
        <x:is>
          <x:t xml:space="preserve"/>
        </x:is>
      </x:c>
      <x:c r="F304" s="18" t="inlineStr">
        <x:is>
          <x:t xml:space="preserve"/>
        </x:is>
      </x:c>
      <x:c r="G304" s="18" t="inlineStr">
        <x:is>
          <x:t xml:space="preserve"/>
        </x:is>
      </x:c>
      <x:c r="H304" s="18" t="inlineStr">
        <x:is>
          <x:t xml:space="preserve"/>
        </x:is>
      </x:c>
      <x:c r="I304" s="18" t="inlineStr">
        <x:is>
          <x:t xml:space="preserve"/>
        </x:is>
      </x:c>
      <x:c r="J304" s="17">
        <x:f>IF(A304="","",SUM(E304:I304))</x:f>
        <x:v>0</x:v>
      </x:c>
    </x:row>
    <x:row r="305">
      <x:c r="A305" s="10">
        <x:f>IF(11&lt;=DAY(EOMONTH(EDATE(Einstellungen!$E$6,8),0)),DATE(YEAR(EDATE(Einstellungen!$E$6,8)),MONTH(EDATE(Einstellungen!$E$6,8)),11),"")</x:f>
        <x:v>46153</x:v>
      </x:c>
      <x:c r="B305" s="12" t="str">
        <x:f>IF(A305="","",CHOOSE(WEEKDAY(A305,2),"Mo","Di","Mi","Do","Fr","Sa","So"))</x:f>
        <x:v>Mo</x:v>
      </x:c>
      <x:c r="C305" s="12">
        <x:f>IF(A305="","",ISOWEEKNUM(A305))</x:f>
        <x:v>20</x:v>
      </x:c>
      <x:c r="D305" s="11">
        <x:f>IF(A305="","",IFERROR(INDEX(Einstellungen!$B$19:$B$118,MATCH(A305,Einstellungen!$A$19:$A$118,0)),""))</x:f>
      </x:c>
      <x:c r="E305" s="17" t="n">
        <x:v>5.5</x:v>
      </x:c>
      <x:c r="F305" s="17" t="n">
        <x:v>0.75</x:v>
      </x:c>
      <x:c r="G305" s="17" t="n">
        <x:v>0.5</x:v>
      </x:c>
      <x:c r="H305" s="17" t="n">
        <x:v>0.5</x:v>
      </x:c>
      <x:c r="I305" s="17" t="n">
        <x:v>0.25</x:v>
      </x:c>
      <x:c r="J305" s="17">
        <x:f>IF(A305="","",SUM(E305:I305))</x:f>
        <x:v>7.5</x:v>
      </x:c>
    </x:row>
    <x:row r="306">
      <x:c r="A306" s="10">
        <x:f>IF(12&lt;=DAY(EOMONTH(EDATE(Einstellungen!$E$6,8),0)),DATE(YEAR(EDATE(Einstellungen!$E$6,8)),MONTH(EDATE(Einstellungen!$E$6,8)),12),"")</x:f>
        <x:v>46154</x:v>
      </x:c>
      <x:c r="B306" s="12" t="str">
        <x:f>IF(A306="","",CHOOSE(WEEKDAY(A306,2),"Mo","Di","Mi","Do","Fr","Sa","So"))</x:f>
        <x:v>Di</x:v>
      </x:c>
      <x:c r="C306" s="12">
        <x:f>IF(A306="","",ISOWEEKNUM(A306))</x:f>
        <x:v>20</x:v>
      </x:c>
      <x:c r="D306" s="11">
        <x:f>IF(A306="","",IFERROR(INDEX(Einstellungen!$B$19:$B$118,MATCH(A306,Einstellungen!$A$19:$A$118,0)),""))</x:f>
      </x:c>
      <x:c r="E306" s="17" t="n">
        <x:v>6</x:v>
      </x:c>
      <x:c r="F306" s="17" t="n">
        <x:v>0.5</x:v>
      </x:c>
      <x:c r="G306" s="17" t="n">
        <x:v>1.5</x:v>
      </x:c>
      <x:c r="H306" s="17" t="n">
        <x:v>0.25</x:v>
      </x:c>
      <x:c r="I306" s="17" t="n">
        <x:v>0.25</x:v>
      </x:c>
      <x:c r="J306" s="17">
        <x:f>IF(A306="","",SUM(E306:I306))</x:f>
        <x:v>8.5</x:v>
      </x:c>
    </x:row>
    <x:row r="307">
      <x:c r="A307" s="10">
        <x:f>IF(13&lt;=DAY(EOMONTH(EDATE(Einstellungen!$E$6,8),0)),DATE(YEAR(EDATE(Einstellungen!$E$6,8)),MONTH(EDATE(Einstellungen!$E$6,8)),13),"")</x:f>
        <x:v>46155</x:v>
      </x:c>
      <x:c r="B307" s="12" t="str">
        <x:f>IF(A307="","",CHOOSE(WEEKDAY(A307,2),"Mo","Di","Mi","Do","Fr","Sa","So"))</x:f>
        <x:v>Mi</x:v>
      </x:c>
      <x:c r="C307" s="12">
        <x:f>IF(A307="","",ISOWEEKNUM(A307))</x:f>
        <x:v>20</x:v>
      </x:c>
      <x:c r="D307" s="11">
        <x:f>IF(A307="","",IFERROR(INDEX(Einstellungen!$B$19:$B$118,MATCH(A307,Einstellungen!$A$19:$A$118,0)),""))</x:f>
      </x:c>
      <x:c r="E307" s="17" t="n">
        <x:v>6.5</x:v>
      </x:c>
      <x:c r="F307" s="17" t="n">
        <x:v>0.75</x:v>
      </x:c>
      <x:c r="G307" s="17" t="n">
        <x:v>0.5</x:v>
      </x:c>
      <x:c r="H307" s="17" t="n">
        <x:v>0.25</x:v>
      </x:c>
      <x:c r="I307" s="17" t="n">
        <x:v>0.25</x:v>
      </x:c>
      <x:c r="J307" s="17">
        <x:f>IF(A307="","",SUM(E307:I307))</x:f>
        <x:v>8.25</x:v>
      </x:c>
    </x:row>
    <x:row r="308">
      <x:c r="A308" s="10">
        <x:f>IF(14&lt;=DAY(EOMONTH(EDATE(Einstellungen!$E$6,8),0)),DATE(YEAR(EDATE(Einstellungen!$E$6,8)),MONTH(EDATE(Einstellungen!$E$6,8)),14),"")</x:f>
        <x:v>46156</x:v>
      </x:c>
      <x:c r="B308" s="12" t="str">
        <x:f>IF(A308="","",CHOOSE(WEEKDAY(A308,2),"Mo","Di","Mi","Do","Fr","Sa","So"))</x:f>
        <x:v>Do</x:v>
      </x:c>
      <x:c r="C308" s="12">
        <x:f>IF(A308="","",ISOWEEKNUM(A308))</x:f>
        <x:v>20</x:v>
      </x:c>
      <x:c r="D308" s="11">
        <x:f>IF(A308="","",IFERROR(INDEX(Einstellungen!$B$19:$B$118,MATCH(A308,Einstellungen!$A$19:$A$118,0)),""))</x:f>
      </x:c>
      <x:c r="E308" s="17" t="n">
        <x:v>5.5</x:v>
      </x:c>
      <x:c r="F308" s="17" t="n">
        <x:v>0.5</x:v>
      </x:c>
      <x:c r="G308" s="17" t="n">
        <x:v>1.5</x:v>
      </x:c>
      <x:c r="H308" s="17" t="n">
        <x:v>0.25</x:v>
      </x:c>
      <x:c r="I308" s="17" t="n">
        <x:v>0.25</x:v>
      </x:c>
      <x:c r="J308" s="17">
        <x:f>IF(A308="","",SUM(E308:I308))</x:f>
        <x:v>8</x:v>
      </x:c>
    </x:row>
    <x:row r="309">
      <x:c r="A309" s="10">
        <x:f>IF(15&lt;=DAY(EOMONTH(EDATE(Einstellungen!$E$6,8),0)),DATE(YEAR(EDATE(Einstellungen!$E$6,8)),MONTH(EDATE(Einstellungen!$E$6,8)),15),"")</x:f>
        <x:v>46157</x:v>
      </x:c>
      <x:c r="B309" s="12" t="str">
        <x:f>IF(A309="","",CHOOSE(WEEKDAY(A309,2),"Mo","Di","Mi","Do","Fr","Sa","So"))</x:f>
        <x:v>Fr</x:v>
      </x:c>
      <x:c r="C309" s="12">
        <x:f>IF(A309="","",ISOWEEKNUM(A309))</x:f>
        <x:v>20</x:v>
      </x:c>
      <x:c r="D309" s="11">
        <x:f>IF(A309="","",IFERROR(INDEX(Einstellungen!$B$19:$B$118,MATCH(A309,Einstellungen!$A$19:$A$118,0)),""))</x:f>
      </x:c>
      <x:c r="E309" s="17" t="n">
        <x:v>6</x:v>
      </x:c>
      <x:c r="F309" s="17" t="n">
        <x:v>0.5</x:v>
      </x:c>
      <x:c r="G309" s="17" t="n">
        <x:v>0.5</x:v>
      </x:c>
      <x:c r="H309" s="17" t="n">
        <x:v>0.5</x:v>
      </x:c>
      <x:c r="I309" s="17" t="n">
        <x:v>0.5</x:v>
      </x:c>
      <x:c r="J309" s="17">
        <x:f>IF(A309="","",SUM(E309:I309))</x:f>
        <x:v>8</x:v>
      </x:c>
    </x:row>
    <x:row r="310">
      <x:c r="A310" s="10">
        <x:f>IF(16&lt;=DAY(EOMONTH(EDATE(Einstellungen!$E$6,8),0)),DATE(YEAR(EDATE(Einstellungen!$E$6,8)),MONTH(EDATE(Einstellungen!$E$6,8)),16),"")</x:f>
        <x:v>46158</x:v>
      </x:c>
      <x:c r="B310" s="12" t="str">
        <x:f>IF(A310="","",CHOOSE(WEEKDAY(A310,2),"Mo","Di","Mi","Do","Fr","Sa","So"))</x:f>
        <x:v>Sa</x:v>
      </x:c>
      <x:c r="C310" s="12">
        <x:f>IF(A310="","",ISOWEEKNUM(A310))</x:f>
        <x:v>20</x:v>
      </x:c>
      <x:c r="D310" s="11">
        <x:f>IF(A310="","",IFERROR(INDEX(Einstellungen!$B$19:$B$118,MATCH(A310,Einstellungen!$A$19:$A$118,0)),""))</x:f>
      </x:c>
      <x:c r="E310" s="18" t="inlineStr">
        <x:is>
          <x:t xml:space="preserve"/>
        </x:is>
      </x:c>
      <x:c r="F310" s="18" t="inlineStr">
        <x:is>
          <x:t xml:space="preserve"/>
        </x:is>
      </x:c>
      <x:c r="G310" s="18" t="inlineStr">
        <x:is>
          <x:t xml:space="preserve"/>
        </x:is>
      </x:c>
      <x:c r="H310" s="18" t="inlineStr">
        <x:is>
          <x:t xml:space="preserve"/>
        </x:is>
      </x:c>
      <x:c r="I310" s="18" t="inlineStr">
        <x:is>
          <x:t xml:space="preserve"/>
        </x:is>
      </x:c>
      <x:c r="J310" s="17">
        <x:f>IF(A310="","",SUM(E310:I310))</x:f>
        <x:v>0</x:v>
      </x:c>
    </x:row>
    <x:row r="311">
      <x:c r="A311" s="10">
        <x:f>IF(17&lt;=DAY(EOMONTH(EDATE(Einstellungen!$E$6,8),0)),DATE(YEAR(EDATE(Einstellungen!$E$6,8)),MONTH(EDATE(Einstellungen!$E$6,8)),17),"")</x:f>
        <x:v>46159</x:v>
      </x:c>
      <x:c r="B311" s="12" t="str">
        <x:f>IF(A311="","",CHOOSE(WEEKDAY(A311,2),"Mo","Di","Mi","Do","Fr","Sa","So"))</x:f>
        <x:v>So</x:v>
      </x:c>
      <x:c r="C311" s="12">
        <x:f>IF(A311="","",ISOWEEKNUM(A311))</x:f>
        <x:v>20</x:v>
      </x:c>
      <x:c r="D311" s="11">
        <x:f>IF(A311="","",IFERROR(INDEX(Einstellungen!$B$19:$B$118,MATCH(A311,Einstellungen!$A$19:$A$118,0)),""))</x:f>
      </x:c>
      <x:c r="E311" s="18" t="inlineStr">
        <x:is>
          <x:t xml:space="preserve"/>
        </x:is>
      </x:c>
      <x:c r="F311" s="18" t="inlineStr">
        <x:is>
          <x:t xml:space="preserve"/>
        </x:is>
      </x:c>
      <x:c r="G311" s="18" t="inlineStr">
        <x:is>
          <x:t xml:space="preserve"/>
        </x:is>
      </x:c>
      <x:c r="H311" s="18" t="inlineStr">
        <x:is>
          <x:t xml:space="preserve"/>
        </x:is>
      </x:c>
      <x:c r="I311" s="18" t="inlineStr">
        <x:is>
          <x:t xml:space="preserve"/>
        </x:is>
      </x:c>
      <x:c r="J311" s="17">
        <x:f>IF(A311="","",SUM(E311:I311))</x:f>
        <x:v>0</x:v>
      </x:c>
    </x:row>
    <x:row r="312">
      <x:c r="A312" s="10">
        <x:f>IF(18&lt;=DAY(EOMONTH(EDATE(Einstellungen!$E$6,8),0)),DATE(YEAR(EDATE(Einstellungen!$E$6,8)),MONTH(EDATE(Einstellungen!$E$6,8)),18),"")</x:f>
        <x:v>46160</x:v>
      </x:c>
      <x:c r="B312" s="12" t="str">
        <x:f>IF(A312="","",CHOOSE(WEEKDAY(A312,2),"Mo","Di","Mi","Do","Fr","Sa","So"))</x:f>
        <x:v>Mo</x:v>
      </x:c>
      <x:c r="C312" s="12">
        <x:f>IF(A312="","",ISOWEEKNUM(A312))</x:f>
        <x:v>21</x:v>
      </x:c>
      <x:c r="D312" s="11">
        <x:f>IF(A312="","",IFERROR(INDEX(Einstellungen!$B$19:$B$118,MATCH(A312,Einstellungen!$A$19:$A$118,0)),""))</x:f>
      </x:c>
      <x:c r="E312" s="17" t="n">
        <x:v>5.5</x:v>
      </x:c>
      <x:c r="F312" s="17" t="n">
        <x:v>0.75</x:v>
      </x:c>
      <x:c r="G312" s="17" t="n">
        <x:v>0.5</x:v>
      </x:c>
      <x:c r="H312" s="17" t="n">
        <x:v>0.5</x:v>
      </x:c>
      <x:c r="I312" s="17" t="n">
        <x:v>0.25</x:v>
      </x:c>
      <x:c r="J312" s="17">
        <x:f>IF(A312="","",SUM(E312:I312))</x:f>
        <x:v>7.5</x:v>
      </x:c>
    </x:row>
    <x:row r="313">
      <x:c r="A313" s="10">
        <x:f>IF(19&lt;=DAY(EOMONTH(EDATE(Einstellungen!$E$6,8),0)),DATE(YEAR(EDATE(Einstellungen!$E$6,8)),MONTH(EDATE(Einstellungen!$E$6,8)),19),"")</x:f>
        <x:v>46161</x:v>
      </x:c>
      <x:c r="B313" s="12" t="str">
        <x:f>IF(A313="","",CHOOSE(WEEKDAY(A313,2),"Mo","Di","Mi","Do","Fr","Sa","So"))</x:f>
        <x:v>Di</x:v>
      </x:c>
      <x:c r="C313" s="12">
        <x:f>IF(A313="","",ISOWEEKNUM(A313))</x:f>
        <x:v>21</x:v>
      </x:c>
      <x:c r="D313" s="11">
        <x:f>IF(A313="","",IFERROR(INDEX(Einstellungen!$B$19:$B$118,MATCH(A313,Einstellungen!$A$19:$A$118,0)),""))</x:f>
      </x:c>
      <x:c r="E313" s="17" t="n">
        <x:v>6</x:v>
      </x:c>
      <x:c r="F313" s="17" t="n">
        <x:v>0.5</x:v>
      </x:c>
      <x:c r="G313" s="17" t="n">
        <x:v>1.5</x:v>
      </x:c>
      <x:c r="H313" s="17" t="n">
        <x:v>0.25</x:v>
      </x:c>
      <x:c r="I313" s="17" t="n">
        <x:v>0.25</x:v>
      </x:c>
      <x:c r="J313" s="17">
        <x:f>IF(A313="","",SUM(E313:I313))</x:f>
        <x:v>8.5</x:v>
      </x:c>
    </x:row>
    <x:row r="314">
      <x:c r="A314" s="10">
        <x:f>IF(20&lt;=DAY(EOMONTH(EDATE(Einstellungen!$E$6,8),0)),DATE(YEAR(EDATE(Einstellungen!$E$6,8)),MONTH(EDATE(Einstellungen!$E$6,8)),20),"")</x:f>
        <x:v>46162</x:v>
      </x:c>
      <x:c r="B314" s="12" t="str">
        <x:f>IF(A314="","",CHOOSE(WEEKDAY(A314,2),"Mo","Di","Mi","Do","Fr","Sa","So"))</x:f>
        <x:v>Mi</x:v>
      </x:c>
      <x:c r="C314" s="12">
        <x:f>IF(A314="","",ISOWEEKNUM(A314))</x:f>
        <x:v>21</x:v>
      </x:c>
      <x:c r="D314" s="11">
        <x:f>IF(A314="","",IFERROR(INDEX(Einstellungen!$B$19:$B$118,MATCH(A314,Einstellungen!$A$19:$A$118,0)),""))</x:f>
      </x:c>
      <x:c r="E314" s="17" t="n">
        <x:v>6.5</x:v>
      </x:c>
      <x:c r="F314" s="17" t="n">
        <x:v>0.75</x:v>
      </x:c>
      <x:c r="G314" s="17" t="n">
        <x:v>0.5</x:v>
      </x:c>
      <x:c r="H314" s="17" t="n">
        <x:v>0.25</x:v>
      </x:c>
      <x:c r="I314" s="17" t="n">
        <x:v>0.25</x:v>
      </x:c>
      <x:c r="J314" s="17">
        <x:f>IF(A314="","",SUM(E314:I314))</x:f>
        <x:v>8.25</x:v>
      </x:c>
    </x:row>
    <x:row r="315">
      <x:c r="A315" s="10">
        <x:f>IF(21&lt;=DAY(EOMONTH(EDATE(Einstellungen!$E$6,8),0)),DATE(YEAR(EDATE(Einstellungen!$E$6,8)),MONTH(EDATE(Einstellungen!$E$6,8)),21),"")</x:f>
        <x:v>46163</x:v>
      </x:c>
      <x:c r="B315" s="12" t="str">
        <x:f>IF(A315="","",CHOOSE(WEEKDAY(A315,2),"Mo","Di","Mi","Do","Fr","Sa","So"))</x:f>
        <x:v>Do</x:v>
      </x:c>
      <x:c r="C315" s="12">
        <x:f>IF(A315="","",ISOWEEKNUM(A315))</x:f>
        <x:v>21</x:v>
      </x:c>
      <x:c r="D315" s="11">
        <x:f>IF(A315="","",IFERROR(INDEX(Einstellungen!$B$19:$B$118,MATCH(A315,Einstellungen!$A$19:$A$118,0)),""))</x:f>
      </x:c>
      <x:c r="E315" s="17" t="n">
        <x:v>5.5</x:v>
      </x:c>
      <x:c r="F315" s="17" t="n">
        <x:v>0.5</x:v>
      </x:c>
      <x:c r="G315" s="17" t="n">
        <x:v>1.5</x:v>
      </x:c>
      <x:c r="H315" s="17" t="n">
        <x:v>0.25</x:v>
      </x:c>
      <x:c r="I315" s="17" t="n">
        <x:v>0.25</x:v>
      </x:c>
      <x:c r="J315" s="17">
        <x:f>IF(A315="","",SUM(E315:I315))</x:f>
        <x:v>8</x:v>
      </x:c>
    </x:row>
    <x:row r="316">
      <x:c r="A316" s="10">
        <x:f>IF(22&lt;=DAY(EOMONTH(EDATE(Einstellungen!$E$6,8),0)),DATE(YEAR(EDATE(Einstellungen!$E$6,8)),MONTH(EDATE(Einstellungen!$E$6,8)),22),"")</x:f>
        <x:v>46164</x:v>
      </x:c>
      <x:c r="B316" s="12" t="str">
        <x:f>IF(A316="","",CHOOSE(WEEKDAY(A316,2),"Mo","Di","Mi","Do","Fr","Sa","So"))</x:f>
        <x:v>Fr</x:v>
      </x:c>
      <x:c r="C316" s="12">
        <x:f>IF(A316="","",ISOWEEKNUM(A316))</x:f>
        <x:v>21</x:v>
      </x:c>
      <x:c r="D316" s="11">
        <x:f>IF(A316="","",IFERROR(INDEX(Einstellungen!$B$19:$B$118,MATCH(A316,Einstellungen!$A$19:$A$118,0)),""))</x:f>
      </x:c>
      <x:c r="E316" s="17" t="n">
        <x:v>6</x:v>
      </x:c>
      <x:c r="F316" s="17" t="n">
        <x:v>0.5</x:v>
      </x:c>
      <x:c r="G316" s="17" t="n">
        <x:v>0.5</x:v>
      </x:c>
      <x:c r="H316" s="17" t="n">
        <x:v>0.5</x:v>
      </x:c>
      <x:c r="I316" s="17" t="n">
        <x:v>0.25</x:v>
      </x:c>
      <x:c r="J316" s="17">
        <x:f>IF(A316="","",SUM(E316:I316))</x:f>
        <x:v>7.75</x:v>
      </x:c>
    </x:row>
    <x:row r="317">
      <x:c r="A317" s="10">
        <x:f>IF(23&lt;=DAY(EOMONTH(EDATE(Einstellungen!$E$6,8),0)),DATE(YEAR(EDATE(Einstellungen!$E$6,8)),MONTH(EDATE(Einstellungen!$E$6,8)),23),"")</x:f>
        <x:v>46165</x:v>
      </x:c>
      <x:c r="B317" s="12" t="str">
        <x:f>IF(A317="","",CHOOSE(WEEKDAY(A317,2),"Mo","Di","Mi","Do","Fr","Sa","So"))</x:f>
        <x:v>Sa</x:v>
      </x:c>
      <x:c r="C317" s="12">
        <x:f>IF(A317="","",ISOWEEKNUM(A317))</x:f>
        <x:v>21</x:v>
      </x:c>
      <x:c r="D317" s="11">
        <x:f>IF(A317="","",IFERROR(INDEX(Einstellungen!$B$19:$B$118,MATCH(A317,Einstellungen!$A$19:$A$118,0)),""))</x:f>
      </x:c>
      <x:c r="E317" s="18" t="inlineStr">
        <x:is>
          <x:t xml:space="preserve"/>
        </x:is>
      </x:c>
      <x:c r="F317" s="18" t="inlineStr">
        <x:is>
          <x:t xml:space="preserve"/>
        </x:is>
      </x:c>
      <x:c r="G317" s="18" t="inlineStr">
        <x:is>
          <x:t xml:space="preserve"/>
        </x:is>
      </x:c>
      <x:c r="H317" s="18" t="inlineStr">
        <x:is>
          <x:t xml:space="preserve"/>
        </x:is>
      </x:c>
      <x:c r="I317" s="18" t="inlineStr">
        <x:is>
          <x:t xml:space="preserve"/>
        </x:is>
      </x:c>
      <x:c r="J317" s="17">
        <x:f>IF(A317="","",SUM(E317:I317))</x:f>
        <x:v>0</x:v>
      </x:c>
    </x:row>
    <x:row r="318">
      <x:c r="A318" s="10">
        <x:f>IF(24&lt;=DAY(EOMONTH(EDATE(Einstellungen!$E$6,8),0)),DATE(YEAR(EDATE(Einstellungen!$E$6,8)),MONTH(EDATE(Einstellungen!$E$6,8)),24),"")</x:f>
        <x:v>46166</x:v>
      </x:c>
      <x:c r="B318" s="12" t="str">
        <x:f>IF(A318="","",CHOOSE(WEEKDAY(A318,2),"Mo","Di","Mi","Do","Fr","Sa","So"))</x:f>
        <x:v>So</x:v>
      </x:c>
      <x:c r="C318" s="12">
        <x:f>IF(A318="","",ISOWEEKNUM(A318))</x:f>
        <x:v>21</x:v>
      </x:c>
      <x:c r="D318" s="11">
        <x:f>IF(A318="","",IFERROR(INDEX(Einstellungen!$B$19:$B$118,MATCH(A318,Einstellungen!$A$19:$A$118,0)),""))</x:f>
      </x:c>
      <x:c r="E318" s="18" t="inlineStr">
        <x:is>
          <x:t xml:space="preserve"/>
        </x:is>
      </x:c>
      <x:c r="F318" s="18" t="inlineStr">
        <x:is>
          <x:t xml:space="preserve"/>
        </x:is>
      </x:c>
      <x:c r="G318" s="18" t="inlineStr">
        <x:is>
          <x:t xml:space="preserve"/>
        </x:is>
      </x:c>
      <x:c r="H318" s="18" t="inlineStr">
        <x:is>
          <x:t xml:space="preserve"/>
        </x:is>
      </x:c>
      <x:c r="I318" s="18" t="inlineStr">
        <x:is>
          <x:t xml:space="preserve"/>
        </x:is>
      </x:c>
      <x:c r="J318" s="17">
        <x:f>IF(A318="","",SUM(E318:I318))</x:f>
        <x:v>0</x:v>
      </x:c>
    </x:row>
    <x:row r="319">
      <x:c r="A319" s="10">
        <x:f>IF(25&lt;=DAY(EOMONTH(EDATE(Einstellungen!$E$6,8),0)),DATE(YEAR(EDATE(Einstellungen!$E$6,8)),MONTH(EDATE(Einstellungen!$E$6,8)),25),"")</x:f>
        <x:v>46167</x:v>
      </x:c>
      <x:c r="B319" s="12" t="str">
        <x:f>IF(A319="","",CHOOSE(WEEKDAY(A319,2),"Mo","Di","Mi","Do","Fr","Sa","So"))</x:f>
        <x:v>Mo</x:v>
      </x:c>
      <x:c r="C319" s="12">
        <x:f>IF(A319="","",ISOWEEKNUM(A319))</x:f>
        <x:v>22</x:v>
      </x:c>
      <x:c r="D319" s="11">
        <x:f>IF(A319="","",IFERROR(INDEX(Einstellungen!$B$19:$B$118,MATCH(A319,Einstellungen!$A$19:$A$118,0)),""))</x:f>
      </x:c>
      <x:c r="E319" s="17" t="n">
        <x:v>5.5</x:v>
      </x:c>
      <x:c r="F319" s="17" t="n">
        <x:v>0.75</x:v>
      </x:c>
      <x:c r="G319" s="17" t="n">
        <x:v>0.5</x:v>
      </x:c>
      <x:c r="H319" s="17" t="n">
        <x:v>0.5</x:v>
      </x:c>
      <x:c r="I319" s="17" t="n">
        <x:v>0.5</x:v>
      </x:c>
      <x:c r="J319" s="17">
        <x:f>IF(A319="","",SUM(E319:I319))</x:f>
        <x:v>7.75</x:v>
      </x:c>
    </x:row>
    <x:row r="320">
      <x:c r="A320" s="10">
        <x:f>IF(26&lt;=DAY(EOMONTH(EDATE(Einstellungen!$E$6,8),0)),DATE(YEAR(EDATE(Einstellungen!$E$6,8)),MONTH(EDATE(Einstellungen!$E$6,8)),26),"")</x:f>
        <x:v>46168</x:v>
      </x:c>
      <x:c r="B320" s="12" t="str">
        <x:f>IF(A320="","",CHOOSE(WEEKDAY(A320,2),"Mo","Di","Mi","Do","Fr","Sa","So"))</x:f>
        <x:v>Di</x:v>
      </x:c>
      <x:c r="C320" s="12">
        <x:f>IF(A320="","",ISOWEEKNUM(A320))</x:f>
        <x:v>22</x:v>
      </x:c>
      <x:c r="D320" s="11">
        <x:f>IF(A320="","",IFERROR(INDEX(Einstellungen!$B$19:$B$118,MATCH(A320,Einstellungen!$A$19:$A$118,0)),""))</x:f>
      </x:c>
      <x:c r="E320" s="17" t="n">
        <x:v>6</x:v>
      </x:c>
      <x:c r="F320" s="17" t="n">
        <x:v>0.5</x:v>
      </x:c>
      <x:c r="G320" s="17" t="n">
        <x:v>1.5</x:v>
      </x:c>
      <x:c r="H320" s="17" t="n">
        <x:v>0.25</x:v>
      </x:c>
      <x:c r="I320" s="17" t="n">
        <x:v>0.25</x:v>
      </x:c>
      <x:c r="J320" s="17">
        <x:f>IF(A320="","",SUM(E320:I320))</x:f>
        <x:v>8.5</x:v>
      </x:c>
    </x:row>
    <x:row r="321">
      <x:c r="A321" s="10">
        <x:f>IF(27&lt;=DAY(EOMONTH(EDATE(Einstellungen!$E$6,8),0)),DATE(YEAR(EDATE(Einstellungen!$E$6,8)),MONTH(EDATE(Einstellungen!$E$6,8)),27),"")</x:f>
        <x:v>46169</x:v>
      </x:c>
      <x:c r="B321" s="12" t="str">
        <x:f>IF(A321="","",CHOOSE(WEEKDAY(A321,2),"Mo","Di","Mi","Do","Fr","Sa","So"))</x:f>
        <x:v>Mi</x:v>
      </x:c>
      <x:c r="C321" s="12">
        <x:f>IF(A321="","",ISOWEEKNUM(A321))</x:f>
        <x:v>22</x:v>
      </x:c>
      <x:c r="D321" s="11">
        <x:f>IF(A321="","",IFERROR(INDEX(Einstellungen!$B$19:$B$118,MATCH(A321,Einstellungen!$A$19:$A$118,0)),""))</x:f>
      </x:c>
      <x:c r="E321" s="17" t="n">
        <x:v>6.5</x:v>
      </x:c>
      <x:c r="F321" s="17" t="n">
        <x:v>0.75</x:v>
      </x:c>
      <x:c r="G321" s="17" t="n">
        <x:v>0.5</x:v>
      </x:c>
      <x:c r="H321" s="17" t="n">
        <x:v>0.25</x:v>
      </x:c>
      <x:c r="I321" s="17" t="n">
        <x:v>0.25</x:v>
      </x:c>
      <x:c r="J321" s="17">
        <x:f>IF(A321="","",SUM(E321:I321))</x:f>
        <x:v>8.25</x:v>
      </x:c>
    </x:row>
    <x:row r="322">
      <x:c r="A322" s="10">
        <x:f>IF(28&lt;=DAY(EOMONTH(EDATE(Einstellungen!$E$6,8),0)),DATE(YEAR(EDATE(Einstellungen!$E$6,8)),MONTH(EDATE(Einstellungen!$E$6,8)),28),"")</x:f>
        <x:v>46170</x:v>
      </x:c>
      <x:c r="B322" s="12" t="str">
        <x:f>IF(A322="","",CHOOSE(WEEKDAY(A322,2),"Mo","Di","Mi","Do","Fr","Sa","So"))</x:f>
        <x:v>Do</x:v>
      </x:c>
      <x:c r="C322" s="12">
        <x:f>IF(A322="","",ISOWEEKNUM(A322))</x:f>
        <x:v>22</x:v>
      </x:c>
      <x:c r="D322" s="11">
        <x:f>IF(A322="","",IFERROR(INDEX(Einstellungen!$B$19:$B$118,MATCH(A322,Einstellungen!$A$19:$A$118,0)),""))</x:f>
      </x:c>
      <x:c r="E322" s="17" t="n">
        <x:v>5.5</x:v>
      </x:c>
      <x:c r="F322" s="17" t="n">
        <x:v>0.5</x:v>
      </x:c>
      <x:c r="G322" s="17" t="n">
        <x:v>1.5</x:v>
      </x:c>
      <x:c r="H322" s="17" t="n">
        <x:v>0.25</x:v>
      </x:c>
      <x:c r="I322" s="17" t="n">
        <x:v>0.25</x:v>
      </x:c>
      <x:c r="J322" s="17">
        <x:f>IF(A322="","",SUM(E322:I322))</x:f>
        <x:v>8</x:v>
      </x:c>
    </x:row>
    <x:row r="323">
      <x:c r="A323" s="10">
        <x:f>IF(29&lt;=DAY(EOMONTH(EDATE(Einstellungen!$E$6,8),0)),DATE(YEAR(EDATE(Einstellungen!$E$6,8)),MONTH(EDATE(Einstellungen!$E$6,8)),29),"")</x:f>
        <x:v>46171</x:v>
      </x:c>
      <x:c r="B323" s="12" t="str">
        <x:f>IF(A323="","",CHOOSE(WEEKDAY(A323,2),"Mo","Di","Mi","Do","Fr","Sa","So"))</x:f>
        <x:v>Fr</x:v>
      </x:c>
      <x:c r="C323" s="12">
        <x:f>IF(A323="","",ISOWEEKNUM(A323))</x:f>
        <x:v>22</x:v>
      </x:c>
      <x:c r="D323" s="11">
        <x:f>IF(A323="","",IFERROR(INDEX(Einstellungen!$B$19:$B$118,MATCH(A323,Einstellungen!$A$19:$A$118,0)),""))</x:f>
      </x:c>
      <x:c r="E323" s="17" t="n">
        <x:v>6</x:v>
      </x:c>
      <x:c r="F323" s="17" t="n">
        <x:v>0.5</x:v>
      </x:c>
      <x:c r="G323" s="17" t="n">
        <x:v>0.5</x:v>
      </x:c>
      <x:c r="H323" s="17" t="n">
        <x:v>0.5</x:v>
      </x:c>
      <x:c r="I323" s="17" t="n">
        <x:v>0.25</x:v>
      </x:c>
      <x:c r="J323" s="17">
        <x:f>IF(A323="","",SUM(E323:I323))</x:f>
        <x:v>7.75</x:v>
      </x:c>
    </x:row>
    <x:row r="324">
      <x:c r="A324" s="10">
        <x:f>IF(30&lt;=DAY(EOMONTH(EDATE(Einstellungen!$E$6,8),0)),DATE(YEAR(EDATE(Einstellungen!$E$6,8)),MONTH(EDATE(Einstellungen!$E$6,8)),30),"")</x:f>
        <x:v>46172</x:v>
      </x:c>
      <x:c r="B324" s="12" t="str">
        <x:f>IF(A324="","",CHOOSE(WEEKDAY(A324,2),"Mo","Di","Mi","Do","Fr","Sa","So"))</x:f>
        <x:v>Sa</x:v>
      </x:c>
      <x:c r="C324" s="12">
        <x:f>IF(A324="","",ISOWEEKNUM(A324))</x:f>
        <x:v>22</x:v>
      </x:c>
      <x:c r="D324" s="11">
        <x:f>IF(A324="","",IFERROR(INDEX(Einstellungen!$B$19:$B$118,MATCH(A324,Einstellungen!$A$19:$A$118,0)),""))</x:f>
      </x:c>
      <x:c r="E324" s="18" t="inlineStr">
        <x:is>
          <x:t xml:space="preserve"/>
        </x:is>
      </x:c>
      <x:c r="F324" s="18" t="inlineStr">
        <x:is>
          <x:t xml:space="preserve"/>
        </x:is>
      </x:c>
      <x:c r="G324" s="18" t="inlineStr">
        <x:is>
          <x:t xml:space="preserve"/>
        </x:is>
      </x:c>
      <x:c r="H324" s="18" t="inlineStr">
        <x:is>
          <x:t xml:space="preserve"/>
        </x:is>
      </x:c>
      <x:c r="I324" s="18" t="inlineStr">
        <x:is>
          <x:t xml:space="preserve"/>
        </x:is>
      </x:c>
      <x:c r="J324" s="17">
        <x:f>IF(A324="","",SUM(E324:I324))</x:f>
        <x:v>0</x:v>
      </x:c>
    </x:row>
    <x:row r="325">
      <x:c r="A325" s="10">
        <x:f>IF(31&lt;=DAY(EOMONTH(EDATE(Einstellungen!$E$6,8),0)),DATE(YEAR(EDATE(Einstellungen!$E$6,8)),MONTH(EDATE(Einstellungen!$E$6,8)),31),"")</x:f>
        <x:v>46173</x:v>
      </x:c>
      <x:c r="B325" s="12" t="str">
        <x:f>IF(A325="","",CHOOSE(WEEKDAY(A325,2),"Mo","Di","Mi","Do","Fr","Sa","So"))</x:f>
        <x:v>So</x:v>
      </x:c>
      <x:c r="C325" s="12">
        <x:f>IF(A325="","",ISOWEEKNUM(A325))</x:f>
        <x:v>22</x:v>
      </x:c>
      <x:c r="D325" s="11">
        <x:f>IF(A325="","",IFERROR(INDEX(Einstellungen!$B$19:$B$118,MATCH(A325,Einstellungen!$A$19:$A$118,0)),""))</x:f>
      </x:c>
      <x:c r="E325" s="18" t="inlineStr">
        <x:is>
          <x:t xml:space="preserve"/>
        </x:is>
      </x:c>
      <x:c r="F325" s="18" t="inlineStr">
        <x:is>
          <x:t xml:space="preserve"/>
        </x:is>
      </x:c>
      <x:c r="G325" s="18" t="inlineStr">
        <x:is>
          <x:t xml:space="preserve"/>
        </x:is>
      </x:c>
      <x:c r="H325" s="18" t="inlineStr">
        <x:is>
          <x:t xml:space="preserve"/>
        </x:is>
      </x:c>
      <x:c r="I325" s="18" t="inlineStr">
        <x:is>
          <x:t xml:space="preserve"/>
        </x:is>
      </x:c>
      <x:c r="J325" s="17">
        <x:f>IF(A325="","",SUM(E325:I325))</x:f>
        <x:v>0</x:v>
      </x:c>
    </x:row>
    <x:row r="326">
      <x:c r="A326" s="4" t="inlineStr">
        <x:is>
          <x:t xml:space="preserve">Monatssumme</x:t>
        </x:is>
      </x:c>
      <x:c r="B326" s="15" t="n"/>
      <x:c r="C326" s="15" t="n"/>
      <x:c r="D326" s="15" t="n"/>
      <x:c r="E326" s="19">
        <x:f>SUM(E295:E325)</x:f>
        <x:v>124</x:v>
      </x:c>
      <x:c r="F326" s="19">
        <x:f>SUM(F295:F325)</x:f>
        <x:v>12.5</x:v>
      </x:c>
      <x:c r="G326" s="19">
        <x:f>SUM(G295:G325)</x:f>
        <x:v>18.5</x:v>
      </x:c>
      <x:c r="H326" s="19">
        <x:f>SUM(H295:H325)</x:f>
        <x:v>7.5</x:v>
      </x:c>
      <x:c r="I326" s="19">
        <x:f>SUM(I295:I325)</x:f>
        <x:v>6</x:v>
      </x:c>
      <x:c r="J326" s="19">
        <x:f>SUM(J295:J325)</x:f>
        <x:v>168.5</x:v>
      </x:c>
    </x:row>
    <x:row r="327">
      <x:c r="A327" s="20" t="n"/>
      <x:c r="B327" s="20" t="n"/>
      <x:c r="C327" s="20" t="n"/>
      <x:c r="D327" s="20" t="n"/>
      <x:c r="E327" s="20" t="n"/>
      <x:c r="F327" s="20" t="n"/>
      <x:c r="G327" s="20" t="n"/>
      <x:c r="H327" s="20" t="n"/>
      <x:c r="I327" s="20" t="n"/>
      <x:c r="J327" s="20" t="n"/>
    </x:row>
    <x:row r="328">
      <x:c r="A328" s="20" t="n"/>
      <x:c r="B328" s="20" t="n"/>
      <x:c r="C328" s="20" t="n"/>
      <x:c r="D328" s="20" t="n"/>
      <x:c r="E328" s="20" t="n"/>
      <x:c r="F328" s="20" t="n"/>
      <x:c r="G328" s="20" t="n"/>
      <x:c r="H328" s="20" t="n"/>
      <x:c r="I328" s="20" t="n"/>
      <x:c r="J328" s="20" t="n"/>
    </x:row>
    <x:row r="329">
      <x:c r="A329" s="15" t="str">
        <x:f>INDEX(Einstellungen!$J$2:$J$13,MONTH(EDATE(Einstellungen!$E$6,9)))&amp;" "&amp;YEAR(EDATE(Einstellungen!$E$6,9))</x:f>
        <x:v>Juni 2026</x:v>
      </x:c>
    </x:row>
    <x:row r="330">
      <x:c r="A330" s="16" t="inlineStr">
        <x:is>
          <x:t xml:space="preserve">Datum</x:t>
        </x:is>
      </x:c>
      <x:c r="B330" s="16" t="inlineStr">
        <x:is>
          <x:t xml:space="preserve">Tag</x:t>
        </x:is>
      </x:c>
      <x:c r="C330" s="16" t="inlineStr">
        <x:is>
          <x:t xml:space="preserve">KW</x:t>
        </x:is>
      </x:c>
      <x:c r="D330" s="16" t="inlineStr">
        <x:is>
          <x:t xml:space="preserve">Feiertag / Termin</x:t>
        </x:is>
      </x:c>
      <x:c r="E330" s="16" t="str">
        <x:f>Einstellungen!$B$11</x:f>
        <x:v>Arbeitszeit</x:v>
      </x:c>
      <x:c r="F330" s="16" t="str">
        <x:f>Einstellungen!$B$12</x:f>
        <x:v>E-Mail</x:v>
      </x:c>
      <x:c r="G330" s="16" t="str">
        <x:f>Einstellungen!$B$13</x:f>
        <x:v>Meetings</x:v>
      </x:c>
      <x:c r="H330" s="16" t="str">
        <x:f>Einstellungen!$B$14</x:f>
        <x:v>Telefonate</x:v>
      </x:c>
      <x:c r="I330" s="16" t="str">
        <x:f>Einstellungen!$B$15</x:f>
        <x:v>Sonstiges</x:v>
      </x:c>
      <x:c r="J330" s="16" t="inlineStr">
        <x:is>
          <x:t xml:space="preserve">Gesamt</x:t>
        </x:is>
      </x:c>
    </x:row>
    <x:row r="331">
      <x:c r="A331" s="10">
        <x:f>IF(1&lt;=DAY(EOMONTH(EDATE(Einstellungen!$E$6,9),0)),DATE(YEAR(EDATE(Einstellungen!$E$6,9)),MONTH(EDATE(Einstellungen!$E$6,9)),1),"")</x:f>
        <x:v>46174</x:v>
      </x:c>
      <x:c r="B331" s="12" t="str">
        <x:f>IF(A331="","",CHOOSE(WEEKDAY(A331,2),"Mo","Di","Mi","Do","Fr","Sa","So"))</x:f>
        <x:v>Mo</x:v>
      </x:c>
      <x:c r="C331" s="12">
        <x:f>IF(A331="","",ISOWEEKNUM(A331))</x:f>
        <x:v>23</x:v>
      </x:c>
      <x:c r="D331" s="11">
        <x:f>IF(A331="","",IFERROR(INDEX(Einstellungen!$B$19:$B$118,MATCH(A331,Einstellungen!$A$19:$A$118,0)),""))</x:f>
      </x:c>
      <x:c r="E331" s="17" t="n">
        <x:v>5.5</x:v>
      </x:c>
      <x:c r="F331" s="17" t="n">
        <x:v>0.75</x:v>
      </x:c>
      <x:c r="G331" s="17" t="n">
        <x:v>0.5</x:v>
      </x:c>
      <x:c r="H331" s="17" t="n">
        <x:v>0.5</x:v>
      </x:c>
      <x:c r="I331" s="17" t="n">
        <x:v>0.25</x:v>
      </x:c>
      <x:c r="J331" s="17">
        <x:f>IF(A331="","",SUM(E331:I331))</x:f>
        <x:v>7.5</x:v>
      </x:c>
    </x:row>
    <x:row r="332">
      <x:c r="A332" s="10">
        <x:f>IF(2&lt;=DAY(EOMONTH(EDATE(Einstellungen!$E$6,9),0)),DATE(YEAR(EDATE(Einstellungen!$E$6,9)),MONTH(EDATE(Einstellungen!$E$6,9)),2),"")</x:f>
        <x:v>46175</x:v>
      </x:c>
      <x:c r="B332" s="12" t="str">
        <x:f>IF(A332="","",CHOOSE(WEEKDAY(A332,2),"Mo","Di","Mi","Do","Fr","Sa","So"))</x:f>
        <x:v>Di</x:v>
      </x:c>
      <x:c r="C332" s="12">
        <x:f>IF(A332="","",ISOWEEKNUM(A332))</x:f>
        <x:v>23</x:v>
      </x:c>
      <x:c r="D332" s="11">
        <x:f>IF(A332="","",IFERROR(INDEX(Einstellungen!$B$19:$B$118,MATCH(A332,Einstellungen!$A$19:$A$118,0)),""))</x:f>
      </x:c>
      <x:c r="E332" s="17" t="n">
        <x:v>6</x:v>
      </x:c>
      <x:c r="F332" s="17" t="n">
        <x:v>0.5</x:v>
      </x:c>
      <x:c r="G332" s="17" t="n">
        <x:v>1.5</x:v>
      </x:c>
      <x:c r="H332" s="17" t="n">
        <x:v>0.25</x:v>
      </x:c>
      <x:c r="I332" s="17" t="n">
        <x:v>0.25</x:v>
      </x:c>
      <x:c r="J332" s="17">
        <x:f>IF(A332="","",SUM(E332:I332))</x:f>
        <x:v>8.5</x:v>
      </x:c>
    </x:row>
    <x:row r="333">
      <x:c r="A333" s="10">
        <x:f>IF(3&lt;=DAY(EOMONTH(EDATE(Einstellungen!$E$6,9),0)),DATE(YEAR(EDATE(Einstellungen!$E$6,9)),MONTH(EDATE(Einstellungen!$E$6,9)),3),"")</x:f>
        <x:v>46176</x:v>
      </x:c>
      <x:c r="B333" s="12" t="str">
        <x:f>IF(A333="","",CHOOSE(WEEKDAY(A333,2),"Mo","Di","Mi","Do","Fr","Sa","So"))</x:f>
        <x:v>Mi</x:v>
      </x:c>
      <x:c r="C333" s="12">
        <x:f>IF(A333="","",ISOWEEKNUM(A333))</x:f>
        <x:v>23</x:v>
      </x:c>
      <x:c r="D333" s="11">
        <x:f>IF(A333="","",IFERROR(INDEX(Einstellungen!$B$19:$B$118,MATCH(A333,Einstellungen!$A$19:$A$118,0)),""))</x:f>
      </x:c>
      <x:c r="E333" s="17" t="n">
        <x:v>6.5</x:v>
      </x:c>
      <x:c r="F333" s="17" t="n">
        <x:v>0.75</x:v>
      </x:c>
      <x:c r="G333" s="17" t="n">
        <x:v>0.5</x:v>
      </x:c>
      <x:c r="H333" s="17" t="n">
        <x:v>0.25</x:v>
      </x:c>
      <x:c r="I333" s="17" t="n">
        <x:v>0.25</x:v>
      </x:c>
      <x:c r="J333" s="17">
        <x:f>IF(A333="","",SUM(E333:I333))</x:f>
        <x:v>8.25</x:v>
      </x:c>
    </x:row>
    <x:row r="334">
      <x:c r="A334" s="10">
        <x:f>IF(4&lt;=DAY(EOMONTH(EDATE(Einstellungen!$E$6,9),0)),DATE(YEAR(EDATE(Einstellungen!$E$6,9)),MONTH(EDATE(Einstellungen!$E$6,9)),4),"")</x:f>
        <x:v>46177</x:v>
      </x:c>
      <x:c r="B334" s="12" t="str">
        <x:f>IF(A334="","",CHOOSE(WEEKDAY(A334,2),"Mo","Di","Mi","Do","Fr","Sa","So"))</x:f>
        <x:v>Do</x:v>
      </x:c>
      <x:c r="C334" s="12">
        <x:f>IF(A334="","",ISOWEEKNUM(A334))</x:f>
        <x:v>23</x:v>
      </x:c>
      <x:c r="D334" s="11">
        <x:f>IF(A334="","",IFERROR(INDEX(Einstellungen!$B$19:$B$118,MATCH(A334,Einstellungen!$A$19:$A$118,0)),""))</x:f>
      </x:c>
      <x:c r="E334" s="17" t="n">
        <x:v>5.5</x:v>
      </x:c>
      <x:c r="F334" s="17" t="n">
        <x:v>0.5</x:v>
      </x:c>
      <x:c r="G334" s="17" t="n">
        <x:v>1.5</x:v>
      </x:c>
      <x:c r="H334" s="17" t="n">
        <x:v>0.25</x:v>
      </x:c>
      <x:c r="I334" s="17" t="n">
        <x:v>0.25</x:v>
      </x:c>
      <x:c r="J334" s="17">
        <x:f>IF(A334="","",SUM(E334:I334))</x:f>
        <x:v>8</x:v>
      </x:c>
    </x:row>
    <x:row r="335">
      <x:c r="A335" s="10">
        <x:f>IF(5&lt;=DAY(EOMONTH(EDATE(Einstellungen!$E$6,9),0)),DATE(YEAR(EDATE(Einstellungen!$E$6,9)),MONTH(EDATE(Einstellungen!$E$6,9)),5),"")</x:f>
        <x:v>46178</x:v>
      </x:c>
      <x:c r="B335" s="12" t="str">
        <x:f>IF(A335="","",CHOOSE(WEEKDAY(A335,2),"Mo","Di","Mi","Do","Fr","Sa","So"))</x:f>
        <x:v>Fr</x:v>
      </x:c>
      <x:c r="C335" s="12">
        <x:f>IF(A335="","",ISOWEEKNUM(A335))</x:f>
        <x:v>23</x:v>
      </x:c>
      <x:c r="D335" s="11">
        <x:f>IF(A335="","",IFERROR(INDEX(Einstellungen!$B$19:$B$118,MATCH(A335,Einstellungen!$A$19:$A$118,0)),""))</x:f>
      </x:c>
      <x:c r="E335" s="17" t="n">
        <x:v>6</x:v>
      </x:c>
      <x:c r="F335" s="17" t="n">
        <x:v>0.5</x:v>
      </x:c>
      <x:c r="G335" s="17" t="n">
        <x:v>0.5</x:v>
      </x:c>
      <x:c r="H335" s="17" t="n">
        <x:v>0.5</x:v>
      </x:c>
      <x:c r="I335" s="17" t="n">
        <x:v>0.5</x:v>
      </x:c>
      <x:c r="J335" s="17">
        <x:f>IF(A335="","",SUM(E335:I335))</x:f>
        <x:v>8</x:v>
      </x:c>
    </x:row>
    <x:row r="336">
      <x:c r="A336" s="10">
        <x:f>IF(6&lt;=DAY(EOMONTH(EDATE(Einstellungen!$E$6,9),0)),DATE(YEAR(EDATE(Einstellungen!$E$6,9)),MONTH(EDATE(Einstellungen!$E$6,9)),6),"")</x:f>
        <x:v>46179</x:v>
      </x:c>
      <x:c r="B336" s="12" t="str">
        <x:f>IF(A336="","",CHOOSE(WEEKDAY(A336,2),"Mo","Di","Mi","Do","Fr","Sa","So"))</x:f>
        <x:v>Sa</x:v>
      </x:c>
      <x:c r="C336" s="12">
        <x:f>IF(A336="","",ISOWEEKNUM(A336))</x:f>
        <x:v>23</x:v>
      </x:c>
      <x:c r="D336" s="11">
        <x:f>IF(A336="","",IFERROR(INDEX(Einstellungen!$B$19:$B$118,MATCH(A336,Einstellungen!$A$19:$A$118,0)),""))</x:f>
      </x:c>
      <x:c r="E336" s="18" t="inlineStr">
        <x:is>
          <x:t xml:space="preserve"/>
        </x:is>
      </x:c>
      <x:c r="F336" s="18" t="inlineStr">
        <x:is>
          <x:t xml:space="preserve"/>
        </x:is>
      </x:c>
      <x:c r="G336" s="18" t="inlineStr">
        <x:is>
          <x:t xml:space="preserve"/>
        </x:is>
      </x:c>
      <x:c r="H336" s="18" t="inlineStr">
        <x:is>
          <x:t xml:space="preserve"/>
        </x:is>
      </x:c>
      <x:c r="I336" s="18" t="inlineStr">
        <x:is>
          <x:t xml:space="preserve"/>
        </x:is>
      </x:c>
      <x:c r="J336" s="17">
        <x:f>IF(A336="","",SUM(E336:I336))</x:f>
        <x:v>0</x:v>
      </x:c>
    </x:row>
    <x:row r="337">
      <x:c r="A337" s="10">
        <x:f>IF(7&lt;=DAY(EOMONTH(EDATE(Einstellungen!$E$6,9),0)),DATE(YEAR(EDATE(Einstellungen!$E$6,9)),MONTH(EDATE(Einstellungen!$E$6,9)),7),"")</x:f>
        <x:v>46180</x:v>
      </x:c>
      <x:c r="B337" s="12" t="str">
        <x:f>IF(A337="","",CHOOSE(WEEKDAY(A337,2),"Mo","Di","Mi","Do","Fr","Sa","So"))</x:f>
        <x:v>So</x:v>
      </x:c>
      <x:c r="C337" s="12">
        <x:f>IF(A337="","",ISOWEEKNUM(A337))</x:f>
        <x:v>23</x:v>
      </x:c>
      <x:c r="D337" s="11">
        <x:f>IF(A337="","",IFERROR(INDEX(Einstellungen!$B$19:$B$118,MATCH(A337,Einstellungen!$A$19:$A$118,0)),""))</x:f>
      </x:c>
      <x:c r="E337" s="18" t="inlineStr">
        <x:is>
          <x:t xml:space="preserve"/>
        </x:is>
      </x:c>
      <x:c r="F337" s="18" t="inlineStr">
        <x:is>
          <x:t xml:space="preserve"/>
        </x:is>
      </x:c>
      <x:c r="G337" s="18" t="inlineStr">
        <x:is>
          <x:t xml:space="preserve"/>
        </x:is>
      </x:c>
      <x:c r="H337" s="18" t="inlineStr">
        <x:is>
          <x:t xml:space="preserve"/>
        </x:is>
      </x:c>
      <x:c r="I337" s="18" t="inlineStr">
        <x:is>
          <x:t xml:space="preserve"/>
        </x:is>
      </x:c>
      <x:c r="J337" s="17">
        <x:f>IF(A337="","",SUM(E337:I337))</x:f>
        <x:v>0</x:v>
      </x:c>
    </x:row>
    <x:row r="338">
      <x:c r="A338" s="10">
        <x:f>IF(8&lt;=DAY(EOMONTH(EDATE(Einstellungen!$E$6,9),0)),DATE(YEAR(EDATE(Einstellungen!$E$6,9)),MONTH(EDATE(Einstellungen!$E$6,9)),8),"")</x:f>
        <x:v>46181</x:v>
      </x:c>
      <x:c r="B338" s="12" t="str">
        <x:f>IF(A338="","",CHOOSE(WEEKDAY(A338,2),"Mo","Di","Mi","Do","Fr","Sa","So"))</x:f>
        <x:v>Mo</x:v>
      </x:c>
      <x:c r="C338" s="12">
        <x:f>IF(A338="","",ISOWEEKNUM(A338))</x:f>
        <x:v>24</x:v>
      </x:c>
      <x:c r="D338" s="11">
        <x:f>IF(A338="","",IFERROR(INDEX(Einstellungen!$B$19:$B$118,MATCH(A338,Einstellungen!$A$19:$A$118,0)),""))</x:f>
      </x:c>
      <x:c r="E338" s="17" t="n">
        <x:v>5.5</x:v>
      </x:c>
      <x:c r="F338" s="17" t="n">
        <x:v>0.75</x:v>
      </x:c>
      <x:c r="G338" s="17" t="n">
        <x:v>0.5</x:v>
      </x:c>
      <x:c r="H338" s="17" t="n">
        <x:v>0.5</x:v>
      </x:c>
      <x:c r="I338" s="17" t="n">
        <x:v>0.25</x:v>
      </x:c>
      <x:c r="J338" s="17">
        <x:f>IF(A338="","",SUM(E338:I338))</x:f>
        <x:v>7.5</x:v>
      </x:c>
    </x:row>
    <x:row r="339">
      <x:c r="A339" s="10">
        <x:f>IF(9&lt;=DAY(EOMONTH(EDATE(Einstellungen!$E$6,9),0)),DATE(YEAR(EDATE(Einstellungen!$E$6,9)),MONTH(EDATE(Einstellungen!$E$6,9)),9),"")</x:f>
        <x:v>46182</x:v>
      </x:c>
      <x:c r="B339" s="12" t="str">
        <x:f>IF(A339="","",CHOOSE(WEEKDAY(A339,2),"Mo","Di","Mi","Do","Fr","Sa","So"))</x:f>
        <x:v>Di</x:v>
      </x:c>
      <x:c r="C339" s="12">
        <x:f>IF(A339="","",ISOWEEKNUM(A339))</x:f>
        <x:v>24</x:v>
      </x:c>
      <x:c r="D339" s="11">
        <x:f>IF(A339="","",IFERROR(INDEX(Einstellungen!$B$19:$B$118,MATCH(A339,Einstellungen!$A$19:$A$118,0)),""))</x:f>
      </x:c>
      <x:c r="E339" s="17" t="n">
        <x:v>6</x:v>
      </x:c>
      <x:c r="F339" s="17" t="n">
        <x:v>0.5</x:v>
      </x:c>
      <x:c r="G339" s="17" t="n">
        <x:v>1.5</x:v>
      </x:c>
      <x:c r="H339" s="17" t="n">
        <x:v>0.25</x:v>
      </x:c>
      <x:c r="I339" s="17" t="n">
        <x:v>0.25</x:v>
      </x:c>
      <x:c r="J339" s="17">
        <x:f>IF(A339="","",SUM(E339:I339))</x:f>
        <x:v>8.5</x:v>
      </x:c>
    </x:row>
    <x:row r="340">
      <x:c r="A340" s="10">
        <x:f>IF(10&lt;=DAY(EOMONTH(EDATE(Einstellungen!$E$6,9),0)),DATE(YEAR(EDATE(Einstellungen!$E$6,9)),MONTH(EDATE(Einstellungen!$E$6,9)),10),"")</x:f>
        <x:v>46183</x:v>
      </x:c>
      <x:c r="B340" s="12" t="str">
        <x:f>IF(A340="","",CHOOSE(WEEKDAY(A340,2),"Mo","Di","Mi","Do","Fr","Sa","So"))</x:f>
        <x:v>Mi</x:v>
      </x:c>
      <x:c r="C340" s="12">
        <x:f>IF(A340="","",ISOWEEKNUM(A340))</x:f>
        <x:v>24</x:v>
      </x:c>
      <x:c r="D340" s="11">
        <x:f>IF(A340="","",IFERROR(INDEX(Einstellungen!$B$19:$B$118,MATCH(A340,Einstellungen!$A$19:$A$118,0)),""))</x:f>
      </x:c>
      <x:c r="E340" s="17" t="n">
        <x:v>6.5</x:v>
      </x:c>
      <x:c r="F340" s="17" t="n">
        <x:v>0.75</x:v>
      </x:c>
      <x:c r="G340" s="17" t="n">
        <x:v>0.5</x:v>
      </x:c>
      <x:c r="H340" s="17" t="n">
        <x:v>0.25</x:v>
      </x:c>
      <x:c r="I340" s="17" t="n">
        <x:v>0.25</x:v>
      </x:c>
      <x:c r="J340" s="17">
        <x:f>IF(A340="","",SUM(E340:I340))</x:f>
        <x:v>8.25</x:v>
      </x:c>
    </x:row>
    <x:row r="341">
      <x:c r="A341" s="10">
        <x:f>IF(11&lt;=DAY(EOMONTH(EDATE(Einstellungen!$E$6,9),0)),DATE(YEAR(EDATE(Einstellungen!$E$6,9)),MONTH(EDATE(Einstellungen!$E$6,9)),11),"")</x:f>
        <x:v>46184</x:v>
      </x:c>
      <x:c r="B341" s="12" t="str">
        <x:f>IF(A341="","",CHOOSE(WEEKDAY(A341,2),"Mo","Di","Mi","Do","Fr","Sa","So"))</x:f>
        <x:v>Do</x:v>
      </x:c>
      <x:c r="C341" s="12">
        <x:f>IF(A341="","",ISOWEEKNUM(A341))</x:f>
        <x:v>24</x:v>
      </x:c>
      <x:c r="D341" s="11">
        <x:f>IF(A341="","",IFERROR(INDEX(Einstellungen!$B$19:$B$118,MATCH(A341,Einstellungen!$A$19:$A$118,0)),""))</x:f>
      </x:c>
      <x:c r="E341" s="17" t="n">
        <x:v>5.5</x:v>
      </x:c>
      <x:c r="F341" s="17" t="n">
        <x:v>0.5</x:v>
      </x:c>
      <x:c r="G341" s="17" t="n">
        <x:v>1.5</x:v>
      </x:c>
      <x:c r="H341" s="17" t="n">
        <x:v>0.25</x:v>
      </x:c>
      <x:c r="I341" s="17" t="n">
        <x:v>0.25</x:v>
      </x:c>
      <x:c r="J341" s="17">
        <x:f>IF(A341="","",SUM(E341:I341))</x:f>
        <x:v>8</x:v>
      </x:c>
    </x:row>
    <x:row r="342">
      <x:c r="A342" s="10">
        <x:f>IF(12&lt;=DAY(EOMONTH(EDATE(Einstellungen!$E$6,9),0)),DATE(YEAR(EDATE(Einstellungen!$E$6,9)),MONTH(EDATE(Einstellungen!$E$6,9)),12),"")</x:f>
        <x:v>46185</x:v>
      </x:c>
      <x:c r="B342" s="12" t="str">
        <x:f>IF(A342="","",CHOOSE(WEEKDAY(A342,2),"Mo","Di","Mi","Do","Fr","Sa","So"))</x:f>
        <x:v>Fr</x:v>
      </x:c>
      <x:c r="C342" s="12">
        <x:f>IF(A342="","",ISOWEEKNUM(A342))</x:f>
        <x:v>24</x:v>
      </x:c>
      <x:c r="D342" s="11">
        <x:f>IF(A342="","",IFERROR(INDEX(Einstellungen!$B$19:$B$118,MATCH(A342,Einstellungen!$A$19:$A$118,0)),""))</x:f>
      </x:c>
      <x:c r="E342" s="17" t="n">
        <x:v>6</x:v>
      </x:c>
      <x:c r="F342" s="17" t="n">
        <x:v>0.5</x:v>
      </x:c>
      <x:c r="G342" s="17" t="n">
        <x:v>0.5</x:v>
      </x:c>
      <x:c r="H342" s="17" t="n">
        <x:v>0.5</x:v>
      </x:c>
      <x:c r="I342" s="17" t="n">
        <x:v>0.25</x:v>
      </x:c>
      <x:c r="J342" s="17">
        <x:f>IF(A342="","",SUM(E342:I342))</x:f>
        <x:v>7.75</x:v>
      </x:c>
    </x:row>
    <x:row r="343">
      <x:c r="A343" s="10">
        <x:f>IF(13&lt;=DAY(EOMONTH(EDATE(Einstellungen!$E$6,9),0)),DATE(YEAR(EDATE(Einstellungen!$E$6,9)),MONTH(EDATE(Einstellungen!$E$6,9)),13),"")</x:f>
        <x:v>46186</x:v>
      </x:c>
      <x:c r="B343" s="12" t="str">
        <x:f>IF(A343="","",CHOOSE(WEEKDAY(A343,2),"Mo","Di","Mi","Do","Fr","Sa","So"))</x:f>
        <x:v>Sa</x:v>
      </x:c>
      <x:c r="C343" s="12">
        <x:f>IF(A343="","",ISOWEEKNUM(A343))</x:f>
        <x:v>24</x:v>
      </x:c>
      <x:c r="D343" s="11">
        <x:f>IF(A343="","",IFERROR(INDEX(Einstellungen!$B$19:$B$118,MATCH(A343,Einstellungen!$A$19:$A$118,0)),""))</x:f>
      </x:c>
      <x:c r="E343" s="18" t="inlineStr">
        <x:is>
          <x:t xml:space="preserve"/>
        </x:is>
      </x:c>
      <x:c r="F343" s="18" t="inlineStr">
        <x:is>
          <x:t xml:space="preserve"/>
        </x:is>
      </x:c>
      <x:c r="G343" s="18" t="inlineStr">
        <x:is>
          <x:t xml:space="preserve"/>
        </x:is>
      </x:c>
      <x:c r="H343" s="18" t="inlineStr">
        <x:is>
          <x:t xml:space="preserve"/>
        </x:is>
      </x:c>
      <x:c r="I343" s="18" t="inlineStr">
        <x:is>
          <x:t xml:space="preserve"/>
        </x:is>
      </x:c>
      <x:c r="J343" s="17">
        <x:f>IF(A343="","",SUM(E343:I343))</x:f>
        <x:v>0</x:v>
      </x:c>
    </x:row>
    <x:row r="344">
      <x:c r="A344" s="10">
        <x:f>IF(14&lt;=DAY(EOMONTH(EDATE(Einstellungen!$E$6,9),0)),DATE(YEAR(EDATE(Einstellungen!$E$6,9)),MONTH(EDATE(Einstellungen!$E$6,9)),14),"")</x:f>
        <x:v>46187</x:v>
      </x:c>
      <x:c r="B344" s="12" t="str">
        <x:f>IF(A344="","",CHOOSE(WEEKDAY(A344,2),"Mo","Di","Mi","Do","Fr","Sa","So"))</x:f>
        <x:v>So</x:v>
      </x:c>
      <x:c r="C344" s="12">
        <x:f>IF(A344="","",ISOWEEKNUM(A344))</x:f>
        <x:v>24</x:v>
      </x:c>
      <x:c r="D344" s="11">
        <x:f>IF(A344="","",IFERROR(INDEX(Einstellungen!$B$19:$B$118,MATCH(A344,Einstellungen!$A$19:$A$118,0)),""))</x:f>
      </x:c>
      <x:c r="E344" s="18" t="inlineStr">
        <x:is>
          <x:t xml:space="preserve"/>
        </x:is>
      </x:c>
      <x:c r="F344" s="18" t="inlineStr">
        <x:is>
          <x:t xml:space="preserve"/>
        </x:is>
      </x:c>
      <x:c r="G344" s="18" t="inlineStr">
        <x:is>
          <x:t xml:space="preserve"/>
        </x:is>
      </x:c>
      <x:c r="H344" s="18" t="inlineStr">
        <x:is>
          <x:t xml:space="preserve"/>
        </x:is>
      </x:c>
      <x:c r="I344" s="18" t="inlineStr">
        <x:is>
          <x:t xml:space="preserve"/>
        </x:is>
      </x:c>
      <x:c r="J344" s="17">
        <x:f>IF(A344="","",SUM(E344:I344))</x:f>
        <x:v>0</x:v>
      </x:c>
    </x:row>
    <x:row r="345">
      <x:c r="A345" s="10">
        <x:f>IF(15&lt;=DAY(EOMONTH(EDATE(Einstellungen!$E$6,9),0)),DATE(YEAR(EDATE(Einstellungen!$E$6,9)),MONTH(EDATE(Einstellungen!$E$6,9)),15),"")</x:f>
        <x:v>46188</x:v>
      </x:c>
      <x:c r="B345" s="12" t="str">
        <x:f>IF(A345="","",CHOOSE(WEEKDAY(A345,2),"Mo","Di","Mi","Do","Fr","Sa","So"))</x:f>
        <x:v>Mo</x:v>
      </x:c>
      <x:c r="C345" s="12">
        <x:f>IF(A345="","",ISOWEEKNUM(A345))</x:f>
        <x:v>25</x:v>
      </x:c>
      <x:c r="D345" s="11">
        <x:f>IF(A345="","",IFERROR(INDEX(Einstellungen!$B$19:$B$118,MATCH(A345,Einstellungen!$A$19:$A$118,0)),""))</x:f>
      </x:c>
      <x:c r="E345" s="17" t="n">
        <x:v>5.5</x:v>
      </x:c>
      <x:c r="F345" s="17" t="n">
        <x:v>0.75</x:v>
      </x:c>
      <x:c r="G345" s="17" t="n">
        <x:v>0.5</x:v>
      </x:c>
      <x:c r="H345" s="17" t="n">
        <x:v>0.5</x:v>
      </x:c>
      <x:c r="I345" s="17" t="n">
        <x:v>0.5</x:v>
      </x:c>
      <x:c r="J345" s="17">
        <x:f>IF(A345="","",SUM(E345:I345))</x:f>
        <x:v>7.75</x:v>
      </x:c>
    </x:row>
    <x:row r="346">
      <x:c r="A346" s="10">
        <x:f>IF(16&lt;=DAY(EOMONTH(EDATE(Einstellungen!$E$6,9),0)),DATE(YEAR(EDATE(Einstellungen!$E$6,9)),MONTH(EDATE(Einstellungen!$E$6,9)),16),"")</x:f>
        <x:v>46189</x:v>
      </x:c>
      <x:c r="B346" s="12" t="str">
        <x:f>IF(A346="","",CHOOSE(WEEKDAY(A346,2),"Mo","Di","Mi","Do","Fr","Sa","So"))</x:f>
        <x:v>Di</x:v>
      </x:c>
      <x:c r="C346" s="12">
        <x:f>IF(A346="","",ISOWEEKNUM(A346))</x:f>
        <x:v>25</x:v>
      </x:c>
      <x:c r="D346" s="11">
        <x:f>IF(A346="","",IFERROR(INDEX(Einstellungen!$B$19:$B$118,MATCH(A346,Einstellungen!$A$19:$A$118,0)),""))</x:f>
      </x:c>
      <x:c r="E346" s="17" t="n">
        <x:v>6</x:v>
      </x:c>
      <x:c r="F346" s="17" t="n">
        <x:v>0.5</x:v>
      </x:c>
      <x:c r="G346" s="17" t="n">
        <x:v>1.5</x:v>
      </x:c>
      <x:c r="H346" s="17" t="n">
        <x:v>0.25</x:v>
      </x:c>
      <x:c r="I346" s="17" t="n">
        <x:v>0.25</x:v>
      </x:c>
      <x:c r="J346" s="17">
        <x:f>IF(A346="","",SUM(E346:I346))</x:f>
        <x:v>8.5</x:v>
      </x:c>
    </x:row>
    <x:row r="347">
      <x:c r="A347" s="10">
        <x:f>IF(17&lt;=DAY(EOMONTH(EDATE(Einstellungen!$E$6,9),0)),DATE(YEAR(EDATE(Einstellungen!$E$6,9)),MONTH(EDATE(Einstellungen!$E$6,9)),17),"")</x:f>
        <x:v>46190</x:v>
      </x:c>
      <x:c r="B347" s="12" t="str">
        <x:f>IF(A347="","",CHOOSE(WEEKDAY(A347,2),"Mo","Di","Mi","Do","Fr","Sa","So"))</x:f>
        <x:v>Mi</x:v>
      </x:c>
      <x:c r="C347" s="12">
        <x:f>IF(A347="","",ISOWEEKNUM(A347))</x:f>
        <x:v>25</x:v>
      </x:c>
      <x:c r="D347" s="11">
        <x:f>IF(A347="","",IFERROR(INDEX(Einstellungen!$B$19:$B$118,MATCH(A347,Einstellungen!$A$19:$A$118,0)),""))</x:f>
      </x:c>
      <x:c r="E347" s="17" t="n">
        <x:v>6.5</x:v>
      </x:c>
      <x:c r="F347" s="17" t="n">
        <x:v>0.75</x:v>
      </x:c>
      <x:c r="G347" s="17" t="n">
        <x:v>0.5</x:v>
      </x:c>
      <x:c r="H347" s="17" t="n">
        <x:v>0.25</x:v>
      </x:c>
      <x:c r="I347" s="17" t="n">
        <x:v>0.25</x:v>
      </x:c>
      <x:c r="J347" s="17">
        <x:f>IF(A347="","",SUM(E347:I347))</x:f>
        <x:v>8.25</x:v>
      </x:c>
    </x:row>
    <x:row r="348">
      <x:c r="A348" s="10">
        <x:f>IF(18&lt;=DAY(EOMONTH(EDATE(Einstellungen!$E$6,9),0)),DATE(YEAR(EDATE(Einstellungen!$E$6,9)),MONTH(EDATE(Einstellungen!$E$6,9)),18),"")</x:f>
        <x:v>46191</x:v>
      </x:c>
      <x:c r="B348" s="12" t="str">
        <x:f>IF(A348="","",CHOOSE(WEEKDAY(A348,2),"Mo","Di","Mi","Do","Fr","Sa","So"))</x:f>
        <x:v>Do</x:v>
      </x:c>
      <x:c r="C348" s="12">
        <x:f>IF(A348="","",ISOWEEKNUM(A348))</x:f>
        <x:v>25</x:v>
      </x:c>
      <x:c r="D348" s="11">
        <x:f>IF(A348="","",IFERROR(INDEX(Einstellungen!$B$19:$B$118,MATCH(A348,Einstellungen!$A$19:$A$118,0)),""))</x:f>
      </x:c>
      <x:c r="E348" s="17" t="n">
        <x:v>5.5</x:v>
      </x:c>
      <x:c r="F348" s="17" t="n">
        <x:v>0.5</x:v>
      </x:c>
      <x:c r="G348" s="17" t="n">
        <x:v>1.5</x:v>
      </x:c>
      <x:c r="H348" s="17" t="n">
        <x:v>0.25</x:v>
      </x:c>
      <x:c r="I348" s="17" t="n">
        <x:v>0.25</x:v>
      </x:c>
      <x:c r="J348" s="17">
        <x:f>IF(A348="","",SUM(E348:I348))</x:f>
        <x:v>8</x:v>
      </x:c>
    </x:row>
    <x:row r="349">
      <x:c r="A349" s="10">
        <x:f>IF(19&lt;=DAY(EOMONTH(EDATE(Einstellungen!$E$6,9),0)),DATE(YEAR(EDATE(Einstellungen!$E$6,9)),MONTH(EDATE(Einstellungen!$E$6,9)),19),"")</x:f>
        <x:v>46192</x:v>
      </x:c>
      <x:c r="B349" s="12" t="str">
        <x:f>IF(A349="","",CHOOSE(WEEKDAY(A349,2),"Mo","Di","Mi","Do","Fr","Sa","So"))</x:f>
        <x:v>Fr</x:v>
      </x:c>
      <x:c r="C349" s="12">
        <x:f>IF(A349="","",ISOWEEKNUM(A349))</x:f>
        <x:v>25</x:v>
      </x:c>
      <x:c r="D349" s="11">
        <x:f>IF(A349="","",IFERROR(INDEX(Einstellungen!$B$19:$B$118,MATCH(A349,Einstellungen!$A$19:$A$118,0)),""))</x:f>
      </x:c>
      <x:c r="E349" s="17" t="n">
        <x:v>6</x:v>
      </x:c>
      <x:c r="F349" s="17" t="n">
        <x:v>0.5</x:v>
      </x:c>
      <x:c r="G349" s="17" t="n">
        <x:v>0.5</x:v>
      </x:c>
      <x:c r="H349" s="17" t="n">
        <x:v>0.5</x:v>
      </x:c>
      <x:c r="I349" s="17" t="n">
        <x:v>0.25</x:v>
      </x:c>
      <x:c r="J349" s="17">
        <x:f>IF(A349="","",SUM(E349:I349))</x:f>
        <x:v>7.75</x:v>
      </x:c>
    </x:row>
    <x:row r="350">
      <x:c r="A350" s="10">
        <x:f>IF(20&lt;=DAY(EOMONTH(EDATE(Einstellungen!$E$6,9),0)),DATE(YEAR(EDATE(Einstellungen!$E$6,9)),MONTH(EDATE(Einstellungen!$E$6,9)),20),"")</x:f>
        <x:v>46193</x:v>
      </x:c>
      <x:c r="B350" s="12" t="str">
        <x:f>IF(A350="","",CHOOSE(WEEKDAY(A350,2),"Mo","Di","Mi","Do","Fr","Sa","So"))</x:f>
        <x:v>Sa</x:v>
      </x:c>
      <x:c r="C350" s="12">
        <x:f>IF(A350="","",ISOWEEKNUM(A350))</x:f>
        <x:v>25</x:v>
      </x:c>
      <x:c r="D350" s="11">
        <x:f>IF(A350="","",IFERROR(INDEX(Einstellungen!$B$19:$B$118,MATCH(A350,Einstellungen!$A$19:$A$118,0)),""))</x:f>
      </x:c>
      <x:c r="E350" s="18" t="inlineStr">
        <x:is>
          <x:t xml:space="preserve"/>
        </x:is>
      </x:c>
      <x:c r="F350" s="18" t="inlineStr">
        <x:is>
          <x:t xml:space="preserve"/>
        </x:is>
      </x:c>
      <x:c r="G350" s="18" t="inlineStr">
        <x:is>
          <x:t xml:space="preserve"/>
        </x:is>
      </x:c>
      <x:c r="H350" s="18" t="inlineStr">
        <x:is>
          <x:t xml:space="preserve"/>
        </x:is>
      </x:c>
      <x:c r="I350" s="18" t="inlineStr">
        <x:is>
          <x:t xml:space="preserve"/>
        </x:is>
      </x:c>
      <x:c r="J350" s="17">
        <x:f>IF(A350="","",SUM(E350:I350))</x:f>
        <x:v>0</x:v>
      </x:c>
    </x:row>
    <x:row r="351">
      <x:c r="A351" s="10">
        <x:f>IF(21&lt;=DAY(EOMONTH(EDATE(Einstellungen!$E$6,9),0)),DATE(YEAR(EDATE(Einstellungen!$E$6,9)),MONTH(EDATE(Einstellungen!$E$6,9)),21),"")</x:f>
        <x:v>46194</x:v>
      </x:c>
      <x:c r="B351" s="12" t="str">
        <x:f>IF(A351="","",CHOOSE(WEEKDAY(A351,2),"Mo","Di","Mi","Do","Fr","Sa","So"))</x:f>
        <x:v>So</x:v>
      </x:c>
      <x:c r="C351" s="12">
        <x:f>IF(A351="","",ISOWEEKNUM(A351))</x:f>
        <x:v>25</x:v>
      </x:c>
      <x:c r="D351" s="11">
        <x:f>IF(A351="","",IFERROR(INDEX(Einstellungen!$B$19:$B$118,MATCH(A351,Einstellungen!$A$19:$A$118,0)),""))</x:f>
      </x:c>
      <x:c r="E351" s="18" t="inlineStr">
        <x:is>
          <x:t xml:space="preserve"/>
        </x:is>
      </x:c>
      <x:c r="F351" s="18" t="inlineStr">
        <x:is>
          <x:t xml:space="preserve"/>
        </x:is>
      </x:c>
      <x:c r="G351" s="18" t="inlineStr">
        <x:is>
          <x:t xml:space="preserve"/>
        </x:is>
      </x:c>
      <x:c r="H351" s="18" t="inlineStr">
        <x:is>
          <x:t xml:space="preserve"/>
        </x:is>
      </x:c>
      <x:c r="I351" s="18" t="inlineStr">
        <x:is>
          <x:t xml:space="preserve"/>
        </x:is>
      </x:c>
      <x:c r="J351" s="17">
        <x:f>IF(A351="","",SUM(E351:I351))</x:f>
        <x:v>0</x:v>
      </x:c>
    </x:row>
    <x:row r="352">
      <x:c r="A352" s="10">
        <x:f>IF(22&lt;=DAY(EOMONTH(EDATE(Einstellungen!$E$6,9),0)),DATE(YEAR(EDATE(Einstellungen!$E$6,9)),MONTH(EDATE(Einstellungen!$E$6,9)),22),"")</x:f>
        <x:v>46195</x:v>
      </x:c>
      <x:c r="B352" s="12" t="str">
        <x:f>IF(A352="","",CHOOSE(WEEKDAY(A352,2),"Mo","Di","Mi","Do","Fr","Sa","So"))</x:f>
        <x:v>Mo</x:v>
      </x:c>
      <x:c r="C352" s="12">
        <x:f>IF(A352="","",ISOWEEKNUM(A352))</x:f>
        <x:v>26</x:v>
      </x:c>
      <x:c r="D352" s="11">
        <x:f>IF(A352="","",IFERROR(INDEX(Einstellungen!$B$19:$B$118,MATCH(A352,Einstellungen!$A$19:$A$118,0)),""))</x:f>
      </x:c>
      <x:c r="E352" s="17" t="n">
        <x:v>5.5</x:v>
      </x:c>
      <x:c r="F352" s="17" t="n">
        <x:v>0.75</x:v>
      </x:c>
      <x:c r="G352" s="17" t="n">
        <x:v>0.5</x:v>
      </x:c>
      <x:c r="H352" s="17" t="n">
        <x:v>0.5</x:v>
      </x:c>
      <x:c r="I352" s="17" t="n">
        <x:v>0.25</x:v>
      </x:c>
      <x:c r="J352" s="17">
        <x:f>IF(A352="","",SUM(E352:I352))</x:f>
        <x:v>7.5</x:v>
      </x:c>
    </x:row>
    <x:row r="353">
      <x:c r="A353" s="10">
        <x:f>IF(23&lt;=DAY(EOMONTH(EDATE(Einstellungen!$E$6,9),0)),DATE(YEAR(EDATE(Einstellungen!$E$6,9)),MONTH(EDATE(Einstellungen!$E$6,9)),23),"")</x:f>
        <x:v>46196</x:v>
      </x:c>
      <x:c r="B353" s="12" t="str">
        <x:f>IF(A353="","",CHOOSE(WEEKDAY(A353,2),"Mo","Di","Mi","Do","Fr","Sa","So"))</x:f>
        <x:v>Di</x:v>
      </x:c>
      <x:c r="C353" s="12">
        <x:f>IF(A353="","",ISOWEEKNUM(A353))</x:f>
        <x:v>26</x:v>
      </x:c>
      <x:c r="D353" s="11">
        <x:f>IF(A353="","",IFERROR(INDEX(Einstellungen!$B$19:$B$118,MATCH(A353,Einstellungen!$A$19:$A$118,0)),""))</x:f>
      </x:c>
      <x:c r="E353" s="17" t="n">
        <x:v>6</x:v>
      </x:c>
      <x:c r="F353" s="17" t="n">
        <x:v>0.5</x:v>
      </x:c>
      <x:c r="G353" s="17" t="n">
        <x:v>1.5</x:v>
      </x:c>
      <x:c r="H353" s="17" t="n">
        <x:v>0.25</x:v>
      </x:c>
      <x:c r="I353" s="17" t="n">
        <x:v>0.25</x:v>
      </x:c>
      <x:c r="J353" s="17">
        <x:f>IF(A353="","",SUM(E353:I353))</x:f>
        <x:v>8.5</x:v>
      </x:c>
    </x:row>
    <x:row r="354">
      <x:c r="A354" s="10">
        <x:f>IF(24&lt;=DAY(EOMONTH(EDATE(Einstellungen!$E$6,9),0)),DATE(YEAR(EDATE(Einstellungen!$E$6,9)),MONTH(EDATE(Einstellungen!$E$6,9)),24),"")</x:f>
        <x:v>46197</x:v>
      </x:c>
      <x:c r="B354" s="12" t="str">
        <x:f>IF(A354="","",CHOOSE(WEEKDAY(A354,2),"Mo","Di","Mi","Do","Fr","Sa","So"))</x:f>
        <x:v>Mi</x:v>
      </x:c>
      <x:c r="C354" s="12">
        <x:f>IF(A354="","",ISOWEEKNUM(A354))</x:f>
        <x:v>26</x:v>
      </x:c>
      <x:c r="D354" s="11">
        <x:f>IF(A354="","",IFERROR(INDEX(Einstellungen!$B$19:$B$118,MATCH(A354,Einstellungen!$A$19:$A$118,0)),""))</x:f>
      </x:c>
      <x:c r="E354" s="17" t="n">
        <x:v>6.5</x:v>
      </x:c>
      <x:c r="F354" s="17" t="n">
        <x:v>0.75</x:v>
      </x:c>
      <x:c r="G354" s="17" t="n">
        <x:v>0.5</x:v>
      </x:c>
      <x:c r="H354" s="17" t="n">
        <x:v>0.25</x:v>
      </x:c>
      <x:c r="I354" s="17" t="n">
        <x:v>0.25</x:v>
      </x:c>
      <x:c r="J354" s="17">
        <x:f>IF(A354="","",SUM(E354:I354))</x:f>
        <x:v>8.25</x:v>
      </x:c>
    </x:row>
    <x:row r="355">
      <x:c r="A355" s="10">
        <x:f>IF(25&lt;=DAY(EOMONTH(EDATE(Einstellungen!$E$6,9),0)),DATE(YEAR(EDATE(Einstellungen!$E$6,9)),MONTH(EDATE(Einstellungen!$E$6,9)),25),"")</x:f>
        <x:v>46198</x:v>
      </x:c>
      <x:c r="B355" s="12" t="str">
        <x:f>IF(A355="","",CHOOSE(WEEKDAY(A355,2),"Mo","Di","Mi","Do","Fr","Sa","So"))</x:f>
        <x:v>Do</x:v>
      </x:c>
      <x:c r="C355" s="12">
        <x:f>IF(A355="","",ISOWEEKNUM(A355))</x:f>
        <x:v>26</x:v>
      </x:c>
      <x:c r="D355" s="11">
        <x:f>IF(A355="","",IFERROR(INDEX(Einstellungen!$B$19:$B$118,MATCH(A355,Einstellungen!$A$19:$A$118,0)),""))</x:f>
      </x:c>
      <x:c r="E355" s="17" t="n">
        <x:v>5.5</x:v>
      </x:c>
      <x:c r="F355" s="17" t="n">
        <x:v>0.5</x:v>
      </x:c>
      <x:c r="G355" s="17" t="n">
        <x:v>1.5</x:v>
      </x:c>
      <x:c r="H355" s="17" t="n">
        <x:v>0.25</x:v>
      </x:c>
      <x:c r="I355" s="17" t="n">
        <x:v>0.5</x:v>
      </x:c>
      <x:c r="J355" s="17">
        <x:f>IF(A355="","",SUM(E355:I355))</x:f>
        <x:v>8.25</x:v>
      </x:c>
    </x:row>
    <x:row r="356">
      <x:c r="A356" s="10">
        <x:f>IF(26&lt;=DAY(EOMONTH(EDATE(Einstellungen!$E$6,9),0)),DATE(YEAR(EDATE(Einstellungen!$E$6,9)),MONTH(EDATE(Einstellungen!$E$6,9)),26),"")</x:f>
        <x:v>46199</x:v>
      </x:c>
      <x:c r="B356" s="12" t="str">
        <x:f>IF(A356="","",CHOOSE(WEEKDAY(A356,2),"Mo","Di","Mi","Do","Fr","Sa","So"))</x:f>
        <x:v>Fr</x:v>
      </x:c>
      <x:c r="C356" s="12">
        <x:f>IF(A356="","",ISOWEEKNUM(A356))</x:f>
        <x:v>26</x:v>
      </x:c>
      <x:c r="D356" s="11">
        <x:f>IF(A356="","",IFERROR(INDEX(Einstellungen!$B$19:$B$118,MATCH(A356,Einstellungen!$A$19:$A$118,0)),""))</x:f>
      </x:c>
      <x:c r="E356" s="17" t="n">
        <x:v>6</x:v>
      </x:c>
      <x:c r="F356" s="17" t="n">
        <x:v>0.5</x:v>
      </x:c>
      <x:c r="G356" s="17" t="n">
        <x:v>0.5</x:v>
      </x:c>
      <x:c r="H356" s="17" t="n">
        <x:v>0.5</x:v>
      </x:c>
      <x:c r="I356" s="17" t="n">
        <x:v>0.25</x:v>
      </x:c>
      <x:c r="J356" s="17">
        <x:f>IF(A356="","",SUM(E356:I356))</x:f>
        <x:v>7.75</x:v>
      </x:c>
    </x:row>
    <x:row r="357">
      <x:c r="A357" s="10">
        <x:f>IF(27&lt;=DAY(EOMONTH(EDATE(Einstellungen!$E$6,9),0)),DATE(YEAR(EDATE(Einstellungen!$E$6,9)),MONTH(EDATE(Einstellungen!$E$6,9)),27),"")</x:f>
        <x:v>46200</x:v>
      </x:c>
      <x:c r="B357" s="12" t="str">
        <x:f>IF(A357="","",CHOOSE(WEEKDAY(A357,2),"Mo","Di","Mi","Do","Fr","Sa","So"))</x:f>
        <x:v>Sa</x:v>
      </x:c>
      <x:c r="C357" s="12">
        <x:f>IF(A357="","",ISOWEEKNUM(A357))</x:f>
        <x:v>26</x:v>
      </x:c>
      <x:c r="D357" s="11">
        <x:f>IF(A357="","",IFERROR(INDEX(Einstellungen!$B$19:$B$118,MATCH(A357,Einstellungen!$A$19:$A$118,0)),""))</x:f>
      </x:c>
      <x:c r="E357" s="18" t="inlineStr">
        <x:is>
          <x:t xml:space="preserve"/>
        </x:is>
      </x:c>
      <x:c r="F357" s="18" t="inlineStr">
        <x:is>
          <x:t xml:space="preserve"/>
        </x:is>
      </x:c>
      <x:c r="G357" s="18" t="inlineStr">
        <x:is>
          <x:t xml:space="preserve"/>
        </x:is>
      </x:c>
      <x:c r="H357" s="18" t="inlineStr">
        <x:is>
          <x:t xml:space="preserve"/>
        </x:is>
      </x:c>
      <x:c r="I357" s="18" t="inlineStr">
        <x:is>
          <x:t xml:space="preserve"/>
        </x:is>
      </x:c>
      <x:c r="J357" s="17">
        <x:f>IF(A357="","",SUM(E357:I357))</x:f>
        <x:v>0</x:v>
      </x:c>
    </x:row>
    <x:row r="358">
      <x:c r="A358" s="10">
        <x:f>IF(28&lt;=DAY(EOMONTH(EDATE(Einstellungen!$E$6,9),0)),DATE(YEAR(EDATE(Einstellungen!$E$6,9)),MONTH(EDATE(Einstellungen!$E$6,9)),28),"")</x:f>
        <x:v>46201</x:v>
      </x:c>
      <x:c r="B358" s="12" t="str">
        <x:f>IF(A358="","",CHOOSE(WEEKDAY(A358,2),"Mo","Di","Mi","Do","Fr","Sa","So"))</x:f>
        <x:v>So</x:v>
      </x:c>
      <x:c r="C358" s="12">
        <x:f>IF(A358="","",ISOWEEKNUM(A358))</x:f>
        <x:v>26</x:v>
      </x:c>
      <x:c r="D358" s="11">
        <x:f>IF(A358="","",IFERROR(INDEX(Einstellungen!$B$19:$B$118,MATCH(A358,Einstellungen!$A$19:$A$118,0)),""))</x:f>
      </x:c>
      <x:c r="E358" s="18" t="inlineStr">
        <x:is>
          <x:t xml:space="preserve"/>
        </x:is>
      </x:c>
      <x:c r="F358" s="18" t="inlineStr">
        <x:is>
          <x:t xml:space="preserve"/>
        </x:is>
      </x:c>
      <x:c r="G358" s="18" t="inlineStr">
        <x:is>
          <x:t xml:space="preserve"/>
        </x:is>
      </x:c>
      <x:c r="H358" s="18" t="inlineStr">
        <x:is>
          <x:t xml:space="preserve"/>
        </x:is>
      </x:c>
      <x:c r="I358" s="18" t="inlineStr">
        <x:is>
          <x:t xml:space="preserve"/>
        </x:is>
      </x:c>
      <x:c r="J358" s="17">
        <x:f>IF(A358="","",SUM(E358:I358))</x:f>
        <x:v>0</x:v>
      </x:c>
    </x:row>
    <x:row r="359">
      <x:c r="A359" s="10">
        <x:f>IF(29&lt;=DAY(EOMONTH(EDATE(Einstellungen!$E$6,9),0)),DATE(YEAR(EDATE(Einstellungen!$E$6,9)),MONTH(EDATE(Einstellungen!$E$6,9)),29),"")</x:f>
        <x:v>46202</x:v>
      </x:c>
      <x:c r="B359" s="12" t="str">
        <x:f>IF(A359="","",CHOOSE(WEEKDAY(A359,2),"Mo","Di","Mi","Do","Fr","Sa","So"))</x:f>
        <x:v>Mo</x:v>
      </x:c>
      <x:c r="C359" s="12">
        <x:f>IF(A359="","",ISOWEEKNUM(A359))</x:f>
        <x:v>27</x:v>
      </x:c>
      <x:c r="D359" s="11">
        <x:f>IF(A359="","",IFERROR(INDEX(Einstellungen!$B$19:$B$118,MATCH(A359,Einstellungen!$A$19:$A$118,0)),""))</x:f>
      </x:c>
      <x:c r="E359" s="17" t="n">
        <x:v>5.5</x:v>
      </x:c>
      <x:c r="F359" s="17" t="n">
        <x:v>0.75</x:v>
      </x:c>
      <x:c r="G359" s="17" t="n">
        <x:v>0.5</x:v>
      </x:c>
      <x:c r="H359" s="17" t="n">
        <x:v>0.5</x:v>
      </x:c>
      <x:c r="I359" s="17" t="n">
        <x:v>0.25</x:v>
      </x:c>
      <x:c r="J359" s="17">
        <x:f>IF(A359="","",SUM(E359:I359))</x:f>
        <x:v>7.5</x:v>
      </x:c>
    </x:row>
    <x:row r="360">
      <x:c r="A360" s="10">
        <x:f>IF(30&lt;=DAY(EOMONTH(EDATE(Einstellungen!$E$6,9),0)),DATE(YEAR(EDATE(Einstellungen!$E$6,9)),MONTH(EDATE(Einstellungen!$E$6,9)),30),"")</x:f>
        <x:v>46203</x:v>
      </x:c>
      <x:c r="B360" s="12" t="str">
        <x:f>IF(A360="","",CHOOSE(WEEKDAY(A360,2),"Mo","Di","Mi","Do","Fr","Sa","So"))</x:f>
        <x:v>Di</x:v>
      </x:c>
      <x:c r="C360" s="12">
        <x:f>IF(A360="","",ISOWEEKNUM(A360))</x:f>
        <x:v>27</x:v>
      </x:c>
      <x:c r="D360" s="11">
        <x:f>IF(A360="","",IFERROR(INDEX(Einstellungen!$B$19:$B$118,MATCH(A360,Einstellungen!$A$19:$A$118,0)),""))</x:f>
      </x:c>
      <x:c r="E360" s="17" t="n">
        <x:v>6</x:v>
      </x:c>
      <x:c r="F360" s="17" t="n">
        <x:v>0.5</x:v>
      </x:c>
      <x:c r="G360" s="17" t="n">
        <x:v>1.5</x:v>
      </x:c>
      <x:c r="H360" s="17" t="n">
        <x:v>0.25</x:v>
      </x:c>
      <x:c r="I360" s="17" t="n">
        <x:v>0.25</x:v>
      </x:c>
      <x:c r="J360" s="17">
        <x:f>IF(A360="","",SUM(E360:I360))</x:f>
        <x:v>8.5</x:v>
      </x:c>
    </x:row>
    <x:row r="361">
      <x:c r="A361" s="10">
        <x:f>IF(31&lt;=DAY(EOMONTH(EDATE(Einstellungen!$E$6,9),0)),DATE(YEAR(EDATE(Einstellungen!$E$6,9)),MONTH(EDATE(Einstellungen!$E$6,9)),31),"")</x:f>
      </x:c>
      <x:c r="B361" s="12">
        <x:f>IF(A361="","",CHOOSE(WEEKDAY(A361,2),"Mo","Di","Mi","Do","Fr","Sa","So"))</x:f>
      </x:c>
      <x:c r="C361" s="12">
        <x:f>IF(A361="","",ISOWEEKNUM(A361))</x:f>
      </x:c>
      <x:c r="D361" s="11">
        <x:f>IF(A361="","",IFERROR(INDEX(Einstellungen!$B$19:$B$118,MATCH(A361,Einstellungen!$A$19:$A$118,0)),""))</x:f>
      </x:c>
      <x:c r="E361" s="18" t="n"/>
      <x:c r="F361" s="18" t="n"/>
      <x:c r="G361" s="18" t="n"/>
      <x:c r="H361" s="18" t="n"/>
      <x:c r="I361" s="18" t="n"/>
      <x:c r="J361" s="17">
        <x:f>IF(A361="","",SUM(E361:I361))</x:f>
      </x:c>
    </x:row>
    <x:row r="362">
      <x:c r="A362" s="4" t="inlineStr">
        <x:is>
          <x:t xml:space="preserve">Monatssumme</x:t>
        </x:is>
      </x:c>
      <x:c r="B362" s="15" t="n"/>
      <x:c r="C362" s="15" t="n"/>
      <x:c r="D362" s="15" t="n"/>
      <x:c r="E362" s="19">
        <x:f>SUM(E331:E361)</x:f>
        <x:v>129.5</x:v>
      </x:c>
      <x:c r="F362" s="19">
        <x:f>SUM(F331:F361)</x:f>
        <x:v>13.25</x:v>
      </x:c>
      <x:c r="G362" s="19">
        <x:f>SUM(G331:G361)</x:f>
        <x:v>20</x:v>
      </x:c>
      <x:c r="H362" s="19">
        <x:f>SUM(H331:H361)</x:f>
        <x:v>7.75</x:v>
      </x:c>
      <x:c r="I362" s="19">
        <x:f>SUM(I331:I361)</x:f>
        <x:v>6.25</x:v>
      </x:c>
      <x:c r="J362" s="19">
        <x:f>SUM(J331:J361)</x:f>
        <x:v>176.75</x:v>
      </x:c>
    </x:row>
    <x:row r="363">
      <x:c r="A363" s="20" t="n"/>
      <x:c r="B363" s="20" t="n"/>
      <x:c r="C363" s="20" t="n"/>
      <x:c r="D363" s="20" t="n"/>
      <x:c r="E363" s="20" t="n"/>
      <x:c r="F363" s="20" t="n"/>
      <x:c r="G363" s="20" t="n"/>
      <x:c r="H363" s="20" t="n"/>
      <x:c r="I363" s="20" t="n"/>
      <x:c r="J363" s="20" t="n"/>
    </x:row>
    <x:row r="364">
      <x:c r="A364" s="20" t="n"/>
      <x:c r="B364" s="20" t="n"/>
      <x:c r="C364" s="20" t="n"/>
      <x:c r="D364" s="20" t="n"/>
      <x:c r="E364" s="20" t="n"/>
      <x:c r="F364" s="20" t="n"/>
      <x:c r="G364" s="20" t="n"/>
      <x:c r="H364" s="20" t="n"/>
      <x:c r="I364" s="20" t="n"/>
      <x:c r="J364" s="20" t="n"/>
    </x:row>
    <x:row r="365">
      <x:c r="A365" s="15" t="str">
        <x:f>INDEX(Einstellungen!$J$2:$J$13,MONTH(EDATE(Einstellungen!$E$6,10)))&amp;" "&amp;YEAR(EDATE(Einstellungen!$E$6,10))</x:f>
        <x:v>Juli 2026</x:v>
      </x:c>
    </x:row>
    <x:row r="366">
      <x:c r="A366" s="16" t="inlineStr">
        <x:is>
          <x:t xml:space="preserve">Datum</x:t>
        </x:is>
      </x:c>
      <x:c r="B366" s="16" t="inlineStr">
        <x:is>
          <x:t xml:space="preserve">Tag</x:t>
        </x:is>
      </x:c>
      <x:c r="C366" s="16" t="inlineStr">
        <x:is>
          <x:t xml:space="preserve">KW</x:t>
        </x:is>
      </x:c>
      <x:c r="D366" s="16" t="inlineStr">
        <x:is>
          <x:t xml:space="preserve">Feiertag / Termin</x:t>
        </x:is>
      </x:c>
      <x:c r="E366" s="16" t="str">
        <x:f>Einstellungen!$B$11</x:f>
        <x:v>Arbeitszeit</x:v>
      </x:c>
      <x:c r="F366" s="16" t="str">
        <x:f>Einstellungen!$B$12</x:f>
        <x:v>E-Mail</x:v>
      </x:c>
      <x:c r="G366" s="16" t="str">
        <x:f>Einstellungen!$B$13</x:f>
        <x:v>Meetings</x:v>
      </x:c>
      <x:c r="H366" s="16" t="str">
        <x:f>Einstellungen!$B$14</x:f>
        <x:v>Telefonate</x:v>
      </x:c>
      <x:c r="I366" s="16" t="str">
        <x:f>Einstellungen!$B$15</x:f>
        <x:v>Sonstiges</x:v>
      </x:c>
      <x:c r="J366" s="16" t="inlineStr">
        <x:is>
          <x:t xml:space="preserve">Gesamt</x:t>
        </x:is>
      </x:c>
    </x:row>
    <x:row r="367">
      <x:c r="A367" s="10">
        <x:f>IF(1&lt;=DAY(EOMONTH(EDATE(Einstellungen!$E$6,10),0)),DATE(YEAR(EDATE(Einstellungen!$E$6,10)),MONTH(EDATE(Einstellungen!$E$6,10)),1),"")</x:f>
        <x:v>46204</x:v>
      </x:c>
      <x:c r="B367" s="12" t="str">
        <x:f>IF(A367="","",CHOOSE(WEEKDAY(A367,2),"Mo","Di","Mi","Do","Fr","Sa","So"))</x:f>
        <x:v>Mi</x:v>
      </x:c>
      <x:c r="C367" s="12">
        <x:f>IF(A367="","",ISOWEEKNUM(A367))</x:f>
        <x:v>27</x:v>
      </x:c>
      <x:c r="D367" s="11">
        <x:f>IF(A367="","",IFERROR(INDEX(Einstellungen!$B$19:$B$118,MATCH(A367,Einstellungen!$A$19:$A$118,0)),""))</x:f>
      </x:c>
      <x:c r="E367" s="17" t="n">
        <x:v>6.5</x:v>
      </x:c>
      <x:c r="F367" s="17" t="n">
        <x:v>0.75</x:v>
      </x:c>
      <x:c r="G367" s="17" t="n">
        <x:v>0.5</x:v>
      </x:c>
      <x:c r="H367" s="17" t="n">
        <x:v>0.25</x:v>
      </x:c>
      <x:c r="I367" s="17" t="n">
        <x:v>0.25</x:v>
      </x:c>
      <x:c r="J367" s="17">
        <x:f>IF(A367="","",SUM(E367:I367))</x:f>
        <x:v>8.25</x:v>
      </x:c>
    </x:row>
    <x:row r="368">
      <x:c r="A368" s="10">
        <x:f>IF(2&lt;=DAY(EOMONTH(EDATE(Einstellungen!$E$6,10),0)),DATE(YEAR(EDATE(Einstellungen!$E$6,10)),MONTH(EDATE(Einstellungen!$E$6,10)),2),"")</x:f>
        <x:v>46205</x:v>
      </x:c>
      <x:c r="B368" s="12" t="str">
        <x:f>IF(A368="","",CHOOSE(WEEKDAY(A368,2),"Mo","Di","Mi","Do","Fr","Sa","So"))</x:f>
        <x:v>Do</x:v>
      </x:c>
      <x:c r="C368" s="12">
        <x:f>IF(A368="","",ISOWEEKNUM(A368))</x:f>
        <x:v>27</x:v>
      </x:c>
      <x:c r="D368" s="11">
        <x:f>IF(A368="","",IFERROR(INDEX(Einstellungen!$B$19:$B$118,MATCH(A368,Einstellungen!$A$19:$A$118,0)),""))</x:f>
      </x:c>
      <x:c r="E368" s="17" t="n">
        <x:v>5.5</x:v>
      </x:c>
      <x:c r="F368" s="17" t="n">
        <x:v>0.5</x:v>
      </x:c>
      <x:c r="G368" s="17" t="n">
        <x:v>1.5</x:v>
      </x:c>
      <x:c r="H368" s="17" t="n">
        <x:v>0.25</x:v>
      </x:c>
      <x:c r="I368" s="17" t="n">
        <x:v>0.25</x:v>
      </x:c>
      <x:c r="J368" s="17">
        <x:f>IF(A368="","",SUM(E368:I368))</x:f>
        <x:v>8</x:v>
      </x:c>
    </x:row>
    <x:row r="369">
      <x:c r="A369" s="10">
        <x:f>IF(3&lt;=DAY(EOMONTH(EDATE(Einstellungen!$E$6,10),0)),DATE(YEAR(EDATE(Einstellungen!$E$6,10)),MONTH(EDATE(Einstellungen!$E$6,10)),3),"")</x:f>
        <x:v>46206</x:v>
      </x:c>
      <x:c r="B369" s="12" t="str">
        <x:f>IF(A369="","",CHOOSE(WEEKDAY(A369,2),"Mo","Di","Mi","Do","Fr","Sa","So"))</x:f>
        <x:v>Fr</x:v>
      </x:c>
      <x:c r="C369" s="12">
        <x:f>IF(A369="","",ISOWEEKNUM(A369))</x:f>
        <x:v>27</x:v>
      </x:c>
      <x:c r="D369" s="11">
        <x:f>IF(A369="","",IFERROR(INDEX(Einstellungen!$B$19:$B$118,MATCH(A369,Einstellungen!$A$19:$A$118,0)),""))</x:f>
      </x:c>
      <x:c r="E369" s="17" t="n">
        <x:v>6</x:v>
      </x:c>
      <x:c r="F369" s="17" t="n">
        <x:v>0.5</x:v>
      </x:c>
      <x:c r="G369" s="17" t="n">
        <x:v>0.5</x:v>
      </x:c>
      <x:c r="H369" s="17" t="n">
        <x:v>0.5</x:v>
      </x:c>
      <x:c r="I369" s="17" t="n">
        <x:v>0.25</x:v>
      </x:c>
      <x:c r="J369" s="17">
        <x:f>IF(A369="","",SUM(E369:I369))</x:f>
        <x:v>7.75</x:v>
      </x:c>
    </x:row>
    <x:row r="370">
      <x:c r="A370" s="10">
        <x:f>IF(4&lt;=DAY(EOMONTH(EDATE(Einstellungen!$E$6,10),0)),DATE(YEAR(EDATE(Einstellungen!$E$6,10)),MONTH(EDATE(Einstellungen!$E$6,10)),4),"")</x:f>
        <x:v>46207</x:v>
      </x:c>
      <x:c r="B370" s="12" t="str">
        <x:f>IF(A370="","",CHOOSE(WEEKDAY(A370,2),"Mo","Di","Mi","Do","Fr","Sa","So"))</x:f>
        <x:v>Sa</x:v>
      </x:c>
      <x:c r="C370" s="12">
        <x:f>IF(A370="","",ISOWEEKNUM(A370))</x:f>
        <x:v>27</x:v>
      </x:c>
      <x:c r="D370" s="11">
        <x:f>IF(A370="","",IFERROR(INDEX(Einstellungen!$B$19:$B$118,MATCH(A370,Einstellungen!$A$19:$A$118,0)),""))</x:f>
      </x:c>
      <x:c r="E370" s="18" t="inlineStr">
        <x:is>
          <x:t xml:space="preserve"/>
        </x:is>
      </x:c>
      <x:c r="F370" s="18" t="inlineStr">
        <x:is>
          <x:t xml:space="preserve"/>
        </x:is>
      </x:c>
      <x:c r="G370" s="18" t="inlineStr">
        <x:is>
          <x:t xml:space="preserve"/>
        </x:is>
      </x:c>
      <x:c r="H370" s="18" t="inlineStr">
        <x:is>
          <x:t xml:space="preserve"/>
        </x:is>
      </x:c>
      <x:c r="I370" s="18" t="inlineStr">
        <x:is>
          <x:t xml:space="preserve"/>
        </x:is>
      </x:c>
      <x:c r="J370" s="17">
        <x:f>IF(A370="","",SUM(E370:I370))</x:f>
        <x:v>0</x:v>
      </x:c>
    </x:row>
    <x:row r="371">
      <x:c r="A371" s="10">
        <x:f>IF(5&lt;=DAY(EOMONTH(EDATE(Einstellungen!$E$6,10),0)),DATE(YEAR(EDATE(Einstellungen!$E$6,10)),MONTH(EDATE(Einstellungen!$E$6,10)),5),"")</x:f>
        <x:v>46208</x:v>
      </x:c>
      <x:c r="B371" s="12" t="str">
        <x:f>IF(A371="","",CHOOSE(WEEKDAY(A371,2),"Mo","Di","Mi","Do","Fr","Sa","So"))</x:f>
        <x:v>So</x:v>
      </x:c>
      <x:c r="C371" s="12">
        <x:f>IF(A371="","",ISOWEEKNUM(A371))</x:f>
        <x:v>27</x:v>
      </x:c>
      <x:c r="D371" s="11">
        <x:f>IF(A371="","",IFERROR(INDEX(Einstellungen!$B$19:$B$118,MATCH(A371,Einstellungen!$A$19:$A$118,0)),""))</x:f>
      </x:c>
      <x:c r="E371" s="18" t="inlineStr">
        <x:is>
          <x:t xml:space="preserve"/>
        </x:is>
      </x:c>
      <x:c r="F371" s="18" t="inlineStr">
        <x:is>
          <x:t xml:space="preserve"/>
        </x:is>
      </x:c>
      <x:c r="G371" s="18" t="inlineStr">
        <x:is>
          <x:t xml:space="preserve"/>
        </x:is>
      </x:c>
      <x:c r="H371" s="18" t="inlineStr">
        <x:is>
          <x:t xml:space="preserve"/>
        </x:is>
      </x:c>
      <x:c r="I371" s="18" t="inlineStr">
        <x:is>
          <x:t xml:space="preserve"/>
        </x:is>
      </x:c>
      <x:c r="J371" s="17">
        <x:f>IF(A371="","",SUM(E371:I371))</x:f>
        <x:v>0</x:v>
      </x:c>
    </x:row>
    <x:row r="372">
      <x:c r="A372" s="10">
        <x:f>IF(6&lt;=DAY(EOMONTH(EDATE(Einstellungen!$E$6,10),0)),DATE(YEAR(EDATE(Einstellungen!$E$6,10)),MONTH(EDATE(Einstellungen!$E$6,10)),6),"")</x:f>
        <x:v>46209</x:v>
      </x:c>
      <x:c r="B372" s="12" t="str">
        <x:f>IF(A372="","",CHOOSE(WEEKDAY(A372,2),"Mo","Di","Mi","Do","Fr","Sa","So"))</x:f>
        <x:v>Mo</x:v>
      </x:c>
      <x:c r="C372" s="12">
        <x:f>IF(A372="","",ISOWEEKNUM(A372))</x:f>
        <x:v>28</x:v>
      </x:c>
      <x:c r="D372" s="11">
        <x:f>IF(A372="","",IFERROR(INDEX(Einstellungen!$B$19:$B$118,MATCH(A372,Einstellungen!$A$19:$A$118,0)),""))</x:f>
      </x:c>
      <x:c r="E372" s="17" t="n">
        <x:v>5.5</x:v>
      </x:c>
      <x:c r="F372" s="17" t="n">
        <x:v>0.75</x:v>
      </x:c>
      <x:c r="G372" s="17" t="n">
        <x:v>0.5</x:v>
      </x:c>
      <x:c r="H372" s="17" t="n">
        <x:v>0.5</x:v>
      </x:c>
      <x:c r="I372" s="17" t="n">
        <x:v>0.25</x:v>
      </x:c>
      <x:c r="J372" s="17">
        <x:f>IF(A372="","",SUM(E372:I372))</x:f>
        <x:v>7.5</x:v>
      </x:c>
    </x:row>
    <x:row r="373">
      <x:c r="A373" s="10">
        <x:f>IF(7&lt;=DAY(EOMONTH(EDATE(Einstellungen!$E$6,10),0)),DATE(YEAR(EDATE(Einstellungen!$E$6,10)),MONTH(EDATE(Einstellungen!$E$6,10)),7),"")</x:f>
        <x:v>46210</x:v>
      </x:c>
      <x:c r="B373" s="12" t="str">
        <x:f>IF(A373="","",CHOOSE(WEEKDAY(A373,2),"Mo","Di","Mi","Do","Fr","Sa","So"))</x:f>
        <x:v>Di</x:v>
      </x:c>
      <x:c r="C373" s="12">
        <x:f>IF(A373="","",ISOWEEKNUM(A373))</x:f>
        <x:v>28</x:v>
      </x:c>
      <x:c r="D373" s="11">
        <x:f>IF(A373="","",IFERROR(INDEX(Einstellungen!$B$19:$B$118,MATCH(A373,Einstellungen!$A$19:$A$118,0)),""))</x:f>
      </x:c>
      <x:c r="E373" s="17" t="n">
        <x:v>6</x:v>
      </x:c>
      <x:c r="F373" s="17" t="n">
        <x:v>0.5</x:v>
      </x:c>
      <x:c r="G373" s="17" t="n">
        <x:v>1.5</x:v>
      </x:c>
      <x:c r="H373" s="17" t="n">
        <x:v>0.25</x:v>
      </x:c>
      <x:c r="I373" s="17" t="n">
        <x:v>0.25</x:v>
      </x:c>
      <x:c r="J373" s="17">
        <x:f>IF(A373="","",SUM(E373:I373))</x:f>
        <x:v>8.5</x:v>
      </x:c>
    </x:row>
    <x:row r="374">
      <x:c r="A374" s="10">
        <x:f>IF(8&lt;=DAY(EOMONTH(EDATE(Einstellungen!$E$6,10),0)),DATE(YEAR(EDATE(Einstellungen!$E$6,10)),MONTH(EDATE(Einstellungen!$E$6,10)),8),"")</x:f>
        <x:v>46211</x:v>
      </x:c>
      <x:c r="B374" s="12" t="str">
        <x:f>IF(A374="","",CHOOSE(WEEKDAY(A374,2),"Mo","Di","Mi","Do","Fr","Sa","So"))</x:f>
        <x:v>Mi</x:v>
      </x:c>
      <x:c r="C374" s="12">
        <x:f>IF(A374="","",ISOWEEKNUM(A374))</x:f>
        <x:v>28</x:v>
      </x:c>
      <x:c r="D374" s="11">
        <x:f>IF(A374="","",IFERROR(INDEX(Einstellungen!$B$19:$B$118,MATCH(A374,Einstellungen!$A$19:$A$118,0)),""))</x:f>
      </x:c>
      <x:c r="E374" s="17" t="n">
        <x:v>6.5</x:v>
      </x:c>
      <x:c r="F374" s="17" t="n">
        <x:v>0.75</x:v>
      </x:c>
      <x:c r="G374" s="17" t="n">
        <x:v>0.5</x:v>
      </x:c>
      <x:c r="H374" s="17" t="n">
        <x:v>0.25</x:v>
      </x:c>
      <x:c r="I374" s="17" t="n">
        <x:v>0.25</x:v>
      </x:c>
      <x:c r="J374" s="17">
        <x:f>IF(A374="","",SUM(E374:I374))</x:f>
        <x:v>8.25</x:v>
      </x:c>
    </x:row>
    <x:row r="375">
      <x:c r="A375" s="10">
        <x:f>IF(9&lt;=DAY(EOMONTH(EDATE(Einstellungen!$E$6,10),0)),DATE(YEAR(EDATE(Einstellungen!$E$6,10)),MONTH(EDATE(Einstellungen!$E$6,10)),9),"")</x:f>
        <x:v>46212</x:v>
      </x:c>
      <x:c r="B375" s="12" t="str">
        <x:f>IF(A375="","",CHOOSE(WEEKDAY(A375,2),"Mo","Di","Mi","Do","Fr","Sa","So"))</x:f>
        <x:v>Do</x:v>
      </x:c>
      <x:c r="C375" s="12">
        <x:f>IF(A375="","",ISOWEEKNUM(A375))</x:f>
        <x:v>28</x:v>
      </x:c>
      <x:c r="D375" s="11">
        <x:f>IF(A375="","",IFERROR(INDEX(Einstellungen!$B$19:$B$118,MATCH(A375,Einstellungen!$A$19:$A$118,0)),""))</x:f>
      </x:c>
      <x:c r="E375" s="17" t="n">
        <x:v>5.5</x:v>
      </x:c>
      <x:c r="F375" s="17" t="n">
        <x:v>0.5</x:v>
      </x:c>
      <x:c r="G375" s="17" t="n">
        <x:v>1.5</x:v>
      </x:c>
      <x:c r="H375" s="17" t="n">
        <x:v>0.25</x:v>
      </x:c>
      <x:c r="I375" s="17" t="n">
        <x:v>0.25</x:v>
      </x:c>
      <x:c r="J375" s="17">
        <x:f>IF(A375="","",SUM(E375:I375))</x:f>
        <x:v>8</x:v>
      </x:c>
    </x:row>
    <x:row r="376">
      <x:c r="A376" s="10">
        <x:f>IF(10&lt;=DAY(EOMONTH(EDATE(Einstellungen!$E$6,10),0)),DATE(YEAR(EDATE(Einstellungen!$E$6,10)),MONTH(EDATE(Einstellungen!$E$6,10)),10),"")</x:f>
        <x:v>46213</x:v>
      </x:c>
      <x:c r="B376" s="12" t="str">
        <x:f>IF(A376="","",CHOOSE(WEEKDAY(A376,2),"Mo","Di","Mi","Do","Fr","Sa","So"))</x:f>
        <x:v>Fr</x:v>
      </x:c>
      <x:c r="C376" s="12">
        <x:f>IF(A376="","",ISOWEEKNUM(A376))</x:f>
        <x:v>28</x:v>
      </x:c>
      <x:c r="D376" s="11">
        <x:f>IF(A376="","",IFERROR(INDEX(Einstellungen!$B$19:$B$118,MATCH(A376,Einstellungen!$A$19:$A$118,0)),""))</x:f>
      </x:c>
      <x:c r="E376" s="17" t="n">
        <x:v>6</x:v>
      </x:c>
      <x:c r="F376" s="17" t="n">
        <x:v>0.5</x:v>
      </x:c>
      <x:c r="G376" s="17" t="n">
        <x:v>0.5</x:v>
      </x:c>
      <x:c r="H376" s="17" t="n">
        <x:v>0.5</x:v>
      </x:c>
      <x:c r="I376" s="17" t="n">
        <x:v>0.25</x:v>
      </x:c>
      <x:c r="J376" s="17">
        <x:f>IF(A376="","",SUM(E376:I376))</x:f>
        <x:v>7.75</x:v>
      </x:c>
    </x:row>
    <x:row r="377">
      <x:c r="A377" s="10">
        <x:f>IF(11&lt;=DAY(EOMONTH(EDATE(Einstellungen!$E$6,10),0)),DATE(YEAR(EDATE(Einstellungen!$E$6,10)),MONTH(EDATE(Einstellungen!$E$6,10)),11),"")</x:f>
        <x:v>46214</x:v>
      </x:c>
      <x:c r="B377" s="12" t="str">
        <x:f>IF(A377="","",CHOOSE(WEEKDAY(A377,2),"Mo","Di","Mi","Do","Fr","Sa","So"))</x:f>
        <x:v>Sa</x:v>
      </x:c>
      <x:c r="C377" s="12">
        <x:f>IF(A377="","",ISOWEEKNUM(A377))</x:f>
        <x:v>28</x:v>
      </x:c>
      <x:c r="D377" s="11">
        <x:f>IF(A377="","",IFERROR(INDEX(Einstellungen!$B$19:$B$118,MATCH(A377,Einstellungen!$A$19:$A$118,0)),""))</x:f>
      </x:c>
      <x:c r="E377" s="18" t="inlineStr">
        <x:is>
          <x:t xml:space="preserve"/>
        </x:is>
      </x:c>
      <x:c r="F377" s="18" t="inlineStr">
        <x:is>
          <x:t xml:space="preserve"/>
        </x:is>
      </x:c>
      <x:c r="G377" s="18" t="inlineStr">
        <x:is>
          <x:t xml:space="preserve"/>
        </x:is>
      </x:c>
      <x:c r="H377" s="18" t="inlineStr">
        <x:is>
          <x:t xml:space="preserve"/>
        </x:is>
      </x:c>
      <x:c r="I377" s="18" t="inlineStr">
        <x:is>
          <x:t xml:space="preserve"/>
        </x:is>
      </x:c>
      <x:c r="J377" s="17">
        <x:f>IF(A377="","",SUM(E377:I377))</x:f>
        <x:v>0</x:v>
      </x:c>
    </x:row>
    <x:row r="378">
      <x:c r="A378" s="10">
        <x:f>IF(12&lt;=DAY(EOMONTH(EDATE(Einstellungen!$E$6,10),0)),DATE(YEAR(EDATE(Einstellungen!$E$6,10)),MONTH(EDATE(Einstellungen!$E$6,10)),12),"")</x:f>
        <x:v>46215</x:v>
      </x:c>
      <x:c r="B378" s="12" t="str">
        <x:f>IF(A378="","",CHOOSE(WEEKDAY(A378,2),"Mo","Di","Mi","Do","Fr","Sa","So"))</x:f>
        <x:v>So</x:v>
      </x:c>
      <x:c r="C378" s="12">
        <x:f>IF(A378="","",ISOWEEKNUM(A378))</x:f>
        <x:v>28</x:v>
      </x:c>
      <x:c r="D378" s="11">
        <x:f>IF(A378="","",IFERROR(INDEX(Einstellungen!$B$19:$B$118,MATCH(A378,Einstellungen!$A$19:$A$118,0)),""))</x:f>
      </x:c>
      <x:c r="E378" s="18" t="inlineStr">
        <x:is>
          <x:t xml:space="preserve"/>
        </x:is>
      </x:c>
      <x:c r="F378" s="18" t="inlineStr">
        <x:is>
          <x:t xml:space="preserve"/>
        </x:is>
      </x:c>
      <x:c r="G378" s="18" t="inlineStr">
        <x:is>
          <x:t xml:space="preserve"/>
        </x:is>
      </x:c>
      <x:c r="H378" s="18" t="inlineStr">
        <x:is>
          <x:t xml:space="preserve"/>
        </x:is>
      </x:c>
      <x:c r="I378" s="18" t="inlineStr">
        <x:is>
          <x:t xml:space="preserve"/>
        </x:is>
      </x:c>
      <x:c r="J378" s="17">
        <x:f>IF(A378="","",SUM(E378:I378))</x:f>
        <x:v>0</x:v>
      </x:c>
    </x:row>
    <x:row r="379">
      <x:c r="A379" s="10">
        <x:f>IF(13&lt;=DAY(EOMONTH(EDATE(Einstellungen!$E$6,10),0)),DATE(YEAR(EDATE(Einstellungen!$E$6,10)),MONTH(EDATE(Einstellungen!$E$6,10)),13),"")</x:f>
        <x:v>46216</x:v>
      </x:c>
      <x:c r="B379" s="12" t="str">
        <x:f>IF(A379="","",CHOOSE(WEEKDAY(A379,2),"Mo","Di","Mi","Do","Fr","Sa","So"))</x:f>
        <x:v>Mo</x:v>
      </x:c>
      <x:c r="C379" s="12">
        <x:f>IF(A379="","",ISOWEEKNUM(A379))</x:f>
        <x:v>29</x:v>
      </x:c>
      <x:c r="D379" s="11">
        <x:f>IF(A379="","",IFERROR(INDEX(Einstellungen!$B$19:$B$118,MATCH(A379,Einstellungen!$A$19:$A$118,0)),""))</x:f>
      </x:c>
      <x:c r="E379" s="17" t="n">
        <x:v>5.5</x:v>
      </x:c>
      <x:c r="F379" s="17" t="n">
        <x:v>0.75</x:v>
      </x:c>
      <x:c r="G379" s="17" t="n">
        <x:v>0.5</x:v>
      </x:c>
      <x:c r="H379" s="17" t="n">
        <x:v>0.5</x:v>
      </x:c>
      <x:c r="I379" s="17" t="n">
        <x:v>0.25</x:v>
      </x:c>
      <x:c r="J379" s="17">
        <x:f>IF(A379="","",SUM(E379:I379))</x:f>
        <x:v>7.5</x:v>
      </x:c>
    </x:row>
    <x:row r="380">
      <x:c r="A380" s="10">
        <x:f>IF(14&lt;=DAY(EOMONTH(EDATE(Einstellungen!$E$6,10),0)),DATE(YEAR(EDATE(Einstellungen!$E$6,10)),MONTH(EDATE(Einstellungen!$E$6,10)),14),"")</x:f>
        <x:v>46217</x:v>
      </x:c>
      <x:c r="B380" s="12" t="str">
        <x:f>IF(A380="","",CHOOSE(WEEKDAY(A380,2),"Mo","Di","Mi","Do","Fr","Sa","So"))</x:f>
        <x:v>Di</x:v>
      </x:c>
      <x:c r="C380" s="12">
        <x:f>IF(A380="","",ISOWEEKNUM(A380))</x:f>
        <x:v>29</x:v>
      </x:c>
      <x:c r="D380" s="11">
        <x:f>IF(A380="","",IFERROR(INDEX(Einstellungen!$B$19:$B$118,MATCH(A380,Einstellungen!$A$19:$A$118,0)),""))</x:f>
      </x:c>
      <x:c r="E380" s="17" t="n">
        <x:v>6</x:v>
      </x:c>
      <x:c r="F380" s="17" t="n">
        <x:v>0.5</x:v>
      </x:c>
      <x:c r="G380" s="17" t="n">
        <x:v>1.5</x:v>
      </x:c>
      <x:c r="H380" s="17" t="n">
        <x:v>0.25</x:v>
      </x:c>
      <x:c r="I380" s="17" t="n">
        <x:v>0.25</x:v>
      </x:c>
      <x:c r="J380" s="17">
        <x:f>IF(A380="","",SUM(E380:I380))</x:f>
        <x:v>8.5</x:v>
      </x:c>
    </x:row>
    <x:row r="381">
      <x:c r="A381" s="10">
        <x:f>IF(15&lt;=DAY(EOMONTH(EDATE(Einstellungen!$E$6,10),0)),DATE(YEAR(EDATE(Einstellungen!$E$6,10)),MONTH(EDATE(Einstellungen!$E$6,10)),15),"")</x:f>
        <x:v>46218</x:v>
      </x:c>
      <x:c r="B381" s="12" t="str">
        <x:f>IF(A381="","",CHOOSE(WEEKDAY(A381,2),"Mo","Di","Mi","Do","Fr","Sa","So"))</x:f>
        <x:v>Mi</x:v>
      </x:c>
      <x:c r="C381" s="12">
        <x:f>IF(A381="","",ISOWEEKNUM(A381))</x:f>
        <x:v>29</x:v>
      </x:c>
      <x:c r="D381" s="11">
        <x:f>IF(A381="","",IFERROR(INDEX(Einstellungen!$B$19:$B$118,MATCH(A381,Einstellungen!$A$19:$A$118,0)),""))</x:f>
      </x:c>
      <x:c r="E381" s="17" t="n">
        <x:v>6.5</x:v>
      </x:c>
      <x:c r="F381" s="17" t="n">
        <x:v>0.75</x:v>
      </x:c>
      <x:c r="G381" s="17" t="n">
        <x:v>0.5</x:v>
      </x:c>
      <x:c r="H381" s="17" t="n">
        <x:v>0.25</x:v>
      </x:c>
      <x:c r="I381" s="17" t="n">
        <x:v>0.5</x:v>
      </x:c>
      <x:c r="J381" s="17">
        <x:f>IF(A381="","",SUM(E381:I381))</x:f>
        <x:v>8.5</x:v>
      </x:c>
    </x:row>
    <x:row r="382">
      <x:c r="A382" s="10">
        <x:f>IF(16&lt;=DAY(EOMONTH(EDATE(Einstellungen!$E$6,10),0)),DATE(YEAR(EDATE(Einstellungen!$E$6,10)),MONTH(EDATE(Einstellungen!$E$6,10)),16),"")</x:f>
        <x:v>46219</x:v>
      </x:c>
      <x:c r="B382" s="12" t="str">
        <x:f>IF(A382="","",CHOOSE(WEEKDAY(A382,2),"Mo","Di","Mi","Do","Fr","Sa","So"))</x:f>
        <x:v>Do</x:v>
      </x:c>
      <x:c r="C382" s="12">
        <x:f>IF(A382="","",ISOWEEKNUM(A382))</x:f>
        <x:v>29</x:v>
      </x:c>
      <x:c r="D382" s="11">
        <x:f>IF(A382="","",IFERROR(INDEX(Einstellungen!$B$19:$B$118,MATCH(A382,Einstellungen!$A$19:$A$118,0)),""))</x:f>
      </x:c>
      <x:c r="E382" s="17" t="n">
        <x:v>5.5</x:v>
      </x:c>
      <x:c r="F382" s="17" t="n">
        <x:v>0.5</x:v>
      </x:c>
      <x:c r="G382" s="17" t="n">
        <x:v>1.5</x:v>
      </x:c>
      <x:c r="H382" s="17" t="n">
        <x:v>0.25</x:v>
      </x:c>
      <x:c r="I382" s="17" t="n">
        <x:v>0.25</x:v>
      </x:c>
      <x:c r="J382" s="17">
        <x:f>IF(A382="","",SUM(E382:I382))</x:f>
        <x:v>8</x:v>
      </x:c>
    </x:row>
    <x:row r="383">
      <x:c r="A383" s="10">
        <x:f>IF(17&lt;=DAY(EOMONTH(EDATE(Einstellungen!$E$6,10),0)),DATE(YEAR(EDATE(Einstellungen!$E$6,10)),MONTH(EDATE(Einstellungen!$E$6,10)),17),"")</x:f>
        <x:v>46220</x:v>
      </x:c>
      <x:c r="B383" s="12" t="str">
        <x:f>IF(A383="","",CHOOSE(WEEKDAY(A383,2),"Mo","Di","Mi","Do","Fr","Sa","So"))</x:f>
        <x:v>Fr</x:v>
      </x:c>
      <x:c r="C383" s="12">
        <x:f>IF(A383="","",ISOWEEKNUM(A383))</x:f>
        <x:v>29</x:v>
      </x:c>
      <x:c r="D383" s="11">
        <x:f>IF(A383="","",IFERROR(INDEX(Einstellungen!$B$19:$B$118,MATCH(A383,Einstellungen!$A$19:$A$118,0)),""))</x:f>
      </x:c>
      <x:c r="E383" s="17" t="n">
        <x:v>6</x:v>
      </x:c>
      <x:c r="F383" s="17" t="n">
        <x:v>0.5</x:v>
      </x:c>
      <x:c r="G383" s="17" t="n">
        <x:v>0.5</x:v>
      </x:c>
      <x:c r="H383" s="17" t="n">
        <x:v>0.5</x:v>
      </x:c>
      <x:c r="I383" s="17" t="n">
        <x:v>0.25</x:v>
      </x:c>
      <x:c r="J383" s="17">
        <x:f>IF(A383="","",SUM(E383:I383))</x:f>
        <x:v>7.75</x:v>
      </x:c>
    </x:row>
    <x:row r="384">
      <x:c r="A384" s="10">
        <x:f>IF(18&lt;=DAY(EOMONTH(EDATE(Einstellungen!$E$6,10),0)),DATE(YEAR(EDATE(Einstellungen!$E$6,10)),MONTH(EDATE(Einstellungen!$E$6,10)),18),"")</x:f>
        <x:v>46221</x:v>
      </x:c>
      <x:c r="B384" s="12" t="str">
        <x:f>IF(A384="","",CHOOSE(WEEKDAY(A384,2),"Mo","Di","Mi","Do","Fr","Sa","So"))</x:f>
        <x:v>Sa</x:v>
      </x:c>
      <x:c r="C384" s="12">
        <x:f>IF(A384="","",ISOWEEKNUM(A384))</x:f>
        <x:v>29</x:v>
      </x:c>
      <x:c r="D384" s="11">
        <x:f>IF(A384="","",IFERROR(INDEX(Einstellungen!$B$19:$B$118,MATCH(A384,Einstellungen!$A$19:$A$118,0)),""))</x:f>
      </x:c>
      <x:c r="E384" s="18" t="inlineStr">
        <x:is>
          <x:t xml:space="preserve"/>
        </x:is>
      </x:c>
      <x:c r="F384" s="18" t="inlineStr">
        <x:is>
          <x:t xml:space="preserve"/>
        </x:is>
      </x:c>
      <x:c r="G384" s="18" t="inlineStr">
        <x:is>
          <x:t xml:space="preserve"/>
        </x:is>
      </x:c>
      <x:c r="H384" s="18" t="inlineStr">
        <x:is>
          <x:t xml:space="preserve"/>
        </x:is>
      </x:c>
      <x:c r="I384" s="18" t="inlineStr">
        <x:is>
          <x:t xml:space="preserve"/>
        </x:is>
      </x:c>
      <x:c r="J384" s="17">
        <x:f>IF(A384="","",SUM(E384:I384))</x:f>
        <x:v>0</x:v>
      </x:c>
    </x:row>
    <x:row r="385">
      <x:c r="A385" s="10">
        <x:f>IF(19&lt;=DAY(EOMONTH(EDATE(Einstellungen!$E$6,10),0)),DATE(YEAR(EDATE(Einstellungen!$E$6,10)),MONTH(EDATE(Einstellungen!$E$6,10)),19),"")</x:f>
        <x:v>46222</x:v>
      </x:c>
      <x:c r="B385" s="12" t="str">
        <x:f>IF(A385="","",CHOOSE(WEEKDAY(A385,2),"Mo","Di","Mi","Do","Fr","Sa","So"))</x:f>
        <x:v>So</x:v>
      </x:c>
      <x:c r="C385" s="12">
        <x:f>IF(A385="","",ISOWEEKNUM(A385))</x:f>
        <x:v>29</x:v>
      </x:c>
      <x:c r="D385" s="11">
        <x:f>IF(A385="","",IFERROR(INDEX(Einstellungen!$B$19:$B$118,MATCH(A385,Einstellungen!$A$19:$A$118,0)),""))</x:f>
      </x:c>
      <x:c r="E385" s="18" t="inlineStr">
        <x:is>
          <x:t xml:space="preserve"/>
        </x:is>
      </x:c>
      <x:c r="F385" s="18" t="inlineStr">
        <x:is>
          <x:t xml:space="preserve"/>
        </x:is>
      </x:c>
      <x:c r="G385" s="18" t="inlineStr">
        <x:is>
          <x:t xml:space="preserve"/>
        </x:is>
      </x:c>
      <x:c r="H385" s="18" t="inlineStr">
        <x:is>
          <x:t xml:space="preserve"/>
        </x:is>
      </x:c>
      <x:c r="I385" s="18" t="inlineStr">
        <x:is>
          <x:t xml:space="preserve"/>
        </x:is>
      </x:c>
      <x:c r="J385" s="17">
        <x:f>IF(A385="","",SUM(E385:I385))</x:f>
        <x:v>0</x:v>
      </x:c>
    </x:row>
    <x:row r="386">
      <x:c r="A386" s="10">
        <x:f>IF(20&lt;=DAY(EOMONTH(EDATE(Einstellungen!$E$6,10),0)),DATE(YEAR(EDATE(Einstellungen!$E$6,10)),MONTH(EDATE(Einstellungen!$E$6,10)),20),"")</x:f>
        <x:v>46223</x:v>
      </x:c>
      <x:c r="B386" s="12" t="str">
        <x:f>IF(A386="","",CHOOSE(WEEKDAY(A386,2),"Mo","Di","Mi","Do","Fr","Sa","So"))</x:f>
        <x:v>Mo</x:v>
      </x:c>
      <x:c r="C386" s="12">
        <x:f>IF(A386="","",ISOWEEKNUM(A386))</x:f>
        <x:v>30</x:v>
      </x:c>
      <x:c r="D386" s="11">
        <x:f>IF(A386="","",IFERROR(INDEX(Einstellungen!$B$19:$B$118,MATCH(A386,Einstellungen!$A$19:$A$118,0)),""))</x:f>
      </x:c>
      <x:c r="E386" s="17" t="n">
        <x:v>5.5</x:v>
      </x:c>
      <x:c r="F386" s="17" t="n">
        <x:v>0.75</x:v>
      </x:c>
      <x:c r="G386" s="17" t="n">
        <x:v>0.5</x:v>
      </x:c>
      <x:c r="H386" s="17" t="n">
        <x:v>0.5</x:v>
      </x:c>
      <x:c r="I386" s="17" t="n">
        <x:v>0.25</x:v>
      </x:c>
      <x:c r="J386" s="17">
        <x:f>IF(A386="","",SUM(E386:I386))</x:f>
        <x:v>7.5</x:v>
      </x:c>
    </x:row>
    <x:row r="387">
      <x:c r="A387" s="10">
        <x:f>IF(21&lt;=DAY(EOMONTH(EDATE(Einstellungen!$E$6,10),0)),DATE(YEAR(EDATE(Einstellungen!$E$6,10)),MONTH(EDATE(Einstellungen!$E$6,10)),21),"")</x:f>
        <x:v>46224</x:v>
      </x:c>
      <x:c r="B387" s="12" t="str">
        <x:f>IF(A387="","",CHOOSE(WEEKDAY(A387,2),"Mo","Di","Mi","Do","Fr","Sa","So"))</x:f>
        <x:v>Di</x:v>
      </x:c>
      <x:c r="C387" s="12">
        <x:f>IF(A387="","",ISOWEEKNUM(A387))</x:f>
        <x:v>30</x:v>
      </x:c>
      <x:c r="D387" s="11">
        <x:f>IF(A387="","",IFERROR(INDEX(Einstellungen!$B$19:$B$118,MATCH(A387,Einstellungen!$A$19:$A$118,0)),""))</x:f>
      </x:c>
      <x:c r="E387" s="17" t="n">
        <x:v>6</x:v>
      </x:c>
      <x:c r="F387" s="17" t="n">
        <x:v>0.5</x:v>
      </x:c>
      <x:c r="G387" s="17" t="n">
        <x:v>1.5</x:v>
      </x:c>
      <x:c r="H387" s="17" t="n">
        <x:v>0.25</x:v>
      </x:c>
      <x:c r="I387" s="17" t="n">
        <x:v>0.25</x:v>
      </x:c>
      <x:c r="J387" s="17">
        <x:f>IF(A387="","",SUM(E387:I387))</x:f>
        <x:v>8.5</x:v>
      </x:c>
    </x:row>
    <x:row r="388">
      <x:c r="A388" s="10">
        <x:f>IF(22&lt;=DAY(EOMONTH(EDATE(Einstellungen!$E$6,10),0)),DATE(YEAR(EDATE(Einstellungen!$E$6,10)),MONTH(EDATE(Einstellungen!$E$6,10)),22),"")</x:f>
        <x:v>46225</x:v>
      </x:c>
      <x:c r="B388" s="12" t="str">
        <x:f>IF(A388="","",CHOOSE(WEEKDAY(A388,2),"Mo","Di","Mi","Do","Fr","Sa","So"))</x:f>
        <x:v>Mi</x:v>
      </x:c>
      <x:c r="C388" s="12">
        <x:f>IF(A388="","",ISOWEEKNUM(A388))</x:f>
        <x:v>30</x:v>
      </x:c>
      <x:c r="D388" s="11">
        <x:f>IF(A388="","",IFERROR(INDEX(Einstellungen!$B$19:$B$118,MATCH(A388,Einstellungen!$A$19:$A$118,0)),""))</x:f>
      </x:c>
      <x:c r="E388" s="17" t="n">
        <x:v>6.5</x:v>
      </x:c>
      <x:c r="F388" s="17" t="n">
        <x:v>0.75</x:v>
      </x:c>
      <x:c r="G388" s="17" t="n">
        <x:v>0.5</x:v>
      </x:c>
      <x:c r="H388" s="17" t="n">
        <x:v>0.25</x:v>
      </x:c>
      <x:c r="I388" s="17" t="n">
        <x:v>0.25</x:v>
      </x:c>
      <x:c r="J388" s="17">
        <x:f>IF(A388="","",SUM(E388:I388))</x:f>
        <x:v>8.25</x:v>
      </x:c>
    </x:row>
    <x:row r="389">
      <x:c r="A389" s="10">
        <x:f>IF(23&lt;=DAY(EOMONTH(EDATE(Einstellungen!$E$6,10),0)),DATE(YEAR(EDATE(Einstellungen!$E$6,10)),MONTH(EDATE(Einstellungen!$E$6,10)),23),"")</x:f>
        <x:v>46226</x:v>
      </x:c>
      <x:c r="B389" s="12" t="str">
        <x:f>IF(A389="","",CHOOSE(WEEKDAY(A389,2),"Mo","Di","Mi","Do","Fr","Sa","So"))</x:f>
        <x:v>Do</x:v>
      </x:c>
      <x:c r="C389" s="12">
        <x:f>IF(A389="","",ISOWEEKNUM(A389))</x:f>
        <x:v>30</x:v>
      </x:c>
      <x:c r="D389" s="11">
        <x:f>IF(A389="","",IFERROR(INDEX(Einstellungen!$B$19:$B$118,MATCH(A389,Einstellungen!$A$19:$A$118,0)),""))</x:f>
      </x:c>
      <x:c r="E389" s="17" t="n">
        <x:v>5.5</x:v>
      </x:c>
      <x:c r="F389" s="17" t="n">
        <x:v>0.5</x:v>
      </x:c>
      <x:c r="G389" s="17" t="n">
        <x:v>1.5</x:v>
      </x:c>
      <x:c r="H389" s="17" t="n">
        <x:v>0.25</x:v>
      </x:c>
      <x:c r="I389" s="17" t="n">
        <x:v>0.25</x:v>
      </x:c>
      <x:c r="J389" s="17">
        <x:f>IF(A389="","",SUM(E389:I389))</x:f>
        <x:v>8</x:v>
      </x:c>
    </x:row>
    <x:row r="390">
      <x:c r="A390" s="10">
        <x:f>IF(24&lt;=DAY(EOMONTH(EDATE(Einstellungen!$E$6,10),0)),DATE(YEAR(EDATE(Einstellungen!$E$6,10)),MONTH(EDATE(Einstellungen!$E$6,10)),24),"")</x:f>
        <x:v>46227</x:v>
      </x:c>
      <x:c r="B390" s="12" t="str">
        <x:f>IF(A390="","",CHOOSE(WEEKDAY(A390,2),"Mo","Di","Mi","Do","Fr","Sa","So"))</x:f>
        <x:v>Fr</x:v>
      </x:c>
      <x:c r="C390" s="12">
        <x:f>IF(A390="","",ISOWEEKNUM(A390))</x:f>
        <x:v>30</x:v>
      </x:c>
      <x:c r="D390" s="11">
        <x:f>IF(A390="","",IFERROR(INDEX(Einstellungen!$B$19:$B$118,MATCH(A390,Einstellungen!$A$19:$A$118,0)),""))</x:f>
      </x:c>
      <x:c r="E390" s="17" t="n">
        <x:v>6</x:v>
      </x:c>
      <x:c r="F390" s="17" t="n">
        <x:v>0.5</x:v>
      </x:c>
      <x:c r="G390" s="17" t="n">
        <x:v>0.5</x:v>
      </x:c>
      <x:c r="H390" s="17" t="n">
        <x:v>0.5</x:v>
      </x:c>
      <x:c r="I390" s="17" t="n">
        <x:v>0.25</x:v>
      </x:c>
      <x:c r="J390" s="17">
        <x:f>IF(A390="","",SUM(E390:I390))</x:f>
        <x:v>7.75</x:v>
      </x:c>
    </x:row>
    <x:row r="391">
      <x:c r="A391" s="10">
        <x:f>IF(25&lt;=DAY(EOMONTH(EDATE(Einstellungen!$E$6,10),0)),DATE(YEAR(EDATE(Einstellungen!$E$6,10)),MONTH(EDATE(Einstellungen!$E$6,10)),25),"")</x:f>
        <x:v>46228</x:v>
      </x:c>
      <x:c r="B391" s="12" t="str">
        <x:f>IF(A391="","",CHOOSE(WEEKDAY(A391,2),"Mo","Di","Mi","Do","Fr","Sa","So"))</x:f>
        <x:v>Sa</x:v>
      </x:c>
      <x:c r="C391" s="12">
        <x:f>IF(A391="","",ISOWEEKNUM(A391))</x:f>
        <x:v>30</x:v>
      </x:c>
      <x:c r="D391" s="11">
        <x:f>IF(A391="","",IFERROR(INDEX(Einstellungen!$B$19:$B$118,MATCH(A391,Einstellungen!$A$19:$A$118,0)),""))</x:f>
      </x:c>
      <x:c r="E391" s="18" t="inlineStr">
        <x:is>
          <x:t xml:space="preserve"/>
        </x:is>
      </x:c>
      <x:c r="F391" s="18" t="inlineStr">
        <x:is>
          <x:t xml:space="preserve"/>
        </x:is>
      </x:c>
      <x:c r="G391" s="18" t="inlineStr">
        <x:is>
          <x:t xml:space="preserve"/>
        </x:is>
      </x:c>
      <x:c r="H391" s="18" t="inlineStr">
        <x:is>
          <x:t xml:space="preserve"/>
        </x:is>
      </x:c>
      <x:c r="I391" s="18" t="inlineStr">
        <x:is>
          <x:t xml:space="preserve"/>
        </x:is>
      </x:c>
      <x:c r="J391" s="17">
        <x:f>IF(A391="","",SUM(E391:I391))</x:f>
        <x:v>0</x:v>
      </x:c>
    </x:row>
    <x:row r="392">
      <x:c r="A392" s="10">
        <x:f>IF(26&lt;=DAY(EOMONTH(EDATE(Einstellungen!$E$6,10),0)),DATE(YEAR(EDATE(Einstellungen!$E$6,10)),MONTH(EDATE(Einstellungen!$E$6,10)),26),"")</x:f>
        <x:v>46229</x:v>
      </x:c>
      <x:c r="B392" s="12" t="str">
        <x:f>IF(A392="","",CHOOSE(WEEKDAY(A392,2),"Mo","Di","Mi","Do","Fr","Sa","So"))</x:f>
        <x:v>So</x:v>
      </x:c>
      <x:c r="C392" s="12">
        <x:f>IF(A392="","",ISOWEEKNUM(A392))</x:f>
        <x:v>30</x:v>
      </x:c>
      <x:c r="D392" s="11">
        <x:f>IF(A392="","",IFERROR(INDEX(Einstellungen!$B$19:$B$118,MATCH(A392,Einstellungen!$A$19:$A$118,0)),""))</x:f>
      </x:c>
      <x:c r="E392" s="18" t="inlineStr">
        <x:is>
          <x:t xml:space="preserve"/>
        </x:is>
      </x:c>
      <x:c r="F392" s="18" t="inlineStr">
        <x:is>
          <x:t xml:space="preserve"/>
        </x:is>
      </x:c>
      <x:c r="G392" s="18" t="inlineStr">
        <x:is>
          <x:t xml:space="preserve"/>
        </x:is>
      </x:c>
      <x:c r="H392" s="18" t="inlineStr">
        <x:is>
          <x:t xml:space="preserve"/>
        </x:is>
      </x:c>
      <x:c r="I392" s="18" t="inlineStr">
        <x:is>
          <x:t xml:space="preserve"/>
        </x:is>
      </x:c>
      <x:c r="J392" s="17">
        <x:f>IF(A392="","",SUM(E392:I392))</x:f>
        <x:v>0</x:v>
      </x:c>
    </x:row>
    <x:row r="393">
      <x:c r="A393" s="10">
        <x:f>IF(27&lt;=DAY(EOMONTH(EDATE(Einstellungen!$E$6,10),0)),DATE(YEAR(EDATE(Einstellungen!$E$6,10)),MONTH(EDATE(Einstellungen!$E$6,10)),27),"")</x:f>
        <x:v>46230</x:v>
      </x:c>
      <x:c r="B393" s="12" t="str">
        <x:f>IF(A393="","",CHOOSE(WEEKDAY(A393,2),"Mo","Di","Mi","Do","Fr","Sa","So"))</x:f>
        <x:v>Mo</x:v>
      </x:c>
      <x:c r="C393" s="12">
        <x:f>IF(A393="","",ISOWEEKNUM(A393))</x:f>
        <x:v>31</x:v>
      </x:c>
      <x:c r="D393" s="11">
        <x:f>IF(A393="","",IFERROR(INDEX(Einstellungen!$B$19:$B$118,MATCH(A393,Einstellungen!$A$19:$A$118,0)),""))</x:f>
      </x:c>
      <x:c r="E393" s="17" t="n">
        <x:v>5.5</x:v>
      </x:c>
      <x:c r="F393" s="17" t="n">
        <x:v>0.75</x:v>
      </x:c>
      <x:c r="G393" s="17" t="n">
        <x:v>0.5</x:v>
      </x:c>
      <x:c r="H393" s="17" t="n">
        <x:v>0.5</x:v>
      </x:c>
      <x:c r="I393" s="17" t="n">
        <x:v>0.25</x:v>
      </x:c>
      <x:c r="J393" s="17">
        <x:f>IF(A393="","",SUM(E393:I393))</x:f>
        <x:v>7.5</x:v>
      </x:c>
    </x:row>
    <x:row r="394">
      <x:c r="A394" s="10">
        <x:f>IF(28&lt;=DAY(EOMONTH(EDATE(Einstellungen!$E$6,10),0)),DATE(YEAR(EDATE(Einstellungen!$E$6,10)),MONTH(EDATE(Einstellungen!$E$6,10)),28),"")</x:f>
        <x:v>46231</x:v>
      </x:c>
      <x:c r="B394" s="12" t="str">
        <x:f>IF(A394="","",CHOOSE(WEEKDAY(A394,2),"Mo","Di","Mi","Do","Fr","Sa","So"))</x:f>
        <x:v>Di</x:v>
      </x:c>
      <x:c r="C394" s="12">
        <x:f>IF(A394="","",ISOWEEKNUM(A394))</x:f>
        <x:v>31</x:v>
      </x:c>
      <x:c r="D394" s="11">
        <x:f>IF(A394="","",IFERROR(INDEX(Einstellungen!$B$19:$B$118,MATCH(A394,Einstellungen!$A$19:$A$118,0)),""))</x:f>
      </x:c>
      <x:c r="E394" s="17" t="n">
        <x:v>6</x:v>
      </x:c>
      <x:c r="F394" s="17" t="n">
        <x:v>0.5</x:v>
      </x:c>
      <x:c r="G394" s="17" t="n">
        <x:v>1.5</x:v>
      </x:c>
      <x:c r="H394" s="17" t="n">
        <x:v>0.25</x:v>
      </x:c>
      <x:c r="I394" s="17" t="n">
        <x:v>0.25</x:v>
      </x:c>
      <x:c r="J394" s="17">
        <x:f>IF(A394="","",SUM(E394:I394))</x:f>
        <x:v>8.5</x:v>
      </x:c>
    </x:row>
    <x:row r="395">
      <x:c r="A395" s="10">
        <x:f>IF(29&lt;=DAY(EOMONTH(EDATE(Einstellungen!$E$6,10),0)),DATE(YEAR(EDATE(Einstellungen!$E$6,10)),MONTH(EDATE(Einstellungen!$E$6,10)),29),"")</x:f>
        <x:v>46232</x:v>
      </x:c>
      <x:c r="B395" s="12" t="str">
        <x:f>IF(A395="","",CHOOSE(WEEKDAY(A395,2),"Mo","Di","Mi","Do","Fr","Sa","So"))</x:f>
        <x:v>Mi</x:v>
      </x:c>
      <x:c r="C395" s="12">
        <x:f>IF(A395="","",ISOWEEKNUM(A395))</x:f>
        <x:v>31</x:v>
      </x:c>
      <x:c r="D395" s="11">
        <x:f>IF(A395="","",IFERROR(INDEX(Einstellungen!$B$19:$B$118,MATCH(A395,Einstellungen!$A$19:$A$118,0)),""))</x:f>
      </x:c>
      <x:c r="E395" s="17" t="n">
        <x:v>6.5</x:v>
      </x:c>
      <x:c r="F395" s="17" t="n">
        <x:v>0.75</x:v>
      </x:c>
      <x:c r="G395" s="17" t="n">
        <x:v>0.5</x:v>
      </x:c>
      <x:c r="H395" s="17" t="n">
        <x:v>0.25</x:v>
      </x:c>
      <x:c r="I395" s="17" t="n">
        <x:v>0.25</x:v>
      </x:c>
      <x:c r="J395" s="17">
        <x:f>IF(A395="","",SUM(E395:I395))</x:f>
        <x:v>8.25</x:v>
      </x:c>
    </x:row>
    <x:row r="396">
      <x:c r="A396" s="10">
        <x:f>IF(30&lt;=DAY(EOMONTH(EDATE(Einstellungen!$E$6,10),0)),DATE(YEAR(EDATE(Einstellungen!$E$6,10)),MONTH(EDATE(Einstellungen!$E$6,10)),30),"")</x:f>
        <x:v>46233</x:v>
      </x:c>
      <x:c r="B396" s="12" t="str">
        <x:f>IF(A396="","",CHOOSE(WEEKDAY(A396,2),"Mo","Di","Mi","Do","Fr","Sa","So"))</x:f>
        <x:v>Do</x:v>
      </x:c>
      <x:c r="C396" s="12">
        <x:f>IF(A396="","",ISOWEEKNUM(A396))</x:f>
        <x:v>31</x:v>
      </x:c>
      <x:c r="D396" s="11">
        <x:f>IF(A396="","",IFERROR(INDEX(Einstellungen!$B$19:$B$118,MATCH(A396,Einstellungen!$A$19:$A$118,0)),""))</x:f>
      </x:c>
      <x:c r="E396" s="17" t="n">
        <x:v>5.5</x:v>
      </x:c>
      <x:c r="F396" s="17" t="n">
        <x:v>0.5</x:v>
      </x:c>
      <x:c r="G396" s="17" t="n">
        <x:v>1.5</x:v>
      </x:c>
      <x:c r="H396" s="17" t="n">
        <x:v>0.25</x:v>
      </x:c>
      <x:c r="I396" s="17" t="n">
        <x:v>0.25</x:v>
      </x:c>
      <x:c r="J396" s="17">
        <x:f>IF(A396="","",SUM(E396:I396))</x:f>
        <x:v>8</x:v>
      </x:c>
    </x:row>
    <x:row r="397">
      <x:c r="A397" s="10">
        <x:f>IF(31&lt;=DAY(EOMONTH(EDATE(Einstellungen!$E$6,10),0)),DATE(YEAR(EDATE(Einstellungen!$E$6,10)),MONTH(EDATE(Einstellungen!$E$6,10)),31),"")</x:f>
        <x:v>46234</x:v>
      </x:c>
      <x:c r="B397" s="12" t="str">
        <x:f>IF(A397="","",CHOOSE(WEEKDAY(A397,2),"Mo","Di","Mi","Do","Fr","Sa","So"))</x:f>
        <x:v>Fr</x:v>
      </x:c>
      <x:c r="C397" s="12">
        <x:f>IF(A397="","",ISOWEEKNUM(A397))</x:f>
        <x:v>31</x:v>
      </x:c>
      <x:c r="D397" s="11">
        <x:f>IF(A397="","",IFERROR(INDEX(Einstellungen!$B$19:$B$118,MATCH(A397,Einstellungen!$A$19:$A$118,0)),""))</x:f>
      </x:c>
      <x:c r="E397" s="17" t="n">
        <x:v>6</x:v>
      </x:c>
      <x:c r="F397" s="17" t="n">
        <x:v>0.5</x:v>
      </x:c>
      <x:c r="G397" s="17" t="n">
        <x:v>0.5</x:v>
      </x:c>
      <x:c r="H397" s="17" t="n">
        <x:v>0.5</x:v>
      </x:c>
      <x:c r="I397" s="17" t="n">
        <x:v>0.25</x:v>
      </x:c>
      <x:c r="J397" s="17">
        <x:f>IF(A397="","",SUM(E397:I397))</x:f>
        <x:v>7.75</x:v>
      </x:c>
    </x:row>
    <x:row r="398">
      <x:c r="A398" s="4" t="inlineStr">
        <x:is>
          <x:t xml:space="preserve">Monatssumme</x:t>
        </x:is>
      </x:c>
      <x:c r="B398" s="15" t="n"/>
      <x:c r="C398" s="15" t="n"/>
      <x:c r="D398" s="15" t="n"/>
      <x:c r="E398" s="19">
        <x:f>SUM(E367:E397)</x:f>
        <x:v>136</x:v>
      </x:c>
      <x:c r="F398" s="19">
        <x:f>SUM(F367:F397)</x:f>
        <x:v>13.75</x:v>
      </x:c>
      <x:c r="G398" s="19">
        <x:f>SUM(G367:G397)</x:f>
        <x:v>20.5</x:v>
      </x:c>
      <x:c r="H398" s="19">
        <x:f>SUM(H367:H397)</x:f>
        <x:v>8</x:v>
      </x:c>
      <x:c r="I398" s="19">
        <x:f>SUM(I367:I397)</x:f>
        <x:v>6</x:v>
      </x:c>
      <x:c r="J398" s="19">
        <x:f>SUM(J367:J397)</x:f>
        <x:v>184.25</x:v>
      </x:c>
    </x:row>
    <x:row r="399">
      <x:c r="A399" s="20" t="n"/>
      <x:c r="B399" s="20" t="n"/>
      <x:c r="C399" s="20" t="n"/>
      <x:c r="D399" s="20" t="n"/>
      <x:c r="E399" s="20" t="n"/>
      <x:c r="F399" s="20" t="n"/>
      <x:c r="G399" s="20" t="n"/>
      <x:c r="H399" s="20" t="n"/>
      <x:c r="I399" s="20" t="n"/>
      <x:c r="J399" s="20" t="n"/>
    </x:row>
    <x:row r="400">
      <x:c r="A400" s="20" t="n"/>
      <x:c r="B400" s="20" t="n"/>
      <x:c r="C400" s="20" t="n"/>
      <x:c r="D400" s="20" t="n"/>
      <x:c r="E400" s="20" t="n"/>
      <x:c r="F400" s="20" t="n"/>
      <x:c r="G400" s="20" t="n"/>
      <x:c r="H400" s="20" t="n"/>
      <x:c r="I400" s="20" t="n"/>
      <x:c r="J400" s="20" t="n"/>
    </x:row>
    <x:row r="401">
      <x:c r="A401" s="15" t="str">
        <x:f>INDEX(Einstellungen!$J$2:$J$13,MONTH(EDATE(Einstellungen!$E$6,11)))&amp;" "&amp;YEAR(EDATE(Einstellungen!$E$6,11))</x:f>
        <x:v>August 2026</x:v>
      </x:c>
    </x:row>
    <x:row r="402">
      <x:c r="A402" s="16" t="inlineStr">
        <x:is>
          <x:t xml:space="preserve">Datum</x:t>
        </x:is>
      </x:c>
      <x:c r="B402" s="16" t="inlineStr">
        <x:is>
          <x:t xml:space="preserve">Tag</x:t>
        </x:is>
      </x:c>
      <x:c r="C402" s="16" t="inlineStr">
        <x:is>
          <x:t xml:space="preserve">KW</x:t>
        </x:is>
      </x:c>
      <x:c r="D402" s="16" t="inlineStr">
        <x:is>
          <x:t xml:space="preserve">Feiertag / Termin</x:t>
        </x:is>
      </x:c>
      <x:c r="E402" s="16" t="str">
        <x:f>Einstellungen!$B$11</x:f>
        <x:v>Arbeitszeit</x:v>
      </x:c>
      <x:c r="F402" s="16" t="str">
        <x:f>Einstellungen!$B$12</x:f>
        <x:v>E-Mail</x:v>
      </x:c>
      <x:c r="G402" s="16" t="str">
        <x:f>Einstellungen!$B$13</x:f>
        <x:v>Meetings</x:v>
      </x:c>
      <x:c r="H402" s="16" t="str">
        <x:f>Einstellungen!$B$14</x:f>
        <x:v>Telefonate</x:v>
      </x:c>
      <x:c r="I402" s="16" t="str">
        <x:f>Einstellungen!$B$15</x:f>
        <x:v>Sonstiges</x:v>
      </x:c>
      <x:c r="J402" s="16" t="inlineStr">
        <x:is>
          <x:t xml:space="preserve">Gesamt</x:t>
        </x:is>
      </x:c>
    </x:row>
    <x:row r="403">
      <x:c r="A403" s="10">
        <x:f>IF(1&lt;=DAY(EOMONTH(EDATE(Einstellungen!$E$6,11),0)),DATE(YEAR(EDATE(Einstellungen!$E$6,11)),MONTH(EDATE(Einstellungen!$E$6,11)),1),"")</x:f>
        <x:v>46235</x:v>
      </x:c>
      <x:c r="B403" s="12" t="str">
        <x:f>IF(A403="","",CHOOSE(WEEKDAY(A403,2),"Mo","Di","Mi","Do","Fr","Sa","So"))</x:f>
        <x:v>Sa</x:v>
      </x:c>
      <x:c r="C403" s="12">
        <x:f>IF(A403="","",ISOWEEKNUM(A403))</x:f>
        <x:v>31</x:v>
      </x:c>
      <x:c r="D403" s="11">
        <x:f>IF(A403="","",IFERROR(INDEX(Einstellungen!$B$19:$B$118,MATCH(A403,Einstellungen!$A$19:$A$118,0)),""))</x:f>
      </x:c>
      <x:c r="E403" s="18" t="inlineStr">
        <x:is>
          <x:t xml:space="preserve"/>
        </x:is>
      </x:c>
      <x:c r="F403" s="18" t="inlineStr">
        <x:is>
          <x:t xml:space="preserve"/>
        </x:is>
      </x:c>
      <x:c r="G403" s="18" t="inlineStr">
        <x:is>
          <x:t xml:space="preserve"/>
        </x:is>
      </x:c>
      <x:c r="H403" s="18" t="inlineStr">
        <x:is>
          <x:t xml:space="preserve"/>
        </x:is>
      </x:c>
      <x:c r="I403" s="18" t="inlineStr">
        <x:is>
          <x:t xml:space="preserve"/>
        </x:is>
      </x:c>
      <x:c r="J403" s="17">
        <x:f>IF(A403="","",SUM(E403:I403))</x:f>
        <x:v>0</x:v>
      </x:c>
    </x:row>
    <x:row r="404">
      <x:c r="A404" s="10">
        <x:f>IF(2&lt;=DAY(EOMONTH(EDATE(Einstellungen!$E$6,11),0)),DATE(YEAR(EDATE(Einstellungen!$E$6,11)),MONTH(EDATE(Einstellungen!$E$6,11)),2),"")</x:f>
        <x:v>46236</x:v>
      </x:c>
      <x:c r="B404" s="12" t="str">
        <x:f>IF(A404="","",CHOOSE(WEEKDAY(A404,2),"Mo","Di","Mi","Do","Fr","Sa","So"))</x:f>
        <x:v>So</x:v>
      </x:c>
      <x:c r="C404" s="12">
        <x:f>IF(A404="","",ISOWEEKNUM(A404))</x:f>
        <x:v>31</x:v>
      </x:c>
      <x:c r="D404" s="11">
        <x:f>IF(A404="","",IFERROR(INDEX(Einstellungen!$B$19:$B$118,MATCH(A404,Einstellungen!$A$19:$A$118,0)),""))</x:f>
      </x:c>
      <x:c r="E404" s="18" t="inlineStr">
        <x:is>
          <x:t xml:space="preserve"/>
        </x:is>
      </x:c>
      <x:c r="F404" s="18" t="inlineStr">
        <x:is>
          <x:t xml:space="preserve"/>
        </x:is>
      </x:c>
      <x:c r="G404" s="18" t="inlineStr">
        <x:is>
          <x:t xml:space="preserve"/>
        </x:is>
      </x:c>
      <x:c r="H404" s="18" t="inlineStr">
        <x:is>
          <x:t xml:space="preserve"/>
        </x:is>
      </x:c>
      <x:c r="I404" s="18" t="inlineStr">
        <x:is>
          <x:t xml:space="preserve"/>
        </x:is>
      </x:c>
      <x:c r="J404" s="17">
        <x:f>IF(A404="","",SUM(E404:I404))</x:f>
        <x:v>0</x:v>
      </x:c>
    </x:row>
    <x:row r="405">
      <x:c r="A405" s="10">
        <x:f>IF(3&lt;=DAY(EOMONTH(EDATE(Einstellungen!$E$6,11),0)),DATE(YEAR(EDATE(Einstellungen!$E$6,11)),MONTH(EDATE(Einstellungen!$E$6,11)),3),"")</x:f>
        <x:v>46237</x:v>
      </x:c>
      <x:c r="B405" s="12" t="str">
        <x:f>IF(A405="","",CHOOSE(WEEKDAY(A405,2),"Mo","Di","Mi","Do","Fr","Sa","So"))</x:f>
        <x:v>Mo</x:v>
      </x:c>
      <x:c r="C405" s="12">
        <x:f>IF(A405="","",ISOWEEKNUM(A405))</x:f>
        <x:v>32</x:v>
      </x:c>
      <x:c r="D405" s="11">
        <x:f>IF(A405="","",IFERROR(INDEX(Einstellungen!$B$19:$B$118,MATCH(A405,Einstellungen!$A$19:$A$118,0)),""))</x:f>
      </x:c>
      <x:c r="E405" s="17" t="n">
        <x:v>5.5</x:v>
      </x:c>
      <x:c r="F405" s="17" t="n">
        <x:v>0.75</x:v>
      </x:c>
      <x:c r="G405" s="17" t="n">
        <x:v>0.5</x:v>
      </x:c>
      <x:c r="H405" s="17" t="n">
        <x:v>0.5</x:v>
      </x:c>
      <x:c r="I405" s="17" t="n">
        <x:v>0.25</x:v>
      </x:c>
      <x:c r="J405" s="17">
        <x:f>IF(A405="","",SUM(E405:I405))</x:f>
        <x:v>7.5</x:v>
      </x:c>
    </x:row>
    <x:row r="406">
      <x:c r="A406" s="10">
        <x:f>IF(4&lt;=DAY(EOMONTH(EDATE(Einstellungen!$E$6,11),0)),DATE(YEAR(EDATE(Einstellungen!$E$6,11)),MONTH(EDATE(Einstellungen!$E$6,11)),4),"")</x:f>
        <x:v>46238</x:v>
      </x:c>
      <x:c r="B406" s="12" t="str">
        <x:f>IF(A406="","",CHOOSE(WEEKDAY(A406,2),"Mo","Di","Mi","Do","Fr","Sa","So"))</x:f>
        <x:v>Di</x:v>
      </x:c>
      <x:c r="C406" s="12">
        <x:f>IF(A406="","",ISOWEEKNUM(A406))</x:f>
        <x:v>32</x:v>
      </x:c>
      <x:c r="D406" s="11">
        <x:f>IF(A406="","",IFERROR(INDEX(Einstellungen!$B$19:$B$118,MATCH(A406,Einstellungen!$A$19:$A$118,0)),""))</x:f>
      </x:c>
      <x:c r="E406" s="17" t="n">
        <x:v>6</x:v>
      </x:c>
      <x:c r="F406" s="17" t="n">
        <x:v>0.5</x:v>
      </x:c>
      <x:c r="G406" s="17" t="n">
        <x:v>1.5</x:v>
      </x:c>
      <x:c r="H406" s="17" t="n">
        <x:v>0.25</x:v>
      </x:c>
      <x:c r="I406" s="17" t="n">
        <x:v>0.25</x:v>
      </x:c>
      <x:c r="J406" s="17">
        <x:f>IF(A406="","",SUM(E406:I406))</x:f>
        <x:v>8.5</x:v>
      </x:c>
    </x:row>
    <x:row r="407">
      <x:c r="A407" s="10">
        <x:f>IF(5&lt;=DAY(EOMONTH(EDATE(Einstellungen!$E$6,11),0)),DATE(YEAR(EDATE(Einstellungen!$E$6,11)),MONTH(EDATE(Einstellungen!$E$6,11)),5),"")</x:f>
        <x:v>46239</x:v>
      </x:c>
      <x:c r="B407" s="12" t="str">
        <x:f>IF(A407="","",CHOOSE(WEEKDAY(A407,2),"Mo","Di","Mi","Do","Fr","Sa","So"))</x:f>
        <x:v>Mi</x:v>
      </x:c>
      <x:c r="C407" s="12">
        <x:f>IF(A407="","",ISOWEEKNUM(A407))</x:f>
        <x:v>32</x:v>
      </x:c>
      <x:c r="D407" s="11">
        <x:f>IF(A407="","",IFERROR(INDEX(Einstellungen!$B$19:$B$118,MATCH(A407,Einstellungen!$A$19:$A$118,0)),""))</x:f>
      </x:c>
      <x:c r="E407" s="17" t="n">
        <x:v>6.5</x:v>
      </x:c>
      <x:c r="F407" s="17" t="n">
        <x:v>0.75</x:v>
      </x:c>
      <x:c r="G407" s="17" t="n">
        <x:v>0.5</x:v>
      </x:c>
      <x:c r="H407" s="17" t="n">
        <x:v>0.25</x:v>
      </x:c>
      <x:c r="I407" s="17" t="n">
        <x:v>0.5</x:v>
      </x:c>
      <x:c r="J407" s="17">
        <x:f>IF(A407="","",SUM(E407:I407))</x:f>
        <x:v>8.5</x:v>
      </x:c>
    </x:row>
    <x:row r="408">
      <x:c r="A408" s="10">
        <x:f>IF(6&lt;=DAY(EOMONTH(EDATE(Einstellungen!$E$6,11),0)),DATE(YEAR(EDATE(Einstellungen!$E$6,11)),MONTH(EDATE(Einstellungen!$E$6,11)),6),"")</x:f>
        <x:v>46240</x:v>
      </x:c>
      <x:c r="B408" s="12" t="str">
        <x:f>IF(A408="","",CHOOSE(WEEKDAY(A408,2),"Mo","Di","Mi","Do","Fr","Sa","So"))</x:f>
        <x:v>Do</x:v>
      </x:c>
      <x:c r="C408" s="12">
        <x:f>IF(A408="","",ISOWEEKNUM(A408))</x:f>
        <x:v>32</x:v>
      </x:c>
      <x:c r="D408" s="11">
        <x:f>IF(A408="","",IFERROR(INDEX(Einstellungen!$B$19:$B$118,MATCH(A408,Einstellungen!$A$19:$A$118,0)),""))</x:f>
      </x:c>
      <x:c r="E408" s="17" t="n">
        <x:v>5.5</x:v>
      </x:c>
      <x:c r="F408" s="17" t="n">
        <x:v>0.5</x:v>
      </x:c>
      <x:c r="G408" s="17" t="n">
        <x:v>1.5</x:v>
      </x:c>
      <x:c r="H408" s="17" t="n">
        <x:v>0.25</x:v>
      </x:c>
      <x:c r="I408" s="17" t="n">
        <x:v>0.25</x:v>
      </x:c>
      <x:c r="J408" s="17">
        <x:f>IF(A408="","",SUM(E408:I408))</x:f>
        <x:v>8</x:v>
      </x:c>
    </x:row>
    <x:row r="409">
      <x:c r="A409" s="10">
        <x:f>IF(7&lt;=DAY(EOMONTH(EDATE(Einstellungen!$E$6,11),0)),DATE(YEAR(EDATE(Einstellungen!$E$6,11)),MONTH(EDATE(Einstellungen!$E$6,11)),7),"")</x:f>
        <x:v>46241</x:v>
      </x:c>
      <x:c r="B409" s="12" t="str">
        <x:f>IF(A409="","",CHOOSE(WEEKDAY(A409,2),"Mo","Di","Mi","Do","Fr","Sa","So"))</x:f>
        <x:v>Fr</x:v>
      </x:c>
      <x:c r="C409" s="12">
        <x:f>IF(A409="","",ISOWEEKNUM(A409))</x:f>
        <x:v>32</x:v>
      </x:c>
      <x:c r="D409" s="11">
        <x:f>IF(A409="","",IFERROR(INDEX(Einstellungen!$B$19:$B$118,MATCH(A409,Einstellungen!$A$19:$A$118,0)),""))</x:f>
      </x:c>
      <x:c r="E409" s="17" t="n">
        <x:v>6</x:v>
      </x:c>
      <x:c r="F409" s="17" t="n">
        <x:v>0.5</x:v>
      </x:c>
      <x:c r="G409" s="17" t="n">
        <x:v>0.5</x:v>
      </x:c>
      <x:c r="H409" s="17" t="n">
        <x:v>0.5</x:v>
      </x:c>
      <x:c r="I409" s="17" t="n">
        <x:v>0.25</x:v>
      </x:c>
      <x:c r="J409" s="17">
        <x:f>IF(A409="","",SUM(E409:I409))</x:f>
        <x:v>7.75</x:v>
      </x:c>
    </x:row>
    <x:row r="410">
      <x:c r="A410" s="10">
        <x:f>IF(8&lt;=DAY(EOMONTH(EDATE(Einstellungen!$E$6,11),0)),DATE(YEAR(EDATE(Einstellungen!$E$6,11)),MONTH(EDATE(Einstellungen!$E$6,11)),8),"")</x:f>
        <x:v>46242</x:v>
      </x:c>
      <x:c r="B410" s="12" t="str">
        <x:f>IF(A410="","",CHOOSE(WEEKDAY(A410,2),"Mo","Di","Mi","Do","Fr","Sa","So"))</x:f>
        <x:v>Sa</x:v>
      </x:c>
      <x:c r="C410" s="12">
        <x:f>IF(A410="","",ISOWEEKNUM(A410))</x:f>
        <x:v>32</x:v>
      </x:c>
      <x:c r="D410" s="11">
        <x:f>IF(A410="","",IFERROR(INDEX(Einstellungen!$B$19:$B$118,MATCH(A410,Einstellungen!$A$19:$A$118,0)),""))</x:f>
      </x:c>
      <x:c r="E410" s="18" t="inlineStr">
        <x:is>
          <x:t xml:space="preserve"/>
        </x:is>
      </x:c>
      <x:c r="F410" s="18" t="inlineStr">
        <x:is>
          <x:t xml:space="preserve"/>
        </x:is>
      </x:c>
      <x:c r="G410" s="18" t="inlineStr">
        <x:is>
          <x:t xml:space="preserve"/>
        </x:is>
      </x:c>
      <x:c r="H410" s="18" t="inlineStr">
        <x:is>
          <x:t xml:space="preserve"/>
        </x:is>
      </x:c>
      <x:c r="I410" s="18" t="inlineStr">
        <x:is>
          <x:t xml:space="preserve"/>
        </x:is>
      </x:c>
      <x:c r="J410" s="17">
        <x:f>IF(A410="","",SUM(E410:I410))</x:f>
        <x:v>0</x:v>
      </x:c>
    </x:row>
    <x:row r="411">
      <x:c r="A411" s="10">
        <x:f>IF(9&lt;=DAY(EOMONTH(EDATE(Einstellungen!$E$6,11),0)),DATE(YEAR(EDATE(Einstellungen!$E$6,11)),MONTH(EDATE(Einstellungen!$E$6,11)),9),"")</x:f>
        <x:v>46243</x:v>
      </x:c>
      <x:c r="B411" s="12" t="str">
        <x:f>IF(A411="","",CHOOSE(WEEKDAY(A411,2),"Mo","Di","Mi","Do","Fr","Sa","So"))</x:f>
        <x:v>So</x:v>
      </x:c>
      <x:c r="C411" s="12">
        <x:f>IF(A411="","",ISOWEEKNUM(A411))</x:f>
        <x:v>32</x:v>
      </x:c>
      <x:c r="D411" s="11">
        <x:f>IF(A411="","",IFERROR(INDEX(Einstellungen!$B$19:$B$118,MATCH(A411,Einstellungen!$A$19:$A$118,0)),""))</x:f>
      </x:c>
      <x:c r="E411" s="18" t="inlineStr">
        <x:is>
          <x:t xml:space="preserve"/>
        </x:is>
      </x:c>
      <x:c r="F411" s="18" t="inlineStr">
        <x:is>
          <x:t xml:space="preserve"/>
        </x:is>
      </x:c>
      <x:c r="G411" s="18" t="inlineStr">
        <x:is>
          <x:t xml:space="preserve"/>
        </x:is>
      </x:c>
      <x:c r="H411" s="18" t="inlineStr">
        <x:is>
          <x:t xml:space="preserve"/>
        </x:is>
      </x:c>
      <x:c r="I411" s="18" t="inlineStr">
        <x:is>
          <x:t xml:space="preserve"/>
        </x:is>
      </x:c>
      <x:c r="J411" s="17">
        <x:f>IF(A411="","",SUM(E411:I411))</x:f>
        <x:v>0</x:v>
      </x:c>
    </x:row>
    <x:row r="412">
      <x:c r="A412" s="10">
        <x:f>IF(10&lt;=DAY(EOMONTH(EDATE(Einstellungen!$E$6,11),0)),DATE(YEAR(EDATE(Einstellungen!$E$6,11)),MONTH(EDATE(Einstellungen!$E$6,11)),10),"")</x:f>
        <x:v>46244</x:v>
      </x:c>
      <x:c r="B412" s="12" t="str">
        <x:f>IF(A412="","",CHOOSE(WEEKDAY(A412,2),"Mo","Di","Mi","Do","Fr","Sa","So"))</x:f>
        <x:v>Mo</x:v>
      </x:c>
      <x:c r="C412" s="12">
        <x:f>IF(A412="","",ISOWEEKNUM(A412))</x:f>
        <x:v>33</x:v>
      </x:c>
      <x:c r="D412" s="11">
        <x:f>IF(A412="","",IFERROR(INDEX(Einstellungen!$B$19:$B$118,MATCH(A412,Einstellungen!$A$19:$A$118,0)),""))</x:f>
      </x:c>
      <x:c r="E412" s="17" t="n">
        <x:v>5.5</x:v>
      </x:c>
      <x:c r="F412" s="17" t="n">
        <x:v>0.75</x:v>
      </x:c>
      <x:c r="G412" s="17" t="n">
        <x:v>0.5</x:v>
      </x:c>
      <x:c r="H412" s="17" t="n">
        <x:v>0.5</x:v>
      </x:c>
      <x:c r="I412" s="17" t="n">
        <x:v>0.25</x:v>
      </x:c>
      <x:c r="J412" s="17">
        <x:f>IF(A412="","",SUM(E412:I412))</x:f>
        <x:v>7.5</x:v>
      </x:c>
    </x:row>
    <x:row r="413">
      <x:c r="A413" s="10">
        <x:f>IF(11&lt;=DAY(EOMONTH(EDATE(Einstellungen!$E$6,11),0)),DATE(YEAR(EDATE(Einstellungen!$E$6,11)),MONTH(EDATE(Einstellungen!$E$6,11)),11),"")</x:f>
        <x:v>46245</x:v>
      </x:c>
      <x:c r="B413" s="12" t="str">
        <x:f>IF(A413="","",CHOOSE(WEEKDAY(A413,2),"Mo","Di","Mi","Do","Fr","Sa","So"))</x:f>
        <x:v>Di</x:v>
      </x:c>
      <x:c r="C413" s="12">
        <x:f>IF(A413="","",ISOWEEKNUM(A413))</x:f>
        <x:v>33</x:v>
      </x:c>
      <x:c r="D413" s="11">
        <x:f>IF(A413="","",IFERROR(INDEX(Einstellungen!$B$19:$B$118,MATCH(A413,Einstellungen!$A$19:$A$118,0)),""))</x:f>
      </x:c>
      <x:c r="E413" s="17" t="n">
        <x:v>6</x:v>
      </x:c>
      <x:c r="F413" s="17" t="n">
        <x:v>0.5</x:v>
      </x:c>
      <x:c r="G413" s="17" t="n">
        <x:v>1.5</x:v>
      </x:c>
      <x:c r="H413" s="17" t="n">
        <x:v>0.25</x:v>
      </x:c>
      <x:c r="I413" s="17" t="n">
        <x:v>0.25</x:v>
      </x:c>
      <x:c r="J413" s="17">
        <x:f>IF(A413="","",SUM(E413:I413))</x:f>
        <x:v>8.5</x:v>
      </x:c>
    </x:row>
    <x:row r="414">
      <x:c r="A414" s="10">
        <x:f>IF(12&lt;=DAY(EOMONTH(EDATE(Einstellungen!$E$6,11),0)),DATE(YEAR(EDATE(Einstellungen!$E$6,11)),MONTH(EDATE(Einstellungen!$E$6,11)),12),"")</x:f>
        <x:v>46246</x:v>
      </x:c>
      <x:c r="B414" s="12" t="str">
        <x:f>IF(A414="","",CHOOSE(WEEKDAY(A414,2),"Mo","Di","Mi","Do","Fr","Sa","So"))</x:f>
        <x:v>Mi</x:v>
      </x:c>
      <x:c r="C414" s="12">
        <x:f>IF(A414="","",ISOWEEKNUM(A414))</x:f>
        <x:v>33</x:v>
      </x:c>
      <x:c r="D414" s="11">
        <x:f>IF(A414="","",IFERROR(INDEX(Einstellungen!$B$19:$B$118,MATCH(A414,Einstellungen!$A$19:$A$118,0)),""))</x:f>
      </x:c>
      <x:c r="E414" s="17" t="n">
        <x:v>6.5</x:v>
      </x:c>
      <x:c r="F414" s="17" t="n">
        <x:v>0.75</x:v>
      </x:c>
      <x:c r="G414" s="17" t="n">
        <x:v>0.5</x:v>
      </x:c>
      <x:c r="H414" s="17" t="n">
        <x:v>0.25</x:v>
      </x:c>
      <x:c r="I414" s="17" t="n">
        <x:v>0.25</x:v>
      </x:c>
      <x:c r="J414" s="17">
        <x:f>IF(A414="","",SUM(E414:I414))</x:f>
        <x:v>8.25</x:v>
      </x:c>
    </x:row>
    <x:row r="415">
      <x:c r="A415" s="10">
        <x:f>IF(13&lt;=DAY(EOMONTH(EDATE(Einstellungen!$E$6,11),0)),DATE(YEAR(EDATE(Einstellungen!$E$6,11)),MONTH(EDATE(Einstellungen!$E$6,11)),13),"")</x:f>
        <x:v>46247</x:v>
      </x:c>
      <x:c r="B415" s="12" t="str">
        <x:f>IF(A415="","",CHOOSE(WEEKDAY(A415,2),"Mo","Di","Mi","Do","Fr","Sa","So"))</x:f>
        <x:v>Do</x:v>
      </x:c>
      <x:c r="C415" s="12">
        <x:f>IF(A415="","",ISOWEEKNUM(A415))</x:f>
        <x:v>33</x:v>
      </x:c>
      <x:c r="D415" s="11">
        <x:f>IF(A415="","",IFERROR(INDEX(Einstellungen!$B$19:$B$118,MATCH(A415,Einstellungen!$A$19:$A$118,0)),""))</x:f>
      </x:c>
      <x:c r="E415" s="17" t="n">
        <x:v>5.5</x:v>
      </x:c>
      <x:c r="F415" s="17" t="n">
        <x:v>0.5</x:v>
      </x:c>
      <x:c r="G415" s="17" t="n">
        <x:v>1.5</x:v>
      </x:c>
      <x:c r="H415" s="17" t="n">
        <x:v>0.25</x:v>
      </x:c>
      <x:c r="I415" s="17" t="n">
        <x:v>0.25</x:v>
      </x:c>
      <x:c r="J415" s="17">
        <x:f>IF(A415="","",SUM(E415:I415))</x:f>
        <x:v>8</x:v>
      </x:c>
    </x:row>
    <x:row r="416">
      <x:c r="A416" s="10">
        <x:f>IF(14&lt;=DAY(EOMONTH(EDATE(Einstellungen!$E$6,11),0)),DATE(YEAR(EDATE(Einstellungen!$E$6,11)),MONTH(EDATE(Einstellungen!$E$6,11)),14),"")</x:f>
        <x:v>46248</x:v>
      </x:c>
      <x:c r="B416" s="12" t="str">
        <x:f>IF(A416="","",CHOOSE(WEEKDAY(A416,2),"Mo","Di","Mi","Do","Fr","Sa","So"))</x:f>
        <x:v>Fr</x:v>
      </x:c>
      <x:c r="C416" s="12">
        <x:f>IF(A416="","",ISOWEEKNUM(A416))</x:f>
        <x:v>33</x:v>
      </x:c>
      <x:c r="D416" s="11">
        <x:f>IF(A416="","",IFERROR(INDEX(Einstellungen!$B$19:$B$118,MATCH(A416,Einstellungen!$A$19:$A$118,0)),""))</x:f>
      </x:c>
      <x:c r="E416" s="17" t="n">
        <x:v>6</x:v>
      </x:c>
      <x:c r="F416" s="17" t="n">
        <x:v>0.5</x:v>
      </x:c>
      <x:c r="G416" s="17" t="n">
        <x:v>0.5</x:v>
      </x:c>
      <x:c r="H416" s="17" t="n">
        <x:v>0.5</x:v>
      </x:c>
      <x:c r="I416" s="17" t="n">
        <x:v>0.25</x:v>
      </x:c>
      <x:c r="J416" s="17">
        <x:f>IF(A416="","",SUM(E416:I416))</x:f>
        <x:v>7.75</x:v>
      </x:c>
    </x:row>
    <x:row r="417">
      <x:c r="A417" s="10">
        <x:f>IF(15&lt;=DAY(EOMONTH(EDATE(Einstellungen!$E$6,11),0)),DATE(YEAR(EDATE(Einstellungen!$E$6,11)),MONTH(EDATE(Einstellungen!$E$6,11)),15),"")</x:f>
        <x:v>46249</x:v>
      </x:c>
      <x:c r="B417" s="12" t="str">
        <x:f>IF(A417="","",CHOOSE(WEEKDAY(A417,2),"Mo","Di","Mi","Do","Fr","Sa","So"))</x:f>
        <x:v>Sa</x:v>
      </x:c>
      <x:c r="C417" s="12">
        <x:f>IF(A417="","",ISOWEEKNUM(A417))</x:f>
        <x:v>33</x:v>
      </x:c>
      <x:c r="D417" s="11">
        <x:f>IF(A417="","",IFERROR(INDEX(Einstellungen!$B$19:$B$118,MATCH(A417,Einstellungen!$A$19:$A$118,0)),""))</x:f>
      </x:c>
      <x:c r="E417" s="18" t="inlineStr">
        <x:is>
          <x:t xml:space="preserve"/>
        </x:is>
      </x:c>
      <x:c r="F417" s="18" t="inlineStr">
        <x:is>
          <x:t xml:space="preserve"/>
        </x:is>
      </x:c>
      <x:c r="G417" s="18" t="inlineStr">
        <x:is>
          <x:t xml:space="preserve"/>
        </x:is>
      </x:c>
      <x:c r="H417" s="18" t="inlineStr">
        <x:is>
          <x:t xml:space="preserve"/>
        </x:is>
      </x:c>
      <x:c r="I417" s="18" t="inlineStr">
        <x:is>
          <x:t xml:space="preserve"/>
        </x:is>
      </x:c>
      <x:c r="J417" s="17">
        <x:f>IF(A417="","",SUM(E417:I417))</x:f>
        <x:v>0</x:v>
      </x:c>
    </x:row>
    <x:row r="418">
      <x:c r="A418" s="10">
        <x:f>IF(16&lt;=DAY(EOMONTH(EDATE(Einstellungen!$E$6,11),0)),DATE(YEAR(EDATE(Einstellungen!$E$6,11)),MONTH(EDATE(Einstellungen!$E$6,11)),16),"")</x:f>
        <x:v>46250</x:v>
      </x:c>
      <x:c r="B418" s="12" t="str">
        <x:f>IF(A418="","",CHOOSE(WEEKDAY(A418,2),"Mo","Di","Mi","Do","Fr","Sa","So"))</x:f>
        <x:v>So</x:v>
      </x:c>
      <x:c r="C418" s="12">
        <x:f>IF(A418="","",ISOWEEKNUM(A418))</x:f>
        <x:v>33</x:v>
      </x:c>
      <x:c r="D418" s="11">
        <x:f>IF(A418="","",IFERROR(INDEX(Einstellungen!$B$19:$B$118,MATCH(A418,Einstellungen!$A$19:$A$118,0)),""))</x:f>
      </x:c>
      <x:c r="E418" s="18" t="inlineStr">
        <x:is>
          <x:t xml:space="preserve"/>
        </x:is>
      </x:c>
      <x:c r="F418" s="18" t="inlineStr">
        <x:is>
          <x:t xml:space="preserve"/>
        </x:is>
      </x:c>
      <x:c r="G418" s="18" t="inlineStr">
        <x:is>
          <x:t xml:space="preserve"/>
        </x:is>
      </x:c>
      <x:c r="H418" s="18" t="inlineStr">
        <x:is>
          <x:t xml:space="preserve"/>
        </x:is>
      </x:c>
      <x:c r="I418" s="18" t="inlineStr">
        <x:is>
          <x:t xml:space="preserve"/>
        </x:is>
      </x:c>
      <x:c r="J418" s="17">
        <x:f>IF(A418="","",SUM(E418:I418))</x:f>
        <x:v>0</x:v>
      </x:c>
    </x:row>
    <x:row r="419">
      <x:c r="A419" s="10">
        <x:f>IF(17&lt;=DAY(EOMONTH(EDATE(Einstellungen!$E$6,11),0)),DATE(YEAR(EDATE(Einstellungen!$E$6,11)),MONTH(EDATE(Einstellungen!$E$6,11)),17),"")</x:f>
        <x:v>46251</x:v>
      </x:c>
      <x:c r="B419" s="12" t="str">
        <x:f>IF(A419="","",CHOOSE(WEEKDAY(A419,2),"Mo","Di","Mi","Do","Fr","Sa","So"))</x:f>
        <x:v>Mo</x:v>
      </x:c>
      <x:c r="C419" s="12">
        <x:f>IF(A419="","",ISOWEEKNUM(A419))</x:f>
        <x:v>34</x:v>
      </x:c>
      <x:c r="D419" s="11">
        <x:f>IF(A419="","",IFERROR(INDEX(Einstellungen!$B$19:$B$118,MATCH(A419,Einstellungen!$A$19:$A$118,0)),""))</x:f>
      </x:c>
      <x:c r="E419" s="17" t="n">
        <x:v>5.5</x:v>
      </x:c>
      <x:c r="F419" s="17" t="n">
        <x:v>0.75</x:v>
      </x:c>
      <x:c r="G419" s="17" t="n">
        <x:v>0.5</x:v>
      </x:c>
      <x:c r="H419" s="17" t="n">
        <x:v>0.5</x:v>
      </x:c>
      <x:c r="I419" s="17" t="n">
        <x:v>0.25</x:v>
      </x:c>
      <x:c r="J419" s="17">
        <x:f>IF(A419="","",SUM(E419:I419))</x:f>
        <x:v>7.5</x:v>
      </x:c>
    </x:row>
    <x:row r="420">
      <x:c r="A420" s="10">
        <x:f>IF(18&lt;=DAY(EOMONTH(EDATE(Einstellungen!$E$6,11),0)),DATE(YEAR(EDATE(Einstellungen!$E$6,11)),MONTH(EDATE(Einstellungen!$E$6,11)),18),"")</x:f>
        <x:v>46252</x:v>
      </x:c>
      <x:c r="B420" s="12" t="str">
        <x:f>IF(A420="","",CHOOSE(WEEKDAY(A420,2),"Mo","Di","Mi","Do","Fr","Sa","So"))</x:f>
        <x:v>Di</x:v>
      </x:c>
      <x:c r="C420" s="12">
        <x:f>IF(A420="","",ISOWEEKNUM(A420))</x:f>
        <x:v>34</x:v>
      </x:c>
      <x:c r="D420" s="11">
        <x:f>IF(A420="","",IFERROR(INDEX(Einstellungen!$B$19:$B$118,MATCH(A420,Einstellungen!$A$19:$A$118,0)),""))</x:f>
      </x:c>
      <x:c r="E420" s="17" t="n">
        <x:v>6</x:v>
      </x:c>
      <x:c r="F420" s="17" t="n">
        <x:v>0.5</x:v>
      </x:c>
      <x:c r="G420" s="17" t="n">
        <x:v>1.5</x:v>
      </x:c>
      <x:c r="H420" s="17" t="n">
        <x:v>0.25</x:v>
      </x:c>
      <x:c r="I420" s="17" t="n">
        <x:v>0.25</x:v>
      </x:c>
      <x:c r="J420" s="17">
        <x:f>IF(A420="","",SUM(E420:I420))</x:f>
        <x:v>8.5</x:v>
      </x:c>
    </x:row>
    <x:row r="421">
      <x:c r="A421" s="10">
        <x:f>IF(19&lt;=DAY(EOMONTH(EDATE(Einstellungen!$E$6,11),0)),DATE(YEAR(EDATE(Einstellungen!$E$6,11)),MONTH(EDATE(Einstellungen!$E$6,11)),19),"")</x:f>
        <x:v>46253</x:v>
      </x:c>
      <x:c r="B421" s="12" t="str">
        <x:f>IF(A421="","",CHOOSE(WEEKDAY(A421,2),"Mo","Di","Mi","Do","Fr","Sa","So"))</x:f>
        <x:v>Mi</x:v>
      </x:c>
      <x:c r="C421" s="12">
        <x:f>IF(A421="","",ISOWEEKNUM(A421))</x:f>
        <x:v>34</x:v>
      </x:c>
      <x:c r="D421" s="11">
        <x:f>IF(A421="","",IFERROR(INDEX(Einstellungen!$B$19:$B$118,MATCH(A421,Einstellungen!$A$19:$A$118,0)),""))</x:f>
      </x:c>
      <x:c r="E421" s="17" t="n">
        <x:v>6.5</x:v>
      </x:c>
      <x:c r="F421" s="17" t="n">
        <x:v>0.75</x:v>
      </x:c>
      <x:c r="G421" s="17" t="n">
        <x:v>0.5</x:v>
      </x:c>
      <x:c r="H421" s="17" t="n">
        <x:v>0.25</x:v>
      </x:c>
      <x:c r="I421" s="17" t="n">
        <x:v>0.25</x:v>
      </x:c>
      <x:c r="J421" s="17">
        <x:f>IF(A421="","",SUM(E421:I421))</x:f>
        <x:v>8.25</x:v>
      </x:c>
    </x:row>
    <x:row r="422">
      <x:c r="A422" s="10">
        <x:f>IF(20&lt;=DAY(EOMONTH(EDATE(Einstellungen!$E$6,11),0)),DATE(YEAR(EDATE(Einstellungen!$E$6,11)),MONTH(EDATE(Einstellungen!$E$6,11)),20),"")</x:f>
        <x:v>46254</x:v>
      </x:c>
      <x:c r="B422" s="12" t="str">
        <x:f>IF(A422="","",CHOOSE(WEEKDAY(A422,2),"Mo","Di","Mi","Do","Fr","Sa","So"))</x:f>
        <x:v>Do</x:v>
      </x:c>
      <x:c r="C422" s="12">
        <x:f>IF(A422="","",ISOWEEKNUM(A422))</x:f>
        <x:v>34</x:v>
      </x:c>
      <x:c r="D422" s="11">
        <x:f>IF(A422="","",IFERROR(INDEX(Einstellungen!$B$19:$B$118,MATCH(A422,Einstellungen!$A$19:$A$118,0)),""))</x:f>
      </x:c>
      <x:c r="E422" s="17" t="n">
        <x:v>5.5</x:v>
      </x:c>
      <x:c r="F422" s="17" t="n">
        <x:v>0.5</x:v>
      </x:c>
      <x:c r="G422" s="17" t="n">
        <x:v>1.5</x:v>
      </x:c>
      <x:c r="H422" s="17" t="n">
        <x:v>0.25</x:v>
      </x:c>
      <x:c r="I422" s="17" t="n">
        <x:v>0.25</x:v>
      </x:c>
      <x:c r="J422" s="17">
        <x:f>IF(A422="","",SUM(E422:I422))</x:f>
        <x:v>8</x:v>
      </x:c>
    </x:row>
    <x:row r="423">
      <x:c r="A423" s="10">
        <x:f>IF(21&lt;=DAY(EOMONTH(EDATE(Einstellungen!$E$6,11),0)),DATE(YEAR(EDATE(Einstellungen!$E$6,11)),MONTH(EDATE(Einstellungen!$E$6,11)),21),"")</x:f>
        <x:v>46255</x:v>
      </x:c>
      <x:c r="B423" s="12" t="str">
        <x:f>IF(A423="","",CHOOSE(WEEKDAY(A423,2),"Mo","Di","Mi","Do","Fr","Sa","So"))</x:f>
        <x:v>Fr</x:v>
      </x:c>
      <x:c r="C423" s="12">
        <x:f>IF(A423="","",ISOWEEKNUM(A423))</x:f>
        <x:v>34</x:v>
      </x:c>
      <x:c r="D423" s="11">
        <x:f>IF(A423="","",IFERROR(INDEX(Einstellungen!$B$19:$B$118,MATCH(A423,Einstellungen!$A$19:$A$118,0)),""))</x:f>
      </x:c>
      <x:c r="E423" s="17" t="n">
        <x:v>6</x:v>
      </x:c>
      <x:c r="F423" s="17" t="n">
        <x:v>0.5</x:v>
      </x:c>
      <x:c r="G423" s="17" t="n">
        <x:v>0.5</x:v>
      </x:c>
      <x:c r="H423" s="17" t="n">
        <x:v>0.5</x:v>
      </x:c>
      <x:c r="I423" s="17" t="n">
        <x:v>0.25</x:v>
      </x:c>
      <x:c r="J423" s="17">
        <x:f>IF(A423="","",SUM(E423:I423))</x:f>
        <x:v>7.75</x:v>
      </x:c>
    </x:row>
    <x:row r="424">
      <x:c r="A424" s="10">
        <x:f>IF(22&lt;=DAY(EOMONTH(EDATE(Einstellungen!$E$6,11),0)),DATE(YEAR(EDATE(Einstellungen!$E$6,11)),MONTH(EDATE(Einstellungen!$E$6,11)),22),"")</x:f>
        <x:v>46256</x:v>
      </x:c>
      <x:c r="B424" s="12" t="str">
        <x:f>IF(A424="","",CHOOSE(WEEKDAY(A424,2),"Mo","Di","Mi","Do","Fr","Sa","So"))</x:f>
        <x:v>Sa</x:v>
      </x:c>
      <x:c r="C424" s="12">
        <x:f>IF(A424="","",ISOWEEKNUM(A424))</x:f>
        <x:v>34</x:v>
      </x:c>
      <x:c r="D424" s="11">
        <x:f>IF(A424="","",IFERROR(INDEX(Einstellungen!$B$19:$B$118,MATCH(A424,Einstellungen!$A$19:$A$118,0)),""))</x:f>
      </x:c>
      <x:c r="E424" s="18" t="inlineStr">
        <x:is>
          <x:t xml:space="preserve"/>
        </x:is>
      </x:c>
      <x:c r="F424" s="18" t="inlineStr">
        <x:is>
          <x:t xml:space="preserve"/>
        </x:is>
      </x:c>
      <x:c r="G424" s="18" t="inlineStr">
        <x:is>
          <x:t xml:space="preserve"/>
        </x:is>
      </x:c>
      <x:c r="H424" s="18" t="inlineStr">
        <x:is>
          <x:t xml:space="preserve"/>
        </x:is>
      </x:c>
      <x:c r="I424" s="18" t="inlineStr">
        <x:is>
          <x:t xml:space="preserve"/>
        </x:is>
      </x:c>
      <x:c r="J424" s="17">
        <x:f>IF(A424="","",SUM(E424:I424))</x:f>
        <x:v>0</x:v>
      </x:c>
    </x:row>
    <x:row r="425">
      <x:c r="A425" s="10">
        <x:f>IF(23&lt;=DAY(EOMONTH(EDATE(Einstellungen!$E$6,11),0)),DATE(YEAR(EDATE(Einstellungen!$E$6,11)),MONTH(EDATE(Einstellungen!$E$6,11)),23),"")</x:f>
        <x:v>46257</x:v>
      </x:c>
      <x:c r="B425" s="12" t="str">
        <x:f>IF(A425="","",CHOOSE(WEEKDAY(A425,2),"Mo","Di","Mi","Do","Fr","Sa","So"))</x:f>
        <x:v>So</x:v>
      </x:c>
      <x:c r="C425" s="12">
        <x:f>IF(A425="","",ISOWEEKNUM(A425))</x:f>
        <x:v>34</x:v>
      </x:c>
      <x:c r="D425" s="11">
        <x:f>IF(A425="","",IFERROR(INDEX(Einstellungen!$B$19:$B$118,MATCH(A425,Einstellungen!$A$19:$A$118,0)),""))</x:f>
      </x:c>
      <x:c r="E425" s="18" t="inlineStr">
        <x:is>
          <x:t xml:space="preserve"/>
        </x:is>
      </x:c>
      <x:c r="F425" s="18" t="inlineStr">
        <x:is>
          <x:t xml:space="preserve"/>
        </x:is>
      </x:c>
      <x:c r="G425" s="18" t="inlineStr">
        <x:is>
          <x:t xml:space="preserve"/>
        </x:is>
      </x:c>
      <x:c r="H425" s="18" t="inlineStr">
        <x:is>
          <x:t xml:space="preserve"/>
        </x:is>
      </x:c>
      <x:c r="I425" s="18" t="inlineStr">
        <x:is>
          <x:t xml:space="preserve"/>
        </x:is>
      </x:c>
      <x:c r="J425" s="17">
        <x:f>IF(A425="","",SUM(E425:I425))</x:f>
        <x:v>0</x:v>
      </x:c>
    </x:row>
    <x:row r="426">
      <x:c r="A426" s="10">
        <x:f>IF(24&lt;=DAY(EOMONTH(EDATE(Einstellungen!$E$6,11),0)),DATE(YEAR(EDATE(Einstellungen!$E$6,11)),MONTH(EDATE(Einstellungen!$E$6,11)),24),"")</x:f>
        <x:v>46258</x:v>
      </x:c>
      <x:c r="B426" s="12" t="str">
        <x:f>IF(A426="","",CHOOSE(WEEKDAY(A426,2),"Mo","Di","Mi","Do","Fr","Sa","So"))</x:f>
        <x:v>Mo</x:v>
      </x:c>
      <x:c r="C426" s="12">
        <x:f>IF(A426="","",ISOWEEKNUM(A426))</x:f>
        <x:v>35</x:v>
      </x:c>
      <x:c r="D426" s="11">
        <x:f>IF(A426="","",IFERROR(INDEX(Einstellungen!$B$19:$B$118,MATCH(A426,Einstellungen!$A$19:$A$118,0)),""))</x:f>
      </x:c>
      <x:c r="E426" s="17" t="n">
        <x:v>5.5</x:v>
      </x:c>
      <x:c r="F426" s="17" t="n">
        <x:v>0.75</x:v>
      </x:c>
      <x:c r="G426" s="17" t="n">
        <x:v>0.5</x:v>
      </x:c>
      <x:c r="H426" s="17" t="n">
        <x:v>0.5</x:v>
      </x:c>
      <x:c r="I426" s="17" t="n">
        <x:v>0.25</x:v>
      </x:c>
      <x:c r="J426" s="17">
        <x:f>IF(A426="","",SUM(E426:I426))</x:f>
        <x:v>7.5</x:v>
      </x:c>
    </x:row>
    <x:row r="427">
      <x:c r="A427" s="10">
        <x:f>IF(25&lt;=DAY(EOMONTH(EDATE(Einstellungen!$E$6,11),0)),DATE(YEAR(EDATE(Einstellungen!$E$6,11)),MONTH(EDATE(Einstellungen!$E$6,11)),25),"")</x:f>
        <x:v>46259</x:v>
      </x:c>
      <x:c r="B427" s="12" t="str">
        <x:f>IF(A427="","",CHOOSE(WEEKDAY(A427,2),"Mo","Di","Mi","Do","Fr","Sa","So"))</x:f>
        <x:v>Di</x:v>
      </x:c>
      <x:c r="C427" s="12">
        <x:f>IF(A427="","",ISOWEEKNUM(A427))</x:f>
        <x:v>35</x:v>
      </x:c>
      <x:c r="D427" s="11">
        <x:f>IF(A427="","",IFERROR(INDEX(Einstellungen!$B$19:$B$118,MATCH(A427,Einstellungen!$A$19:$A$118,0)),""))</x:f>
      </x:c>
      <x:c r="E427" s="17" t="n">
        <x:v>6</x:v>
      </x:c>
      <x:c r="F427" s="17" t="n">
        <x:v>0.5</x:v>
      </x:c>
      <x:c r="G427" s="17" t="n">
        <x:v>1.5</x:v>
      </x:c>
      <x:c r="H427" s="17" t="n">
        <x:v>0.25</x:v>
      </x:c>
      <x:c r="I427" s="17" t="n">
        <x:v>0.5</x:v>
      </x:c>
      <x:c r="J427" s="17">
        <x:f>IF(A427="","",SUM(E427:I427))</x:f>
        <x:v>8.75</x:v>
      </x:c>
    </x:row>
    <x:row r="428">
      <x:c r="A428" s="10">
        <x:f>IF(26&lt;=DAY(EOMONTH(EDATE(Einstellungen!$E$6,11),0)),DATE(YEAR(EDATE(Einstellungen!$E$6,11)),MONTH(EDATE(Einstellungen!$E$6,11)),26),"")</x:f>
        <x:v>46260</x:v>
      </x:c>
      <x:c r="B428" s="12" t="str">
        <x:f>IF(A428="","",CHOOSE(WEEKDAY(A428,2),"Mo","Di","Mi","Do","Fr","Sa","So"))</x:f>
        <x:v>Mi</x:v>
      </x:c>
      <x:c r="C428" s="12">
        <x:f>IF(A428="","",ISOWEEKNUM(A428))</x:f>
        <x:v>35</x:v>
      </x:c>
      <x:c r="D428" s="11">
        <x:f>IF(A428="","",IFERROR(INDEX(Einstellungen!$B$19:$B$118,MATCH(A428,Einstellungen!$A$19:$A$118,0)),""))</x:f>
      </x:c>
      <x:c r="E428" s="17" t="n">
        <x:v>6.5</x:v>
      </x:c>
      <x:c r="F428" s="17" t="n">
        <x:v>0.75</x:v>
      </x:c>
      <x:c r="G428" s="17" t="n">
        <x:v>0.5</x:v>
      </x:c>
      <x:c r="H428" s="17" t="n">
        <x:v>0.25</x:v>
      </x:c>
      <x:c r="I428" s="17" t="n">
        <x:v>0.25</x:v>
      </x:c>
      <x:c r="J428" s="17">
        <x:f>IF(A428="","",SUM(E428:I428))</x:f>
        <x:v>8.25</x:v>
      </x:c>
    </x:row>
    <x:row r="429">
      <x:c r="A429" s="10">
        <x:f>IF(27&lt;=DAY(EOMONTH(EDATE(Einstellungen!$E$6,11),0)),DATE(YEAR(EDATE(Einstellungen!$E$6,11)),MONTH(EDATE(Einstellungen!$E$6,11)),27),"")</x:f>
        <x:v>46261</x:v>
      </x:c>
      <x:c r="B429" s="12" t="str">
        <x:f>IF(A429="","",CHOOSE(WEEKDAY(A429,2),"Mo","Di","Mi","Do","Fr","Sa","So"))</x:f>
        <x:v>Do</x:v>
      </x:c>
      <x:c r="C429" s="12">
        <x:f>IF(A429="","",ISOWEEKNUM(A429))</x:f>
        <x:v>35</x:v>
      </x:c>
      <x:c r="D429" s="11">
        <x:f>IF(A429="","",IFERROR(INDEX(Einstellungen!$B$19:$B$118,MATCH(A429,Einstellungen!$A$19:$A$118,0)),""))</x:f>
      </x:c>
      <x:c r="E429" s="17" t="n">
        <x:v>5.5</x:v>
      </x:c>
      <x:c r="F429" s="17" t="n">
        <x:v>0.5</x:v>
      </x:c>
      <x:c r="G429" s="17" t="n">
        <x:v>1.5</x:v>
      </x:c>
      <x:c r="H429" s="17" t="n">
        <x:v>0.25</x:v>
      </x:c>
      <x:c r="I429" s="17" t="n">
        <x:v>0.25</x:v>
      </x:c>
      <x:c r="J429" s="17">
        <x:f>IF(A429="","",SUM(E429:I429))</x:f>
        <x:v>8</x:v>
      </x:c>
    </x:row>
    <x:row r="430">
      <x:c r="A430" s="10">
        <x:f>IF(28&lt;=DAY(EOMONTH(EDATE(Einstellungen!$E$6,11),0)),DATE(YEAR(EDATE(Einstellungen!$E$6,11)),MONTH(EDATE(Einstellungen!$E$6,11)),28),"")</x:f>
        <x:v>46262</x:v>
      </x:c>
      <x:c r="B430" s="12" t="str">
        <x:f>IF(A430="","",CHOOSE(WEEKDAY(A430,2),"Mo","Di","Mi","Do","Fr","Sa","So"))</x:f>
        <x:v>Fr</x:v>
      </x:c>
      <x:c r="C430" s="12">
        <x:f>IF(A430="","",ISOWEEKNUM(A430))</x:f>
        <x:v>35</x:v>
      </x:c>
      <x:c r="D430" s="11">
        <x:f>IF(A430="","",IFERROR(INDEX(Einstellungen!$B$19:$B$118,MATCH(A430,Einstellungen!$A$19:$A$118,0)),""))</x:f>
      </x:c>
      <x:c r="E430" s="17" t="n">
        <x:v>6</x:v>
      </x:c>
      <x:c r="F430" s="17" t="n">
        <x:v>0.5</x:v>
      </x:c>
      <x:c r="G430" s="17" t="n">
        <x:v>0.5</x:v>
      </x:c>
      <x:c r="H430" s="17" t="n">
        <x:v>0.5</x:v>
      </x:c>
      <x:c r="I430" s="17" t="n">
        <x:v>0.25</x:v>
      </x:c>
      <x:c r="J430" s="17">
        <x:f>IF(A430="","",SUM(E430:I430))</x:f>
        <x:v>7.75</x:v>
      </x:c>
    </x:row>
    <x:row r="431">
      <x:c r="A431" s="10">
        <x:f>IF(29&lt;=DAY(EOMONTH(EDATE(Einstellungen!$E$6,11),0)),DATE(YEAR(EDATE(Einstellungen!$E$6,11)),MONTH(EDATE(Einstellungen!$E$6,11)),29),"")</x:f>
        <x:v>46263</x:v>
      </x:c>
      <x:c r="B431" s="12" t="str">
        <x:f>IF(A431="","",CHOOSE(WEEKDAY(A431,2),"Mo","Di","Mi","Do","Fr","Sa","So"))</x:f>
        <x:v>Sa</x:v>
      </x:c>
      <x:c r="C431" s="12">
        <x:f>IF(A431="","",ISOWEEKNUM(A431))</x:f>
        <x:v>35</x:v>
      </x:c>
      <x:c r="D431" s="11">
        <x:f>IF(A431="","",IFERROR(INDEX(Einstellungen!$B$19:$B$118,MATCH(A431,Einstellungen!$A$19:$A$118,0)),""))</x:f>
      </x:c>
      <x:c r="E431" s="18" t="inlineStr">
        <x:is>
          <x:t xml:space="preserve"/>
        </x:is>
      </x:c>
      <x:c r="F431" s="18" t="inlineStr">
        <x:is>
          <x:t xml:space="preserve"/>
        </x:is>
      </x:c>
      <x:c r="G431" s="18" t="inlineStr">
        <x:is>
          <x:t xml:space="preserve"/>
        </x:is>
      </x:c>
      <x:c r="H431" s="18" t="inlineStr">
        <x:is>
          <x:t xml:space="preserve"/>
        </x:is>
      </x:c>
      <x:c r="I431" s="18" t="inlineStr">
        <x:is>
          <x:t xml:space="preserve"/>
        </x:is>
      </x:c>
      <x:c r="J431" s="17">
        <x:f>IF(A431="","",SUM(E431:I431))</x:f>
        <x:v>0</x:v>
      </x:c>
    </x:row>
    <x:row r="432">
      <x:c r="A432" s="10">
        <x:f>IF(30&lt;=DAY(EOMONTH(EDATE(Einstellungen!$E$6,11),0)),DATE(YEAR(EDATE(Einstellungen!$E$6,11)),MONTH(EDATE(Einstellungen!$E$6,11)),30),"")</x:f>
        <x:v>46264</x:v>
      </x:c>
      <x:c r="B432" s="12" t="str">
        <x:f>IF(A432="","",CHOOSE(WEEKDAY(A432,2),"Mo","Di","Mi","Do","Fr","Sa","So"))</x:f>
        <x:v>So</x:v>
      </x:c>
      <x:c r="C432" s="12">
        <x:f>IF(A432="","",ISOWEEKNUM(A432))</x:f>
        <x:v>35</x:v>
      </x:c>
      <x:c r="D432" s="11">
        <x:f>IF(A432="","",IFERROR(INDEX(Einstellungen!$B$19:$B$118,MATCH(A432,Einstellungen!$A$19:$A$118,0)),""))</x:f>
      </x:c>
      <x:c r="E432" s="18" t="inlineStr">
        <x:is>
          <x:t xml:space="preserve"/>
        </x:is>
      </x:c>
      <x:c r="F432" s="18" t="inlineStr">
        <x:is>
          <x:t xml:space="preserve"/>
        </x:is>
      </x:c>
      <x:c r="G432" s="18" t="inlineStr">
        <x:is>
          <x:t xml:space="preserve"/>
        </x:is>
      </x:c>
      <x:c r="H432" s="18" t="inlineStr">
        <x:is>
          <x:t xml:space="preserve"/>
        </x:is>
      </x:c>
      <x:c r="I432" s="18" t="inlineStr">
        <x:is>
          <x:t xml:space="preserve"/>
        </x:is>
      </x:c>
      <x:c r="J432" s="17">
        <x:f>IF(A432="","",SUM(E432:I432))</x:f>
        <x:v>0</x:v>
      </x:c>
    </x:row>
    <x:row r="433">
      <x:c r="A433" s="10">
        <x:f>IF(31&lt;=DAY(EOMONTH(EDATE(Einstellungen!$E$6,11),0)),DATE(YEAR(EDATE(Einstellungen!$E$6,11)),MONTH(EDATE(Einstellungen!$E$6,11)),31),"")</x:f>
        <x:v>46265</x:v>
      </x:c>
      <x:c r="B433" s="12" t="str">
        <x:f>IF(A433="","",CHOOSE(WEEKDAY(A433,2),"Mo","Di","Mi","Do","Fr","Sa","So"))</x:f>
        <x:v>Mo</x:v>
      </x:c>
      <x:c r="C433" s="12">
        <x:f>IF(A433="","",ISOWEEKNUM(A433))</x:f>
        <x:v>36</x:v>
      </x:c>
      <x:c r="D433" s="11">
        <x:f>IF(A433="","",IFERROR(INDEX(Einstellungen!$B$19:$B$118,MATCH(A433,Einstellungen!$A$19:$A$118,0)),""))</x:f>
      </x:c>
      <x:c r="E433" s="17" t="n">
        <x:v>5.5</x:v>
      </x:c>
      <x:c r="F433" s="17" t="n">
        <x:v>0.75</x:v>
      </x:c>
      <x:c r="G433" s="17" t="n">
        <x:v>0.5</x:v>
      </x:c>
      <x:c r="H433" s="17" t="n">
        <x:v>0.5</x:v>
      </x:c>
      <x:c r="I433" s="17" t="n">
        <x:v>0.25</x:v>
      </x:c>
      <x:c r="J433" s="17">
        <x:f>IF(A433="","",SUM(E433:I433))</x:f>
        <x:v>7.5</x:v>
      </x:c>
    </x:row>
    <x:row r="434">
      <x:c r="A434" s="4" t="inlineStr">
        <x:is>
          <x:t xml:space="preserve">Monatssumme</x:t>
        </x:is>
      </x:c>
      <x:c r="B434" s="15" t="n"/>
      <x:c r="C434" s="15" t="n"/>
      <x:c r="D434" s="15" t="n"/>
      <x:c r="E434" s="19">
        <x:f>SUM(E403:E433)</x:f>
        <x:v>123.5</x:v>
      </x:c>
      <x:c r="F434" s="19">
        <x:f>SUM(F403:F433)</x:f>
        <x:v>12.75</x:v>
      </x:c>
      <x:c r="G434" s="19">
        <x:f>SUM(G403:G433)</x:f>
        <x:v>18.5</x:v>
      </x:c>
      <x:c r="H434" s="19">
        <x:f>SUM(H403:H433)</x:f>
        <x:v>7.5</x:v>
      </x:c>
      <x:c r="I434" s="19">
        <x:f>SUM(I403:I433)</x:f>
        <x:v>5.75</x:v>
      </x:c>
      <x:c r="J434" s="19">
        <x:f>SUM(J403:J433)</x:f>
        <x:v>168</x:v>
      </x:c>
    </x:row>
    <x:row r="435">
      <x:c r="A435" s="20" t="n"/>
      <x:c r="B435" s="20" t="n"/>
      <x:c r="C435" s="20" t="n"/>
      <x:c r="D435" s="20" t="n"/>
      <x:c r="E435" s="20" t="n"/>
      <x:c r="F435" s="20" t="n"/>
      <x:c r="G435" s="20" t="n"/>
      <x:c r="H435" s="20" t="n"/>
      <x:c r="I435" s="20" t="n"/>
      <x:c r="J435" s="20" t="n"/>
    </x:row>
    <x:row r="436">
      <x:c r="A436" s="20" t="n"/>
      <x:c r="B436" s="20" t="n"/>
      <x:c r="C436" s="20" t="n"/>
      <x:c r="D436" s="20" t="n"/>
      <x:c r="E436" s="20" t="n"/>
      <x:c r="F436" s="20" t="n"/>
      <x:c r="G436" s="20" t="n"/>
      <x:c r="H436" s="20" t="n"/>
      <x:c r="I436" s="20" t="n"/>
      <x:c r="J436" s="20" t="n"/>
    </x:row>
  </x:sheetData>
  <x:mergeCells>
    <x:mergeCell ref="A1:J1"/>
    <x:mergeCell ref="A293:J293"/>
    <x:mergeCell ref="A5:J5"/>
    <x:mergeCell ref="A149:J149"/>
    <x:mergeCell ref="A329:J329"/>
    <x:mergeCell ref="A365:J365"/>
    <x:mergeCell ref="A77:J77"/>
    <x:mergeCell ref="A257:J257"/>
    <x:mergeCell ref="A113:J113"/>
    <x:mergeCell ref="A221:J221"/>
    <x:mergeCell ref="A401:J401"/>
    <x:mergeCell ref="A41:J41"/>
    <x:mergeCell ref="A185:J185"/>
  </x:mergeCells>
  <x:conditionalFormatting sqref="A7:J37">
    <x:cfRule type="expression" dxfId="0" priority="1">
      <x:formula>AND($A7&lt;&gt;"",WEEKDAY($A7,2)&gt;5)</x:formula>
    </x:cfRule>
  </x:conditionalFormatting>
  <x:conditionalFormatting sqref="D7:D37">
    <x:cfRule type="expression" dxfId="1" priority="2">
      <x:formula>$D7&lt;&gt;""</x:formula>
    </x:cfRule>
  </x:conditionalFormatting>
  <x:conditionalFormatting sqref="A43:J73">
    <x:cfRule type="expression" dxfId="0" priority="3">
      <x:formula>AND($A43&lt;&gt;"",WEEKDAY($A43,2)&gt;5)</x:formula>
    </x:cfRule>
  </x:conditionalFormatting>
  <x:conditionalFormatting sqref="D43:D73">
    <x:cfRule type="expression" dxfId="1" priority="4">
      <x:formula>$D43&lt;&gt;""</x:formula>
    </x:cfRule>
  </x:conditionalFormatting>
  <x:conditionalFormatting sqref="A79:J109">
    <x:cfRule type="expression" dxfId="0" priority="5">
      <x:formula>AND($A79&lt;&gt;"",WEEKDAY($A79,2)&gt;5)</x:formula>
    </x:cfRule>
  </x:conditionalFormatting>
  <x:conditionalFormatting sqref="D79:D109">
    <x:cfRule type="expression" dxfId="1" priority="6">
      <x:formula>$D79&lt;&gt;""</x:formula>
    </x:cfRule>
  </x:conditionalFormatting>
  <x:conditionalFormatting sqref="A115:J145">
    <x:cfRule type="expression" dxfId="0" priority="7">
      <x:formula>AND($A115&lt;&gt;"",WEEKDAY($A115,2)&gt;5)</x:formula>
    </x:cfRule>
  </x:conditionalFormatting>
  <x:conditionalFormatting sqref="D115:D145">
    <x:cfRule type="expression" dxfId="1" priority="8">
      <x:formula>$D115&lt;&gt;""</x:formula>
    </x:cfRule>
  </x:conditionalFormatting>
  <x:conditionalFormatting sqref="A151:J181">
    <x:cfRule type="expression" dxfId="0" priority="9">
      <x:formula>AND($A151&lt;&gt;"",WEEKDAY($A151,2)&gt;5)</x:formula>
    </x:cfRule>
  </x:conditionalFormatting>
  <x:conditionalFormatting sqref="D151:D181">
    <x:cfRule type="expression" dxfId="1" priority="10">
      <x:formula>$D151&lt;&gt;""</x:formula>
    </x:cfRule>
  </x:conditionalFormatting>
  <x:conditionalFormatting sqref="A187:J217">
    <x:cfRule type="expression" dxfId="0" priority="11">
      <x:formula>AND($A187&lt;&gt;"",WEEKDAY($A187,2)&gt;5)</x:formula>
    </x:cfRule>
  </x:conditionalFormatting>
  <x:conditionalFormatting sqref="D187:D217">
    <x:cfRule type="expression" dxfId="1" priority="12">
      <x:formula>$D187&lt;&gt;""</x:formula>
    </x:cfRule>
  </x:conditionalFormatting>
  <x:conditionalFormatting sqref="A223:J253">
    <x:cfRule type="expression" dxfId="0" priority="13">
      <x:formula>AND($A223&lt;&gt;"",WEEKDAY($A223,2)&gt;5)</x:formula>
    </x:cfRule>
  </x:conditionalFormatting>
  <x:conditionalFormatting sqref="D223:D253">
    <x:cfRule type="expression" dxfId="1" priority="14">
      <x:formula>$D223&lt;&gt;""</x:formula>
    </x:cfRule>
  </x:conditionalFormatting>
  <x:conditionalFormatting sqref="A259:J289">
    <x:cfRule type="expression" dxfId="0" priority="15">
      <x:formula>AND($A259&lt;&gt;"",WEEKDAY($A259,2)&gt;5)</x:formula>
    </x:cfRule>
  </x:conditionalFormatting>
  <x:conditionalFormatting sqref="D259:D289">
    <x:cfRule type="expression" dxfId="1" priority="16">
      <x:formula>$D259&lt;&gt;""</x:formula>
    </x:cfRule>
  </x:conditionalFormatting>
  <x:conditionalFormatting sqref="A295:J325">
    <x:cfRule type="expression" dxfId="0" priority="17">
      <x:formula>AND($A295&lt;&gt;"",WEEKDAY($A295,2)&gt;5)</x:formula>
    </x:cfRule>
  </x:conditionalFormatting>
  <x:conditionalFormatting sqref="D295:D325">
    <x:cfRule type="expression" dxfId="1" priority="18">
      <x:formula>$D295&lt;&gt;""</x:formula>
    </x:cfRule>
  </x:conditionalFormatting>
  <x:conditionalFormatting sqref="A331:J361">
    <x:cfRule type="expression" dxfId="0" priority="19">
      <x:formula>AND($A331&lt;&gt;"",WEEKDAY($A331,2)&gt;5)</x:formula>
    </x:cfRule>
  </x:conditionalFormatting>
  <x:conditionalFormatting sqref="D331:D361">
    <x:cfRule type="expression" dxfId="1" priority="20">
      <x:formula>$D331&lt;&gt;""</x:formula>
    </x:cfRule>
  </x:conditionalFormatting>
  <x:conditionalFormatting sqref="A367:J397">
    <x:cfRule type="expression" dxfId="0" priority="21">
      <x:formula>AND($A367&lt;&gt;"",WEEKDAY($A367,2)&gt;5)</x:formula>
    </x:cfRule>
  </x:conditionalFormatting>
  <x:conditionalFormatting sqref="D367:D397">
    <x:cfRule type="expression" dxfId="1" priority="22">
      <x:formula>$D367&lt;&gt;""</x:formula>
    </x:cfRule>
  </x:conditionalFormatting>
  <x:conditionalFormatting sqref="A403:J433">
    <x:cfRule type="expression" dxfId="0" priority="23">
      <x:formula>AND($A403&lt;&gt;"",WEEKDAY($A403,2)&gt;5)</x:formula>
    </x:cfRule>
  </x:conditionalFormatting>
  <x:conditionalFormatting sqref="D403:D433">
    <x:cfRule type="expression" dxfId="1" priority="24">
      <x:formula>$D403&lt;&gt;""</x:formula>
    </x:cfRule>
  </x:conditionalFormatting>
  <x:dataValidations count="1">
    <x:dataValidation type="decimal" operator="greaterThanOrEqual" allowBlank="1" showDropDown="0" showInputMessage="0" showErrorMessage="0" prompt="Bitte Stunden als Dezimalzahl eingeben." sqref="E7:I37 E43:I73 E79:I109 E115:I145 E151:I181 E187:I217 E223:I253 E259:I289 E295:I325 E331:I361 E367:I397 E403:I433">
      <x:formula1>0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2" customWidth="1"/>
    <x:col min="2" max="2" width="14" customWidth="1"/>
    <x:col min="3" max="3" width="12" customWidth="1"/>
    <x:col min="4" max="4" width="12" customWidth="1"/>
    <x:col min="5" max="5" width="12" customWidth="1"/>
    <x:col min="6" max="6" width="12" customWidth="1"/>
    <x:col min="7" max="7" width="14" customWidth="1"/>
  </x:cols>
  <x:sheetData>
    <x:row r="1">
      <x:c r="A1" s="1" t="inlineStr">
        <x:is>
          <x:t xml:space="preserve">Übersicht</x:t>
        </x:is>
      </x:c>
    </x:row>
    <x:row r="2">
      <x:c r="A2" s="13" t="inlineStr">
        <x:is>
          <x:t xml:space="preserve">Zeitraum</x:t>
        </x:is>
      </x:c>
      <x:c r="B2" t="str">
        <x:f>Einstellungen!E8</x:f>
        <x:v>September 2025 bis August 2026</x:v>
      </x:c>
      <x:c r="E2" s="13" t="inlineStr">
        <x:is>
          <x:t xml:space="preserve">Name</x:t>
        </x:is>
      </x:c>
      <x:c r="F2" t="str">
        <x:f>Einstellungen!B7</x:f>
        <x:v>Max Mustermann</x:v>
      </x:c>
    </x:row>
    <x:row r="4">
      <x:c r="A4" s="16" t="inlineStr">
        <x:is>
          <x:t xml:space="preserve">Monat</x:t>
        </x:is>
      </x:c>
      <x:c r="B4" s="16" t="str">
        <x:f>Einstellungen!$B$11</x:f>
        <x:v>Arbeitszeit</x:v>
      </x:c>
      <x:c r="C4" s="16" t="str">
        <x:f>Einstellungen!$B$12</x:f>
        <x:v>E-Mail</x:v>
      </x:c>
      <x:c r="D4" s="16" t="str">
        <x:f>Einstellungen!$B$13</x:f>
        <x:v>Meetings</x:v>
      </x:c>
      <x:c r="E4" s="16" t="str">
        <x:f>Einstellungen!$B$14</x:f>
        <x:v>Telefonate</x:v>
      </x:c>
      <x:c r="F4" s="16" t="str">
        <x:f>Einstellungen!$B$15</x:f>
        <x:v>Sonstiges</x:v>
      </x:c>
      <x:c r="G4" s="16" t="inlineStr">
        <x:is>
          <x:t xml:space="preserve">Gesamt</x:t>
        </x:is>
      </x:c>
    </x:row>
    <x:row r="5">
      <x:c r="A5" s="21" t="str">
        <x:f>INDEX(Einstellungen!$J$2:$J$13,MONTH(EDATE(Einstellungen!$E$6,0)))&amp;" "&amp;YEAR(EDATE(Einstellungen!$E$6,0))</x:f>
        <x:v>September 2025</x:v>
      </x:c>
      <x:c r="B5" s="22">
        <x:f>Kalender!E38</x:f>
        <x:v>129.5</x:v>
      </x:c>
      <x:c r="C5" s="22">
        <x:f>Kalender!F38</x:f>
        <x:v>13.25</x:v>
      </x:c>
      <x:c r="D5" s="22">
        <x:f>Kalender!G38</x:f>
        <x:v>20</x:v>
      </x:c>
      <x:c r="E5" s="22">
        <x:f>Kalender!H38</x:f>
        <x:v>7.75</x:v>
      </x:c>
      <x:c r="F5" s="22">
        <x:f>Kalender!I38</x:f>
        <x:v>6.25</x:v>
      </x:c>
      <x:c r="G5" s="22">
        <x:f>Kalender!J38</x:f>
        <x:v>176.75</x:v>
      </x:c>
    </x:row>
    <x:row r="6">
      <x:c r="A6" s="21" t="str">
        <x:f>INDEX(Einstellungen!$J$2:$J$13,MONTH(EDATE(Einstellungen!$E$6,1)))&amp;" "&amp;YEAR(EDATE(Einstellungen!$E$6,1))</x:f>
        <x:v>Oktober 2025</x:v>
      </x:c>
      <x:c r="B6" s="22">
        <x:f>Kalender!E74</x:f>
        <x:v>136</x:v>
      </x:c>
      <x:c r="C6" s="22">
        <x:f>Kalender!F74</x:f>
        <x:v>13.75</x:v>
      </x:c>
      <x:c r="D6" s="22">
        <x:f>Kalender!G74</x:f>
        <x:v>20.5</x:v>
      </x:c>
      <x:c r="E6" s="22">
        <x:f>Kalender!H74</x:f>
        <x:v>8</x:v>
      </x:c>
      <x:c r="F6" s="22">
        <x:f>Kalender!I74</x:f>
        <x:v>6</x:v>
      </x:c>
      <x:c r="G6" s="22">
        <x:f>Kalender!J74</x:f>
        <x:v>184.25</x:v>
      </x:c>
    </x:row>
    <x:row r="7">
      <x:c r="A7" s="21" t="str">
        <x:f>INDEX(Einstellungen!$J$2:$J$13,MONTH(EDATE(Einstellungen!$E$6,2)))&amp;" "&amp;YEAR(EDATE(Einstellungen!$E$6,2))</x:f>
        <x:v>November 2025</x:v>
      </x:c>
      <x:c r="B7" s="22">
        <x:f>Kalender!E110</x:f>
        <x:v>118</x:v>
      </x:c>
      <x:c r="C7" s="22">
        <x:f>Kalender!F110</x:f>
        <x:v>12</x:v>
      </x:c>
      <x:c r="D7" s="22">
        <x:f>Kalender!G110</x:f>
        <x:v>18</x:v>
      </x:c>
      <x:c r="E7" s="22">
        <x:f>Kalender!H110</x:f>
        <x:v>7</x:v>
      </x:c>
      <x:c r="F7" s="22">
        <x:f>Kalender!I110</x:f>
        <x:v>5.5</x:v>
      </x:c>
      <x:c r="G7" s="22">
        <x:f>Kalender!J110</x:f>
        <x:v>160.5</x:v>
      </x:c>
    </x:row>
    <x:row r="8">
      <x:c r="A8" s="21" t="str">
        <x:f>INDEX(Einstellungen!$J$2:$J$13,MONTH(EDATE(Einstellungen!$E$6,3)))&amp;" "&amp;YEAR(EDATE(Einstellungen!$E$6,3))</x:f>
        <x:v>Dezember 2025</x:v>
      </x:c>
      <x:c r="B8" s="22">
        <x:f>Kalender!E146</x:f>
        <x:v>136</x:v>
      </x:c>
      <x:c r="C8" s="22">
        <x:f>Kalender!F146</x:f>
        <x:v>14</x:v>
      </x:c>
      <x:c r="D8" s="22">
        <x:f>Kalender!G146</x:f>
        <x:v>20.5</x:v>
      </x:c>
      <x:c r="E8" s="22">
        <x:f>Kalender!H146</x:f>
        <x:v>8</x:v>
      </x:c>
      <x:c r="F8" s="22">
        <x:f>Kalender!I146</x:f>
        <x:v>6.5</x:v>
      </x:c>
      <x:c r="G8" s="22">
        <x:f>Kalender!J146</x:f>
        <x:v>185</x:v>
      </x:c>
    </x:row>
    <x:row r="9">
      <x:c r="A9" s="21" t="str">
        <x:f>INDEX(Einstellungen!$J$2:$J$13,MONTH(EDATE(Einstellungen!$E$6,4)))&amp;" "&amp;YEAR(EDATE(Einstellungen!$E$6,4))</x:f>
        <x:v>Januar 2026</x:v>
      </x:c>
      <x:c r="B9" s="22">
        <x:f>Kalender!E182</x:f>
        <x:v>129.5</x:v>
      </x:c>
      <x:c r="C9" s="22">
        <x:f>Kalender!F182</x:f>
        <x:v>13</x:v>
      </x:c>
      <x:c r="D9" s="22">
        <x:f>Kalender!G182</x:f>
        <x:v>20</x:v>
      </x:c>
      <x:c r="E9" s="22">
        <x:f>Kalender!H182</x:f>
        <x:v>7.75</x:v>
      </x:c>
      <x:c r="F9" s="22">
        <x:f>Kalender!I182</x:f>
        <x:v>6</x:v>
      </x:c>
      <x:c r="G9" s="22">
        <x:f>Kalender!J182</x:f>
        <x:v>176.25</x:v>
      </x:c>
    </x:row>
    <x:row r="10">
      <x:c r="A10" s="21" t="str">
        <x:f>INDEX(Einstellungen!$J$2:$J$13,MONTH(EDATE(Einstellungen!$E$6,5)))&amp;" "&amp;YEAR(EDATE(Einstellungen!$E$6,5))</x:f>
        <x:v>Februar 2026</x:v>
      </x:c>
      <x:c r="B10" s="22">
        <x:f>Kalender!E218</x:f>
        <x:v>118</x:v>
      </x:c>
      <x:c r="C10" s="22">
        <x:f>Kalender!F218</x:f>
        <x:v>12</x:v>
      </x:c>
      <x:c r="D10" s="22">
        <x:f>Kalender!G218</x:f>
        <x:v>18</x:v>
      </x:c>
      <x:c r="E10" s="22">
        <x:f>Kalender!H218</x:f>
        <x:v>7</x:v>
      </x:c>
      <x:c r="F10" s="22">
        <x:f>Kalender!I218</x:f>
        <x:v>5.5</x:v>
      </x:c>
      <x:c r="G10" s="22">
        <x:f>Kalender!J218</x:f>
        <x:v>160.5</x:v>
      </x:c>
    </x:row>
    <x:row r="11">
      <x:c r="A11" s="21" t="str">
        <x:f>INDEX(Einstellungen!$J$2:$J$13,MONTH(EDATE(Einstellungen!$E$6,6)))&amp;" "&amp;YEAR(EDATE(Einstellungen!$E$6,6))</x:f>
        <x:v>März 2026</x:v>
      </x:c>
      <x:c r="B11" s="22">
        <x:f>Kalender!E254</x:f>
        <x:v>129.5</x:v>
      </x:c>
      <x:c r="C11" s="22">
        <x:f>Kalender!F254</x:f>
        <x:v>13.25</x:v>
      </x:c>
      <x:c r="D11" s="22">
        <x:f>Kalender!G254</x:f>
        <x:v>20</x:v>
      </x:c>
      <x:c r="E11" s="22">
        <x:f>Kalender!H254</x:f>
        <x:v>7.75</x:v>
      </x:c>
      <x:c r="F11" s="22">
        <x:f>Kalender!I254</x:f>
        <x:v>6</x:v>
      </x:c>
      <x:c r="G11" s="22">
        <x:f>Kalender!J254</x:f>
        <x:v>176.5</x:v>
      </x:c>
    </x:row>
    <x:row r="12">
      <x:c r="A12" s="21" t="str">
        <x:f>INDEX(Einstellungen!$J$2:$J$13,MONTH(EDATE(Einstellungen!$E$6,7)))&amp;" "&amp;YEAR(EDATE(Einstellungen!$E$6,7))</x:f>
        <x:v>April 2026</x:v>
      </x:c>
      <x:c r="B12" s="22">
        <x:f>Kalender!E290</x:f>
        <x:v>130</x:v>
      </x:c>
      <x:c r="C12" s="22">
        <x:f>Kalender!F290</x:f>
        <x:v>13.25</x:v>
      </x:c>
      <x:c r="D12" s="22">
        <x:f>Kalender!G290</x:f>
        <x:v>20</x:v>
      </x:c>
      <x:c r="E12" s="22">
        <x:f>Kalender!H290</x:f>
        <x:v>7.5</x:v>
      </x:c>
      <x:c r="F12" s="22">
        <x:f>Kalender!I290</x:f>
        <x:v>5.75</x:v>
      </x:c>
      <x:c r="G12" s="22">
        <x:f>Kalender!J290</x:f>
        <x:v>176.5</x:v>
      </x:c>
    </x:row>
    <x:row r="13">
      <x:c r="A13" s="21" t="str">
        <x:f>INDEX(Einstellungen!$J$2:$J$13,MONTH(EDATE(Einstellungen!$E$6,8)))&amp;" "&amp;YEAR(EDATE(Einstellungen!$E$6,8))</x:f>
        <x:v>Mai 2026</x:v>
      </x:c>
      <x:c r="B13" s="22">
        <x:f>Kalender!E326</x:f>
        <x:v>124</x:v>
      </x:c>
      <x:c r="C13" s="22">
        <x:f>Kalender!F326</x:f>
        <x:v>12.5</x:v>
      </x:c>
      <x:c r="D13" s="22">
        <x:f>Kalender!G326</x:f>
        <x:v>18.5</x:v>
      </x:c>
      <x:c r="E13" s="22">
        <x:f>Kalender!H326</x:f>
        <x:v>7.5</x:v>
      </x:c>
      <x:c r="F13" s="22">
        <x:f>Kalender!I326</x:f>
        <x:v>6</x:v>
      </x:c>
      <x:c r="G13" s="22">
        <x:f>Kalender!J326</x:f>
        <x:v>168.5</x:v>
      </x:c>
    </x:row>
    <x:row r="14">
      <x:c r="A14" s="21" t="str">
        <x:f>INDEX(Einstellungen!$J$2:$J$13,MONTH(EDATE(Einstellungen!$E$6,9)))&amp;" "&amp;YEAR(EDATE(Einstellungen!$E$6,9))</x:f>
        <x:v>Juni 2026</x:v>
      </x:c>
      <x:c r="B14" s="22">
        <x:f>Kalender!E362</x:f>
        <x:v>129.5</x:v>
      </x:c>
      <x:c r="C14" s="22">
        <x:f>Kalender!F362</x:f>
        <x:v>13.25</x:v>
      </x:c>
      <x:c r="D14" s="22">
        <x:f>Kalender!G362</x:f>
        <x:v>20</x:v>
      </x:c>
      <x:c r="E14" s="22">
        <x:f>Kalender!H362</x:f>
        <x:v>7.75</x:v>
      </x:c>
      <x:c r="F14" s="22">
        <x:f>Kalender!I362</x:f>
        <x:v>6.25</x:v>
      </x:c>
      <x:c r="G14" s="22">
        <x:f>Kalender!J362</x:f>
        <x:v>176.75</x:v>
      </x:c>
    </x:row>
    <x:row r="15">
      <x:c r="A15" s="21" t="str">
        <x:f>INDEX(Einstellungen!$J$2:$J$13,MONTH(EDATE(Einstellungen!$E$6,10)))&amp;" "&amp;YEAR(EDATE(Einstellungen!$E$6,10))</x:f>
        <x:v>Juli 2026</x:v>
      </x:c>
      <x:c r="B15" s="22">
        <x:f>Kalender!E398</x:f>
        <x:v>136</x:v>
      </x:c>
      <x:c r="C15" s="22">
        <x:f>Kalender!F398</x:f>
        <x:v>13.75</x:v>
      </x:c>
      <x:c r="D15" s="22">
        <x:f>Kalender!G398</x:f>
        <x:v>20.5</x:v>
      </x:c>
      <x:c r="E15" s="22">
        <x:f>Kalender!H398</x:f>
        <x:v>8</x:v>
      </x:c>
      <x:c r="F15" s="22">
        <x:f>Kalender!I398</x:f>
        <x:v>6</x:v>
      </x:c>
      <x:c r="G15" s="22">
        <x:f>Kalender!J398</x:f>
        <x:v>184.25</x:v>
      </x:c>
    </x:row>
    <x:row r="16">
      <x:c r="A16" s="21" t="str">
        <x:f>INDEX(Einstellungen!$J$2:$J$13,MONTH(EDATE(Einstellungen!$E$6,11)))&amp;" "&amp;YEAR(EDATE(Einstellungen!$E$6,11))</x:f>
        <x:v>August 2026</x:v>
      </x:c>
      <x:c r="B16" s="22">
        <x:f>Kalender!E434</x:f>
        <x:v>123.5</x:v>
      </x:c>
      <x:c r="C16" s="22">
        <x:f>Kalender!F434</x:f>
        <x:v>12.75</x:v>
      </x:c>
      <x:c r="D16" s="22">
        <x:f>Kalender!G434</x:f>
        <x:v>18.5</x:v>
      </x:c>
      <x:c r="E16" s="22">
        <x:f>Kalender!H434</x:f>
        <x:v>7.5</x:v>
      </x:c>
      <x:c r="F16" s="22">
        <x:f>Kalender!I434</x:f>
        <x:v>5.75</x:v>
      </x:c>
      <x:c r="G16" s="22">
        <x:f>Kalender!J434</x:f>
        <x:v>168</x:v>
      </x:c>
    </x:row>
    <x:row r="17">
      <x:c r="A17" s="23" t="inlineStr">
        <x:is>
          <x:t xml:space="preserve">Gesamtsumme</x:t>
        </x:is>
      </x:c>
      <x:c r="B17" s="24">
        <x:f>SUM(B5:B16)</x:f>
        <x:v>1539.5</x:v>
      </x:c>
      <x:c r="C17" s="24">
        <x:f>SUM(C5:C16)</x:f>
        <x:v>156.75</x:v>
      </x:c>
      <x:c r="D17" s="24">
        <x:f>SUM(D5:D16)</x:f>
        <x:v>234.5</x:v>
      </x:c>
      <x:c r="E17" s="24">
        <x:f>SUM(E5:E16)</x:f>
        <x:v>91.5</x:v>
      </x:c>
      <x:c r="F17" s="24">
        <x:f>SUM(F5:F16)</x:f>
        <x:v>71.5</x:v>
      </x:c>
      <x:c r="G17" s="24">
        <x:f>SUM(G5:G16)</x:f>
        <x:v>2093.75</x:v>
      </x:c>
    </x:row>
  </x:sheetData>
  <x:mergeCells>
    <x:mergeCell ref="A1:G1"/>
  </x:mergeCells>
  <x:pageMargins left="0.7" right="0.7" top="0.75" bottom="0.75" header="0.3" footer="0.3"/>
</x:worksheet>
</file>