
<file path=[Content_Types].xml><?xml version="1.0" encoding="utf-8"?>
<Types xmlns="http://schemas.openxmlformats.org/package/2006/content-types">
  <Default Extension="xml" ContentType="application/vnd.openxmlformats-officedocument.spreadsheetml.sheet.main+xml"/>
  <Default Extension="vml" ContentType="application/vnd.openxmlformats-officedocument.vmlDrawing"/>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comments1.xml" ContentType="application/vnd.openxmlformats-officedocument.spreadsheetml.comments+xml"/>
  <Override PartName="/xl/worksheets/sheet2.xml" ContentType="application/vnd.openxmlformats-officedocument.spreadsheetml.worksheet+xml"/>
  <Override PartName="/xl/worksheets/sheet3.xml" ContentType="application/vnd.openxmlformats-officedocument.spreadsheetml.worksheet+xml"/>
  <Override PartName="/xl/persons/person.xml" ContentType="application/vnd.ms-excel.person+xml"/>
</Types>
</file>

<file path=_rels/.rels>&#65279;<?xml version="1.0" encoding="utf-8"?><Relationships xmlns="http://schemas.openxmlformats.org/package/2006/relationships"><Relationship Type="http://schemas.openxmlformats.org/officeDocument/2006/relationships/officeDocument" Target="/xl/workbook.xml" Id="Rffaf55c532c14652" /></Relationships>
</file>

<file path=xl/workbook.xml><?xml version="1.0" encoding="utf-8"?>
<x:workbook xmlns:x="http://schemas.openxmlformats.org/spreadsheetml/2006/main">
  <x:sheets>
    <x:sheet xmlns:r="http://schemas.openxmlformats.org/officeDocument/2006/relationships" name="Einstellungen" sheetId="1" r:id="R2042ac530c014cc6"/>
    <x:sheet xmlns:r="http://schemas.openxmlformats.org/officeDocument/2006/relationships" name="Kalender" sheetId="2" r:id="R3b50135514b04e3d"/>
    <x:sheet xmlns:r="http://schemas.openxmlformats.org/officeDocument/2006/relationships" name="Übersicht" sheetId="3" r:id="Re0b2cf20caeb4cc3"/>
  </x:sheets>
</x:workbook>
</file>

<file path=xl/comments1.xml><?xml version="1.0" encoding="utf-8"?>
<x:comments xmlns:x="http://schemas.openxmlformats.org/spreadsheetml/2006/main">
  <x:authors>
    <x:author>OpenAI</x:author>
  </x:authors>
  <x:commentList>
    <x:comment ref="B3" authorId="0">
      <x:text>
        <x:r>
          <x:t>Beispiel: 2025</x:t>
        </x:r>
      </x:text>
    </x:comment>
    <x:comment ref="B4" authorId="0">
      <x:text>
        <x:r>
          <x:t>Startmonat für den 12-Monats-Zeitraum</x:t>
        </x:r>
      </x:text>
    </x:comment>
    <x:comment ref="B11" authorId="0">
      <x:text>
        <x:r>
          <x:t>Diese Bezeichnungen erscheinen automatisch im Kalender und in der Übersicht.</x:t>
        </x:r>
      </x:text>
    </x:comment>
  </x:commentList>
</x:comments>
</file>

<file path=xl/sharedStrings.xml><?xml version="1.0" encoding="utf-8"?>
<x:sst xmlns:x="http://schemas.openxmlformats.org/spreadsheetml/2006/main"/>
</file>

<file path=xl/styles.xml><?xml version="1.0" encoding="utf-8"?>
<x:styleSheet xmlns:x="http://schemas.openxmlformats.org/spreadsheetml/2006/main">
  <x:numFmts count="2">
    <x:numFmt numFmtId="164" formatCode="dd.mm.yyyy"/>
    <x:numFmt numFmtId="165" formatCode="00"/>
  </x:numFmts>
  <x:fonts count="11">
    <x:font>
      <x:sz val="11"/>
      <x:color theme="1"/>
      <x:name val="Calibri"/>
      <x:family val="2"/>
      <x:scheme val="minor"/>
    </x:font>
    <x:font>
      <x:b/>
      <x:sz val="18"/>
      <x:color rgb="0000484E"/>
      <x:name val="Calibri"/>
    </x:font>
    <x:font>
      <x:b/>
      <x:sz val="11"/>
      <x:color rgb="00000000"/>
      <x:name val="Calibri"/>
    </x:font>
    <x:font>
      <x:sz val="11"/>
      <x:color rgb="001F415A"/>
      <x:name val="Calibri"/>
    </x:font>
    <x:font>
      <x:sz val="10"/>
      <x:color rgb="00666666"/>
      <x:name val="Calibri"/>
    </x:font>
    <x:font>
      <x:i/>
      <x:sz val="10"/>
      <x:color rgb="001F415A"/>
      <x:name val="Calibri"/>
    </x:font>
    <x:font>
      <x:b/>
      <x:sz val="12"/>
      <x:color rgb="0000484E"/>
      <x:name val="Calibri"/>
    </x:font>
    <x:font>
      <x:b/>
      <x:sz val="11"/>
      <x:color rgb="00FFFFFF"/>
      <x:name val="Calibri"/>
    </x:font>
    <x:font>
      <x:b/>
      <x:sz val="20"/>
      <x:color rgb="0000484E"/>
      <x:name val="Calibri"/>
    </x:font>
    <x:font>
      <x:sz val="18"/>
      <x:color rgb="00000000"/>
      <x:name val="Calibri"/>
    </x:font>
    <x:font>
      <x:sz val="11"/>
      <x:color rgb="00000000"/>
      <x:name val="Calibri"/>
    </x:font>
  </x:fonts>
  <x:fills count="9">
    <x:fill>
      <x:patternFill patternType="none"/>
    </x:fill>
    <x:fill>
      <x:patternFill patternType="gray125"/>
    </x:fill>
    <x:fill>
      <x:patternFill patternType="solid">
        <x:fgColor rgb="00D9E9E8"/>
      </x:patternFill>
    </x:fill>
    <x:fill>
      <x:patternFill patternType="solid">
        <x:fgColor rgb="00FFFFFF"/>
      </x:patternFill>
    </x:fill>
    <x:fill>
      <x:patternFill patternType="solid">
        <x:fgColor rgb="0000484E"/>
      </x:patternFill>
    </x:fill>
    <x:fill>
      <x:patternFill patternType="solid">
        <x:fgColor rgb="001F415A"/>
      </x:patternFill>
    </x:fill>
    <x:fill>
      <x:patternFill patternType="solid">
        <x:fgColor rgb="00EAF4F3"/>
      </x:patternFill>
    </x:fill>
    <x:fill>
      <x:patternFill patternType="solid">
        <x:fgColor rgb="00F4ECD1"/>
      </x:patternFill>
    </x:fill>
    <x:fill>
      <x:patternFill patternType="solid">
        <x:fgColor rgb="00EEF6F5"/>
      </x:patternFill>
    </x:fill>
  </x:fills>
  <x:borders count="12">
    <x:border>
      <x:left/>
      <x:right/>
      <x:top/>
      <x:bottom/>
      <x:diagonal/>
    </x:border>
    <x:border>
      <x:left style="thin">
        <x:color rgb="00B8C7C9"/>
      </x:left>
      <x:right style="thin">
        <x:color rgb="00B8C7C9"/>
      </x:right>
      <x:top style="thin">
        <x:color rgb="00B8C7C9"/>
      </x:top>
      <x:bottom style="thin">
        <x:color rgb="00B8C7C9"/>
      </x:bottom>
    </x:border>
    <x:border>
      <x:left style="medium">
        <x:color rgb="0000484E"/>
      </x:left>
      <x:right style="medium">
        <x:color rgb="0000484E"/>
      </x:right>
      <x:top style="medium">
        <x:color rgb="0000484E"/>
      </x:top>
      <x:bottom style="medium">
        <x:color rgb="0000484E"/>
      </x:bottom>
    </x:border>
    <x:border>
      <x:top style="medium">
        <x:color rgb="0000484E"/>
      </x:top>
      <x:bottom style="medium">
        <x:color rgb="0000484E"/>
      </x:bottom>
    </x:border>
    <x:border>
      <x:left/>
      <x:right/>
      <x:top style="medium">
        <x:color rgb="0000484E"/>
      </x:top>
      <x:bottom/>
      <x:diagonal/>
    </x:border>
    <x:border>
      <x:left/>
      <x:right style="medium">
        <x:color rgb="0000484E"/>
      </x:right>
      <x:top style="medium">
        <x:color rgb="0000484E"/>
      </x:top>
      <x:bottom/>
      <x:diagonal/>
    </x:border>
    <x:border>
      <x:left/>
      <x:right/>
      <x:top style="medium">
        <x:color rgb="0000484E"/>
      </x:top>
      <x:bottom style="medium">
        <x:color rgb="0000484E"/>
      </x:bottom>
      <x:diagonal/>
    </x:border>
    <x:border>
      <x:left/>
      <x:right style="medium">
        <x:color rgb="0000484E"/>
      </x:right>
      <x:top style="medium">
        <x:color rgb="0000484E"/>
      </x:top>
      <x:bottom style="medium">
        <x:color rgb="0000484E"/>
      </x:bottom>
      <x:diagonal/>
    </x:border>
    <x:border>
      <x:left/>
      <x:right/>
      <x:top style="thin">
        <x:color rgb="00B8C7C9"/>
      </x:top>
      <x:bottom/>
      <x:diagonal/>
    </x:border>
    <x:border>
      <x:left/>
      <x:right style="thin">
        <x:color rgb="00B8C7C9"/>
      </x:right>
      <x:top style="thin">
        <x:color rgb="00B8C7C9"/>
      </x:top>
      <x:bottom/>
      <x:diagonal/>
    </x:border>
    <x:border>
      <x:left/>
      <x:right/>
      <x:top style="thin">
        <x:color rgb="00B8C7C9"/>
      </x:top>
      <x:bottom style="thin">
        <x:color rgb="00B8C7C9"/>
      </x:bottom>
      <x:diagonal/>
    </x:border>
    <x:border>
      <x:left/>
      <x:right style="thin">
        <x:color rgb="00B8C7C9"/>
      </x:right>
      <x:top style="thin">
        <x:color rgb="00B8C7C9"/>
      </x:top>
      <x:bottom style="thin">
        <x:color rgb="00B8C7C9"/>
      </x:bottom>
      <x:diagonal/>
    </x:border>
  </x:borders>
  <x:cellStyleXfs count="1">
    <x:xf numFmtId="0" fontId="0" fillId="0" borderId="0"/>
  </x:cellStyleXfs>
  <x:cellXfs count="38">
    <x:xf numFmtId="0" fontId="0" fillId="0" borderId="0" xfId="0"/>
    <x:xf numFmtId="0" fontId="1" fillId="0" borderId="0" xfId="0" applyAlignment="1">
      <x:alignment horizontal="left" vertical="center"/>
    </x:xf>
    <x:xf numFmtId="0" fontId="4" fillId="0" borderId="0" xfId="0"/>
    <x:xf numFmtId="0" fontId="2" fillId="2" borderId="1" xfId="0" applyAlignment="1">
      <x:alignment horizontal="left"/>
    </x:xf>
    <x:xf numFmtId="0" fontId="3" fillId="3" borderId="1" xfId="0"/>
    <x:xf numFmtId="0" fontId="5" fillId="0" borderId="0" xfId="0"/>
    <x:xf numFmtId="164" fontId="0" fillId="0" borderId="0" xfId="0"/>
    <x:xf numFmtId="164" fontId="0" fillId="0" borderId="1" xfId="0"/>
    <x:xf numFmtId="0" fontId="0" fillId="0" borderId="1" xfId="0"/>
    <x:xf numFmtId="0" fontId="6" fillId="0" borderId="0" xfId="0"/>
    <x:xf numFmtId="0" fontId="2" fillId="2" borderId="1" xfId="0"/>
    <x:xf numFmtId="0" fontId="7" fillId="4" borderId="1" xfId="0" applyAlignment="1">
      <x:alignment horizontal="center"/>
    </x:xf>
    <x:xf numFmtId="164" fontId="0" fillId="3" borderId="1" xfId="0" applyAlignment="1">
      <x:alignment horizontal="center"/>
    </x:xf>
    <x:xf numFmtId="0" fontId="0" fillId="3" borderId="1" xfId="0" applyAlignment="1">
      <x:alignment horizontal="left"/>
    </x:xf>
    <x:xf numFmtId="0" fontId="0" fillId="3" borderId="1" xfId="0" applyAlignment="1">
      <x:alignment horizontal="center"/>
    </x:xf>
    <x:xf numFmtId="0" fontId="8" fillId="0" borderId="0" xfId="0" applyAlignment="1">
      <x:alignment horizontal="left"/>
    </x:xf>
    <x:xf numFmtId="0" fontId="6" fillId="2" borderId="1" xfId="0" applyAlignment="1">
      <x:alignment horizontal="left"/>
    </x:xf>
    <x:xf numFmtId="0" fontId="7" fillId="5" borderId="1" xfId="0" applyAlignment="1">
      <x:alignment horizontal="center" vertical="center"/>
    </x:xf>
    <x:xf numFmtId="0" fontId="9" fillId="2" borderId="2" xfId="0" applyAlignment="1">
      <x:alignment horizontal="center"/>
    </x:xf>
    <x:xf numFmtId="0" fontId="0" fillId="0" borderId="2" xfId="0"/>
    <x:xf numFmtId="0" fontId="7" fillId="4" borderId="1" xfId="0" applyAlignment="1">
      <x:alignment horizontal="center" vertical="center"/>
    </x:xf>
    <x:xf numFmtId="165" fontId="10" fillId="6" borderId="1" xfId="0" applyAlignment="1">
      <x:alignment horizontal="center" vertical="center"/>
    </x:xf>
    <x:xf numFmtId="0" fontId="10" fillId="6" borderId="1" xfId="0" applyAlignment="1">
      <x:alignment horizontal="center" vertical="center"/>
    </x:xf>
    <x:xf numFmtId="0" fontId="10" fillId="7" borderId="1" xfId="0" applyAlignment="1">
      <x:alignment horizontal="left" vertical="center"/>
    </x:xf>
    <x:xf numFmtId="2" fontId="10" fillId="8" borderId="1" xfId="0" applyAlignment="1">
      <x:alignment horizontal="center" vertical="center"/>
    </x:xf>
    <x:xf numFmtId="2" fontId="3" fillId="3" borderId="1" xfId="0" applyAlignment="1">
      <x:alignment horizontal="center" vertical="center"/>
    </x:xf>
    <x:xf numFmtId="0" fontId="0" fillId="3" borderId="0" xfId="0"/>
    <x:xf numFmtId="0" fontId="1" fillId="0" borderId="0" xfId="0" applyAlignment="1">
      <x:alignment horizontal="left"/>
    </x:xf>
    <x:xf numFmtId="0" fontId="2" fillId="0" borderId="0" xfId="0"/>
    <x:xf numFmtId="0" fontId="0" fillId="0" borderId="1" xfId="0" applyAlignment="1">
      <x:alignment horizontal="left"/>
    </x:xf>
    <x:xf numFmtId="2" fontId="0" fillId="8" borderId="1" xfId="0" applyAlignment="1">
      <x:alignment horizontal="center"/>
    </x:xf>
    <x:xf numFmtId="2" fontId="0" fillId="0" borderId="1" xfId="0" applyAlignment="1">
      <x:alignment horizontal="center"/>
    </x:xf>
    <x:xf numFmtId="0" fontId="2" fillId="2" borderId="3" xfId="0"/>
    <x:xf numFmtId="2" fontId="2" fillId="2" borderId="3" xfId="0"/>
    <x:xf numFmtId="0" fontId="0" fillId="0" borderId="10" xfId="0"/>
    <x:xf numFmtId="0" fontId="0" fillId="0" borderId="11" xfId="0"/>
    <x:xf numFmtId="0" fontId="0" fillId="0" borderId="6" xfId="0"/>
    <x:xf numFmtId="0" fontId="0" fillId="0" borderId="7" xfId="0"/>
  </x:cellXfs>
  <x:cellStyles count="1">
    <x:cellStyle name="Normal" xfId="0"/>
  </x:cellStyles>
  <x:dxfs count="2">
    <x:dxf>
      <x:fill>
        <x:patternFill>
          <x:bgColor rgb="00E6E6E6"/>
        </x:patternFill>
      </x:fill>
    </x:dxf>
    <x:dxf>
      <x:fill>
        <x:patternFill>
          <x:bgColor rgb="00EDF3F8"/>
        </x:patternFill>
      </x:fill>
    </x:dxf>
  </x:dxfs>
  <x:colors>
    <x:indexedColors>
      <x:rgbColor rgb="00000000"/>
      <x:rgbColor rgb="00FFFFFF"/>
      <x:rgbColor rgb="00FF0000"/>
      <x:rgbColor rgb="0000FF00"/>
      <x:rgbColor rgb="000000FF"/>
      <x:rgbColor rgb="00FFFF00"/>
      <x:rgbColor rgb="00FF00FF"/>
      <x:rgbColor rgb="0000FFFF"/>
      <x:rgbColor rgb="00000000"/>
      <x:rgbColor rgb="00FFFFFF"/>
      <x:rgbColor rgb="00FF0000"/>
      <x:rgbColor rgb="0000FF00"/>
      <x:rgbColor rgb="000000FF"/>
      <x:rgbColor rgb="00FFFF00"/>
      <x:rgbColor rgb="00FF00FF"/>
      <x:rgbColor rgb="0000FFFF"/>
      <x:rgbColor rgb="00800000"/>
      <x:rgbColor rgb="00008000"/>
      <x:rgbColor rgb="00000080"/>
      <x:rgbColor rgb="00808000"/>
      <x:rgbColor rgb="00800080"/>
      <x:rgbColor rgb="00008080"/>
      <x:rgbColor rgb="00C0C0C0"/>
      <x:rgbColor rgb="00808080"/>
      <x:rgbColor rgb="009999FF"/>
      <x:rgbColor rgb="00993366"/>
      <x:rgbColor rgb="00FFFFCC"/>
      <x:rgbColor rgb="00CCFFFF"/>
      <x:rgbColor rgb="00660066"/>
      <x:rgbColor rgb="00FF8080"/>
      <x:rgbColor rgb="000066CC"/>
      <x:rgbColor rgb="00CCCCFF"/>
      <x:rgbColor rgb="00000080"/>
      <x:rgbColor rgb="00FF00FF"/>
      <x:rgbColor rgb="00FFFF00"/>
      <x:rgbColor rgb="0000FFFF"/>
      <x:rgbColor rgb="00800080"/>
      <x:rgbColor rgb="00800000"/>
      <x:rgbColor rgb="00008080"/>
      <x:rgbColor rgb="000000FF"/>
      <x:rgbColor rgb="0000CCFF"/>
      <x:rgbColor rgb="00CCFFFF"/>
      <x:rgbColor rgb="00CCFFCC"/>
      <x:rgbColor rgb="00FFFF99"/>
      <x:rgbColor rgb="0099CCFF"/>
      <x:rgbColor rgb="00FF99CC"/>
      <x:rgbColor rgb="00CC99FF"/>
      <x:rgbColor rgb="00FFCC99"/>
      <x:rgbColor rgb="003366FF"/>
      <x:rgbColor rgb="0033CCCC"/>
      <x:rgbColor rgb="0099CC00"/>
      <x:rgbColor rgb="00FFCC00"/>
      <x:rgbColor rgb="00FF9900"/>
      <x:rgbColor rgb="00FF6600"/>
      <x:rgbColor rgb="00666699"/>
      <x:rgbColor rgb="00969696"/>
      <x:rgbColor rgb="00003366"/>
      <x:rgbColor rgb="00339966"/>
      <x:rgbColor rgb="00003300"/>
      <x:rgbColor rgb="00333300"/>
      <x:rgbColor rgb="00993300"/>
      <x:rgbColor rgb="00993366"/>
      <x:rgbColor rgb="00333399"/>
      <x:rgbColor rgb="00333333"/>
    </x:indexedColors>
  </x:colors>
</x:styleSheet>
</file>

<file path=xl/_rels/workbook.xml.rels>&#65279;<?xml version="1.0" encoding="utf-8"?><Relationships xmlns="http://schemas.openxmlformats.org/package/2006/relationships"><Relationship Type="http://schemas.openxmlformats.org/officeDocument/2006/relationships/styles" Target="/xl/styles.xml" Id="Rec9d50c0d0f349a3" /><Relationship Type="http://schemas.openxmlformats.org/officeDocument/2006/relationships/theme" Target="/xl/theme/theme1.xml" Id="R39ca7b3dcd074c13" /><Relationship Type="http://schemas.openxmlformats.org/officeDocument/2006/relationships/sharedStrings" Target="/xl/sharedStrings.xml" Id="R83c02489484242c5" /><Relationship Type="http://schemas.openxmlformats.org/officeDocument/2006/relationships/worksheet" Target="/xl/worksheets/sheet1.xml" Id="R2042ac530c014cc6" /><Relationship Type="http://schemas.openxmlformats.org/officeDocument/2006/relationships/worksheet" Target="/xl/worksheets/sheet2.xml" Id="R3b50135514b04e3d" /><Relationship Type="http://schemas.openxmlformats.org/officeDocument/2006/relationships/worksheet" Target="/xl/worksheets/sheet3.xml" Id="Re0b2cf20caeb4cc3" /><Relationship Type="http://schemas.microsoft.com/office/2017/10/relationships/person" Target="/xl/persons/person.xml" Id="Rc30431fc4b184b7f" /></Relationships>
</file>

<file path=xl/persons/person.xml><?xml version="1.0" encoding="utf-8"?>
<xltc:personList xmlns:xltc="http://schemas.microsoft.com/office/spreadsheetml/2018/threadedcomments">
  <xltc:person displayName="OpenAI" id="{EE71125D-D6E0-6C14-3752-A2CD8BCECD5D}"/>
</xltc:personList>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a:ea typeface="Calibri"/>
        <a:cs typeface="Calibri"/>
      </a:majorFont>
      <a:minorFont>
        <a:latin typeface="Calibri"/>
        <a:ea typeface="Calibri"/>
        <a:cs typeface="Calibri"/>
      </a:minorFont>
    </a:fontScheme>
    <a:fmtScheme name="Office">
      <a:fillStyleLst>
        <a:solidFill>
          <a:schemeClr val="phClr"/>
        </a:solidFill>
        <a:solidFill>
          <a:schemeClr val="dk1"/>
        </a:solidFill>
        <a:solidFill>
          <a:schemeClr val="accent1"/>
        </a:solidFill>
      </a:fillStyleLst>
      <a:lnStyleLst>
        <a:ln w="9525">
          <a:solidFill>
            <a:schemeClr val="phClr">
              <a:shade val="95000"/>
              <a:satMod val="105000"/>
            </a:schemeClr>
          </a:solidFill>
          <a:prstDash val="solid"/>
        </a:ln>
        <a:ln w="25400">
          <a:solidFill>
            <a:schemeClr val="phClr"/>
          </a:solidFill>
          <a:prstDash val="solid"/>
        </a:ln>
        <a:ln w="38100">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theme>
</file>

<file path=xl/worksheets/_rels/sheet1.xml.rels>&#65279;<?xml version="1.0" encoding="utf-8"?><Relationships xmlns="http://schemas.openxmlformats.org/package/2006/relationships"><Relationship Type="http://schemas.openxmlformats.org/officeDocument/2006/relationships/comments" Target="/xl/comments1.xml" Id="R8753e44924984d4b" /><Relationship Type="http://schemas.openxmlformats.org/officeDocument/2006/relationships/vmlDrawing" Target="/xl/drawings/vmldrawing.vml" Id="Rf2d4657ddc394c3b" /></Relationships>
</file>

<file path=xl/worksheets/sheet1.xml><?xml version="1.0" encoding="utf-8"?>
<x:worksheet xmlns:x="http://schemas.openxmlformats.org/spreadsheetml/2006/main">
  <x:sheetViews>
    <x:sheetView showGridLines="0" workbookViewId="0"/>
  </x:sheetViews>
  <x:sheetFormatPr baseColWidth="8" defaultRowHeight="15"/>
  <x:cols>
    <x:col min="1" max="1" width="22" customWidth="1"/>
    <x:col min="2" max="2" width="22" customWidth="1"/>
    <x:col min="3" max="3" width="16" customWidth="1"/>
    <x:col min="4" max="4" width="16" customWidth="1"/>
    <x:col min="5" max="5" width="14" customWidth="1"/>
    <x:col min="6" max="6" width="14" customWidth="1"/>
    <x:col min="7" max="7" width="14" customWidth="1"/>
    <x:col min="8" max="8" width="14" hidden="1" customWidth="1"/>
    <x:col min="9" max="9" width="14" hidden="1" customWidth="1"/>
    <x:col min="10" max="10" width="14" hidden="1" customWidth="1"/>
    <x:col min="11" max="11" width="14" hidden="1" customWidth="1"/>
    <x:col min="12" max="12" width="14" hidden="1" customWidth="1"/>
    <x:col min="13" max="13" width="14" hidden="1" customWidth="1"/>
    <x:col min="14" max="14" width="14" hidden="1" customWidth="1"/>
    <x:col min="15" max="15" width="14" hidden="1" customWidth="1"/>
    <x:col min="16" max="16" width="14" hidden="1" customWidth="1"/>
    <x:col min="17" max="17" width="14" hidden="1" customWidth="1"/>
    <x:col min="18" max="18" width="14" hidden="1" customWidth="1"/>
    <x:col min="19" max="19" width="14" hidden="1" customWidth="1"/>
    <x:col min="20" max="20" width="14" hidden="1" customWidth="1"/>
    <x:col min="21" max="21" width="14" hidden="1" customWidth="1"/>
    <x:col min="22" max="22" width="14" hidden="1" customWidth="1"/>
    <x:col min="23" max="23" width="14" hidden="1" customWidth="1"/>
    <x:col min="24" max="24" width="14" hidden="1" customWidth="1"/>
    <x:col min="25" max="25" width="14" hidden="1" customWidth="1"/>
  </x:cols>
  <x:sheetData>
    <x:row r="1" ht="28" customHeight="1">
      <x:c r="A1" s="1" t="inlineStr">
        <x:is>
          <x:t xml:space="preserve">Tätigkeitsnachweis – Einstellungen</x:t>
        </x:is>
      </x:c>
      <x:c r="H1" t="inlineStr">
        <x:is>
          <x:t xml:space="preserve">Bundesweite Feiertage</x:t>
        </x:is>
      </x:c>
    </x:row>
    <x:row r="2">
      <x:c r="F2" s="2" t="inlineStr">
        <x:is>
          <x:t xml:space="preserve">Januar</x:t>
        </x:is>
      </x:c>
      <x:c r="H2" t="inlineStr">
        <x:is>
          <x:t xml:space="preserve">Datum</x:t>
        </x:is>
      </x:c>
      <x:c r="I2" t="inlineStr">
        <x:is>
          <x:t xml:space="preserve">Bezeichnung</x:t>
        </x:is>
      </x:c>
      <x:c r="J2">
        <x:f>DATE(M2,INT((U2+X2-7*Y2+114)/31),MOD(U2+X2-7*Y2+114,31)+1)</x:f>
        <x:v>45767</x:v>
      </x:c>
      <x:c r="M2">
        <x:f>$B$3</x:f>
        <x:v>2025</x:v>
      </x:c>
      <x:c r="N2">
        <x:f>MOD(M2,19)</x:f>
        <x:v>11</x:v>
      </x:c>
      <x:c r="O2">
        <x:f>INT(M2/100)</x:f>
        <x:v>20</x:v>
      </x:c>
      <x:c r="P2">
        <x:f>MOD(M2,100)</x:f>
        <x:v>25</x:v>
      </x:c>
      <x:c r="Q2">
        <x:f>INT(O2/4)</x:f>
        <x:v>5</x:v>
      </x:c>
      <x:c r="R2">
        <x:f>MOD(O2,4)</x:f>
        <x:v>0</x:v>
      </x:c>
      <x:c r="S2">
        <x:f>INT((O2+8)/25)</x:f>
        <x:v>1</x:v>
      </x:c>
      <x:c r="T2">
        <x:f>INT((O2-S2+1)/3)</x:f>
        <x:v>6</x:v>
      </x:c>
      <x:c r="U2">
        <x:f>MOD(19*N2+O2-Q2-T2+15,30)</x:f>
        <x:v>23</x:v>
      </x:c>
      <x:c r="V2">
        <x:f>INT(P2/4)</x:f>
        <x:v>6</x:v>
      </x:c>
      <x:c r="W2">
        <x:f>MOD(P2,4)</x:f>
        <x:v>1</x:v>
      </x:c>
      <x:c r="X2">
        <x:f>MOD(32+2*R2+2*V2-U2-W2,7)</x:f>
        <x:v>6</x:v>
      </x:c>
      <x:c r="Y2">
        <x:f>INT((N2+11*U2+22*X2)/451)</x:f>
        <x:v>0</x:v>
      </x:c>
    </x:row>
    <x:row r="3">
      <x:c r="A3" s="3" t="inlineStr">
        <x:is>
          <x:t xml:space="preserve">Startjahr</x:t>
        </x:is>
      </x:c>
      <x:c r="B3" s="4" t="n">
        <x:v>2025</x:v>
      </x:c>
      <x:c r="D3" s="5" t="inlineStr">
        <x:is>
          <x:t xml:space="preserve">Nur B3, B4 und die Tätigkeitsnamen sind direkt für den Nutzer gedacht.</x:t>
        </x:is>
      </x:c>
      <x:c r="F3" s="2" t="inlineStr">
        <x:is>
          <x:t xml:space="preserve">Februar</x:t>
        </x:is>
      </x:c>
      <x:c r="H3" s="6">
        <x:f>DATE($B$3,1,1)</x:f>
        <x:v>45658</x:v>
      </x:c>
      <x:c r="I3" t="inlineStr">
        <x:is>
          <x:t xml:space="preserve">Neujahr</x:t>
        </x:is>
      </x:c>
      <x:c r="J3">
        <x:f>DATE(M3,INT((U3+X3-7*Y3+114)/31),MOD(U3+X3-7*Y3+114,31)+1)</x:f>
        <x:v>46117</x:v>
      </x:c>
      <x:c r="M3">
        <x:f>$B$3+1</x:f>
        <x:v>2026</x:v>
      </x:c>
      <x:c r="N3">
        <x:f>MOD(M3,19)</x:f>
        <x:v>12</x:v>
      </x:c>
      <x:c r="O3">
        <x:f>INT(M3/100)</x:f>
        <x:v>20</x:v>
      </x:c>
      <x:c r="P3">
        <x:f>MOD(M3,100)</x:f>
        <x:v>26</x:v>
      </x:c>
      <x:c r="Q3">
        <x:f>INT(O3/4)</x:f>
        <x:v>5</x:v>
      </x:c>
      <x:c r="R3">
        <x:f>MOD(O3,4)</x:f>
        <x:v>0</x:v>
      </x:c>
      <x:c r="S3">
        <x:f>INT((O3+8)/25)</x:f>
        <x:v>1</x:v>
      </x:c>
      <x:c r="T3">
        <x:f>INT((O3-S3+1)/3)</x:f>
        <x:v>6</x:v>
      </x:c>
      <x:c r="U3">
        <x:f>MOD(19*N3+O3-Q3-T3+15,30)</x:f>
        <x:v>12</x:v>
      </x:c>
      <x:c r="V3">
        <x:f>INT(P3/4)</x:f>
        <x:v>6</x:v>
      </x:c>
      <x:c r="W3">
        <x:f>MOD(P3,4)</x:f>
        <x:v>2</x:v>
      </x:c>
      <x:c r="X3">
        <x:f>MOD(32+2*R3+2*V3-U3-W3,7)</x:f>
        <x:v>2</x:v>
      </x:c>
      <x:c r="Y3">
        <x:f>INT((N3+11*U3+22*X3)/451)</x:f>
        <x:v>0</x:v>
      </x:c>
    </x:row>
    <x:row r="4">
      <x:c r="A4" s="3" t="inlineStr">
        <x:is>
          <x:t xml:space="preserve">Startmonat</x:t>
        </x:is>
      </x:c>
      <x:c r="B4" s="4" t="inlineStr">
        <x:is>
          <x:t xml:space="preserve">September</x:t>
        </x:is>
      </x:c>
      <x:c r="D4" s="5" t="inlineStr">
        <x:is>
          <x:t xml:space="preserve">Arbeitszeit wird im Kalender automatisch aus Tätigkeit 1–5 berechnet.</x:t>
        </x:is>
      </x:c>
      <x:c r="F4" s="2" t="inlineStr">
        <x:is>
          <x:t xml:space="preserve">März</x:t>
        </x:is>
      </x:c>
      <x:c r="H4" s="6">
        <x:f>J2-2</x:f>
        <x:v>45765</x:v>
      </x:c>
      <x:c r="I4" t="inlineStr">
        <x:is>
          <x:t xml:space="preserve">Karfreitag</x:t>
        </x:is>
      </x:c>
    </x:row>
    <x:row r="5">
      <x:c r="A5" s="3" t="inlineStr">
        <x:is>
          <x:t xml:space="preserve">Beginn</x:t>
        </x:is>
      </x:c>
      <x:c r="B5" s="7">
        <x:f>DATE($B$3,MATCH($B$4,$F$2:$F$13,0),1)</x:f>
        <x:v>45901</x:v>
      </x:c>
      <x:c r="D5" s="5" t="inlineStr">
        <x:is>
          <x:t xml:space="preserve">Der Zeitraum umfasst immer 12 Monate ab dem gewählten Startmonat.</x:t>
        </x:is>
      </x:c>
      <x:c r="F5" s="2" t="inlineStr">
        <x:is>
          <x:t xml:space="preserve">April</x:t>
        </x:is>
      </x:c>
      <x:c r="H5" s="6">
        <x:f>J2+1</x:f>
        <x:v>45768</x:v>
      </x:c>
      <x:c r="I5" t="inlineStr">
        <x:is>
          <x:t xml:space="preserve">Ostermontag</x:t>
        </x:is>
      </x:c>
    </x:row>
    <x:row r="6">
      <x:c r="A6" s="3" t="inlineStr">
        <x:is>
          <x:t xml:space="preserve">Ende</x:t>
        </x:is>
      </x:c>
      <x:c r="B6" s="7">
        <x:f>EOMONTH($B$5,11)</x:f>
        <x:v>46265</x:v>
      </x:c>
      <x:c r="F6" s="2" t="inlineStr">
        <x:is>
          <x:t xml:space="preserve">Mai</x:t>
        </x:is>
      </x:c>
      <x:c r="H6" s="6">
        <x:f>DATE($B$3,5,1)</x:f>
        <x:v>45778</x:v>
      </x:c>
      <x:c r="I6" t="inlineStr">
        <x:is>
          <x:t xml:space="preserve">Tag der Arbeit</x:t>
        </x:is>
      </x:c>
    </x:row>
    <x:row r="7">
      <x:c r="A7" s="3" t="inlineStr">
        <x:is>
          <x:t xml:space="preserve">Zeitraum</x:t>
        </x:is>
      </x:c>
      <x:c r="B7" s="8" t="str">
        <x:f>INDEX($F$2:$F$13,MONTH($B$5))&amp;" "&amp;YEAR($B$5)&amp;" bis "&amp;INDEX($F$2:$F$13,MONTH($B$6))&amp;" "&amp;YEAR($B$6)</x:f>
        <x:v>September 2025 bis August 2026</x:v>
      </x:c>
      <x:c r="F7" s="2" t="inlineStr">
        <x:is>
          <x:t xml:space="preserve">Juni</x:t>
        </x:is>
      </x:c>
      <x:c r="H7" s="6">
        <x:f>J2+39</x:f>
        <x:v>45806</x:v>
      </x:c>
      <x:c r="I7" t="inlineStr">
        <x:is>
          <x:t xml:space="preserve">Christi Himmelfahrt</x:t>
        </x:is>
      </x:c>
    </x:row>
    <x:row r="8">
      <x:c r="F8" s="2" t="inlineStr">
        <x:is>
          <x:t xml:space="preserve">Juli</x:t>
        </x:is>
      </x:c>
      <x:c r="H8" s="6">
        <x:f>J2+50</x:f>
        <x:v>45817</x:v>
      </x:c>
      <x:c r="I8" t="inlineStr">
        <x:is>
          <x:t xml:space="preserve">Pfingstmontag</x:t>
        </x:is>
      </x:c>
    </x:row>
    <x:row r="9">
      <x:c r="F9" s="2" t="inlineStr">
        <x:is>
          <x:t xml:space="preserve">August</x:t>
        </x:is>
      </x:c>
      <x:c r="H9" s="6">
        <x:f>DATE($B$3,10,3)</x:f>
        <x:v>45933</x:v>
      </x:c>
      <x:c r="I9" t="inlineStr">
        <x:is>
          <x:t xml:space="preserve">Tag der Deutschen Einheit</x:t>
        </x:is>
      </x:c>
    </x:row>
    <x:row r="10">
      <x:c r="A10" s="9" t="inlineStr">
        <x:is>
          <x:t xml:space="preserve">Bezeichnungen für Tätigkeiten</x:t>
        </x:is>
      </x:c>
      <x:c r="F10" s="2" t="inlineStr">
        <x:is>
          <x:t xml:space="preserve">September</x:t>
        </x:is>
      </x:c>
      <x:c r="H10" s="6">
        <x:f>DATE($B$3,12,25)</x:f>
        <x:v>46016</x:v>
      </x:c>
      <x:c r="I10" t="inlineStr">
        <x:is>
          <x:t xml:space="preserve">1. Weihnachtstag</x:t>
        </x:is>
      </x:c>
    </x:row>
    <x:row r="11">
      <x:c r="A11" s="10" t="inlineStr">
        <x:is>
          <x:t xml:space="preserve">Tätigkeit 1</x:t>
        </x:is>
      </x:c>
      <x:c r="B11" s="4" t="inlineStr">
        <x:is>
          <x:t xml:space="preserve">E-Mail</x:t>
        </x:is>
      </x:c>
      <x:c r="F11" s="2" t="inlineStr">
        <x:is>
          <x:t xml:space="preserve">Oktober</x:t>
        </x:is>
      </x:c>
      <x:c r="H11" s="6">
        <x:f>DATE($B$3,12,26)</x:f>
        <x:v>46017</x:v>
      </x:c>
      <x:c r="I11" t="inlineStr">
        <x:is>
          <x:t xml:space="preserve">2. Weihnachtstag</x:t>
        </x:is>
      </x:c>
    </x:row>
    <x:row r="12">
      <x:c r="A12" s="10" t="inlineStr">
        <x:is>
          <x:t xml:space="preserve">Tätigkeit 2</x:t>
        </x:is>
      </x:c>
      <x:c r="B12" s="4" t="inlineStr">
        <x:is>
          <x:t xml:space="preserve">Meetings</x:t>
        </x:is>
      </x:c>
      <x:c r="F12" s="2" t="inlineStr">
        <x:is>
          <x:t xml:space="preserve">November</x:t>
        </x:is>
      </x:c>
    </x:row>
    <x:row r="13">
      <x:c r="A13" s="10" t="inlineStr">
        <x:is>
          <x:t xml:space="preserve">Tätigkeit 3</x:t>
        </x:is>
      </x:c>
      <x:c r="B13" s="4" t="inlineStr">
        <x:is>
          <x:t xml:space="preserve">Telefonate</x:t>
        </x:is>
      </x:c>
      <x:c r="F13" s="2" t="inlineStr">
        <x:is>
          <x:t xml:space="preserve">Dezember</x:t>
        </x:is>
      </x:c>
    </x:row>
    <x:row r="14">
      <x:c r="A14" s="10" t="inlineStr">
        <x:is>
          <x:t xml:space="preserve">Tätigkeit 4</x:t>
        </x:is>
      </x:c>
      <x:c r="B14" s="4" t="inlineStr">
        <x:is>
          <x:t xml:space="preserve">Dokumentation</x:t>
        </x:is>
      </x:c>
      <x:c r="H14" s="6">
        <x:f>DATE($B$3+1,1,1)</x:f>
        <x:v>46023</x:v>
      </x:c>
      <x:c r="I14" t="inlineStr">
        <x:is>
          <x:t xml:space="preserve">Neujahr</x:t>
        </x:is>
      </x:c>
    </x:row>
    <x:row r="15">
      <x:c r="A15" s="10" t="inlineStr">
        <x:is>
          <x:t xml:space="preserve">Tätigkeit 5</x:t>
        </x:is>
      </x:c>
      <x:c r="B15" s="4" t="inlineStr">
        <x:is>
          <x:t xml:space="preserve">Sonstiges</x:t>
        </x:is>
      </x:c>
      <x:c r="H15" s="6">
        <x:f>J3-2</x:f>
        <x:v>46115</x:v>
      </x:c>
      <x:c r="I15" t="inlineStr">
        <x:is>
          <x:t xml:space="preserve">Karfreitag</x:t>
        </x:is>
      </x:c>
    </x:row>
    <x:row r="16">
      <x:c r="H16" s="6">
        <x:f>J3+1</x:f>
        <x:v>46118</x:v>
      </x:c>
      <x:c r="I16" t="inlineStr">
        <x:is>
          <x:t xml:space="preserve">Ostermontag</x:t>
        </x:is>
      </x:c>
    </x:row>
    <x:row r="17">
      <x:c r="H17" s="6">
        <x:f>DATE($B$3+1,5,1)</x:f>
        <x:v>46143</x:v>
      </x:c>
      <x:c r="I17" t="inlineStr">
        <x:is>
          <x:t xml:space="preserve">Tag der Arbeit</x:t>
        </x:is>
      </x:c>
    </x:row>
    <x:row r="18">
      <x:c r="A18" s="9" t="inlineStr">
        <x:is>
          <x:t xml:space="preserve">Eigene Termine / Ereignisse (bis zu 100)</x:t>
        </x:is>
      </x:c>
      <x:c r="H18" s="6">
        <x:f>J3+39</x:f>
        <x:v>46156</x:v>
      </x:c>
      <x:c r="I18" t="inlineStr">
        <x:is>
          <x:t xml:space="preserve">Christi Himmelfahrt</x:t>
        </x:is>
      </x:c>
    </x:row>
    <x:row r="19">
      <x:c r="A19" s="11" t="inlineStr">
        <x:is>
          <x:t xml:space="preserve">Datum</x:t>
        </x:is>
      </x:c>
      <x:c r="B19" s="11" t="inlineStr">
        <x:is>
          <x:t xml:space="preserve">Bezeichnung</x:t>
        </x:is>
      </x:c>
      <x:c r="C19" s="11" t="inlineStr">
        <x:is>
          <x:t xml:space="preserve">Typ</x:t>
        </x:is>
      </x:c>
      <x:c r="H19" s="6">
        <x:f>J3+50</x:f>
        <x:v>46167</x:v>
      </x:c>
      <x:c r="I19" t="inlineStr">
        <x:is>
          <x:t xml:space="preserve">Pfingstmontag</x:t>
        </x:is>
      </x:c>
    </x:row>
    <x:row r="20">
      <x:c r="A20" s="12" t="n">
        <x:v>45915</x:v>
      </x:c>
      <x:c r="B20" s="13" t="inlineStr">
        <x:is>
          <x:t xml:space="preserve">Teamtag</x:t>
        </x:is>
      </x:c>
      <x:c r="C20" s="14" t="inlineStr">
        <x:is>
          <x:t xml:space="preserve">Termin</x:t>
        </x:is>
      </x:c>
      <x:c r="H20" s="6">
        <x:f>DATE($B$3+1,10,3)</x:f>
        <x:v>46298</x:v>
      </x:c>
      <x:c r="I20" t="inlineStr">
        <x:is>
          <x:t xml:space="preserve">Tag der Deutschen Einheit</x:t>
        </x:is>
      </x:c>
    </x:row>
    <x:row r="21">
      <x:c r="A21" s="12" t="n">
        <x:v>45940</x:v>
      </x:c>
      <x:c r="B21" s="13" t="inlineStr">
        <x:is>
          <x:t xml:space="preserve">Kundentermin Köln</x:t>
        </x:is>
      </x:c>
      <x:c r="C21" s="14" t="inlineStr">
        <x:is>
          <x:t xml:space="preserve">Termin</x:t>
        </x:is>
      </x:c>
      <x:c r="H21" s="6">
        <x:f>DATE($B$3+1,12,25)</x:f>
        <x:v>46381</x:v>
      </x:c>
      <x:c r="I21" t="inlineStr">
        <x:is>
          <x:t xml:space="preserve">1. Weihnachtstag</x:t>
        </x:is>
      </x:c>
    </x:row>
    <x:row r="22">
      <x:c r="A22" s="12" t="n">
        <x:v>45973</x:v>
      </x:c>
      <x:c r="B22" s="13" t="inlineStr">
        <x:is>
          <x:t xml:space="preserve">Schulung</x:t>
        </x:is>
      </x:c>
      <x:c r="C22" s="14" t="inlineStr">
        <x:is>
          <x:t xml:space="preserve">Termin</x:t>
        </x:is>
      </x:c>
      <x:c r="H22" s="6">
        <x:f>DATE($B$3+1,12,26)</x:f>
        <x:v>46382</x:v>
      </x:c>
      <x:c r="I22" t="inlineStr">
        <x:is>
          <x:t xml:space="preserve">2. Weihnachtstag</x:t>
        </x:is>
      </x:c>
    </x:row>
    <x:row r="23">
      <x:c r="A23" s="12" t="n">
        <x:v>45996</x:v>
      </x:c>
      <x:c r="B23" s="13" t="inlineStr">
        <x:is>
          <x:t xml:space="preserve">Jahresgespräch</x:t>
        </x:is>
      </x:c>
      <x:c r="C23" s="14" t="inlineStr">
        <x:is>
          <x:t xml:space="preserve">Termin</x:t>
        </x:is>
      </x:c>
    </x:row>
    <x:row r="24">
      <x:c r="A24" s="12" t="n">
        <x:v>46036</x:v>
      </x:c>
      <x:c r="B24" s="13" t="inlineStr">
        <x:is>
          <x:t xml:space="preserve">Projektstart Alpha</x:t>
        </x:is>
      </x:c>
      <x:c r="C24" s="14" t="inlineStr">
        <x:is>
          <x:t xml:space="preserve">Termin</x:t>
        </x:is>
      </x:c>
    </x:row>
    <x:row r="25">
      <x:c r="A25" s="12" t="n">
        <x:v>46072</x:v>
      </x:c>
      <x:c r="B25" s="13" t="inlineStr">
        <x:is>
          <x:t xml:space="preserve">Messebesuch</x:t>
        </x:is>
      </x:c>
      <x:c r="C25" s="14" t="inlineStr">
        <x:is>
          <x:t xml:space="preserve">Termin</x:t>
        </x:is>
      </x:c>
    </x:row>
    <x:row r="26">
      <x:c r="A26" s="12" t="n">
        <x:v>46085</x:v>
      </x:c>
      <x:c r="B26" s="13" t="inlineStr">
        <x:is>
          <x:t xml:space="preserve">Arzttermin 15:00</x:t>
        </x:is>
      </x:c>
      <x:c r="C26" s="14" t="inlineStr">
        <x:is>
          <x:t xml:space="preserve">Termin</x:t>
        </x:is>
      </x:c>
    </x:row>
    <x:row r="27">
      <x:c r="A27" s="12" t="n">
        <x:v>46135</x:v>
      </x:c>
      <x:c r="B27" s="13" t="inlineStr">
        <x:is>
          <x:t xml:space="preserve">Abgabe Bericht</x:t>
        </x:is>
      </x:c>
      <x:c r="C27" s="14" t="inlineStr">
        <x:is>
          <x:t xml:space="preserve">Prüfung</x:t>
        </x:is>
      </x:c>
    </x:row>
    <x:row r="28">
      <x:c r="A28" s="12" t="n">
        <x:v>46153</x:v>
      </x:c>
      <x:c r="B28" s="13" t="inlineStr">
        <x:is>
          <x:t xml:space="preserve">Workshop</x:t>
        </x:is>
      </x:c>
      <x:c r="C28" s="14" t="inlineStr">
        <x:is>
          <x:t xml:space="preserve">Termin</x:t>
        </x:is>
      </x:c>
    </x:row>
    <x:row r="29">
      <x:c r="A29" s="12" t="n">
        <x:v>46191</x:v>
      </x:c>
      <x:c r="B29" s="13" t="inlineStr">
        <x:is>
          <x:t xml:space="preserve">Sommerfest</x:t>
        </x:is>
      </x:c>
      <x:c r="C29" s="14" t="inlineStr">
        <x:is>
          <x:t xml:space="preserve">Termin</x:t>
        </x:is>
      </x:c>
    </x:row>
    <x:row r="30">
      <x:c r="A30" s="12" t="n">
        <x:v>46210</x:v>
      </x:c>
      <x:c r="B30" s="13" t="inlineStr">
        <x:is>
          <x:t xml:space="preserve">Urlaub geplant</x:t>
        </x:is>
      </x:c>
      <x:c r="C30" s="14" t="inlineStr">
        <x:is>
          <x:t xml:space="preserve">Sonstiges</x:t>
        </x:is>
      </x:c>
    </x:row>
    <x:row r="31">
      <x:c r="A31" s="12" t="n">
        <x:v>46255</x:v>
      </x:c>
      <x:c r="B31" s="13" t="inlineStr">
        <x:is>
          <x:t xml:space="preserve">Review Q3</x:t>
        </x:is>
      </x:c>
      <x:c r="C31" s="14" t="inlineStr">
        <x:is>
          <x:t xml:space="preserve">Termin</x:t>
        </x:is>
      </x:c>
    </x:row>
    <x:row r="32">
      <x:c r="A32" s="12" t="n"/>
      <x:c r="B32" s="13" t="n"/>
      <x:c r="C32" s="14" t="n"/>
    </x:row>
    <x:row r="33">
      <x:c r="A33" s="12" t="n"/>
      <x:c r="B33" s="13" t="n"/>
      <x:c r="C33" s="14" t="n"/>
    </x:row>
    <x:row r="34">
      <x:c r="A34" s="12" t="n"/>
      <x:c r="B34" s="13" t="n"/>
      <x:c r="C34" s="14" t="n"/>
    </x:row>
    <x:row r="35">
      <x:c r="A35" s="12" t="n"/>
      <x:c r="B35" s="13" t="n"/>
      <x:c r="C35" s="14" t="n"/>
    </x:row>
    <x:row r="36">
      <x:c r="A36" s="12" t="n"/>
      <x:c r="B36" s="13" t="n"/>
      <x:c r="C36" s="14" t="n"/>
    </x:row>
    <x:row r="37">
      <x:c r="A37" s="12" t="n"/>
      <x:c r="B37" s="13" t="n"/>
      <x:c r="C37" s="14" t="n"/>
    </x:row>
    <x:row r="38">
      <x:c r="A38" s="12" t="n"/>
      <x:c r="B38" s="13" t="n"/>
      <x:c r="C38" s="14" t="n"/>
    </x:row>
    <x:row r="39">
      <x:c r="A39" s="12" t="n"/>
      <x:c r="B39" s="13" t="n"/>
      <x:c r="C39" s="14" t="n"/>
    </x:row>
    <x:row r="40">
      <x:c r="A40" s="12" t="n"/>
      <x:c r="B40" s="13" t="n"/>
      <x:c r="C40" s="14" t="n"/>
    </x:row>
    <x:row r="41">
      <x:c r="A41" s="12" t="n"/>
      <x:c r="B41" s="13" t="n"/>
      <x:c r="C41" s="14" t="n"/>
    </x:row>
    <x:row r="42">
      <x:c r="A42" s="12" t="n"/>
      <x:c r="B42" s="13" t="n"/>
      <x:c r="C42" s="14" t="n"/>
    </x:row>
    <x:row r="43">
      <x:c r="A43" s="12" t="n"/>
      <x:c r="B43" s="13" t="n"/>
      <x:c r="C43" s="14" t="n"/>
    </x:row>
    <x:row r="44">
      <x:c r="A44" s="12" t="n"/>
      <x:c r="B44" s="13" t="n"/>
      <x:c r="C44" s="14" t="n"/>
    </x:row>
    <x:row r="45">
      <x:c r="A45" s="12" t="n"/>
      <x:c r="B45" s="13" t="n"/>
      <x:c r="C45" s="14" t="n"/>
    </x:row>
    <x:row r="46">
      <x:c r="A46" s="12" t="n"/>
      <x:c r="B46" s="13" t="n"/>
      <x:c r="C46" s="14" t="n"/>
    </x:row>
    <x:row r="47">
      <x:c r="A47" s="12" t="n"/>
      <x:c r="B47" s="13" t="n"/>
      <x:c r="C47" s="14" t="n"/>
    </x:row>
    <x:row r="48">
      <x:c r="A48" s="12" t="n"/>
      <x:c r="B48" s="13" t="n"/>
      <x:c r="C48" s="14" t="n"/>
    </x:row>
    <x:row r="49">
      <x:c r="A49" s="12" t="n"/>
      <x:c r="B49" s="13" t="n"/>
      <x:c r="C49" s="14" t="n"/>
    </x:row>
    <x:row r="50">
      <x:c r="A50" s="12" t="n"/>
      <x:c r="B50" s="13" t="n"/>
      <x:c r="C50" s="14" t="n"/>
    </x:row>
    <x:row r="51">
      <x:c r="A51" s="12" t="n"/>
      <x:c r="B51" s="13" t="n"/>
      <x:c r="C51" s="14" t="n"/>
    </x:row>
    <x:row r="52">
      <x:c r="A52" s="12" t="n"/>
      <x:c r="B52" s="13" t="n"/>
      <x:c r="C52" s="14" t="n"/>
    </x:row>
    <x:row r="53">
      <x:c r="A53" s="12" t="n"/>
      <x:c r="B53" s="13" t="n"/>
      <x:c r="C53" s="14" t="n"/>
    </x:row>
    <x:row r="54">
      <x:c r="A54" s="12" t="n"/>
      <x:c r="B54" s="13" t="n"/>
      <x:c r="C54" s="14" t="n"/>
    </x:row>
    <x:row r="55">
      <x:c r="A55" s="12" t="n"/>
      <x:c r="B55" s="13" t="n"/>
      <x:c r="C55" s="14" t="n"/>
    </x:row>
    <x:row r="56">
      <x:c r="A56" s="12" t="n"/>
      <x:c r="B56" s="13" t="n"/>
      <x:c r="C56" s="14" t="n"/>
    </x:row>
    <x:row r="57">
      <x:c r="A57" s="12" t="n"/>
      <x:c r="B57" s="13" t="n"/>
      <x:c r="C57" s="14" t="n"/>
    </x:row>
    <x:row r="58">
      <x:c r="A58" s="12" t="n"/>
      <x:c r="B58" s="13" t="n"/>
      <x:c r="C58" s="14" t="n"/>
    </x:row>
    <x:row r="59">
      <x:c r="A59" s="12" t="n"/>
      <x:c r="B59" s="13" t="n"/>
      <x:c r="C59" s="14" t="n"/>
    </x:row>
    <x:row r="60">
      <x:c r="A60" s="12" t="n"/>
      <x:c r="B60" s="13" t="n"/>
      <x:c r="C60" s="14" t="n"/>
    </x:row>
    <x:row r="61">
      <x:c r="A61" s="12" t="n"/>
      <x:c r="B61" s="13" t="n"/>
      <x:c r="C61" s="14" t="n"/>
    </x:row>
    <x:row r="62">
      <x:c r="A62" s="12" t="n"/>
      <x:c r="B62" s="13" t="n"/>
      <x:c r="C62" s="14" t="n"/>
    </x:row>
    <x:row r="63">
      <x:c r="A63" s="12" t="n"/>
      <x:c r="B63" s="13" t="n"/>
      <x:c r="C63" s="14" t="n"/>
    </x:row>
    <x:row r="64">
      <x:c r="A64" s="12" t="n"/>
      <x:c r="B64" s="13" t="n"/>
      <x:c r="C64" s="14" t="n"/>
    </x:row>
    <x:row r="65">
      <x:c r="A65" s="12" t="n"/>
      <x:c r="B65" s="13" t="n"/>
      <x:c r="C65" s="14" t="n"/>
    </x:row>
    <x:row r="66">
      <x:c r="A66" s="12" t="n"/>
      <x:c r="B66" s="13" t="n"/>
      <x:c r="C66" s="14" t="n"/>
    </x:row>
    <x:row r="67">
      <x:c r="A67" s="12" t="n"/>
      <x:c r="B67" s="13" t="n"/>
      <x:c r="C67" s="14" t="n"/>
    </x:row>
    <x:row r="68">
      <x:c r="A68" s="12" t="n"/>
      <x:c r="B68" s="13" t="n"/>
      <x:c r="C68" s="14" t="n"/>
    </x:row>
    <x:row r="69">
      <x:c r="A69" s="12" t="n"/>
      <x:c r="B69" s="13" t="n"/>
      <x:c r="C69" s="14" t="n"/>
    </x:row>
    <x:row r="70">
      <x:c r="A70" s="12" t="n"/>
      <x:c r="B70" s="13" t="n"/>
      <x:c r="C70" s="14" t="n"/>
    </x:row>
    <x:row r="71">
      <x:c r="A71" s="12" t="n"/>
      <x:c r="B71" s="13" t="n"/>
      <x:c r="C71" s="14" t="n"/>
    </x:row>
    <x:row r="72">
      <x:c r="A72" s="12" t="n"/>
      <x:c r="B72" s="13" t="n"/>
      <x:c r="C72" s="14" t="n"/>
    </x:row>
    <x:row r="73">
      <x:c r="A73" s="12" t="n"/>
      <x:c r="B73" s="13" t="n"/>
      <x:c r="C73" s="14" t="n"/>
    </x:row>
    <x:row r="74">
      <x:c r="A74" s="12" t="n"/>
      <x:c r="B74" s="13" t="n"/>
      <x:c r="C74" s="14" t="n"/>
    </x:row>
    <x:row r="75">
      <x:c r="A75" s="12" t="n"/>
      <x:c r="B75" s="13" t="n"/>
      <x:c r="C75" s="14" t="n"/>
    </x:row>
    <x:row r="76">
      <x:c r="A76" s="12" t="n"/>
      <x:c r="B76" s="13" t="n"/>
      <x:c r="C76" s="14" t="n"/>
    </x:row>
    <x:row r="77">
      <x:c r="A77" s="12" t="n"/>
      <x:c r="B77" s="13" t="n"/>
      <x:c r="C77" s="14" t="n"/>
    </x:row>
    <x:row r="78">
      <x:c r="A78" s="12" t="n"/>
      <x:c r="B78" s="13" t="n"/>
      <x:c r="C78" s="14" t="n"/>
    </x:row>
    <x:row r="79">
      <x:c r="A79" s="12" t="n"/>
      <x:c r="B79" s="13" t="n"/>
      <x:c r="C79" s="14" t="n"/>
    </x:row>
    <x:row r="80">
      <x:c r="A80" s="12" t="n"/>
      <x:c r="B80" s="13" t="n"/>
      <x:c r="C80" s="14" t="n"/>
    </x:row>
    <x:row r="81">
      <x:c r="A81" s="12" t="n"/>
      <x:c r="B81" s="13" t="n"/>
      <x:c r="C81" s="14" t="n"/>
    </x:row>
    <x:row r="82">
      <x:c r="A82" s="12" t="n"/>
      <x:c r="B82" s="13" t="n"/>
      <x:c r="C82" s="14" t="n"/>
    </x:row>
    <x:row r="83">
      <x:c r="A83" s="12" t="n"/>
      <x:c r="B83" s="13" t="n"/>
      <x:c r="C83" s="14" t="n"/>
    </x:row>
    <x:row r="84">
      <x:c r="A84" s="12" t="n"/>
      <x:c r="B84" s="13" t="n"/>
      <x:c r="C84" s="14" t="n"/>
    </x:row>
    <x:row r="85">
      <x:c r="A85" s="12" t="n"/>
      <x:c r="B85" s="13" t="n"/>
      <x:c r="C85" s="14" t="n"/>
    </x:row>
    <x:row r="86">
      <x:c r="A86" s="12" t="n"/>
      <x:c r="B86" s="13" t="n"/>
      <x:c r="C86" s="14" t="n"/>
    </x:row>
    <x:row r="87">
      <x:c r="A87" s="12" t="n"/>
      <x:c r="B87" s="13" t="n"/>
      <x:c r="C87" s="14" t="n"/>
    </x:row>
    <x:row r="88">
      <x:c r="A88" s="12" t="n"/>
      <x:c r="B88" s="13" t="n"/>
      <x:c r="C88" s="14" t="n"/>
    </x:row>
    <x:row r="89">
      <x:c r="A89" s="12" t="n"/>
      <x:c r="B89" s="13" t="n"/>
      <x:c r="C89" s="14" t="n"/>
    </x:row>
    <x:row r="90">
      <x:c r="A90" s="12" t="n"/>
      <x:c r="B90" s="13" t="n"/>
      <x:c r="C90" s="14" t="n"/>
    </x:row>
    <x:row r="91">
      <x:c r="A91" s="12" t="n"/>
      <x:c r="B91" s="13" t="n"/>
      <x:c r="C91" s="14" t="n"/>
    </x:row>
    <x:row r="92">
      <x:c r="A92" s="12" t="n"/>
      <x:c r="B92" s="13" t="n"/>
      <x:c r="C92" s="14" t="n"/>
    </x:row>
    <x:row r="93">
      <x:c r="A93" s="12" t="n"/>
      <x:c r="B93" s="13" t="n"/>
      <x:c r="C93" s="14" t="n"/>
    </x:row>
    <x:row r="94">
      <x:c r="A94" s="12" t="n"/>
      <x:c r="B94" s="13" t="n"/>
      <x:c r="C94" s="14" t="n"/>
    </x:row>
    <x:row r="95">
      <x:c r="A95" s="12" t="n"/>
      <x:c r="B95" s="13" t="n"/>
      <x:c r="C95" s="14" t="n"/>
    </x:row>
    <x:row r="96">
      <x:c r="A96" s="12" t="n"/>
      <x:c r="B96" s="13" t="n"/>
      <x:c r="C96" s="14" t="n"/>
    </x:row>
    <x:row r="97">
      <x:c r="A97" s="12" t="n"/>
      <x:c r="B97" s="13" t="n"/>
      <x:c r="C97" s="14" t="n"/>
    </x:row>
    <x:row r="98">
      <x:c r="A98" s="12" t="n"/>
      <x:c r="B98" s="13" t="n"/>
      <x:c r="C98" s="14" t="n"/>
    </x:row>
    <x:row r="99">
      <x:c r="A99" s="12" t="n"/>
      <x:c r="B99" s="13" t="n"/>
      <x:c r="C99" s="14" t="n"/>
    </x:row>
    <x:row r="100">
      <x:c r="A100" s="12" t="n"/>
      <x:c r="B100" s="13" t="n"/>
      <x:c r="C100" s="14" t="n"/>
    </x:row>
    <x:row r="101">
      <x:c r="A101" s="12" t="n"/>
      <x:c r="B101" s="13" t="n"/>
      <x:c r="C101" s="14" t="n"/>
    </x:row>
    <x:row r="102">
      <x:c r="A102" s="12" t="n"/>
      <x:c r="B102" s="13" t="n"/>
      <x:c r="C102" s="14" t="n"/>
    </x:row>
    <x:row r="103">
      <x:c r="A103" s="12" t="n"/>
      <x:c r="B103" s="13" t="n"/>
      <x:c r="C103" s="14" t="n"/>
    </x:row>
    <x:row r="104">
      <x:c r="A104" s="12" t="n"/>
      <x:c r="B104" s="13" t="n"/>
      <x:c r="C104" s="14" t="n"/>
    </x:row>
    <x:row r="105">
      <x:c r="A105" s="12" t="n"/>
      <x:c r="B105" s="13" t="n"/>
      <x:c r="C105" s="14" t="n"/>
    </x:row>
    <x:row r="106">
      <x:c r="A106" s="12" t="n"/>
      <x:c r="B106" s="13" t="n"/>
      <x:c r="C106" s="14" t="n"/>
    </x:row>
    <x:row r="107">
      <x:c r="A107" s="12" t="n"/>
      <x:c r="B107" s="13" t="n"/>
      <x:c r="C107" s="14" t="n"/>
    </x:row>
    <x:row r="108">
      <x:c r="A108" s="12" t="n"/>
      <x:c r="B108" s="13" t="n"/>
      <x:c r="C108" s="14" t="n"/>
    </x:row>
    <x:row r="109">
      <x:c r="A109" s="12" t="n"/>
      <x:c r="B109" s="13" t="n"/>
      <x:c r="C109" s="14" t="n"/>
    </x:row>
    <x:row r="110">
      <x:c r="A110" s="12" t="n"/>
      <x:c r="B110" s="13" t="n"/>
      <x:c r="C110" s="14" t="n"/>
    </x:row>
    <x:row r="111">
      <x:c r="A111" s="12" t="n"/>
      <x:c r="B111" s="13" t="n"/>
      <x:c r="C111" s="14" t="n"/>
    </x:row>
    <x:row r="112">
      <x:c r="A112" s="12" t="n"/>
      <x:c r="B112" s="13" t="n"/>
      <x:c r="C112" s="14" t="n"/>
    </x:row>
    <x:row r="113">
      <x:c r="A113" s="12" t="n"/>
      <x:c r="B113" s="13" t="n"/>
      <x:c r="C113" s="14" t="n"/>
    </x:row>
    <x:row r="114">
      <x:c r="A114" s="12" t="n"/>
      <x:c r="B114" s="13" t="n"/>
      <x:c r="C114" s="14" t="n"/>
    </x:row>
    <x:row r="115">
      <x:c r="A115" s="12" t="n"/>
      <x:c r="B115" s="13" t="n"/>
      <x:c r="C115" s="14" t="n"/>
    </x:row>
    <x:row r="116">
      <x:c r="A116" s="12" t="n"/>
      <x:c r="B116" s="13" t="n"/>
      <x:c r="C116" s="14" t="n"/>
    </x:row>
    <x:row r="117">
      <x:c r="A117" s="12" t="n"/>
      <x:c r="B117" s="13" t="n"/>
      <x:c r="C117" s="14" t="n"/>
    </x:row>
    <x:row r="118">
      <x:c r="A118" s="12" t="n"/>
      <x:c r="B118" s="13" t="n"/>
      <x:c r="C118" s="14" t="n"/>
    </x:row>
    <x:row r="119">
      <x:c r="A119" s="12" t="n"/>
      <x:c r="B119" s="13" t="n"/>
      <x:c r="C119" s="14" t="n"/>
    </x:row>
  </x:sheetData>
  <x:mergeCells>
    <x:mergeCell ref="A1:D1"/>
  </x:mergeCells>
  <x:dataValidations count="3">
    <x:dataValidation type="whole" operator="between" allowBlank="0" showDropDown="0" showInputMessage="0" showErrorMessage="0" sqref="B3">
      <x:formula1>2020</x:formula1>
      <x:formula2>2035</x:formula2>
    </x:dataValidation>
    <x:dataValidation type="list" allowBlank="0" showDropDown="0" showInputMessage="0" showErrorMessage="0" sqref="B4">
      <x:formula1>=$F$2:$F$13</x:formula1>
    </x:dataValidation>
    <x:dataValidation type="list" allowBlank="1" showDropDown="0" showInputMessage="0" showErrorMessage="0" sqref="C20:C119">
      <x:formula1>"Termin,Feiertag,Ferien,Prüfung,Sonstiges"</x:formula1>
    </x:dataValidation>
  </x:dataValidations>
  <x:pageMargins left="0.7" right="0.7" top="0.75" bottom="0.75" header="0.3" footer="0.3"/>
  <x:legacyDrawing xmlns:r="http://schemas.openxmlformats.org/officeDocument/2006/relationships" r:id="Rf2d4657ddc394c3b"/>
</x:worksheet>
</file>

<file path=xl/worksheets/sheet2.xml><?xml version="1.0" encoding="utf-8"?>
<x:worksheet xmlns:x="http://schemas.openxmlformats.org/spreadsheetml/2006/main">
  <x:sheetViews>
    <x:sheetView showGridLines="0" workbookViewId="0"/>
  </x:sheetViews>
  <x:sheetFormatPr baseColWidth="8" defaultRowHeight="15"/>
  <x:cols>
    <x:col min="1" max="1" width="8" customWidth="1"/>
    <x:col min="2" max="2" width="8" customWidth="1"/>
    <x:col min="3" max="3" width="6" customWidth="1"/>
    <x:col min="4" max="4" width="24" customWidth="1"/>
    <x:col min="5" max="5" width="12" customWidth="1"/>
    <x:col min="6" max="6" width="12" customWidth="1"/>
    <x:col min="7" max="7" width="12" customWidth="1"/>
    <x:col min="8" max="8" width="12" customWidth="1"/>
    <x:col min="9" max="9" width="14" customWidth="1"/>
    <x:col min="10" max="10" width="12" customWidth="1"/>
    <x:col min="11" max="11" width="14" hidden="1" customWidth="1"/>
  </x:cols>
  <x:sheetData>
    <x:row r="1" ht="30" customHeight="1">
      <x:c r="A1" s="15" t="inlineStr">
        <x:is>
          <x:t xml:space="preserve">Tätigkeitsbericht</x:t>
        </x:is>
      </x:c>
    </x:row>
    <x:row r="2">
      <x:c r="A2" s="16" t="str">
        <x:f>Einstellungen!$B$7</x:f>
        <x:v>September 2025 bis August 2026</x:v>
      </x:c>
      <x:c r="B2" s="34" t="n"/>
      <x:c r="C2" s="34" t="n"/>
      <x:c r="D2" s="34" t="n"/>
      <x:c r="E2" s="34" t="n"/>
      <x:c r="F2" s="34" t="n"/>
      <x:c r="G2" s="34" t="n"/>
      <x:c r="H2" s="34" t="n"/>
      <x:c r="I2" s="34" t="n"/>
      <x:c r="J2" s="35" t="n"/>
    </x:row>
    <x:row r="3">
      <x:c r="A3" s="17" t="str">
        <x:f>INDEX(Einstellungen!$F$2:$F$13,MONTH(EDATE(Einstellungen!$B$5,0)))&amp;" "&amp;YEAR(EDATE(Einstellungen!$B$5,0))</x:f>
        <x:v>September 2025</x:v>
      </x:c>
      <x:c r="B3" s="17" t="str">
        <x:f>INDEX(Einstellungen!$F$2:$F$13,MONTH(EDATE(Einstellungen!$B$5,1)))&amp;" "&amp;YEAR(EDATE(Einstellungen!$B$5,1))</x:f>
        <x:v>Oktober 2025</x:v>
      </x:c>
      <x:c r="C3" s="17" t="str">
        <x:f>INDEX(Einstellungen!$F$2:$F$13,MONTH(EDATE(Einstellungen!$B$5,2)))&amp;" "&amp;YEAR(EDATE(Einstellungen!$B$5,2))</x:f>
        <x:v>November 2025</x:v>
      </x:c>
      <x:c r="D3" s="17" t="str">
        <x:f>INDEX(Einstellungen!$F$2:$F$13,MONTH(EDATE(Einstellungen!$B$5,3)))&amp;" "&amp;YEAR(EDATE(Einstellungen!$B$5,3))</x:f>
        <x:v>Dezember 2025</x:v>
      </x:c>
      <x:c r="E3" s="17" t="str">
        <x:f>INDEX(Einstellungen!$F$2:$F$13,MONTH(EDATE(Einstellungen!$B$5,4)))&amp;" "&amp;YEAR(EDATE(Einstellungen!$B$5,4))</x:f>
        <x:v>Januar 2026</x:v>
      </x:c>
      <x:c r="F3" s="17" t="str">
        <x:f>INDEX(Einstellungen!$F$2:$F$13,MONTH(EDATE(Einstellungen!$B$5,5)))&amp;" "&amp;YEAR(EDATE(Einstellungen!$B$5,5))</x:f>
        <x:v>Februar 2026</x:v>
      </x:c>
      <x:c r="H3" s="11" t="inlineStr">
        <x:is>
          <x:t xml:space="preserve">Zur Übersicht</x:t>
        </x:is>
      </x:c>
    </x:row>
    <x:row r="4">
      <x:c r="A4" s="17" t="str">
        <x:f>INDEX(Einstellungen!$F$2:$F$13,MONTH(EDATE(Einstellungen!$B$5,6)))&amp;" "&amp;YEAR(EDATE(Einstellungen!$B$5,6))</x:f>
        <x:v>März 2026</x:v>
      </x:c>
      <x:c r="B4" s="17" t="str">
        <x:f>INDEX(Einstellungen!$F$2:$F$13,MONTH(EDATE(Einstellungen!$B$5,7)))&amp;" "&amp;YEAR(EDATE(Einstellungen!$B$5,7))</x:f>
        <x:v>April 2026</x:v>
      </x:c>
      <x:c r="C4" s="17" t="str">
        <x:f>INDEX(Einstellungen!$F$2:$F$13,MONTH(EDATE(Einstellungen!$B$5,8)))&amp;" "&amp;YEAR(EDATE(Einstellungen!$B$5,8))</x:f>
        <x:v>Mai 2026</x:v>
      </x:c>
      <x:c r="D4" s="17" t="str">
        <x:f>INDEX(Einstellungen!$F$2:$F$13,MONTH(EDATE(Einstellungen!$B$5,9)))&amp;" "&amp;YEAR(EDATE(Einstellungen!$B$5,9))</x:f>
        <x:v>Juni 2026</x:v>
      </x:c>
      <x:c r="E4" s="17" t="str">
        <x:f>INDEX(Einstellungen!$F$2:$F$13,MONTH(EDATE(Einstellungen!$B$5,10)))&amp;" "&amp;YEAR(EDATE(Einstellungen!$B$5,10))</x:f>
        <x:v>Juli 2026</x:v>
      </x:c>
      <x:c r="F4" s="17" t="str">
        <x:f>INDEX(Einstellungen!$F$2:$F$13,MONTH(EDATE(Einstellungen!$B$5,11)))&amp;" "&amp;YEAR(EDATE(Einstellungen!$B$5,11))</x:f>
        <x:v>August 2026</x:v>
      </x:c>
      <x:c r="H4" s="11" t="inlineStr">
        <x:is>
          <x:t xml:space="preserve">Einstellungen</x:t>
        </x:is>
      </x:c>
    </x:row>
    <x:row r="5"/>
    <x:row r="6"/>
    <x:row r="7">
      <x:c r="A7" s="18" t="str">
        <x:f>INDEX(Einstellungen!$F$2:$F$13,MONTH($K7))&amp;" "&amp;YEAR($K7)</x:f>
        <x:v>September 2025</x:v>
      </x:c>
      <x:c r="B7" s="36" t="n"/>
      <x:c r="C7" s="36" t="n"/>
      <x:c r="D7" s="36" t="n"/>
      <x:c r="E7" s="36" t="n"/>
      <x:c r="F7" s="36" t="n"/>
      <x:c r="G7" s="36" t="n"/>
      <x:c r="H7" s="36" t="n"/>
      <x:c r="I7" s="36" t="n"/>
      <x:c r="J7" s="37" t="n"/>
      <x:c r="K7">
        <x:f>EDATE(Einstellungen!$B$5,0)</x:f>
        <x:v>45901</x:v>
      </x:c>
    </x:row>
    <x:row r="8">
      <x:c r="A8" s="20" t="inlineStr">
        <x:is>
          <x:t xml:space="preserve">Datum</x:t>
        </x:is>
      </x:c>
      <x:c r="B8" s="20" t="inlineStr">
        <x:is>
          <x:t xml:space="preserve">Tag</x:t>
        </x:is>
      </x:c>
      <x:c r="C8" s="20" t="inlineStr">
        <x:is>
          <x:t xml:space="preserve">KW</x:t>
        </x:is>
      </x:c>
      <x:c r="D8" s="20" t="inlineStr">
        <x:is>
          <x:t xml:space="preserve">Feiertag</x:t>
        </x:is>
      </x:c>
      <x:c r="E8" s="20" t="inlineStr">
        <x:is>
          <x:t xml:space="preserve">Arbeitszeit</x:t>
        </x:is>
      </x:c>
      <x:c r="F8" s="20" t="str">
        <x:f>Einstellungen!$B$11</x:f>
        <x:v>E-Mail</x:v>
      </x:c>
      <x:c r="G8" s="20" t="str">
        <x:f>Einstellungen!$B$12</x:f>
        <x:v>Meetings</x:v>
      </x:c>
      <x:c r="H8" s="20" t="str">
        <x:f>Einstellungen!$B$13</x:f>
        <x:v>Telefonate</x:v>
      </x:c>
      <x:c r="I8" s="20" t="str">
        <x:f>Einstellungen!$B$14</x:f>
        <x:v>Dokumentation</x:v>
      </x:c>
      <x:c r="J8" s="20" t="str">
        <x:f>Einstellungen!$B$15</x:f>
        <x:v>Sonstiges</x:v>
      </x:c>
    </x:row>
    <x:row r="9">
      <x:c r="A9" s="21">
        <x:f>IF($K9="","",DAY($K9))</x:f>
        <x:v>1</x:v>
      </x:c>
      <x:c r="B9" s="22" t="str">
        <x:f>IF($K9="","",CHOOSE(WEEKDAY($K9,2),"Mo","Di","Mi","Do","Fr","Sa","So"))</x:f>
        <x:v>Mo</x:v>
      </x:c>
      <x:c r="C9" s="22">
        <x:f>IF($K9="","",ISOWEEKNUM($K9))</x:f>
        <x:v>36</x:v>
      </x:c>
      <x:c r="D9" s="23">
        <x:f>IF($K9="","",IF(AND(IFERROR(INDEX(Einstellungen!$I$3:$I$22,MATCH($K9,Einstellungen!$H$3:$H$22,0)),"")&lt;&gt;"",IFERROR(INDEX(Einstellungen!$B$20:$B$119,MATCH($K9,Einstellungen!$A$20:$A$119,0)),"")&lt;&gt;""),IFERROR(INDEX(Einstellungen!$I$3:$I$22,MATCH($K9,Einstellungen!$H$3:$H$22,0)),"")&amp;" / "&amp;IFERROR(INDEX(Einstellungen!$B$20:$B$119,MATCH($K9,Einstellungen!$A$20:$A$119,0)),""),IF(IFERROR(INDEX(Einstellungen!$I$3:$I$22,MATCH($K9,Einstellungen!$H$3:$H$22,0)),"")&lt;&gt;"",IFERROR(INDEX(Einstellungen!$I$3:$I$22,MATCH($K9,Einstellungen!$H$3:$H$22,0)),""),IFERROR(INDEX(Einstellungen!$B$20:$B$119,MATCH($K9,Einstellungen!$A$20:$A$119,0)),""))))</x:f>
      </x:c>
      <x:c r="E9" s="24">
        <x:f>IF($K9="","",SUM(F9:J9))</x:f>
        <x:v>6.5</x:v>
      </x:c>
      <x:c r="F9" s="25" t="n">
        <x:v>1</x:v>
      </x:c>
      <x:c r="G9" s="25" t="n">
        <x:v>2</x:v>
      </x:c>
      <x:c r="H9" s="25" t="n">
        <x:v>1</x:v>
      </x:c>
      <x:c r="I9" s="25" t="n">
        <x:v>2</x:v>
      </x:c>
      <x:c r="J9" s="25" t="n">
        <x:v>0.5</x:v>
      </x:c>
      <x:c r="K9">
        <x:f>IF(1&lt;=DAY(EOMONTH($K7,0)),$K7+0,"")</x:f>
        <x:v>45901</x:v>
      </x:c>
    </x:row>
    <x:row r="10">
      <x:c r="A10" s="21">
        <x:f>IF($K10="","",DAY($K10))</x:f>
        <x:v>2</x:v>
      </x:c>
      <x:c r="B10" s="22" t="str">
        <x:f>IF($K10="","",CHOOSE(WEEKDAY($K10,2),"Mo","Di","Mi","Do","Fr","Sa","So"))</x:f>
        <x:v>Di</x:v>
      </x:c>
      <x:c r="C10" s="22">
        <x:f>IF($K10="","",ISOWEEKNUM($K10))</x:f>
        <x:v>36</x:v>
      </x:c>
      <x:c r="D10" s="23">
        <x:f>IF($K10="","",IF(AND(IFERROR(INDEX(Einstellungen!$I$3:$I$22,MATCH($K10,Einstellungen!$H$3:$H$22,0)),"")&lt;&gt;"",IFERROR(INDEX(Einstellungen!$B$20:$B$119,MATCH($K10,Einstellungen!$A$20:$A$119,0)),"")&lt;&gt;""),IFERROR(INDEX(Einstellungen!$I$3:$I$22,MATCH($K10,Einstellungen!$H$3:$H$22,0)),"")&amp;" / "&amp;IFERROR(INDEX(Einstellungen!$B$20:$B$119,MATCH($K10,Einstellungen!$A$20:$A$119,0)),""),IF(IFERROR(INDEX(Einstellungen!$I$3:$I$22,MATCH($K10,Einstellungen!$H$3:$H$22,0)),"")&lt;&gt;"",IFERROR(INDEX(Einstellungen!$I$3:$I$22,MATCH($K10,Einstellungen!$H$3:$H$22,0)),""),IFERROR(INDEX(Einstellungen!$B$20:$B$119,MATCH($K10,Einstellungen!$A$20:$A$119,0)),""))))</x:f>
      </x:c>
      <x:c r="E10" s="24">
        <x:f>IF($K10="","",SUM(F10:J10))</x:f>
        <x:v>6.5</x:v>
      </x:c>
      <x:c r="F10" s="25" t="n">
        <x:v>1.5</x:v>
      </x:c>
      <x:c r="G10" s="25" t="n">
        <x:v>1.5</x:v>
      </x:c>
      <x:c r="H10" s="25" t="n">
        <x:v>1</x:v>
      </x:c>
      <x:c r="I10" s="25" t="n">
        <x:v>2</x:v>
      </x:c>
      <x:c r="J10" s="25" t="n">
        <x:v>0.5</x:v>
      </x:c>
      <x:c r="K10">
        <x:f>IF(2&lt;=DAY(EOMONTH($K7,0)),$K7+1,"")</x:f>
        <x:v>45902</x:v>
      </x:c>
    </x:row>
    <x:row r="11">
      <x:c r="A11" s="21">
        <x:f>IF($K11="","",DAY($K11))</x:f>
        <x:v>3</x:v>
      </x:c>
      <x:c r="B11" s="22" t="str">
        <x:f>IF($K11="","",CHOOSE(WEEKDAY($K11,2),"Mo","Di","Mi","Do","Fr","Sa","So"))</x:f>
        <x:v>Mi</x:v>
      </x:c>
      <x:c r="C11" s="22">
        <x:f>IF($K11="","",ISOWEEKNUM($K11))</x:f>
        <x:v>36</x:v>
      </x:c>
      <x:c r="D11" s="23">
        <x:f>IF($K11="","",IF(AND(IFERROR(INDEX(Einstellungen!$I$3:$I$22,MATCH($K11,Einstellungen!$H$3:$H$22,0)),"")&lt;&gt;"",IFERROR(INDEX(Einstellungen!$B$20:$B$119,MATCH($K11,Einstellungen!$A$20:$A$119,0)),"")&lt;&gt;""),IFERROR(INDEX(Einstellungen!$I$3:$I$22,MATCH($K11,Einstellungen!$H$3:$H$22,0)),"")&amp;" / "&amp;IFERROR(INDEX(Einstellungen!$B$20:$B$119,MATCH($K11,Einstellungen!$A$20:$A$119,0)),""),IF(IFERROR(INDEX(Einstellungen!$I$3:$I$22,MATCH($K11,Einstellungen!$H$3:$H$22,0)),"")&lt;&gt;"",IFERROR(INDEX(Einstellungen!$I$3:$I$22,MATCH($K11,Einstellungen!$H$3:$H$22,0)),""),IFERROR(INDEX(Einstellungen!$B$20:$B$119,MATCH($K11,Einstellungen!$A$20:$A$119,0)),""))))</x:f>
      </x:c>
      <x:c r="E11" s="24">
        <x:f>IF($K11="","",SUM(F11:J11))</x:f>
        <x:v>6.5</x:v>
      </x:c>
      <x:c r="F11" s="25" t="n">
        <x:v>1</x:v>
      </x:c>
      <x:c r="G11" s="25" t="n">
        <x:v>2.5</x:v>
      </x:c>
      <x:c r="H11" s="25" t="n">
        <x:v>1</x:v>
      </x:c>
      <x:c r="I11" s="25" t="n">
        <x:v>1.5</x:v>
      </x:c>
      <x:c r="J11" s="25" t="n">
        <x:v>0.5</x:v>
      </x:c>
      <x:c r="K11">
        <x:f>IF(3&lt;=DAY(EOMONTH($K7,0)),$K7+2,"")</x:f>
        <x:v>45903</x:v>
      </x:c>
    </x:row>
    <x:row r="12">
      <x:c r="A12" s="21">
        <x:f>IF($K12="","",DAY($K12))</x:f>
        <x:v>4</x:v>
      </x:c>
      <x:c r="B12" s="22" t="str">
        <x:f>IF($K12="","",CHOOSE(WEEKDAY($K12,2),"Mo","Di","Mi","Do","Fr","Sa","So"))</x:f>
        <x:v>Do</x:v>
      </x:c>
      <x:c r="C12" s="22">
        <x:f>IF($K12="","",ISOWEEKNUM($K12))</x:f>
        <x:v>36</x:v>
      </x:c>
      <x:c r="D12" s="23">
        <x:f>IF($K12="","",IF(AND(IFERROR(INDEX(Einstellungen!$I$3:$I$22,MATCH($K12,Einstellungen!$H$3:$H$22,0)),"")&lt;&gt;"",IFERROR(INDEX(Einstellungen!$B$20:$B$119,MATCH($K12,Einstellungen!$A$20:$A$119,0)),"")&lt;&gt;""),IFERROR(INDEX(Einstellungen!$I$3:$I$22,MATCH($K12,Einstellungen!$H$3:$H$22,0)),"")&amp;" / "&amp;IFERROR(INDEX(Einstellungen!$B$20:$B$119,MATCH($K12,Einstellungen!$A$20:$A$119,0)),""),IF(IFERROR(INDEX(Einstellungen!$I$3:$I$22,MATCH($K12,Einstellungen!$H$3:$H$22,0)),"")&lt;&gt;"",IFERROR(INDEX(Einstellungen!$I$3:$I$22,MATCH($K12,Einstellungen!$H$3:$H$22,0)),""),IFERROR(INDEX(Einstellungen!$B$20:$B$119,MATCH($K12,Einstellungen!$A$20:$A$119,0)),""))))</x:f>
      </x:c>
      <x:c r="E12" s="24">
        <x:f>IF($K12="","",SUM(F12:J12))</x:f>
        <x:v>7</x:v>
      </x:c>
      <x:c r="F12" s="25" t="n">
        <x:v>1.5</x:v>
      </x:c>
      <x:c r="G12" s="25" t="n">
        <x:v>2</x:v>
      </x:c>
      <x:c r="H12" s="25" t="n">
        <x:v>1.5</x:v>
      </x:c>
      <x:c r="I12" s="25" t="n">
        <x:v>1.5</x:v>
      </x:c>
      <x:c r="J12" s="25" t="n">
        <x:v>0.5</x:v>
      </x:c>
      <x:c r="K12">
        <x:f>IF(4&lt;=DAY(EOMONTH($K7,0)),$K7+3,"")</x:f>
        <x:v>45904</x:v>
      </x:c>
    </x:row>
    <x:row r="13">
      <x:c r="A13" s="21">
        <x:f>IF($K13="","",DAY($K13))</x:f>
        <x:v>5</x:v>
      </x:c>
      <x:c r="B13" s="22" t="str">
        <x:f>IF($K13="","",CHOOSE(WEEKDAY($K13,2),"Mo","Di","Mi","Do","Fr","Sa","So"))</x:f>
        <x:v>Fr</x:v>
      </x:c>
      <x:c r="C13" s="22">
        <x:f>IF($K13="","",ISOWEEKNUM($K13))</x:f>
        <x:v>36</x:v>
      </x:c>
      <x:c r="D13" s="23">
        <x:f>IF($K13="","",IF(AND(IFERROR(INDEX(Einstellungen!$I$3:$I$22,MATCH($K13,Einstellungen!$H$3:$H$22,0)),"")&lt;&gt;"",IFERROR(INDEX(Einstellungen!$B$20:$B$119,MATCH($K13,Einstellungen!$A$20:$A$119,0)),"")&lt;&gt;""),IFERROR(INDEX(Einstellungen!$I$3:$I$22,MATCH($K13,Einstellungen!$H$3:$H$22,0)),"")&amp;" / "&amp;IFERROR(INDEX(Einstellungen!$B$20:$B$119,MATCH($K13,Einstellungen!$A$20:$A$119,0)),""),IF(IFERROR(INDEX(Einstellungen!$I$3:$I$22,MATCH($K13,Einstellungen!$H$3:$H$22,0)),"")&lt;&gt;"",IFERROR(INDEX(Einstellungen!$I$3:$I$22,MATCH($K13,Einstellungen!$H$3:$H$22,0)),""),IFERROR(INDEX(Einstellungen!$B$20:$B$119,MATCH($K13,Einstellungen!$A$20:$A$119,0)),""))))</x:f>
      </x:c>
      <x:c r="E13" s="24">
        <x:f>IF($K13="","",SUM(F13:J13))</x:f>
        <x:v>5.5</x:v>
      </x:c>
      <x:c r="F13" s="25" t="n">
        <x:v>2</x:v>
      </x:c>
      <x:c r="G13" s="25" t="n">
        <x:v>1</x:v>
      </x:c>
      <x:c r="H13" s="25" t="n">
        <x:v>1</x:v>
      </x:c>
      <x:c r="I13" s="25" t="n">
        <x:v>1</x:v>
      </x:c>
      <x:c r="J13" s="25" t="n">
        <x:v>0.5</x:v>
      </x:c>
      <x:c r="K13">
        <x:f>IF(5&lt;=DAY(EOMONTH($K7,0)),$K7+4,"")</x:f>
        <x:v>45905</x:v>
      </x:c>
    </x:row>
    <x:row r="14">
      <x:c r="A14" s="21">
        <x:f>IF($K14="","",DAY($K14))</x:f>
        <x:v>6</x:v>
      </x:c>
      <x:c r="B14" s="22" t="str">
        <x:f>IF($K14="","",CHOOSE(WEEKDAY($K14,2),"Mo","Di","Mi","Do","Fr","Sa","So"))</x:f>
        <x:v>Sa</x:v>
      </x:c>
      <x:c r="C14" s="22">
        <x:f>IF($K14="","",ISOWEEKNUM($K14))</x:f>
        <x:v>36</x:v>
      </x:c>
      <x:c r="D14" s="23">
        <x:f>IF($K14="","",IF(AND(IFERROR(INDEX(Einstellungen!$I$3:$I$22,MATCH($K14,Einstellungen!$H$3:$H$22,0)),"")&lt;&gt;"",IFERROR(INDEX(Einstellungen!$B$20:$B$119,MATCH($K14,Einstellungen!$A$20:$A$119,0)),"")&lt;&gt;""),IFERROR(INDEX(Einstellungen!$I$3:$I$22,MATCH($K14,Einstellungen!$H$3:$H$22,0)),"")&amp;" / "&amp;IFERROR(INDEX(Einstellungen!$B$20:$B$119,MATCH($K14,Einstellungen!$A$20:$A$119,0)),""),IF(IFERROR(INDEX(Einstellungen!$I$3:$I$22,MATCH($K14,Einstellungen!$H$3:$H$22,0)),"")&lt;&gt;"",IFERROR(INDEX(Einstellungen!$I$3:$I$22,MATCH($K14,Einstellungen!$H$3:$H$22,0)),""),IFERROR(INDEX(Einstellungen!$B$20:$B$119,MATCH($K14,Einstellungen!$A$20:$A$119,0)),""))))</x:f>
      </x:c>
      <x:c r="E14" s="24">
        <x:f>IF($K14="","",SUM(F14:J14))</x:f>
        <x:v>0</x:v>
      </x:c>
      <x:c r="F14" s="25" t="n"/>
      <x:c r="G14" s="25" t="n"/>
      <x:c r="H14" s="25" t="n"/>
      <x:c r="I14" s="25" t="n"/>
      <x:c r="J14" s="25" t="n"/>
      <x:c r="K14">
        <x:f>IF(6&lt;=DAY(EOMONTH($K7,0)),$K7+5,"")</x:f>
        <x:v>45906</x:v>
      </x:c>
    </x:row>
    <x:row r="15">
      <x:c r="A15" s="21">
        <x:f>IF($K15="","",DAY($K15))</x:f>
        <x:v>7</x:v>
      </x:c>
      <x:c r="B15" s="22" t="str">
        <x:f>IF($K15="","",CHOOSE(WEEKDAY($K15,2),"Mo","Di","Mi","Do","Fr","Sa","So"))</x:f>
        <x:v>So</x:v>
      </x:c>
      <x:c r="C15" s="22">
        <x:f>IF($K15="","",ISOWEEKNUM($K15))</x:f>
        <x:v>36</x:v>
      </x:c>
      <x:c r="D15" s="23">
        <x:f>IF($K15="","",IF(AND(IFERROR(INDEX(Einstellungen!$I$3:$I$22,MATCH($K15,Einstellungen!$H$3:$H$22,0)),"")&lt;&gt;"",IFERROR(INDEX(Einstellungen!$B$20:$B$119,MATCH($K15,Einstellungen!$A$20:$A$119,0)),"")&lt;&gt;""),IFERROR(INDEX(Einstellungen!$I$3:$I$22,MATCH($K15,Einstellungen!$H$3:$H$22,0)),"")&amp;" / "&amp;IFERROR(INDEX(Einstellungen!$B$20:$B$119,MATCH($K15,Einstellungen!$A$20:$A$119,0)),""),IF(IFERROR(INDEX(Einstellungen!$I$3:$I$22,MATCH($K15,Einstellungen!$H$3:$H$22,0)),"")&lt;&gt;"",IFERROR(INDEX(Einstellungen!$I$3:$I$22,MATCH($K15,Einstellungen!$H$3:$H$22,0)),""),IFERROR(INDEX(Einstellungen!$B$20:$B$119,MATCH($K15,Einstellungen!$A$20:$A$119,0)),""))))</x:f>
      </x:c>
      <x:c r="E15" s="24">
        <x:f>IF($K15="","",SUM(F15:J15))</x:f>
        <x:v>0</x:v>
      </x:c>
      <x:c r="F15" s="25" t="n"/>
      <x:c r="G15" s="25" t="n"/>
      <x:c r="H15" s="25" t="n"/>
      <x:c r="I15" s="25" t="n"/>
      <x:c r="J15" s="25" t="n"/>
      <x:c r="K15">
        <x:f>IF(7&lt;=DAY(EOMONTH($K7,0)),$K7+6,"")</x:f>
        <x:v>45907</x:v>
      </x:c>
    </x:row>
    <x:row r="16">
      <x:c r="A16" s="21">
        <x:f>IF($K16="","",DAY($K16))</x:f>
        <x:v>8</x:v>
      </x:c>
      <x:c r="B16" s="22" t="str">
        <x:f>IF($K16="","",CHOOSE(WEEKDAY($K16,2),"Mo","Di","Mi","Do","Fr","Sa","So"))</x:f>
        <x:v>Mo</x:v>
      </x:c>
      <x:c r="C16" s="22">
        <x:f>IF($K16="","",ISOWEEKNUM($K16))</x:f>
        <x:v>37</x:v>
      </x:c>
      <x:c r="D16" s="23">
        <x:f>IF($K16="","",IF(AND(IFERROR(INDEX(Einstellungen!$I$3:$I$22,MATCH($K16,Einstellungen!$H$3:$H$22,0)),"")&lt;&gt;"",IFERROR(INDEX(Einstellungen!$B$20:$B$119,MATCH($K16,Einstellungen!$A$20:$A$119,0)),"")&lt;&gt;""),IFERROR(INDEX(Einstellungen!$I$3:$I$22,MATCH($K16,Einstellungen!$H$3:$H$22,0)),"")&amp;" / "&amp;IFERROR(INDEX(Einstellungen!$B$20:$B$119,MATCH($K16,Einstellungen!$A$20:$A$119,0)),""),IF(IFERROR(INDEX(Einstellungen!$I$3:$I$22,MATCH($K16,Einstellungen!$H$3:$H$22,0)),"")&lt;&gt;"",IFERROR(INDEX(Einstellungen!$I$3:$I$22,MATCH($K16,Einstellungen!$H$3:$H$22,0)),""),IFERROR(INDEX(Einstellungen!$B$20:$B$119,MATCH($K16,Einstellungen!$A$20:$A$119,0)),""))))</x:f>
      </x:c>
      <x:c r="E16" s="24">
        <x:f>IF($K16="","",SUM(F16:J16))</x:f>
        <x:v>6.5</x:v>
      </x:c>
      <x:c r="F16" s="25" t="n">
        <x:v>1</x:v>
      </x:c>
      <x:c r="G16" s="25" t="n">
        <x:v>2</x:v>
      </x:c>
      <x:c r="H16" s="25" t="n">
        <x:v>1</x:v>
      </x:c>
      <x:c r="I16" s="25" t="n">
        <x:v>2</x:v>
      </x:c>
      <x:c r="J16" s="25" t="n">
        <x:v>0.5</x:v>
      </x:c>
      <x:c r="K16">
        <x:f>IF(8&lt;=DAY(EOMONTH($K7,0)),$K7+7,"")</x:f>
        <x:v>45908</x:v>
      </x:c>
    </x:row>
    <x:row r="17">
      <x:c r="A17" s="21">
        <x:f>IF($K17="","",DAY($K17))</x:f>
        <x:v>9</x:v>
      </x:c>
      <x:c r="B17" s="22" t="str">
        <x:f>IF($K17="","",CHOOSE(WEEKDAY($K17,2),"Mo","Di","Mi","Do","Fr","Sa","So"))</x:f>
        <x:v>Di</x:v>
      </x:c>
      <x:c r="C17" s="22">
        <x:f>IF($K17="","",ISOWEEKNUM($K17))</x:f>
        <x:v>37</x:v>
      </x:c>
      <x:c r="D17" s="23">
        <x:f>IF($K17="","",IF(AND(IFERROR(INDEX(Einstellungen!$I$3:$I$22,MATCH($K17,Einstellungen!$H$3:$H$22,0)),"")&lt;&gt;"",IFERROR(INDEX(Einstellungen!$B$20:$B$119,MATCH($K17,Einstellungen!$A$20:$A$119,0)),"")&lt;&gt;""),IFERROR(INDEX(Einstellungen!$I$3:$I$22,MATCH($K17,Einstellungen!$H$3:$H$22,0)),"")&amp;" / "&amp;IFERROR(INDEX(Einstellungen!$B$20:$B$119,MATCH($K17,Einstellungen!$A$20:$A$119,0)),""),IF(IFERROR(INDEX(Einstellungen!$I$3:$I$22,MATCH($K17,Einstellungen!$H$3:$H$22,0)),"")&lt;&gt;"",IFERROR(INDEX(Einstellungen!$I$3:$I$22,MATCH($K17,Einstellungen!$H$3:$H$22,0)),""),IFERROR(INDEX(Einstellungen!$B$20:$B$119,MATCH($K17,Einstellungen!$A$20:$A$119,0)),""))))</x:f>
      </x:c>
      <x:c r="E17" s="24">
        <x:f>IF($K17="","",SUM(F17:J17))</x:f>
        <x:v>6.5</x:v>
      </x:c>
      <x:c r="F17" s="25" t="n">
        <x:v>1.5</x:v>
      </x:c>
      <x:c r="G17" s="25" t="n">
        <x:v>1.5</x:v>
      </x:c>
      <x:c r="H17" s="25" t="n">
        <x:v>1</x:v>
      </x:c>
      <x:c r="I17" s="25" t="n">
        <x:v>2</x:v>
      </x:c>
      <x:c r="J17" s="25" t="n">
        <x:v>0.5</x:v>
      </x:c>
      <x:c r="K17">
        <x:f>IF(9&lt;=DAY(EOMONTH($K7,0)),$K7+8,"")</x:f>
        <x:v>45909</x:v>
      </x:c>
    </x:row>
    <x:row r="18">
      <x:c r="A18" s="21">
        <x:f>IF($K18="","",DAY($K18))</x:f>
        <x:v>10</x:v>
      </x:c>
      <x:c r="B18" s="22" t="str">
        <x:f>IF($K18="","",CHOOSE(WEEKDAY($K18,2),"Mo","Di","Mi","Do","Fr","Sa","So"))</x:f>
        <x:v>Mi</x:v>
      </x:c>
      <x:c r="C18" s="22">
        <x:f>IF($K18="","",ISOWEEKNUM($K18))</x:f>
        <x:v>37</x:v>
      </x:c>
      <x:c r="D18" s="23">
        <x:f>IF($K18="","",IF(AND(IFERROR(INDEX(Einstellungen!$I$3:$I$22,MATCH($K18,Einstellungen!$H$3:$H$22,0)),"")&lt;&gt;"",IFERROR(INDEX(Einstellungen!$B$20:$B$119,MATCH($K18,Einstellungen!$A$20:$A$119,0)),"")&lt;&gt;""),IFERROR(INDEX(Einstellungen!$I$3:$I$22,MATCH($K18,Einstellungen!$H$3:$H$22,0)),"")&amp;" / "&amp;IFERROR(INDEX(Einstellungen!$B$20:$B$119,MATCH($K18,Einstellungen!$A$20:$A$119,0)),""),IF(IFERROR(INDEX(Einstellungen!$I$3:$I$22,MATCH($K18,Einstellungen!$H$3:$H$22,0)),"")&lt;&gt;"",IFERROR(INDEX(Einstellungen!$I$3:$I$22,MATCH($K18,Einstellungen!$H$3:$H$22,0)),""),IFERROR(INDEX(Einstellungen!$B$20:$B$119,MATCH($K18,Einstellungen!$A$20:$A$119,0)),""))))</x:f>
      </x:c>
      <x:c r="E18" s="24">
        <x:f>IF($K18="","",SUM(F18:J18))</x:f>
        <x:v>6.5</x:v>
      </x:c>
      <x:c r="F18" s="25" t="n">
        <x:v>1</x:v>
      </x:c>
      <x:c r="G18" s="25" t="n">
        <x:v>2.5</x:v>
      </x:c>
      <x:c r="H18" s="25" t="n">
        <x:v>1</x:v>
      </x:c>
      <x:c r="I18" s="25" t="n">
        <x:v>1.5</x:v>
      </x:c>
      <x:c r="J18" s="25" t="n">
        <x:v>0.5</x:v>
      </x:c>
      <x:c r="K18">
        <x:f>IF(10&lt;=DAY(EOMONTH($K7,0)),$K7+9,"")</x:f>
        <x:v>45910</x:v>
      </x:c>
    </x:row>
    <x:row r="19">
      <x:c r="A19" s="21">
        <x:f>IF($K19="","",DAY($K19))</x:f>
        <x:v>11</x:v>
      </x:c>
      <x:c r="B19" s="22" t="str">
        <x:f>IF($K19="","",CHOOSE(WEEKDAY($K19,2),"Mo","Di","Mi","Do","Fr","Sa","So"))</x:f>
        <x:v>Do</x:v>
      </x:c>
      <x:c r="C19" s="22">
        <x:f>IF($K19="","",ISOWEEKNUM($K19))</x:f>
        <x:v>37</x:v>
      </x:c>
      <x:c r="D19" s="23">
        <x:f>IF($K19="","",IF(AND(IFERROR(INDEX(Einstellungen!$I$3:$I$22,MATCH($K19,Einstellungen!$H$3:$H$22,0)),"")&lt;&gt;"",IFERROR(INDEX(Einstellungen!$B$20:$B$119,MATCH($K19,Einstellungen!$A$20:$A$119,0)),"")&lt;&gt;""),IFERROR(INDEX(Einstellungen!$I$3:$I$22,MATCH($K19,Einstellungen!$H$3:$H$22,0)),"")&amp;" / "&amp;IFERROR(INDEX(Einstellungen!$B$20:$B$119,MATCH($K19,Einstellungen!$A$20:$A$119,0)),""),IF(IFERROR(INDEX(Einstellungen!$I$3:$I$22,MATCH($K19,Einstellungen!$H$3:$H$22,0)),"")&lt;&gt;"",IFERROR(INDEX(Einstellungen!$I$3:$I$22,MATCH($K19,Einstellungen!$H$3:$H$22,0)),""),IFERROR(INDEX(Einstellungen!$B$20:$B$119,MATCH($K19,Einstellungen!$A$20:$A$119,0)),""))))</x:f>
      </x:c>
      <x:c r="E19" s="24">
        <x:f>IF($K19="","",SUM(F19:J19))</x:f>
        <x:v>7</x:v>
      </x:c>
      <x:c r="F19" s="25" t="n">
        <x:v>1.5</x:v>
      </x:c>
      <x:c r="G19" s="25" t="n">
        <x:v>2</x:v>
      </x:c>
      <x:c r="H19" s="25" t="n">
        <x:v>1.5</x:v>
      </x:c>
      <x:c r="I19" s="25" t="n">
        <x:v>1.5</x:v>
      </x:c>
      <x:c r="J19" s="25" t="n">
        <x:v>0.5</x:v>
      </x:c>
      <x:c r="K19">
        <x:f>IF(11&lt;=DAY(EOMONTH($K7,0)),$K7+10,"")</x:f>
        <x:v>45911</x:v>
      </x:c>
    </x:row>
    <x:row r="20">
      <x:c r="A20" s="21">
        <x:f>IF($K20="","",DAY($K20))</x:f>
        <x:v>12</x:v>
      </x:c>
      <x:c r="B20" s="22" t="str">
        <x:f>IF($K20="","",CHOOSE(WEEKDAY($K20,2),"Mo","Di","Mi","Do","Fr","Sa","So"))</x:f>
        <x:v>Fr</x:v>
      </x:c>
      <x:c r="C20" s="22">
        <x:f>IF($K20="","",ISOWEEKNUM($K20))</x:f>
        <x:v>37</x:v>
      </x:c>
      <x:c r="D20" s="23">
        <x:f>IF($K20="","",IF(AND(IFERROR(INDEX(Einstellungen!$I$3:$I$22,MATCH($K20,Einstellungen!$H$3:$H$22,0)),"")&lt;&gt;"",IFERROR(INDEX(Einstellungen!$B$20:$B$119,MATCH($K20,Einstellungen!$A$20:$A$119,0)),"")&lt;&gt;""),IFERROR(INDEX(Einstellungen!$I$3:$I$22,MATCH($K20,Einstellungen!$H$3:$H$22,0)),"")&amp;" / "&amp;IFERROR(INDEX(Einstellungen!$B$20:$B$119,MATCH($K20,Einstellungen!$A$20:$A$119,0)),""),IF(IFERROR(INDEX(Einstellungen!$I$3:$I$22,MATCH($K20,Einstellungen!$H$3:$H$22,0)),"")&lt;&gt;"",IFERROR(INDEX(Einstellungen!$I$3:$I$22,MATCH($K20,Einstellungen!$H$3:$H$22,0)),""),IFERROR(INDEX(Einstellungen!$B$20:$B$119,MATCH($K20,Einstellungen!$A$20:$A$119,0)),""))))</x:f>
      </x:c>
      <x:c r="E20" s="24">
        <x:f>IF($K20="","",SUM(F20:J20))</x:f>
        <x:v>5.5</x:v>
      </x:c>
      <x:c r="F20" s="25" t="n">
        <x:v>2</x:v>
      </x:c>
      <x:c r="G20" s="25" t="n">
        <x:v>1</x:v>
      </x:c>
      <x:c r="H20" s="25" t="n">
        <x:v>1</x:v>
      </x:c>
      <x:c r="I20" s="25" t="n">
        <x:v>1</x:v>
      </x:c>
      <x:c r="J20" s="25" t="n">
        <x:v>0.5</x:v>
      </x:c>
      <x:c r="K20">
        <x:f>IF(12&lt;=DAY(EOMONTH($K7,0)),$K7+11,"")</x:f>
        <x:v>45912</x:v>
      </x:c>
    </x:row>
    <x:row r="21">
      <x:c r="A21" s="21">
        <x:f>IF($K21="","",DAY($K21))</x:f>
        <x:v>13</x:v>
      </x:c>
      <x:c r="B21" s="22" t="str">
        <x:f>IF($K21="","",CHOOSE(WEEKDAY($K21,2),"Mo","Di","Mi","Do","Fr","Sa","So"))</x:f>
        <x:v>Sa</x:v>
      </x:c>
      <x:c r="C21" s="22">
        <x:f>IF($K21="","",ISOWEEKNUM($K21))</x:f>
        <x:v>37</x:v>
      </x:c>
      <x:c r="D21" s="23">
        <x:f>IF($K21="","",IF(AND(IFERROR(INDEX(Einstellungen!$I$3:$I$22,MATCH($K21,Einstellungen!$H$3:$H$22,0)),"")&lt;&gt;"",IFERROR(INDEX(Einstellungen!$B$20:$B$119,MATCH($K21,Einstellungen!$A$20:$A$119,0)),"")&lt;&gt;""),IFERROR(INDEX(Einstellungen!$I$3:$I$22,MATCH($K21,Einstellungen!$H$3:$H$22,0)),"")&amp;" / "&amp;IFERROR(INDEX(Einstellungen!$B$20:$B$119,MATCH($K21,Einstellungen!$A$20:$A$119,0)),""),IF(IFERROR(INDEX(Einstellungen!$I$3:$I$22,MATCH($K21,Einstellungen!$H$3:$H$22,0)),"")&lt;&gt;"",IFERROR(INDEX(Einstellungen!$I$3:$I$22,MATCH($K21,Einstellungen!$H$3:$H$22,0)),""),IFERROR(INDEX(Einstellungen!$B$20:$B$119,MATCH($K21,Einstellungen!$A$20:$A$119,0)),""))))</x:f>
      </x:c>
      <x:c r="E21" s="24">
        <x:f>IF($K21="","",SUM(F21:J21))</x:f>
        <x:v>0</x:v>
      </x:c>
      <x:c r="F21" s="25" t="n"/>
      <x:c r="G21" s="25" t="n"/>
      <x:c r="H21" s="25" t="n"/>
      <x:c r="I21" s="25" t="n"/>
      <x:c r="J21" s="25" t="n"/>
      <x:c r="K21">
        <x:f>IF(13&lt;=DAY(EOMONTH($K7,0)),$K7+12,"")</x:f>
        <x:v>45913</x:v>
      </x:c>
    </x:row>
    <x:row r="22">
      <x:c r="A22" s="21">
        <x:f>IF($K22="","",DAY($K22))</x:f>
        <x:v>14</x:v>
      </x:c>
      <x:c r="B22" s="22" t="str">
        <x:f>IF($K22="","",CHOOSE(WEEKDAY($K22,2),"Mo","Di","Mi","Do","Fr","Sa","So"))</x:f>
        <x:v>So</x:v>
      </x:c>
      <x:c r="C22" s="22">
        <x:f>IF($K22="","",ISOWEEKNUM($K22))</x:f>
        <x:v>37</x:v>
      </x:c>
      <x:c r="D22" s="23">
        <x:f>IF($K22="","",IF(AND(IFERROR(INDEX(Einstellungen!$I$3:$I$22,MATCH($K22,Einstellungen!$H$3:$H$22,0)),"")&lt;&gt;"",IFERROR(INDEX(Einstellungen!$B$20:$B$119,MATCH($K22,Einstellungen!$A$20:$A$119,0)),"")&lt;&gt;""),IFERROR(INDEX(Einstellungen!$I$3:$I$22,MATCH($K22,Einstellungen!$H$3:$H$22,0)),"")&amp;" / "&amp;IFERROR(INDEX(Einstellungen!$B$20:$B$119,MATCH($K22,Einstellungen!$A$20:$A$119,0)),""),IF(IFERROR(INDEX(Einstellungen!$I$3:$I$22,MATCH($K22,Einstellungen!$H$3:$H$22,0)),"")&lt;&gt;"",IFERROR(INDEX(Einstellungen!$I$3:$I$22,MATCH($K22,Einstellungen!$H$3:$H$22,0)),""),IFERROR(INDEX(Einstellungen!$B$20:$B$119,MATCH($K22,Einstellungen!$A$20:$A$119,0)),""))))</x:f>
      </x:c>
      <x:c r="E22" s="24">
        <x:f>IF($K22="","",SUM(F22:J22))</x:f>
        <x:v>0</x:v>
      </x:c>
      <x:c r="F22" s="25" t="n"/>
      <x:c r="G22" s="25" t="n"/>
      <x:c r="H22" s="25" t="n"/>
      <x:c r="I22" s="25" t="n"/>
      <x:c r="J22" s="25" t="n"/>
      <x:c r="K22">
        <x:f>IF(14&lt;=DAY(EOMONTH($K7,0)),$K7+13,"")</x:f>
        <x:v>45914</x:v>
      </x:c>
    </x:row>
    <x:row r="23">
      <x:c r="A23" s="21">
        <x:f>IF($K23="","",DAY($K23))</x:f>
        <x:v>15</x:v>
      </x:c>
      <x:c r="B23" s="22" t="str">
        <x:f>IF($K23="","",CHOOSE(WEEKDAY($K23,2),"Mo","Di","Mi","Do","Fr","Sa","So"))</x:f>
        <x:v>Mo</x:v>
      </x:c>
      <x:c r="C23" s="22">
        <x:f>IF($K23="","",ISOWEEKNUM($K23))</x:f>
        <x:v>38</x:v>
      </x:c>
      <x:c r="D23" s="23" t="str">
        <x:f>IF($K23="","",IF(AND(IFERROR(INDEX(Einstellungen!$I$3:$I$22,MATCH($K23,Einstellungen!$H$3:$H$22,0)),"")&lt;&gt;"",IFERROR(INDEX(Einstellungen!$B$20:$B$119,MATCH($K23,Einstellungen!$A$20:$A$119,0)),"")&lt;&gt;""),IFERROR(INDEX(Einstellungen!$I$3:$I$22,MATCH($K23,Einstellungen!$H$3:$H$22,0)),"")&amp;" / "&amp;IFERROR(INDEX(Einstellungen!$B$20:$B$119,MATCH($K23,Einstellungen!$A$20:$A$119,0)),""),IF(IFERROR(INDEX(Einstellungen!$I$3:$I$22,MATCH($K23,Einstellungen!$H$3:$H$22,0)),"")&lt;&gt;"",IFERROR(INDEX(Einstellungen!$I$3:$I$22,MATCH($K23,Einstellungen!$H$3:$H$22,0)),""),IFERROR(INDEX(Einstellungen!$B$20:$B$119,MATCH($K23,Einstellungen!$A$20:$A$119,0)),""))))</x:f>
        <x:v>Teamtag</x:v>
      </x:c>
      <x:c r="E23" s="24">
        <x:f>IF($K23="","",SUM(F23:J23))</x:f>
        <x:v>5.5</x:v>
      </x:c>
      <x:c r="F23" s="25" t="n">
        <x:v>0.5</x:v>
      </x:c>
      <x:c r="G23" s="25" t="n">
        <x:v>3</x:v>
      </x:c>
      <x:c r="H23" s="25" t="n">
        <x:v>0.5</x:v>
      </x:c>
      <x:c r="I23" s="25" t="n">
        <x:v>0.5</x:v>
      </x:c>
      <x:c r="J23" s="25" t="n">
        <x:v>1</x:v>
      </x:c>
      <x:c r="K23">
        <x:f>IF(15&lt;=DAY(EOMONTH($K7,0)),$K7+14,"")</x:f>
        <x:v>45915</x:v>
      </x:c>
    </x:row>
    <x:row r="24">
      <x:c r="A24" s="21">
        <x:f>IF($K24="","",DAY($K24))</x:f>
        <x:v>16</x:v>
      </x:c>
      <x:c r="B24" s="22" t="str">
        <x:f>IF($K24="","",CHOOSE(WEEKDAY($K24,2),"Mo","Di","Mi","Do","Fr","Sa","So"))</x:f>
        <x:v>Di</x:v>
      </x:c>
      <x:c r="C24" s="22">
        <x:f>IF($K24="","",ISOWEEKNUM($K24))</x:f>
        <x:v>38</x:v>
      </x:c>
      <x:c r="D24" s="23">
        <x:f>IF($K24="","",IF(AND(IFERROR(INDEX(Einstellungen!$I$3:$I$22,MATCH($K24,Einstellungen!$H$3:$H$22,0)),"")&lt;&gt;"",IFERROR(INDEX(Einstellungen!$B$20:$B$119,MATCH($K24,Einstellungen!$A$20:$A$119,0)),"")&lt;&gt;""),IFERROR(INDEX(Einstellungen!$I$3:$I$22,MATCH($K24,Einstellungen!$H$3:$H$22,0)),"")&amp;" / "&amp;IFERROR(INDEX(Einstellungen!$B$20:$B$119,MATCH($K24,Einstellungen!$A$20:$A$119,0)),""),IF(IFERROR(INDEX(Einstellungen!$I$3:$I$22,MATCH($K24,Einstellungen!$H$3:$H$22,0)),"")&lt;&gt;"",IFERROR(INDEX(Einstellungen!$I$3:$I$22,MATCH($K24,Einstellungen!$H$3:$H$22,0)),""),IFERROR(INDEX(Einstellungen!$B$20:$B$119,MATCH($K24,Einstellungen!$A$20:$A$119,0)),""))))</x:f>
      </x:c>
      <x:c r="E24" s="24">
        <x:f>IF($K24="","",SUM(F24:J24))</x:f>
        <x:v>6.5</x:v>
      </x:c>
      <x:c r="F24" s="25" t="n">
        <x:v>1.5</x:v>
      </x:c>
      <x:c r="G24" s="25" t="n">
        <x:v>1.5</x:v>
      </x:c>
      <x:c r="H24" s="25" t="n">
        <x:v>1</x:v>
      </x:c>
      <x:c r="I24" s="25" t="n">
        <x:v>2</x:v>
      </x:c>
      <x:c r="J24" s="25" t="n">
        <x:v>0.5</x:v>
      </x:c>
      <x:c r="K24">
        <x:f>IF(16&lt;=DAY(EOMONTH($K7,0)),$K7+15,"")</x:f>
        <x:v>45916</x:v>
      </x:c>
    </x:row>
    <x:row r="25">
      <x:c r="A25" s="21">
        <x:f>IF($K25="","",DAY($K25))</x:f>
        <x:v>17</x:v>
      </x:c>
      <x:c r="B25" s="22" t="str">
        <x:f>IF($K25="","",CHOOSE(WEEKDAY($K25,2),"Mo","Di","Mi","Do","Fr","Sa","So"))</x:f>
        <x:v>Mi</x:v>
      </x:c>
      <x:c r="C25" s="22">
        <x:f>IF($K25="","",ISOWEEKNUM($K25))</x:f>
        <x:v>38</x:v>
      </x:c>
      <x:c r="D25" s="23">
        <x:f>IF($K25="","",IF(AND(IFERROR(INDEX(Einstellungen!$I$3:$I$22,MATCH($K25,Einstellungen!$H$3:$H$22,0)),"")&lt;&gt;"",IFERROR(INDEX(Einstellungen!$B$20:$B$119,MATCH($K25,Einstellungen!$A$20:$A$119,0)),"")&lt;&gt;""),IFERROR(INDEX(Einstellungen!$I$3:$I$22,MATCH($K25,Einstellungen!$H$3:$H$22,0)),"")&amp;" / "&amp;IFERROR(INDEX(Einstellungen!$B$20:$B$119,MATCH($K25,Einstellungen!$A$20:$A$119,0)),""),IF(IFERROR(INDEX(Einstellungen!$I$3:$I$22,MATCH($K25,Einstellungen!$H$3:$H$22,0)),"")&lt;&gt;"",IFERROR(INDEX(Einstellungen!$I$3:$I$22,MATCH($K25,Einstellungen!$H$3:$H$22,0)),""),IFERROR(INDEX(Einstellungen!$B$20:$B$119,MATCH($K25,Einstellungen!$A$20:$A$119,0)),""))))</x:f>
      </x:c>
      <x:c r="E25" s="24">
        <x:f>IF($K25="","",SUM(F25:J25))</x:f>
        <x:v>6.5</x:v>
      </x:c>
      <x:c r="F25" s="25" t="n">
        <x:v>1</x:v>
      </x:c>
      <x:c r="G25" s="25" t="n">
        <x:v>2.5</x:v>
      </x:c>
      <x:c r="H25" s="25" t="n">
        <x:v>1</x:v>
      </x:c>
      <x:c r="I25" s="25" t="n">
        <x:v>1.5</x:v>
      </x:c>
      <x:c r="J25" s="25" t="n">
        <x:v>0.5</x:v>
      </x:c>
      <x:c r="K25">
        <x:f>IF(17&lt;=DAY(EOMONTH($K7,0)),$K7+16,"")</x:f>
        <x:v>45917</x:v>
      </x:c>
    </x:row>
    <x:row r="26">
      <x:c r="A26" s="21">
        <x:f>IF($K26="","",DAY($K26))</x:f>
        <x:v>18</x:v>
      </x:c>
      <x:c r="B26" s="22" t="str">
        <x:f>IF($K26="","",CHOOSE(WEEKDAY($K26,2),"Mo","Di","Mi","Do","Fr","Sa","So"))</x:f>
        <x:v>Do</x:v>
      </x:c>
      <x:c r="C26" s="22">
        <x:f>IF($K26="","",ISOWEEKNUM($K26))</x:f>
        <x:v>38</x:v>
      </x:c>
      <x:c r="D26" s="23">
        <x:f>IF($K26="","",IF(AND(IFERROR(INDEX(Einstellungen!$I$3:$I$22,MATCH($K26,Einstellungen!$H$3:$H$22,0)),"")&lt;&gt;"",IFERROR(INDEX(Einstellungen!$B$20:$B$119,MATCH($K26,Einstellungen!$A$20:$A$119,0)),"")&lt;&gt;""),IFERROR(INDEX(Einstellungen!$I$3:$I$22,MATCH($K26,Einstellungen!$H$3:$H$22,0)),"")&amp;" / "&amp;IFERROR(INDEX(Einstellungen!$B$20:$B$119,MATCH($K26,Einstellungen!$A$20:$A$119,0)),""),IF(IFERROR(INDEX(Einstellungen!$I$3:$I$22,MATCH($K26,Einstellungen!$H$3:$H$22,0)),"")&lt;&gt;"",IFERROR(INDEX(Einstellungen!$I$3:$I$22,MATCH($K26,Einstellungen!$H$3:$H$22,0)),""),IFERROR(INDEX(Einstellungen!$B$20:$B$119,MATCH($K26,Einstellungen!$A$20:$A$119,0)),""))))</x:f>
      </x:c>
      <x:c r="E26" s="24">
        <x:f>IF($K26="","",SUM(F26:J26))</x:f>
        <x:v>7</x:v>
      </x:c>
      <x:c r="F26" s="25" t="n">
        <x:v>1.5</x:v>
      </x:c>
      <x:c r="G26" s="25" t="n">
        <x:v>2</x:v>
      </x:c>
      <x:c r="H26" s="25" t="n">
        <x:v>1.5</x:v>
      </x:c>
      <x:c r="I26" s="25" t="n">
        <x:v>1.5</x:v>
      </x:c>
      <x:c r="J26" s="25" t="n">
        <x:v>0.5</x:v>
      </x:c>
      <x:c r="K26">
        <x:f>IF(18&lt;=DAY(EOMONTH($K7,0)),$K7+17,"")</x:f>
        <x:v>45918</x:v>
      </x:c>
    </x:row>
    <x:row r="27">
      <x:c r="A27" s="21">
        <x:f>IF($K27="","",DAY($K27))</x:f>
        <x:v>19</x:v>
      </x:c>
      <x:c r="B27" s="22" t="str">
        <x:f>IF($K27="","",CHOOSE(WEEKDAY($K27,2),"Mo","Di","Mi","Do","Fr","Sa","So"))</x:f>
        <x:v>Fr</x:v>
      </x:c>
      <x:c r="C27" s="22">
        <x:f>IF($K27="","",ISOWEEKNUM($K27))</x:f>
        <x:v>38</x:v>
      </x:c>
      <x:c r="D27" s="23">
        <x:f>IF($K27="","",IF(AND(IFERROR(INDEX(Einstellungen!$I$3:$I$22,MATCH($K27,Einstellungen!$H$3:$H$22,0)),"")&lt;&gt;"",IFERROR(INDEX(Einstellungen!$B$20:$B$119,MATCH($K27,Einstellungen!$A$20:$A$119,0)),"")&lt;&gt;""),IFERROR(INDEX(Einstellungen!$I$3:$I$22,MATCH($K27,Einstellungen!$H$3:$H$22,0)),"")&amp;" / "&amp;IFERROR(INDEX(Einstellungen!$B$20:$B$119,MATCH($K27,Einstellungen!$A$20:$A$119,0)),""),IF(IFERROR(INDEX(Einstellungen!$I$3:$I$22,MATCH($K27,Einstellungen!$H$3:$H$22,0)),"")&lt;&gt;"",IFERROR(INDEX(Einstellungen!$I$3:$I$22,MATCH($K27,Einstellungen!$H$3:$H$22,0)),""),IFERROR(INDEX(Einstellungen!$B$20:$B$119,MATCH($K27,Einstellungen!$A$20:$A$119,0)),""))))</x:f>
      </x:c>
      <x:c r="E27" s="24">
        <x:f>IF($K27="","",SUM(F27:J27))</x:f>
        <x:v>5.5</x:v>
      </x:c>
      <x:c r="F27" s="25" t="n">
        <x:v>2</x:v>
      </x:c>
      <x:c r="G27" s="25" t="n">
        <x:v>1</x:v>
      </x:c>
      <x:c r="H27" s="25" t="n">
        <x:v>1</x:v>
      </x:c>
      <x:c r="I27" s="25" t="n">
        <x:v>1</x:v>
      </x:c>
      <x:c r="J27" s="25" t="n">
        <x:v>0.5</x:v>
      </x:c>
      <x:c r="K27">
        <x:f>IF(19&lt;=DAY(EOMONTH($K7,0)),$K7+18,"")</x:f>
        <x:v>45919</x:v>
      </x:c>
    </x:row>
    <x:row r="28">
      <x:c r="A28" s="21">
        <x:f>IF($K28="","",DAY($K28))</x:f>
        <x:v>20</x:v>
      </x:c>
      <x:c r="B28" s="22" t="str">
        <x:f>IF($K28="","",CHOOSE(WEEKDAY($K28,2),"Mo","Di","Mi","Do","Fr","Sa","So"))</x:f>
        <x:v>Sa</x:v>
      </x:c>
      <x:c r="C28" s="22">
        <x:f>IF($K28="","",ISOWEEKNUM($K28))</x:f>
        <x:v>38</x:v>
      </x:c>
      <x:c r="D28" s="23">
        <x:f>IF($K28="","",IF(AND(IFERROR(INDEX(Einstellungen!$I$3:$I$22,MATCH($K28,Einstellungen!$H$3:$H$22,0)),"")&lt;&gt;"",IFERROR(INDEX(Einstellungen!$B$20:$B$119,MATCH($K28,Einstellungen!$A$20:$A$119,0)),"")&lt;&gt;""),IFERROR(INDEX(Einstellungen!$I$3:$I$22,MATCH($K28,Einstellungen!$H$3:$H$22,0)),"")&amp;" / "&amp;IFERROR(INDEX(Einstellungen!$B$20:$B$119,MATCH($K28,Einstellungen!$A$20:$A$119,0)),""),IF(IFERROR(INDEX(Einstellungen!$I$3:$I$22,MATCH($K28,Einstellungen!$H$3:$H$22,0)),"")&lt;&gt;"",IFERROR(INDEX(Einstellungen!$I$3:$I$22,MATCH($K28,Einstellungen!$H$3:$H$22,0)),""),IFERROR(INDEX(Einstellungen!$B$20:$B$119,MATCH($K28,Einstellungen!$A$20:$A$119,0)),""))))</x:f>
      </x:c>
      <x:c r="E28" s="24">
        <x:f>IF($K28="","",SUM(F28:J28))</x:f>
        <x:v>0</x:v>
      </x:c>
      <x:c r="F28" s="25" t="n"/>
      <x:c r="G28" s="25" t="n"/>
      <x:c r="H28" s="25" t="n"/>
      <x:c r="I28" s="25" t="n"/>
      <x:c r="J28" s="25" t="n"/>
      <x:c r="K28">
        <x:f>IF(20&lt;=DAY(EOMONTH($K7,0)),$K7+19,"")</x:f>
        <x:v>45920</x:v>
      </x:c>
    </x:row>
    <x:row r="29">
      <x:c r="A29" s="21">
        <x:f>IF($K29="","",DAY($K29))</x:f>
        <x:v>21</x:v>
      </x:c>
      <x:c r="B29" s="22" t="str">
        <x:f>IF($K29="","",CHOOSE(WEEKDAY($K29,2),"Mo","Di","Mi","Do","Fr","Sa","So"))</x:f>
        <x:v>So</x:v>
      </x:c>
      <x:c r="C29" s="22">
        <x:f>IF($K29="","",ISOWEEKNUM($K29))</x:f>
        <x:v>38</x:v>
      </x:c>
      <x:c r="D29" s="23">
        <x:f>IF($K29="","",IF(AND(IFERROR(INDEX(Einstellungen!$I$3:$I$22,MATCH($K29,Einstellungen!$H$3:$H$22,0)),"")&lt;&gt;"",IFERROR(INDEX(Einstellungen!$B$20:$B$119,MATCH($K29,Einstellungen!$A$20:$A$119,0)),"")&lt;&gt;""),IFERROR(INDEX(Einstellungen!$I$3:$I$22,MATCH($K29,Einstellungen!$H$3:$H$22,0)),"")&amp;" / "&amp;IFERROR(INDEX(Einstellungen!$B$20:$B$119,MATCH($K29,Einstellungen!$A$20:$A$119,0)),""),IF(IFERROR(INDEX(Einstellungen!$I$3:$I$22,MATCH($K29,Einstellungen!$H$3:$H$22,0)),"")&lt;&gt;"",IFERROR(INDEX(Einstellungen!$I$3:$I$22,MATCH($K29,Einstellungen!$H$3:$H$22,0)),""),IFERROR(INDEX(Einstellungen!$B$20:$B$119,MATCH($K29,Einstellungen!$A$20:$A$119,0)),""))))</x:f>
      </x:c>
      <x:c r="E29" s="24">
        <x:f>IF($K29="","",SUM(F29:J29))</x:f>
        <x:v>0</x:v>
      </x:c>
      <x:c r="F29" s="25" t="n"/>
      <x:c r="G29" s="25" t="n"/>
      <x:c r="H29" s="25" t="n"/>
      <x:c r="I29" s="25" t="n"/>
      <x:c r="J29" s="25" t="n"/>
      <x:c r="K29">
        <x:f>IF(21&lt;=DAY(EOMONTH($K7,0)),$K7+20,"")</x:f>
        <x:v>45921</x:v>
      </x:c>
    </x:row>
    <x:row r="30">
      <x:c r="A30" s="21">
        <x:f>IF($K30="","",DAY($K30))</x:f>
        <x:v>22</x:v>
      </x:c>
      <x:c r="B30" s="22" t="str">
        <x:f>IF($K30="","",CHOOSE(WEEKDAY($K30,2),"Mo","Di","Mi","Do","Fr","Sa","So"))</x:f>
        <x:v>Mo</x:v>
      </x:c>
      <x:c r="C30" s="22">
        <x:f>IF($K30="","",ISOWEEKNUM($K30))</x:f>
        <x:v>39</x:v>
      </x:c>
      <x:c r="D30" s="23">
        <x:f>IF($K30="","",IF(AND(IFERROR(INDEX(Einstellungen!$I$3:$I$22,MATCH($K30,Einstellungen!$H$3:$H$22,0)),"")&lt;&gt;"",IFERROR(INDEX(Einstellungen!$B$20:$B$119,MATCH($K30,Einstellungen!$A$20:$A$119,0)),"")&lt;&gt;""),IFERROR(INDEX(Einstellungen!$I$3:$I$22,MATCH($K30,Einstellungen!$H$3:$H$22,0)),"")&amp;" / "&amp;IFERROR(INDEX(Einstellungen!$B$20:$B$119,MATCH($K30,Einstellungen!$A$20:$A$119,0)),""),IF(IFERROR(INDEX(Einstellungen!$I$3:$I$22,MATCH($K30,Einstellungen!$H$3:$H$22,0)),"")&lt;&gt;"",IFERROR(INDEX(Einstellungen!$I$3:$I$22,MATCH($K30,Einstellungen!$H$3:$H$22,0)),""),IFERROR(INDEX(Einstellungen!$B$20:$B$119,MATCH($K30,Einstellungen!$A$20:$A$119,0)),""))))</x:f>
      </x:c>
      <x:c r="E30" s="24">
        <x:f>IF($K30="","",SUM(F30:J30))</x:f>
        <x:v>6.5</x:v>
      </x:c>
      <x:c r="F30" s="25" t="n">
        <x:v>1</x:v>
      </x:c>
      <x:c r="G30" s="25" t="n">
        <x:v>2</x:v>
      </x:c>
      <x:c r="H30" s="25" t="n">
        <x:v>1</x:v>
      </x:c>
      <x:c r="I30" s="25" t="n">
        <x:v>2</x:v>
      </x:c>
      <x:c r="J30" s="25" t="n">
        <x:v>0.5</x:v>
      </x:c>
      <x:c r="K30">
        <x:f>IF(22&lt;=DAY(EOMONTH($K7,0)),$K7+21,"")</x:f>
        <x:v>45922</x:v>
      </x:c>
    </x:row>
    <x:row r="31">
      <x:c r="A31" s="21">
        <x:f>IF($K31="","",DAY($K31))</x:f>
        <x:v>23</x:v>
      </x:c>
      <x:c r="B31" s="22" t="str">
        <x:f>IF($K31="","",CHOOSE(WEEKDAY($K31,2),"Mo","Di","Mi","Do","Fr","Sa","So"))</x:f>
        <x:v>Di</x:v>
      </x:c>
      <x:c r="C31" s="22">
        <x:f>IF($K31="","",ISOWEEKNUM($K31))</x:f>
        <x:v>39</x:v>
      </x:c>
      <x:c r="D31" s="23">
        <x:f>IF($K31="","",IF(AND(IFERROR(INDEX(Einstellungen!$I$3:$I$22,MATCH($K31,Einstellungen!$H$3:$H$22,0)),"")&lt;&gt;"",IFERROR(INDEX(Einstellungen!$B$20:$B$119,MATCH($K31,Einstellungen!$A$20:$A$119,0)),"")&lt;&gt;""),IFERROR(INDEX(Einstellungen!$I$3:$I$22,MATCH($K31,Einstellungen!$H$3:$H$22,0)),"")&amp;" / "&amp;IFERROR(INDEX(Einstellungen!$B$20:$B$119,MATCH($K31,Einstellungen!$A$20:$A$119,0)),""),IF(IFERROR(INDEX(Einstellungen!$I$3:$I$22,MATCH($K31,Einstellungen!$H$3:$H$22,0)),"")&lt;&gt;"",IFERROR(INDEX(Einstellungen!$I$3:$I$22,MATCH($K31,Einstellungen!$H$3:$H$22,0)),""),IFERROR(INDEX(Einstellungen!$B$20:$B$119,MATCH($K31,Einstellungen!$A$20:$A$119,0)),""))))</x:f>
      </x:c>
      <x:c r="E31" s="24">
        <x:f>IF($K31="","",SUM(F31:J31))</x:f>
        <x:v>6.5</x:v>
      </x:c>
      <x:c r="F31" s="25" t="n">
        <x:v>1.5</x:v>
      </x:c>
      <x:c r="G31" s="25" t="n">
        <x:v>1.5</x:v>
      </x:c>
      <x:c r="H31" s="25" t="n">
        <x:v>1</x:v>
      </x:c>
      <x:c r="I31" s="25" t="n">
        <x:v>2</x:v>
      </x:c>
      <x:c r="J31" s="25" t="n">
        <x:v>0.5</x:v>
      </x:c>
      <x:c r="K31">
        <x:f>IF(23&lt;=DAY(EOMONTH($K7,0)),$K7+22,"")</x:f>
        <x:v>45923</x:v>
      </x:c>
    </x:row>
    <x:row r="32">
      <x:c r="A32" s="21">
        <x:f>IF($K32="","",DAY($K32))</x:f>
        <x:v>24</x:v>
      </x:c>
      <x:c r="B32" s="22" t="str">
        <x:f>IF($K32="","",CHOOSE(WEEKDAY($K32,2),"Mo","Di","Mi","Do","Fr","Sa","So"))</x:f>
        <x:v>Mi</x:v>
      </x:c>
      <x:c r="C32" s="22">
        <x:f>IF($K32="","",ISOWEEKNUM($K32))</x:f>
        <x:v>39</x:v>
      </x:c>
      <x:c r="D32" s="23">
        <x:f>IF($K32="","",IF(AND(IFERROR(INDEX(Einstellungen!$I$3:$I$22,MATCH($K32,Einstellungen!$H$3:$H$22,0)),"")&lt;&gt;"",IFERROR(INDEX(Einstellungen!$B$20:$B$119,MATCH($K32,Einstellungen!$A$20:$A$119,0)),"")&lt;&gt;""),IFERROR(INDEX(Einstellungen!$I$3:$I$22,MATCH($K32,Einstellungen!$H$3:$H$22,0)),"")&amp;" / "&amp;IFERROR(INDEX(Einstellungen!$B$20:$B$119,MATCH($K32,Einstellungen!$A$20:$A$119,0)),""),IF(IFERROR(INDEX(Einstellungen!$I$3:$I$22,MATCH($K32,Einstellungen!$H$3:$H$22,0)),"")&lt;&gt;"",IFERROR(INDEX(Einstellungen!$I$3:$I$22,MATCH($K32,Einstellungen!$H$3:$H$22,0)),""),IFERROR(INDEX(Einstellungen!$B$20:$B$119,MATCH($K32,Einstellungen!$A$20:$A$119,0)),""))))</x:f>
      </x:c>
      <x:c r="E32" s="24">
        <x:f>IF($K32="","",SUM(F32:J32))</x:f>
        <x:v>6.5</x:v>
      </x:c>
      <x:c r="F32" s="25" t="n">
        <x:v>1</x:v>
      </x:c>
      <x:c r="G32" s="25" t="n">
        <x:v>2.5</x:v>
      </x:c>
      <x:c r="H32" s="25" t="n">
        <x:v>1</x:v>
      </x:c>
      <x:c r="I32" s="25" t="n">
        <x:v>1.5</x:v>
      </x:c>
      <x:c r="J32" s="25" t="n">
        <x:v>0.5</x:v>
      </x:c>
      <x:c r="K32">
        <x:f>IF(24&lt;=DAY(EOMONTH($K7,0)),$K7+23,"")</x:f>
        <x:v>45924</x:v>
      </x:c>
    </x:row>
    <x:row r="33">
      <x:c r="A33" s="21">
        <x:f>IF($K33="","",DAY($K33))</x:f>
        <x:v>25</x:v>
      </x:c>
      <x:c r="B33" s="22" t="str">
        <x:f>IF($K33="","",CHOOSE(WEEKDAY($K33,2),"Mo","Di","Mi","Do","Fr","Sa","So"))</x:f>
        <x:v>Do</x:v>
      </x:c>
      <x:c r="C33" s="22">
        <x:f>IF($K33="","",ISOWEEKNUM($K33))</x:f>
        <x:v>39</x:v>
      </x:c>
      <x:c r="D33" s="23">
        <x:f>IF($K33="","",IF(AND(IFERROR(INDEX(Einstellungen!$I$3:$I$22,MATCH($K33,Einstellungen!$H$3:$H$22,0)),"")&lt;&gt;"",IFERROR(INDEX(Einstellungen!$B$20:$B$119,MATCH($K33,Einstellungen!$A$20:$A$119,0)),"")&lt;&gt;""),IFERROR(INDEX(Einstellungen!$I$3:$I$22,MATCH($K33,Einstellungen!$H$3:$H$22,0)),"")&amp;" / "&amp;IFERROR(INDEX(Einstellungen!$B$20:$B$119,MATCH($K33,Einstellungen!$A$20:$A$119,0)),""),IF(IFERROR(INDEX(Einstellungen!$I$3:$I$22,MATCH($K33,Einstellungen!$H$3:$H$22,0)),"")&lt;&gt;"",IFERROR(INDEX(Einstellungen!$I$3:$I$22,MATCH($K33,Einstellungen!$H$3:$H$22,0)),""),IFERROR(INDEX(Einstellungen!$B$20:$B$119,MATCH($K33,Einstellungen!$A$20:$A$119,0)),""))))</x:f>
      </x:c>
      <x:c r="E33" s="24">
        <x:f>IF($K33="","",SUM(F33:J33))</x:f>
        <x:v>7</x:v>
      </x:c>
      <x:c r="F33" s="25" t="n">
        <x:v>1.5</x:v>
      </x:c>
      <x:c r="G33" s="25" t="n">
        <x:v>2</x:v>
      </x:c>
      <x:c r="H33" s="25" t="n">
        <x:v>1.5</x:v>
      </x:c>
      <x:c r="I33" s="25" t="n">
        <x:v>1.5</x:v>
      </x:c>
      <x:c r="J33" s="25" t="n">
        <x:v>0.5</x:v>
      </x:c>
      <x:c r="K33">
        <x:f>IF(25&lt;=DAY(EOMONTH($K7,0)),$K7+24,"")</x:f>
        <x:v>45925</x:v>
      </x:c>
    </x:row>
    <x:row r="34">
      <x:c r="A34" s="21">
        <x:f>IF($K34="","",DAY($K34))</x:f>
        <x:v>26</x:v>
      </x:c>
      <x:c r="B34" s="22" t="str">
        <x:f>IF($K34="","",CHOOSE(WEEKDAY($K34,2),"Mo","Di","Mi","Do","Fr","Sa","So"))</x:f>
        <x:v>Fr</x:v>
      </x:c>
      <x:c r="C34" s="22">
        <x:f>IF($K34="","",ISOWEEKNUM($K34))</x:f>
        <x:v>39</x:v>
      </x:c>
      <x:c r="D34" s="23">
        <x:f>IF($K34="","",IF(AND(IFERROR(INDEX(Einstellungen!$I$3:$I$22,MATCH($K34,Einstellungen!$H$3:$H$22,0)),"")&lt;&gt;"",IFERROR(INDEX(Einstellungen!$B$20:$B$119,MATCH($K34,Einstellungen!$A$20:$A$119,0)),"")&lt;&gt;""),IFERROR(INDEX(Einstellungen!$I$3:$I$22,MATCH($K34,Einstellungen!$H$3:$H$22,0)),"")&amp;" / "&amp;IFERROR(INDEX(Einstellungen!$B$20:$B$119,MATCH($K34,Einstellungen!$A$20:$A$119,0)),""),IF(IFERROR(INDEX(Einstellungen!$I$3:$I$22,MATCH($K34,Einstellungen!$H$3:$H$22,0)),"")&lt;&gt;"",IFERROR(INDEX(Einstellungen!$I$3:$I$22,MATCH($K34,Einstellungen!$H$3:$H$22,0)),""),IFERROR(INDEX(Einstellungen!$B$20:$B$119,MATCH($K34,Einstellungen!$A$20:$A$119,0)),""))))</x:f>
      </x:c>
      <x:c r="E34" s="24">
        <x:f>IF($K34="","",SUM(F34:J34))</x:f>
        <x:v>3</x:v>
      </x:c>
      <x:c r="F34" s="25" t="n">
        <x:v>1</x:v>
      </x:c>
      <x:c r="G34" s="25" t="n">
        <x:v>0.5</x:v>
      </x:c>
      <x:c r="H34" s="25" t="n">
        <x:v>0.5</x:v>
      </x:c>
      <x:c r="I34" s="25" t="n">
        <x:v>1</x:v>
      </x:c>
      <x:c r="J34" s="25" t="n"/>
      <x:c r="K34">
        <x:f>IF(26&lt;=DAY(EOMONTH($K7,0)),$K7+25,"")</x:f>
        <x:v>45926</x:v>
      </x:c>
    </x:row>
    <x:row r="35">
      <x:c r="A35" s="21">
        <x:f>IF($K35="","",DAY($K35))</x:f>
        <x:v>27</x:v>
      </x:c>
      <x:c r="B35" s="22" t="str">
        <x:f>IF($K35="","",CHOOSE(WEEKDAY($K35,2),"Mo","Di","Mi","Do","Fr","Sa","So"))</x:f>
        <x:v>Sa</x:v>
      </x:c>
      <x:c r="C35" s="22">
        <x:f>IF($K35="","",ISOWEEKNUM($K35))</x:f>
        <x:v>39</x:v>
      </x:c>
      <x:c r="D35" s="23">
        <x:f>IF($K35="","",IF(AND(IFERROR(INDEX(Einstellungen!$I$3:$I$22,MATCH($K35,Einstellungen!$H$3:$H$22,0)),"")&lt;&gt;"",IFERROR(INDEX(Einstellungen!$B$20:$B$119,MATCH($K35,Einstellungen!$A$20:$A$119,0)),"")&lt;&gt;""),IFERROR(INDEX(Einstellungen!$I$3:$I$22,MATCH($K35,Einstellungen!$H$3:$H$22,0)),"")&amp;" / "&amp;IFERROR(INDEX(Einstellungen!$B$20:$B$119,MATCH($K35,Einstellungen!$A$20:$A$119,0)),""),IF(IFERROR(INDEX(Einstellungen!$I$3:$I$22,MATCH($K35,Einstellungen!$H$3:$H$22,0)),"")&lt;&gt;"",IFERROR(INDEX(Einstellungen!$I$3:$I$22,MATCH($K35,Einstellungen!$H$3:$H$22,0)),""),IFERROR(INDEX(Einstellungen!$B$20:$B$119,MATCH($K35,Einstellungen!$A$20:$A$119,0)),""))))</x:f>
      </x:c>
      <x:c r="E35" s="24">
        <x:f>IF($K35="","",SUM(F35:J35))</x:f>
        <x:v>0</x:v>
      </x:c>
      <x:c r="F35" s="25" t="n"/>
      <x:c r="G35" s="25" t="n"/>
      <x:c r="H35" s="25" t="n"/>
      <x:c r="I35" s="25" t="n"/>
      <x:c r="J35" s="25" t="n"/>
      <x:c r="K35">
        <x:f>IF(27&lt;=DAY(EOMONTH($K7,0)),$K7+26,"")</x:f>
        <x:v>45927</x:v>
      </x:c>
    </x:row>
    <x:row r="36">
      <x:c r="A36" s="21">
        <x:f>IF($K36="","",DAY($K36))</x:f>
        <x:v>28</x:v>
      </x:c>
      <x:c r="B36" s="22" t="str">
        <x:f>IF($K36="","",CHOOSE(WEEKDAY($K36,2),"Mo","Di","Mi","Do","Fr","Sa","So"))</x:f>
        <x:v>So</x:v>
      </x:c>
      <x:c r="C36" s="22">
        <x:f>IF($K36="","",ISOWEEKNUM($K36))</x:f>
        <x:v>39</x:v>
      </x:c>
      <x:c r="D36" s="23">
        <x:f>IF($K36="","",IF(AND(IFERROR(INDEX(Einstellungen!$I$3:$I$22,MATCH($K36,Einstellungen!$H$3:$H$22,0)),"")&lt;&gt;"",IFERROR(INDEX(Einstellungen!$B$20:$B$119,MATCH($K36,Einstellungen!$A$20:$A$119,0)),"")&lt;&gt;""),IFERROR(INDEX(Einstellungen!$I$3:$I$22,MATCH($K36,Einstellungen!$H$3:$H$22,0)),"")&amp;" / "&amp;IFERROR(INDEX(Einstellungen!$B$20:$B$119,MATCH($K36,Einstellungen!$A$20:$A$119,0)),""),IF(IFERROR(INDEX(Einstellungen!$I$3:$I$22,MATCH($K36,Einstellungen!$H$3:$H$22,0)),"")&lt;&gt;"",IFERROR(INDEX(Einstellungen!$I$3:$I$22,MATCH($K36,Einstellungen!$H$3:$H$22,0)),""),IFERROR(INDEX(Einstellungen!$B$20:$B$119,MATCH($K36,Einstellungen!$A$20:$A$119,0)),""))))</x:f>
      </x:c>
      <x:c r="E36" s="24">
        <x:f>IF($K36="","",SUM(F36:J36))</x:f>
        <x:v>0</x:v>
      </x:c>
      <x:c r="F36" s="25" t="n"/>
      <x:c r="G36" s="25" t="n"/>
      <x:c r="H36" s="25" t="n"/>
      <x:c r="I36" s="25" t="n"/>
      <x:c r="J36" s="25" t="n"/>
      <x:c r="K36">
        <x:f>IF(28&lt;=DAY(EOMONTH($K7,0)),$K7+27,"")</x:f>
        <x:v>45928</x:v>
      </x:c>
    </x:row>
    <x:row r="37">
      <x:c r="A37" s="21">
        <x:f>IF($K37="","",DAY($K37))</x:f>
        <x:v>29</x:v>
      </x:c>
      <x:c r="B37" s="22" t="str">
        <x:f>IF($K37="","",CHOOSE(WEEKDAY($K37,2),"Mo","Di","Mi","Do","Fr","Sa","So"))</x:f>
        <x:v>Mo</x:v>
      </x:c>
      <x:c r="C37" s="22">
        <x:f>IF($K37="","",ISOWEEKNUM($K37))</x:f>
        <x:v>40</x:v>
      </x:c>
      <x:c r="D37" s="23">
        <x:f>IF($K37="","",IF(AND(IFERROR(INDEX(Einstellungen!$I$3:$I$22,MATCH($K37,Einstellungen!$H$3:$H$22,0)),"")&lt;&gt;"",IFERROR(INDEX(Einstellungen!$B$20:$B$119,MATCH($K37,Einstellungen!$A$20:$A$119,0)),"")&lt;&gt;""),IFERROR(INDEX(Einstellungen!$I$3:$I$22,MATCH($K37,Einstellungen!$H$3:$H$22,0)),"")&amp;" / "&amp;IFERROR(INDEX(Einstellungen!$B$20:$B$119,MATCH($K37,Einstellungen!$A$20:$A$119,0)),""),IF(IFERROR(INDEX(Einstellungen!$I$3:$I$22,MATCH($K37,Einstellungen!$H$3:$H$22,0)),"")&lt;&gt;"",IFERROR(INDEX(Einstellungen!$I$3:$I$22,MATCH($K37,Einstellungen!$H$3:$H$22,0)),""),IFERROR(INDEX(Einstellungen!$B$20:$B$119,MATCH($K37,Einstellungen!$A$20:$A$119,0)),""))))</x:f>
      </x:c>
      <x:c r="E37" s="24">
        <x:f>IF($K37="","",SUM(F37:J37))</x:f>
        <x:v>6.5</x:v>
      </x:c>
      <x:c r="F37" s="25" t="n">
        <x:v>1</x:v>
      </x:c>
      <x:c r="G37" s="25" t="n">
        <x:v>2</x:v>
      </x:c>
      <x:c r="H37" s="25" t="n">
        <x:v>1</x:v>
      </x:c>
      <x:c r="I37" s="25" t="n">
        <x:v>2</x:v>
      </x:c>
      <x:c r="J37" s="25" t="n">
        <x:v>0.5</x:v>
      </x:c>
      <x:c r="K37">
        <x:f>IF(29&lt;=DAY(EOMONTH($K7,0)),$K7+28,"")</x:f>
        <x:v>45929</x:v>
      </x:c>
    </x:row>
    <x:row r="38">
      <x:c r="A38" s="21">
        <x:f>IF($K38="","",DAY($K38))</x:f>
        <x:v>30</x:v>
      </x:c>
      <x:c r="B38" s="22" t="str">
        <x:f>IF($K38="","",CHOOSE(WEEKDAY($K38,2),"Mo","Di","Mi","Do","Fr","Sa","So"))</x:f>
        <x:v>Di</x:v>
      </x:c>
      <x:c r="C38" s="22">
        <x:f>IF($K38="","",ISOWEEKNUM($K38))</x:f>
        <x:v>40</x:v>
      </x:c>
      <x:c r="D38" s="23">
        <x:f>IF($K38="","",IF(AND(IFERROR(INDEX(Einstellungen!$I$3:$I$22,MATCH($K38,Einstellungen!$H$3:$H$22,0)),"")&lt;&gt;"",IFERROR(INDEX(Einstellungen!$B$20:$B$119,MATCH($K38,Einstellungen!$A$20:$A$119,0)),"")&lt;&gt;""),IFERROR(INDEX(Einstellungen!$I$3:$I$22,MATCH($K38,Einstellungen!$H$3:$H$22,0)),"")&amp;" / "&amp;IFERROR(INDEX(Einstellungen!$B$20:$B$119,MATCH($K38,Einstellungen!$A$20:$A$119,0)),""),IF(IFERROR(INDEX(Einstellungen!$I$3:$I$22,MATCH($K38,Einstellungen!$H$3:$H$22,0)),"")&lt;&gt;"",IFERROR(INDEX(Einstellungen!$I$3:$I$22,MATCH($K38,Einstellungen!$H$3:$H$22,0)),""),IFERROR(INDEX(Einstellungen!$B$20:$B$119,MATCH($K38,Einstellungen!$A$20:$A$119,0)),""))))</x:f>
      </x:c>
      <x:c r="E38" s="24">
        <x:f>IF($K38="","",SUM(F38:J38))</x:f>
        <x:v>6.5</x:v>
      </x:c>
      <x:c r="F38" s="25" t="n">
        <x:v>1.5</x:v>
      </x:c>
      <x:c r="G38" s="25" t="n">
        <x:v>1.5</x:v>
      </x:c>
      <x:c r="H38" s="25" t="n">
        <x:v>1</x:v>
      </x:c>
      <x:c r="I38" s="25" t="n">
        <x:v>2</x:v>
      </x:c>
      <x:c r="J38" s="25" t="n">
        <x:v>0.5</x:v>
      </x:c>
      <x:c r="K38">
        <x:f>IF(30&lt;=DAY(EOMONTH($K7,0)),$K7+29,"")</x:f>
        <x:v>45930</x:v>
      </x:c>
    </x:row>
    <x:row r="39">
      <x:c r="A39" s="21">
        <x:f>IF($K39="","",DAY($K39))</x:f>
      </x:c>
      <x:c r="B39" s="22">
        <x:f>IF($K39="","",CHOOSE(WEEKDAY($K39,2),"Mo","Di","Mi","Do","Fr","Sa","So"))</x:f>
      </x:c>
      <x:c r="C39" s="22">
        <x:f>IF($K39="","",ISOWEEKNUM($K39))</x:f>
      </x:c>
      <x:c r="D39" s="23">
        <x:f>IF($K39="","",IF(AND(IFERROR(INDEX(Einstellungen!$I$3:$I$22,MATCH($K39,Einstellungen!$H$3:$H$22,0)),"")&lt;&gt;"",IFERROR(INDEX(Einstellungen!$B$20:$B$119,MATCH($K39,Einstellungen!$A$20:$A$119,0)),"")&lt;&gt;""),IFERROR(INDEX(Einstellungen!$I$3:$I$22,MATCH($K39,Einstellungen!$H$3:$H$22,0)),"")&amp;" / "&amp;IFERROR(INDEX(Einstellungen!$B$20:$B$119,MATCH($K39,Einstellungen!$A$20:$A$119,0)),""),IF(IFERROR(INDEX(Einstellungen!$I$3:$I$22,MATCH($K39,Einstellungen!$H$3:$H$22,0)),"")&lt;&gt;"",IFERROR(INDEX(Einstellungen!$I$3:$I$22,MATCH($K39,Einstellungen!$H$3:$H$22,0)),""),IFERROR(INDEX(Einstellungen!$B$20:$B$119,MATCH($K39,Einstellungen!$A$20:$A$119,0)),""))))</x:f>
      </x:c>
      <x:c r="E39" s="24">
        <x:f>IF($K39="","",SUM(F39:J39))</x:f>
      </x:c>
      <x:c r="F39" s="25" t="n"/>
      <x:c r="G39" s="25" t="n"/>
      <x:c r="H39" s="25" t="n"/>
      <x:c r="I39" s="25" t="n"/>
      <x:c r="J39" s="25" t="n"/>
      <x:c r="K39">
        <x:f>IF(31&lt;=DAY(EOMONTH($K7,0)),$K7+30,"")</x:f>
      </x:c>
    </x:row>
    <x:row r="40">
      <x:c r="A40" s="26" t="n"/>
      <x:c r="B40" s="26" t="n"/>
      <x:c r="C40" s="26" t="n"/>
      <x:c r="D40" s="26" t="n"/>
      <x:c r="E40" s="26" t="n"/>
      <x:c r="F40" s="26" t="n"/>
      <x:c r="G40" s="26" t="n"/>
      <x:c r="H40" s="26" t="n"/>
      <x:c r="I40" s="26" t="n"/>
      <x:c r="J40" s="26" t="n"/>
    </x:row>
    <x:row r="41">
      <x:c r="A41" s="18" t="str">
        <x:f>INDEX(Einstellungen!$F$2:$F$13,MONTH($K41))&amp;" "&amp;YEAR($K41)</x:f>
        <x:v>Oktober 2025</x:v>
      </x:c>
      <x:c r="B41" s="36" t="n"/>
      <x:c r="C41" s="36" t="n"/>
      <x:c r="D41" s="36" t="n"/>
      <x:c r="E41" s="36" t="n"/>
      <x:c r="F41" s="36" t="n"/>
      <x:c r="G41" s="36" t="n"/>
      <x:c r="H41" s="36" t="n"/>
      <x:c r="I41" s="36" t="n"/>
      <x:c r="J41" s="37" t="n"/>
      <x:c r="K41">
        <x:f>EDATE(Einstellungen!$B$5,1)</x:f>
        <x:v>45931</x:v>
      </x:c>
    </x:row>
    <x:row r="42">
      <x:c r="A42" s="20" t="inlineStr">
        <x:is>
          <x:t xml:space="preserve">Datum</x:t>
        </x:is>
      </x:c>
      <x:c r="B42" s="20" t="inlineStr">
        <x:is>
          <x:t xml:space="preserve">Tag</x:t>
        </x:is>
      </x:c>
      <x:c r="C42" s="20" t="inlineStr">
        <x:is>
          <x:t xml:space="preserve">KW</x:t>
        </x:is>
      </x:c>
      <x:c r="D42" s="20" t="inlineStr">
        <x:is>
          <x:t xml:space="preserve">Feiertag</x:t>
        </x:is>
      </x:c>
      <x:c r="E42" s="20" t="inlineStr">
        <x:is>
          <x:t xml:space="preserve">Arbeitszeit</x:t>
        </x:is>
      </x:c>
      <x:c r="F42" s="20" t="str">
        <x:f>Einstellungen!$B$11</x:f>
        <x:v>E-Mail</x:v>
      </x:c>
      <x:c r="G42" s="20" t="str">
        <x:f>Einstellungen!$B$12</x:f>
        <x:v>Meetings</x:v>
      </x:c>
      <x:c r="H42" s="20" t="str">
        <x:f>Einstellungen!$B$13</x:f>
        <x:v>Telefonate</x:v>
      </x:c>
      <x:c r="I42" s="20" t="str">
        <x:f>Einstellungen!$B$14</x:f>
        <x:v>Dokumentation</x:v>
      </x:c>
      <x:c r="J42" s="20" t="str">
        <x:f>Einstellungen!$B$15</x:f>
        <x:v>Sonstiges</x:v>
      </x:c>
    </x:row>
    <x:row r="43">
      <x:c r="A43" s="21">
        <x:f>IF($K43="","",DAY($K43))</x:f>
        <x:v>1</x:v>
      </x:c>
      <x:c r="B43" s="22" t="str">
        <x:f>IF($K43="","",CHOOSE(WEEKDAY($K43,2),"Mo","Di","Mi","Do","Fr","Sa","So"))</x:f>
        <x:v>Mi</x:v>
      </x:c>
      <x:c r="C43" s="22">
        <x:f>IF($K43="","",ISOWEEKNUM($K43))</x:f>
        <x:v>40</x:v>
      </x:c>
      <x:c r="D43" s="23">
        <x:f>IF($K43="","",IF(AND(IFERROR(INDEX(Einstellungen!$I$3:$I$22,MATCH($K43,Einstellungen!$H$3:$H$22,0)),"")&lt;&gt;"",IFERROR(INDEX(Einstellungen!$B$20:$B$119,MATCH($K43,Einstellungen!$A$20:$A$119,0)),"")&lt;&gt;""),IFERROR(INDEX(Einstellungen!$I$3:$I$22,MATCH($K43,Einstellungen!$H$3:$H$22,0)),"")&amp;" / "&amp;IFERROR(INDEX(Einstellungen!$B$20:$B$119,MATCH($K43,Einstellungen!$A$20:$A$119,0)),""),IF(IFERROR(INDEX(Einstellungen!$I$3:$I$22,MATCH($K43,Einstellungen!$H$3:$H$22,0)),"")&lt;&gt;"",IFERROR(INDEX(Einstellungen!$I$3:$I$22,MATCH($K43,Einstellungen!$H$3:$H$22,0)),""),IFERROR(INDEX(Einstellungen!$B$20:$B$119,MATCH($K43,Einstellungen!$A$20:$A$119,0)),""))))</x:f>
      </x:c>
      <x:c r="E43" s="24">
        <x:f>IF($K43="","",SUM(F43:J43))</x:f>
        <x:v>7</x:v>
      </x:c>
      <x:c r="F43" s="25" t="n">
        <x:v>1</x:v>
      </x:c>
      <x:c r="G43" s="25" t="n">
        <x:v>2.5</x:v>
      </x:c>
      <x:c r="H43" s="25" t="n">
        <x:v>1.5</x:v>
      </x:c>
      <x:c r="I43" s="25" t="n">
        <x:v>1.5</x:v>
      </x:c>
      <x:c r="J43" s="25" t="n">
        <x:v>0.5</x:v>
      </x:c>
      <x:c r="K43">
        <x:f>IF(1&lt;=DAY(EOMONTH($K41,0)),$K41+0,"")</x:f>
        <x:v>45931</x:v>
      </x:c>
    </x:row>
    <x:row r="44">
      <x:c r="A44" s="21">
        <x:f>IF($K44="","",DAY($K44))</x:f>
        <x:v>2</x:v>
      </x:c>
      <x:c r="B44" s="22" t="str">
        <x:f>IF($K44="","",CHOOSE(WEEKDAY($K44,2),"Mo","Di","Mi","Do","Fr","Sa","So"))</x:f>
        <x:v>Do</x:v>
      </x:c>
      <x:c r="C44" s="22">
        <x:f>IF($K44="","",ISOWEEKNUM($K44))</x:f>
        <x:v>40</x:v>
      </x:c>
      <x:c r="D44" s="23">
        <x:f>IF($K44="","",IF(AND(IFERROR(INDEX(Einstellungen!$I$3:$I$22,MATCH($K44,Einstellungen!$H$3:$H$22,0)),"")&lt;&gt;"",IFERROR(INDEX(Einstellungen!$B$20:$B$119,MATCH($K44,Einstellungen!$A$20:$A$119,0)),"")&lt;&gt;""),IFERROR(INDEX(Einstellungen!$I$3:$I$22,MATCH($K44,Einstellungen!$H$3:$H$22,0)),"")&amp;" / "&amp;IFERROR(INDEX(Einstellungen!$B$20:$B$119,MATCH($K44,Einstellungen!$A$20:$A$119,0)),""),IF(IFERROR(INDEX(Einstellungen!$I$3:$I$22,MATCH($K44,Einstellungen!$H$3:$H$22,0)),"")&lt;&gt;"",IFERROR(INDEX(Einstellungen!$I$3:$I$22,MATCH($K44,Einstellungen!$H$3:$H$22,0)),""),IFERROR(INDEX(Einstellungen!$B$20:$B$119,MATCH($K44,Einstellungen!$A$20:$A$119,0)),""))))</x:f>
      </x:c>
      <x:c r="E44" s="24">
        <x:f>IF($K44="","",SUM(F44:J44))</x:f>
        <x:v>8</x:v>
      </x:c>
      <x:c r="F44" s="25" t="n">
        <x:v>1.5</x:v>
      </x:c>
      <x:c r="G44" s="25" t="n">
        <x:v>2</x:v>
      </x:c>
      <x:c r="H44" s="25" t="n">
        <x:v>1.5</x:v>
      </x:c>
      <x:c r="I44" s="25" t="n">
        <x:v>2.5</x:v>
      </x:c>
      <x:c r="J44" s="25" t="n">
        <x:v>0.5</x:v>
      </x:c>
      <x:c r="K44">
        <x:f>IF(2&lt;=DAY(EOMONTH($K41,0)),$K41+1,"")</x:f>
        <x:v>45932</x:v>
      </x:c>
    </x:row>
    <x:row r="45">
      <x:c r="A45" s="21">
        <x:f>IF($K45="","",DAY($K45))</x:f>
        <x:v>3</x:v>
      </x:c>
      <x:c r="B45" s="22" t="str">
        <x:f>IF($K45="","",CHOOSE(WEEKDAY($K45,2),"Mo","Di","Mi","Do","Fr","Sa","So"))</x:f>
        <x:v>Fr</x:v>
      </x:c>
      <x:c r="C45" s="22">
        <x:f>IF($K45="","",ISOWEEKNUM($K45))</x:f>
        <x:v>40</x:v>
      </x:c>
      <x:c r="D45" s="23" t="str">
        <x:f>IF($K45="","",IF(AND(IFERROR(INDEX(Einstellungen!$I$3:$I$22,MATCH($K45,Einstellungen!$H$3:$H$22,0)),"")&lt;&gt;"",IFERROR(INDEX(Einstellungen!$B$20:$B$119,MATCH($K45,Einstellungen!$A$20:$A$119,0)),"")&lt;&gt;""),IFERROR(INDEX(Einstellungen!$I$3:$I$22,MATCH($K45,Einstellungen!$H$3:$H$22,0)),"")&amp;" / "&amp;IFERROR(INDEX(Einstellungen!$B$20:$B$119,MATCH($K45,Einstellungen!$A$20:$A$119,0)),""),IF(IFERROR(INDEX(Einstellungen!$I$3:$I$22,MATCH($K45,Einstellungen!$H$3:$H$22,0)),"")&lt;&gt;"",IFERROR(INDEX(Einstellungen!$I$3:$I$22,MATCH($K45,Einstellungen!$H$3:$H$22,0)),""),IFERROR(INDEX(Einstellungen!$B$20:$B$119,MATCH($K45,Einstellungen!$A$20:$A$119,0)),""))))</x:f>
        <x:v>Tag der Deutschen Einheit</x:v>
      </x:c>
      <x:c r="E45" s="24">
        <x:f>IF($K45="","",SUM(F45:J45))</x:f>
        <x:v>0</x:v>
      </x:c>
      <x:c r="F45" s="25" t="n"/>
      <x:c r="G45" s="25" t="n"/>
      <x:c r="H45" s="25" t="n"/>
      <x:c r="I45" s="25" t="n"/>
      <x:c r="J45" s="25" t="n"/>
      <x:c r="K45">
        <x:f>IF(3&lt;=DAY(EOMONTH($K41,0)),$K41+2,"")</x:f>
        <x:v>45933</x:v>
      </x:c>
    </x:row>
    <x:row r="46">
      <x:c r="A46" s="21">
        <x:f>IF($K46="","",DAY($K46))</x:f>
        <x:v>4</x:v>
      </x:c>
      <x:c r="B46" s="22" t="str">
        <x:f>IF($K46="","",CHOOSE(WEEKDAY($K46,2),"Mo","Di","Mi","Do","Fr","Sa","So"))</x:f>
        <x:v>Sa</x:v>
      </x:c>
      <x:c r="C46" s="22">
        <x:f>IF($K46="","",ISOWEEKNUM($K46))</x:f>
        <x:v>40</x:v>
      </x:c>
      <x:c r="D46" s="23">
        <x:f>IF($K46="","",IF(AND(IFERROR(INDEX(Einstellungen!$I$3:$I$22,MATCH($K46,Einstellungen!$H$3:$H$22,0)),"")&lt;&gt;"",IFERROR(INDEX(Einstellungen!$B$20:$B$119,MATCH($K46,Einstellungen!$A$20:$A$119,0)),"")&lt;&gt;""),IFERROR(INDEX(Einstellungen!$I$3:$I$22,MATCH($K46,Einstellungen!$H$3:$H$22,0)),"")&amp;" / "&amp;IFERROR(INDEX(Einstellungen!$B$20:$B$119,MATCH($K46,Einstellungen!$A$20:$A$119,0)),""),IF(IFERROR(INDEX(Einstellungen!$I$3:$I$22,MATCH($K46,Einstellungen!$H$3:$H$22,0)),"")&lt;&gt;"",IFERROR(INDEX(Einstellungen!$I$3:$I$22,MATCH($K46,Einstellungen!$H$3:$H$22,0)),""),IFERROR(INDEX(Einstellungen!$B$20:$B$119,MATCH($K46,Einstellungen!$A$20:$A$119,0)),""))))</x:f>
      </x:c>
      <x:c r="E46" s="24">
        <x:f>IF($K46="","",SUM(F46:J46))</x:f>
        <x:v>0</x:v>
      </x:c>
      <x:c r="F46" s="25" t="n"/>
      <x:c r="G46" s="25" t="n"/>
      <x:c r="H46" s="25" t="n"/>
      <x:c r="I46" s="25" t="n"/>
      <x:c r="J46" s="25" t="n"/>
      <x:c r="K46">
        <x:f>IF(4&lt;=DAY(EOMONTH($K41,0)),$K41+3,"")</x:f>
        <x:v>45934</x:v>
      </x:c>
    </x:row>
    <x:row r="47">
      <x:c r="A47" s="21">
        <x:f>IF($K47="","",DAY($K47))</x:f>
        <x:v>5</x:v>
      </x:c>
      <x:c r="B47" s="22" t="str">
        <x:f>IF($K47="","",CHOOSE(WEEKDAY($K47,2),"Mo","Di","Mi","Do","Fr","Sa","So"))</x:f>
        <x:v>So</x:v>
      </x:c>
      <x:c r="C47" s="22">
        <x:f>IF($K47="","",ISOWEEKNUM($K47))</x:f>
        <x:v>40</x:v>
      </x:c>
      <x:c r="D47" s="23">
        <x:f>IF($K47="","",IF(AND(IFERROR(INDEX(Einstellungen!$I$3:$I$22,MATCH($K47,Einstellungen!$H$3:$H$22,0)),"")&lt;&gt;"",IFERROR(INDEX(Einstellungen!$B$20:$B$119,MATCH($K47,Einstellungen!$A$20:$A$119,0)),"")&lt;&gt;""),IFERROR(INDEX(Einstellungen!$I$3:$I$22,MATCH($K47,Einstellungen!$H$3:$H$22,0)),"")&amp;" / "&amp;IFERROR(INDEX(Einstellungen!$B$20:$B$119,MATCH($K47,Einstellungen!$A$20:$A$119,0)),""),IF(IFERROR(INDEX(Einstellungen!$I$3:$I$22,MATCH($K47,Einstellungen!$H$3:$H$22,0)),"")&lt;&gt;"",IFERROR(INDEX(Einstellungen!$I$3:$I$22,MATCH($K47,Einstellungen!$H$3:$H$22,0)),""),IFERROR(INDEX(Einstellungen!$B$20:$B$119,MATCH($K47,Einstellungen!$A$20:$A$119,0)),""))))</x:f>
      </x:c>
      <x:c r="E47" s="24">
        <x:f>IF($K47="","",SUM(F47:J47))</x:f>
        <x:v>0</x:v>
      </x:c>
      <x:c r="F47" s="25" t="n"/>
      <x:c r="G47" s="25" t="n"/>
      <x:c r="H47" s="25" t="n"/>
      <x:c r="I47" s="25" t="n"/>
      <x:c r="J47" s="25" t="n"/>
      <x:c r="K47">
        <x:f>IF(5&lt;=DAY(EOMONTH($K41,0)),$K41+4,"")</x:f>
        <x:v>45935</x:v>
      </x:c>
    </x:row>
    <x:row r="48">
      <x:c r="A48" s="21">
        <x:f>IF($K48="","",DAY($K48))</x:f>
        <x:v>6</x:v>
      </x:c>
      <x:c r="B48" s="22" t="str">
        <x:f>IF($K48="","",CHOOSE(WEEKDAY($K48,2),"Mo","Di","Mi","Do","Fr","Sa","So"))</x:f>
        <x:v>Mo</x:v>
      </x:c>
      <x:c r="C48" s="22">
        <x:f>IF($K48="","",ISOWEEKNUM($K48))</x:f>
        <x:v>41</x:v>
      </x:c>
      <x:c r="D48" s="23">
        <x:f>IF($K48="","",IF(AND(IFERROR(INDEX(Einstellungen!$I$3:$I$22,MATCH($K48,Einstellungen!$H$3:$H$22,0)),"")&lt;&gt;"",IFERROR(INDEX(Einstellungen!$B$20:$B$119,MATCH($K48,Einstellungen!$A$20:$A$119,0)),"")&lt;&gt;""),IFERROR(INDEX(Einstellungen!$I$3:$I$22,MATCH($K48,Einstellungen!$H$3:$H$22,0)),"")&amp;" / "&amp;IFERROR(INDEX(Einstellungen!$B$20:$B$119,MATCH($K48,Einstellungen!$A$20:$A$119,0)),""),IF(IFERROR(INDEX(Einstellungen!$I$3:$I$22,MATCH($K48,Einstellungen!$H$3:$H$22,0)),"")&lt;&gt;"",IFERROR(INDEX(Einstellungen!$I$3:$I$22,MATCH($K48,Einstellungen!$H$3:$H$22,0)),""),IFERROR(INDEX(Einstellungen!$B$20:$B$119,MATCH($K48,Einstellungen!$A$20:$A$119,0)),""))))</x:f>
      </x:c>
      <x:c r="E48" s="24">
        <x:f>IF($K48="","",SUM(F48:J48))</x:f>
        <x:v>6.5</x:v>
      </x:c>
      <x:c r="F48" s="25" t="n">
        <x:v>1</x:v>
      </x:c>
      <x:c r="G48" s="25" t="n">
        <x:v>2</x:v>
      </x:c>
      <x:c r="H48" s="25" t="n">
        <x:v>1</x:v>
      </x:c>
      <x:c r="I48" s="25" t="n">
        <x:v>2</x:v>
      </x:c>
      <x:c r="J48" s="25" t="n">
        <x:v>0.5</x:v>
      </x:c>
      <x:c r="K48">
        <x:f>IF(6&lt;=DAY(EOMONTH($K41,0)),$K41+5,"")</x:f>
        <x:v>45936</x:v>
      </x:c>
    </x:row>
    <x:row r="49">
      <x:c r="A49" s="21">
        <x:f>IF($K49="","",DAY($K49))</x:f>
        <x:v>7</x:v>
      </x:c>
      <x:c r="B49" s="22" t="str">
        <x:f>IF($K49="","",CHOOSE(WEEKDAY($K49,2),"Mo","Di","Mi","Do","Fr","Sa","So"))</x:f>
        <x:v>Di</x:v>
      </x:c>
      <x:c r="C49" s="22">
        <x:f>IF($K49="","",ISOWEEKNUM($K49))</x:f>
        <x:v>41</x:v>
      </x:c>
      <x:c r="D49" s="23">
        <x:f>IF($K49="","",IF(AND(IFERROR(INDEX(Einstellungen!$I$3:$I$22,MATCH($K49,Einstellungen!$H$3:$H$22,0)),"")&lt;&gt;"",IFERROR(INDEX(Einstellungen!$B$20:$B$119,MATCH($K49,Einstellungen!$A$20:$A$119,0)),"")&lt;&gt;""),IFERROR(INDEX(Einstellungen!$I$3:$I$22,MATCH($K49,Einstellungen!$H$3:$H$22,0)),"")&amp;" / "&amp;IFERROR(INDEX(Einstellungen!$B$20:$B$119,MATCH($K49,Einstellungen!$A$20:$A$119,0)),""),IF(IFERROR(INDEX(Einstellungen!$I$3:$I$22,MATCH($K49,Einstellungen!$H$3:$H$22,0)),"")&lt;&gt;"",IFERROR(INDEX(Einstellungen!$I$3:$I$22,MATCH($K49,Einstellungen!$H$3:$H$22,0)),""),IFERROR(INDEX(Einstellungen!$B$20:$B$119,MATCH($K49,Einstellungen!$A$20:$A$119,0)),""))))</x:f>
      </x:c>
      <x:c r="E49" s="24">
        <x:f>IF($K49="","",SUM(F49:J49))</x:f>
        <x:v>6.5</x:v>
      </x:c>
      <x:c r="F49" s="25" t="n">
        <x:v>1.5</x:v>
      </x:c>
      <x:c r="G49" s="25" t="n">
        <x:v>2</x:v>
      </x:c>
      <x:c r="H49" s="25" t="n">
        <x:v>1</x:v>
      </x:c>
      <x:c r="I49" s="25" t="n">
        <x:v>2</x:v>
      </x:c>
      <x:c r="J49" s="25" t="n"/>
      <x:c r="K49">
        <x:f>IF(7&lt;=DAY(EOMONTH($K41,0)),$K41+6,"")</x:f>
        <x:v>45937</x:v>
      </x:c>
    </x:row>
    <x:row r="50">
      <x:c r="A50" s="21">
        <x:f>IF($K50="","",DAY($K50))</x:f>
        <x:v>8</x:v>
      </x:c>
      <x:c r="B50" s="22" t="str">
        <x:f>IF($K50="","",CHOOSE(WEEKDAY($K50,2),"Mo","Di","Mi","Do","Fr","Sa","So"))</x:f>
        <x:v>Mi</x:v>
      </x:c>
      <x:c r="C50" s="22">
        <x:f>IF($K50="","",ISOWEEKNUM($K50))</x:f>
        <x:v>41</x:v>
      </x:c>
      <x:c r="D50" s="23">
        <x:f>IF($K50="","",IF(AND(IFERROR(INDEX(Einstellungen!$I$3:$I$22,MATCH($K50,Einstellungen!$H$3:$H$22,0)),"")&lt;&gt;"",IFERROR(INDEX(Einstellungen!$B$20:$B$119,MATCH($K50,Einstellungen!$A$20:$A$119,0)),"")&lt;&gt;""),IFERROR(INDEX(Einstellungen!$I$3:$I$22,MATCH($K50,Einstellungen!$H$3:$H$22,0)),"")&amp;" / "&amp;IFERROR(INDEX(Einstellungen!$B$20:$B$119,MATCH($K50,Einstellungen!$A$20:$A$119,0)),""),IF(IFERROR(INDEX(Einstellungen!$I$3:$I$22,MATCH($K50,Einstellungen!$H$3:$H$22,0)),"")&lt;&gt;"",IFERROR(INDEX(Einstellungen!$I$3:$I$22,MATCH($K50,Einstellungen!$H$3:$H$22,0)),""),IFERROR(INDEX(Einstellungen!$B$20:$B$119,MATCH($K50,Einstellungen!$A$20:$A$119,0)),""))))</x:f>
      </x:c>
      <x:c r="E50" s="24">
        <x:f>IF($K50="","",SUM(F50:J50))</x:f>
        <x:v>7.5</x:v>
      </x:c>
      <x:c r="F50" s="25" t="n">
        <x:v>1</x:v>
      </x:c>
      <x:c r="G50" s="25" t="n">
        <x:v>2.5</x:v>
      </x:c>
      <x:c r="H50" s="25" t="n">
        <x:v>2</x:v>
      </x:c>
      <x:c r="I50" s="25" t="n">
        <x:v>1.5</x:v>
      </x:c>
      <x:c r="J50" s="25" t="n">
        <x:v>0.5</x:v>
      </x:c>
      <x:c r="K50">
        <x:f>IF(8&lt;=DAY(EOMONTH($K41,0)),$K41+7,"")</x:f>
        <x:v>45938</x:v>
      </x:c>
    </x:row>
    <x:row r="51">
      <x:c r="A51" s="21">
        <x:f>IF($K51="","",DAY($K51))</x:f>
        <x:v>9</x:v>
      </x:c>
      <x:c r="B51" s="22" t="str">
        <x:f>IF($K51="","",CHOOSE(WEEKDAY($K51,2),"Mo","Di","Mi","Do","Fr","Sa","So"))</x:f>
        <x:v>Do</x:v>
      </x:c>
      <x:c r="C51" s="22">
        <x:f>IF($K51="","",ISOWEEKNUM($K51))</x:f>
        <x:v>41</x:v>
      </x:c>
      <x:c r="D51" s="23">
        <x:f>IF($K51="","",IF(AND(IFERROR(INDEX(Einstellungen!$I$3:$I$22,MATCH($K51,Einstellungen!$H$3:$H$22,0)),"")&lt;&gt;"",IFERROR(INDEX(Einstellungen!$B$20:$B$119,MATCH($K51,Einstellungen!$A$20:$A$119,0)),"")&lt;&gt;""),IFERROR(INDEX(Einstellungen!$I$3:$I$22,MATCH($K51,Einstellungen!$H$3:$H$22,0)),"")&amp;" / "&amp;IFERROR(INDEX(Einstellungen!$B$20:$B$119,MATCH($K51,Einstellungen!$A$20:$A$119,0)),""),IF(IFERROR(INDEX(Einstellungen!$I$3:$I$22,MATCH($K51,Einstellungen!$H$3:$H$22,0)),"")&lt;&gt;"",IFERROR(INDEX(Einstellungen!$I$3:$I$22,MATCH($K51,Einstellungen!$H$3:$H$22,0)),""),IFERROR(INDEX(Einstellungen!$B$20:$B$119,MATCH($K51,Einstellungen!$A$20:$A$119,0)),""))))</x:f>
      </x:c>
      <x:c r="E51" s="24">
        <x:f>IF($K51="","",SUM(F51:J51))</x:f>
        <x:v>7</x:v>
      </x:c>
      <x:c r="F51" s="25" t="n">
        <x:v>1.5</x:v>
      </x:c>
      <x:c r="G51" s="25" t="n">
        <x:v>2</x:v>
      </x:c>
      <x:c r="H51" s="25" t="n">
        <x:v>1.5</x:v>
      </x:c>
      <x:c r="I51" s="25" t="n">
        <x:v>1.5</x:v>
      </x:c>
      <x:c r="J51" s="25" t="n">
        <x:v>0.5</x:v>
      </x:c>
      <x:c r="K51">
        <x:f>IF(9&lt;=DAY(EOMONTH($K41,0)),$K41+8,"")</x:f>
        <x:v>45939</x:v>
      </x:c>
    </x:row>
    <x:row r="52">
      <x:c r="A52" s="21">
        <x:f>IF($K52="","",DAY($K52))</x:f>
        <x:v>10</x:v>
      </x:c>
      <x:c r="B52" s="22" t="str">
        <x:f>IF($K52="","",CHOOSE(WEEKDAY($K52,2),"Mo","Di","Mi","Do","Fr","Sa","So"))</x:f>
        <x:v>Fr</x:v>
      </x:c>
      <x:c r="C52" s="22">
        <x:f>IF($K52="","",ISOWEEKNUM($K52))</x:f>
        <x:v>41</x:v>
      </x:c>
      <x:c r="D52" s="23" t="str">
        <x:f>IF($K52="","",IF(AND(IFERROR(INDEX(Einstellungen!$I$3:$I$22,MATCH($K52,Einstellungen!$H$3:$H$22,0)),"")&lt;&gt;"",IFERROR(INDEX(Einstellungen!$B$20:$B$119,MATCH($K52,Einstellungen!$A$20:$A$119,0)),"")&lt;&gt;""),IFERROR(INDEX(Einstellungen!$I$3:$I$22,MATCH($K52,Einstellungen!$H$3:$H$22,0)),"")&amp;" / "&amp;IFERROR(INDEX(Einstellungen!$B$20:$B$119,MATCH($K52,Einstellungen!$A$20:$A$119,0)),""),IF(IFERROR(INDEX(Einstellungen!$I$3:$I$22,MATCH($K52,Einstellungen!$H$3:$H$22,0)),"")&lt;&gt;"",IFERROR(INDEX(Einstellungen!$I$3:$I$22,MATCH($K52,Einstellungen!$H$3:$H$22,0)),""),IFERROR(INDEX(Einstellungen!$B$20:$B$119,MATCH($K52,Einstellungen!$A$20:$A$119,0)),""))))</x:f>
        <x:v>Kundentermin Köln</x:v>
      </x:c>
      <x:c r="E52" s="24">
        <x:f>IF($K52="","",SUM(F52:J52))</x:f>
        <x:v>6</x:v>
      </x:c>
      <x:c r="F52" s="25" t="n">
        <x:v>2</x:v>
      </x:c>
      <x:c r="G52" s="25" t="n">
        <x:v>1</x:v>
      </x:c>
      <x:c r="H52" s="25" t="n">
        <x:v>1</x:v>
      </x:c>
      <x:c r="I52" s="25" t="n">
        <x:v>1</x:v>
      </x:c>
      <x:c r="J52" s="25" t="n">
        <x:v>1</x:v>
      </x:c>
      <x:c r="K52">
        <x:f>IF(10&lt;=DAY(EOMONTH($K41,0)),$K41+9,"")</x:f>
        <x:v>45940</x:v>
      </x:c>
    </x:row>
    <x:row r="53">
      <x:c r="A53" s="21">
        <x:f>IF($K53="","",DAY($K53))</x:f>
        <x:v>11</x:v>
      </x:c>
      <x:c r="B53" s="22" t="str">
        <x:f>IF($K53="","",CHOOSE(WEEKDAY($K53,2),"Mo","Di","Mi","Do","Fr","Sa","So"))</x:f>
        <x:v>Sa</x:v>
      </x:c>
      <x:c r="C53" s="22">
        <x:f>IF($K53="","",ISOWEEKNUM($K53))</x:f>
        <x:v>41</x:v>
      </x:c>
      <x:c r="D53" s="23">
        <x:f>IF($K53="","",IF(AND(IFERROR(INDEX(Einstellungen!$I$3:$I$22,MATCH($K53,Einstellungen!$H$3:$H$22,0)),"")&lt;&gt;"",IFERROR(INDEX(Einstellungen!$B$20:$B$119,MATCH($K53,Einstellungen!$A$20:$A$119,0)),"")&lt;&gt;""),IFERROR(INDEX(Einstellungen!$I$3:$I$22,MATCH($K53,Einstellungen!$H$3:$H$22,0)),"")&amp;" / "&amp;IFERROR(INDEX(Einstellungen!$B$20:$B$119,MATCH($K53,Einstellungen!$A$20:$A$119,0)),""),IF(IFERROR(INDEX(Einstellungen!$I$3:$I$22,MATCH($K53,Einstellungen!$H$3:$H$22,0)),"")&lt;&gt;"",IFERROR(INDEX(Einstellungen!$I$3:$I$22,MATCH($K53,Einstellungen!$H$3:$H$22,0)),""),IFERROR(INDEX(Einstellungen!$B$20:$B$119,MATCH($K53,Einstellungen!$A$20:$A$119,0)),""))))</x:f>
      </x:c>
      <x:c r="E53" s="24">
        <x:f>IF($K53="","",SUM(F53:J53))</x:f>
        <x:v>0</x:v>
      </x:c>
      <x:c r="F53" s="25" t="n"/>
      <x:c r="G53" s="25" t="n"/>
      <x:c r="H53" s="25" t="n"/>
      <x:c r="I53" s="25" t="n"/>
      <x:c r="J53" s="25" t="n"/>
      <x:c r="K53">
        <x:f>IF(11&lt;=DAY(EOMONTH($K41,0)),$K41+10,"")</x:f>
        <x:v>45941</x:v>
      </x:c>
    </x:row>
    <x:row r="54">
      <x:c r="A54" s="21">
        <x:f>IF($K54="","",DAY($K54))</x:f>
        <x:v>12</x:v>
      </x:c>
      <x:c r="B54" s="22" t="str">
        <x:f>IF($K54="","",CHOOSE(WEEKDAY($K54,2),"Mo","Di","Mi","Do","Fr","Sa","So"))</x:f>
        <x:v>So</x:v>
      </x:c>
      <x:c r="C54" s="22">
        <x:f>IF($K54="","",ISOWEEKNUM($K54))</x:f>
        <x:v>41</x:v>
      </x:c>
      <x:c r="D54" s="23">
        <x:f>IF($K54="","",IF(AND(IFERROR(INDEX(Einstellungen!$I$3:$I$22,MATCH($K54,Einstellungen!$H$3:$H$22,0)),"")&lt;&gt;"",IFERROR(INDEX(Einstellungen!$B$20:$B$119,MATCH($K54,Einstellungen!$A$20:$A$119,0)),"")&lt;&gt;""),IFERROR(INDEX(Einstellungen!$I$3:$I$22,MATCH($K54,Einstellungen!$H$3:$H$22,0)),"")&amp;" / "&amp;IFERROR(INDEX(Einstellungen!$B$20:$B$119,MATCH($K54,Einstellungen!$A$20:$A$119,0)),""),IF(IFERROR(INDEX(Einstellungen!$I$3:$I$22,MATCH($K54,Einstellungen!$H$3:$H$22,0)),"")&lt;&gt;"",IFERROR(INDEX(Einstellungen!$I$3:$I$22,MATCH($K54,Einstellungen!$H$3:$H$22,0)),""),IFERROR(INDEX(Einstellungen!$B$20:$B$119,MATCH($K54,Einstellungen!$A$20:$A$119,0)),""))))</x:f>
      </x:c>
      <x:c r="E54" s="24">
        <x:f>IF($K54="","",SUM(F54:J54))</x:f>
        <x:v>0</x:v>
      </x:c>
      <x:c r="F54" s="25" t="n"/>
      <x:c r="G54" s="25" t="n"/>
      <x:c r="H54" s="25" t="n"/>
      <x:c r="I54" s="25" t="n"/>
      <x:c r="J54" s="25" t="n"/>
      <x:c r="K54">
        <x:f>IF(12&lt;=DAY(EOMONTH($K41,0)),$K41+11,"")</x:f>
        <x:v>45942</x:v>
      </x:c>
    </x:row>
    <x:row r="55">
      <x:c r="A55" s="21">
        <x:f>IF($K55="","",DAY($K55))</x:f>
        <x:v>13</x:v>
      </x:c>
      <x:c r="B55" s="22" t="str">
        <x:f>IF($K55="","",CHOOSE(WEEKDAY($K55,2),"Mo","Di","Mi","Do","Fr","Sa","So"))</x:f>
        <x:v>Mo</x:v>
      </x:c>
      <x:c r="C55" s="22">
        <x:f>IF($K55="","",ISOWEEKNUM($K55))</x:f>
        <x:v>42</x:v>
      </x:c>
      <x:c r="D55" s="23">
        <x:f>IF($K55="","",IF(AND(IFERROR(INDEX(Einstellungen!$I$3:$I$22,MATCH($K55,Einstellungen!$H$3:$H$22,0)),"")&lt;&gt;"",IFERROR(INDEX(Einstellungen!$B$20:$B$119,MATCH($K55,Einstellungen!$A$20:$A$119,0)),"")&lt;&gt;""),IFERROR(INDEX(Einstellungen!$I$3:$I$22,MATCH($K55,Einstellungen!$H$3:$H$22,0)),"")&amp;" / "&amp;IFERROR(INDEX(Einstellungen!$B$20:$B$119,MATCH($K55,Einstellungen!$A$20:$A$119,0)),""),IF(IFERROR(INDEX(Einstellungen!$I$3:$I$22,MATCH($K55,Einstellungen!$H$3:$H$22,0)),"")&lt;&gt;"",IFERROR(INDEX(Einstellungen!$I$3:$I$22,MATCH($K55,Einstellungen!$H$3:$H$22,0)),""),IFERROR(INDEX(Einstellungen!$B$20:$B$119,MATCH($K55,Einstellungen!$A$20:$A$119,0)),""))))</x:f>
      </x:c>
      <x:c r="E55" s="24">
        <x:f>IF($K55="","",SUM(F55:J55))</x:f>
        <x:v>7</x:v>
      </x:c>
      <x:c r="F55" s="25" t="n">
        <x:v>1.5</x:v>
      </x:c>
      <x:c r="G55" s="25" t="n">
        <x:v>2</x:v>
      </x:c>
      <x:c r="H55" s="25" t="n">
        <x:v>1</x:v>
      </x:c>
      <x:c r="I55" s="25" t="n">
        <x:v>2</x:v>
      </x:c>
      <x:c r="J55" s="25" t="n">
        <x:v>0.5</x:v>
      </x:c>
      <x:c r="K55">
        <x:f>IF(13&lt;=DAY(EOMONTH($K41,0)),$K41+12,"")</x:f>
        <x:v>45943</x:v>
      </x:c>
    </x:row>
    <x:row r="56">
      <x:c r="A56" s="21">
        <x:f>IF($K56="","",DAY($K56))</x:f>
        <x:v>14</x:v>
      </x:c>
      <x:c r="B56" s="22" t="str">
        <x:f>IF($K56="","",CHOOSE(WEEKDAY($K56,2),"Mo","Di","Mi","Do","Fr","Sa","So"))</x:f>
        <x:v>Di</x:v>
      </x:c>
      <x:c r="C56" s="22">
        <x:f>IF($K56="","",ISOWEEKNUM($K56))</x:f>
        <x:v>42</x:v>
      </x:c>
      <x:c r="D56" s="23">
        <x:f>IF($K56="","",IF(AND(IFERROR(INDEX(Einstellungen!$I$3:$I$22,MATCH($K56,Einstellungen!$H$3:$H$22,0)),"")&lt;&gt;"",IFERROR(INDEX(Einstellungen!$B$20:$B$119,MATCH($K56,Einstellungen!$A$20:$A$119,0)),"")&lt;&gt;""),IFERROR(INDEX(Einstellungen!$I$3:$I$22,MATCH($K56,Einstellungen!$H$3:$H$22,0)),"")&amp;" / "&amp;IFERROR(INDEX(Einstellungen!$B$20:$B$119,MATCH($K56,Einstellungen!$A$20:$A$119,0)),""),IF(IFERROR(INDEX(Einstellungen!$I$3:$I$22,MATCH($K56,Einstellungen!$H$3:$H$22,0)),"")&lt;&gt;"",IFERROR(INDEX(Einstellungen!$I$3:$I$22,MATCH($K56,Einstellungen!$H$3:$H$22,0)),""),IFERROR(INDEX(Einstellungen!$B$20:$B$119,MATCH($K56,Einstellungen!$A$20:$A$119,0)),""))))</x:f>
      </x:c>
      <x:c r="E56" s="24">
        <x:f>IF($K56="","",SUM(F56:J56))</x:f>
        <x:v>7</x:v>
      </x:c>
      <x:c r="F56" s="25" t="n">
        <x:v>1.5</x:v>
      </x:c>
      <x:c r="G56" s="25" t="n">
        <x:v>2.5</x:v>
      </x:c>
      <x:c r="H56" s="25" t="n">
        <x:v>1</x:v>
      </x:c>
      <x:c r="I56" s="25" t="n">
        <x:v>2</x:v>
      </x:c>
      <x:c r="J56" s="25" t="n"/>
      <x:c r="K56">
        <x:f>IF(14&lt;=DAY(EOMONTH($K41,0)),$K41+13,"")</x:f>
        <x:v>45944</x:v>
      </x:c>
    </x:row>
    <x:row r="57">
      <x:c r="A57" s="21">
        <x:f>IF($K57="","",DAY($K57))</x:f>
        <x:v>15</x:v>
      </x:c>
      <x:c r="B57" s="22" t="str">
        <x:f>IF($K57="","",CHOOSE(WEEKDAY($K57,2),"Mo","Di","Mi","Do","Fr","Sa","So"))</x:f>
        <x:v>Mi</x:v>
      </x:c>
      <x:c r="C57" s="22">
        <x:f>IF($K57="","",ISOWEEKNUM($K57))</x:f>
        <x:v>42</x:v>
      </x:c>
      <x:c r="D57" s="23">
        <x:f>IF($K57="","",IF(AND(IFERROR(INDEX(Einstellungen!$I$3:$I$22,MATCH($K57,Einstellungen!$H$3:$H$22,0)),"")&lt;&gt;"",IFERROR(INDEX(Einstellungen!$B$20:$B$119,MATCH($K57,Einstellungen!$A$20:$A$119,0)),"")&lt;&gt;""),IFERROR(INDEX(Einstellungen!$I$3:$I$22,MATCH($K57,Einstellungen!$H$3:$H$22,0)),"")&amp;" / "&amp;IFERROR(INDEX(Einstellungen!$B$20:$B$119,MATCH($K57,Einstellungen!$A$20:$A$119,0)),""),IF(IFERROR(INDEX(Einstellungen!$I$3:$I$22,MATCH($K57,Einstellungen!$H$3:$H$22,0)),"")&lt;&gt;"",IFERROR(INDEX(Einstellungen!$I$3:$I$22,MATCH($K57,Einstellungen!$H$3:$H$22,0)),""),IFERROR(INDEX(Einstellungen!$B$20:$B$119,MATCH($K57,Einstellungen!$A$20:$A$119,0)),""))))</x:f>
      </x:c>
      <x:c r="E57" s="24">
        <x:f>IF($K57="","",SUM(F57:J57))</x:f>
        <x:v>6.5</x:v>
      </x:c>
      <x:c r="F57" s="25" t="n">
        <x:v>1</x:v>
      </x:c>
      <x:c r="G57" s="25" t="n">
        <x:v>2.5</x:v>
      </x:c>
      <x:c r="H57" s="25" t="n">
        <x:v>1</x:v>
      </x:c>
      <x:c r="I57" s="25" t="n">
        <x:v>1.5</x:v>
      </x:c>
      <x:c r="J57" s="25" t="n">
        <x:v>0.5</x:v>
      </x:c>
      <x:c r="K57">
        <x:f>IF(15&lt;=DAY(EOMONTH($K41,0)),$K41+14,"")</x:f>
        <x:v>45945</x:v>
      </x:c>
    </x:row>
    <x:row r="58">
      <x:c r="A58" s="21">
        <x:f>IF($K58="","",DAY($K58))</x:f>
        <x:v>16</x:v>
      </x:c>
      <x:c r="B58" s="22" t="str">
        <x:f>IF($K58="","",CHOOSE(WEEKDAY($K58,2),"Mo","Di","Mi","Do","Fr","Sa","So"))</x:f>
        <x:v>Do</x:v>
      </x:c>
      <x:c r="C58" s="22">
        <x:f>IF($K58="","",ISOWEEKNUM($K58))</x:f>
        <x:v>42</x:v>
      </x:c>
      <x:c r="D58" s="23">
        <x:f>IF($K58="","",IF(AND(IFERROR(INDEX(Einstellungen!$I$3:$I$22,MATCH($K58,Einstellungen!$H$3:$H$22,0)),"")&lt;&gt;"",IFERROR(INDEX(Einstellungen!$B$20:$B$119,MATCH($K58,Einstellungen!$A$20:$A$119,0)),"")&lt;&gt;""),IFERROR(INDEX(Einstellungen!$I$3:$I$22,MATCH($K58,Einstellungen!$H$3:$H$22,0)),"")&amp;" / "&amp;IFERROR(INDEX(Einstellungen!$B$20:$B$119,MATCH($K58,Einstellungen!$A$20:$A$119,0)),""),IF(IFERROR(INDEX(Einstellungen!$I$3:$I$22,MATCH($K58,Einstellungen!$H$3:$H$22,0)),"")&lt;&gt;"",IFERROR(INDEX(Einstellungen!$I$3:$I$22,MATCH($K58,Einstellungen!$H$3:$H$22,0)),""),IFERROR(INDEX(Einstellungen!$B$20:$B$119,MATCH($K58,Einstellungen!$A$20:$A$119,0)),""))))</x:f>
      </x:c>
      <x:c r="E58" s="24">
        <x:f>IF($K58="","",SUM(F58:J58))</x:f>
        <x:v>7.5</x:v>
      </x:c>
      <x:c r="F58" s="25" t="n">
        <x:v>1.5</x:v>
      </x:c>
      <x:c r="G58" s="25" t="n">
        <x:v>2</x:v>
      </x:c>
      <x:c r="H58" s="25" t="n">
        <x:v>1.5</x:v>
      </x:c>
      <x:c r="I58" s="25" t="n">
        <x:v>2</x:v>
      </x:c>
      <x:c r="J58" s="25" t="n">
        <x:v>0.5</x:v>
      </x:c>
      <x:c r="K58">
        <x:f>IF(16&lt;=DAY(EOMONTH($K41,0)),$K41+15,"")</x:f>
        <x:v>45946</x:v>
      </x:c>
    </x:row>
    <x:row r="59">
      <x:c r="A59" s="21">
        <x:f>IF($K59="","",DAY($K59))</x:f>
        <x:v>17</x:v>
      </x:c>
      <x:c r="B59" s="22" t="str">
        <x:f>IF($K59="","",CHOOSE(WEEKDAY($K59,2),"Mo","Di","Mi","Do","Fr","Sa","So"))</x:f>
        <x:v>Fr</x:v>
      </x:c>
      <x:c r="C59" s="22">
        <x:f>IF($K59="","",ISOWEEKNUM($K59))</x:f>
        <x:v>42</x:v>
      </x:c>
      <x:c r="D59" s="23">
        <x:f>IF($K59="","",IF(AND(IFERROR(INDEX(Einstellungen!$I$3:$I$22,MATCH($K59,Einstellungen!$H$3:$H$22,0)),"")&lt;&gt;"",IFERROR(INDEX(Einstellungen!$B$20:$B$119,MATCH($K59,Einstellungen!$A$20:$A$119,0)),"")&lt;&gt;""),IFERROR(INDEX(Einstellungen!$I$3:$I$22,MATCH($K59,Einstellungen!$H$3:$H$22,0)),"")&amp;" / "&amp;IFERROR(INDEX(Einstellungen!$B$20:$B$119,MATCH($K59,Einstellungen!$A$20:$A$119,0)),""),IF(IFERROR(INDEX(Einstellungen!$I$3:$I$22,MATCH($K59,Einstellungen!$H$3:$H$22,0)),"")&lt;&gt;"",IFERROR(INDEX(Einstellungen!$I$3:$I$22,MATCH($K59,Einstellungen!$H$3:$H$22,0)),""),IFERROR(INDEX(Einstellungen!$B$20:$B$119,MATCH($K59,Einstellungen!$A$20:$A$119,0)),""))))</x:f>
      </x:c>
      <x:c r="E59" s="24">
        <x:f>IF($K59="","",SUM(F59:J59))</x:f>
        <x:v>6.5</x:v>
      </x:c>
      <x:c r="F59" s="25" t="n">
        <x:v>2</x:v>
      </x:c>
      <x:c r="G59" s="25" t="n">
        <x:v>1</x:v>
      </x:c>
      <x:c r="H59" s="25" t="n">
        <x:v>1</x:v>
      </x:c>
      <x:c r="I59" s="25" t="n">
        <x:v>1</x:v>
      </x:c>
      <x:c r="J59" s="25" t="n">
        <x:v>1.5</x:v>
      </x:c>
      <x:c r="K59">
        <x:f>IF(17&lt;=DAY(EOMONTH($K41,0)),$K41+16,"")</x:f>
        <x:v>45947</x:v>
      </x:c>
    </x:row>
    <x:row r="60">
      <x:c r="A60" s="21">
        <x:f>IF($K60="","",DAY($K60))</x:f>
        <x:v>18</x:v>
      </x:c>
      <x:c r="B60" s="22" t="str">
        <x:f>IF($K60="","",CHOOSE(WEEKDAY($K60,2),"Mo","Di","Mi","Do","Fr","Sa","So"))</x:f>
        <x:v>Sa</x:v>
      </x:c>
      <x:c r="C60" s="22">
        <x:f>IF($K60="","",ISOWEEKNUM($K60))</x:f>
        <x:v>42</x:v>
      </x:c>
      <x:c r="D60" s="23">
        <x:f>IF($K60="","",IF(AND(IFERROR(INDEX(Einstellungen!$I$3:$I$22,MATCH($K60,Einstellungen!$H$3:$H$22,0)),"")&lt;&gt;"",IFERROR(INDEX(Einstellungen!$B$20:$B$119,MATCH($K60,Einstellungen!$A$20:$A$119,0)),"")&lt;&gt;""),IFERROR(INDEX(Einstellungen!$I$3:$I$22,MATCH($K60,Einstellungen!$H$3:$H$22,0)),"")&amp;" / "&amp;IFERROR(INDEX(Einstellungen!$B$20:$B$119,MATCH($K60,Einstellungen!$A$20:$A$119,0)),""),IF(IFERROR(INDEX(Einstellungen!$I$3:$I$22,MATCH($K60,Einstellungen!$H$3:$H$22,0)),"")&lt;&gt;"",IFERROR(INDEX(Einstellungen!$I$3:$I$22,MATCH($K60,Einstellungen!$H$3:$H$22,0)),""),IFERROR(INDEX(Einstellungen!$B$20:$B$119,MATCH($K60,Einstellungen!$A$20:$A$119,0)),""))))</x:f>
      </x:c>
      <x:c r="E60" s="24">
        <x:f>IF($K60="","",SUM(F60:J60))</x:f>
        <x:v>0</x:v>
      </x:c>
      <x:c r="F60" s="25" t="n"/>
      <x:c r="G60" s="25" t="n"/>
      <x:c r="H60" s="25" t="n"/>
      <x:c r="I60" s="25" t="n"/>
      <x:c r="J60" s="25" t="n"/>
      <x:c r="K60">
        <x:f>IF(18&lt;=DAY(EOMONTH($K41,0)),$K41+17,"")</x:f>
        <x:v>45948</x:v>
      </x:c>
    </x:row>
    <x:row r="61">
      <x:c r="A61" s="21">
        <x:f>IF($K61="","",DAY($K61))</x:f>
        <x:v>19</x:v>
      </x:c>
      <x:c r="B61" s="22" t="str">
        <x:f>IF($K61="","",CHOOSE(WEEKDAY($K61,2),"Mo","Di","Mi","Do","Fr","Sa","So"))</x:f>
        <x:v>So</x:v>
      </x:c>
      <x:c r="C61" s="22">
        <x:f>IF($K61="","",ISOWEEKNUM($K61))</x:f>
        <x:v>42</x:v>
      </x:c>
      <x:c r="D61" s="23">
        <x:f>IF($K61="","",IF(AND(IFERROR(INDEX(Einstellungen!$I$3:$I$22,MATCH($K61,Einstellungen!$H$3:$H$22,0)),"")&lt;&gt;"",IFERROR(INDEX(Einstellungen!$B$20:$B$119,MATCH($K61,Einstellungen!$A$20:$A$119,0)),"")&lt;&gt;""),IFERROR(INDEX(Einstellungen!$I$3:$I$22,MATCH($K61,Einstellungen!$H$3:$H$22,0)),"")&amp;" / "&amp;IFERROR(INDEX(Einstellungen!$B$20:$B$119,MATCH($K61,Einstellungen!$A$20:$A$119,0)),""),IF(IFERROR(INDEX(Einstellungen!$I$3:$I$22,MATCH($K61,Einstellungen!$H$3:$H$22,0)),"")&lt;&gt;"",IFERROR(INDEX(Einstellungen!$I$3:$I$22,MATCH($K61,Einstellungen!$H$3:$H$22,0)),""),IFERROR(INDEX(Einstellungen!$B$20:$B$119,MATCH($K61,Einstellungen!$A$20:$A$119,0)),""))))</x:f>
      </x:c>
      <x:c r="E61" s="24">
        <x:f>IF($K61="","",SUM(F61:J61))</x:f>
        <x:v>0</x:v>
      </x:c>
      <x:c r="F61" s="25" t="n"/>
      <x:c r="G61" s="25" t="n"/>
      <x:c r="H61" s="25" t="n"/>
      <x:c r="I61" s="25" t="n"/>
      <x:c r="J61" s="25" t="n"/>
      <x:c r="K61">
        <x:f>IF(19&lt;=DAY(EOMONTH($K41,0)),$K41+18,"")</x:f>
        <x:v>45949</x:v>
      </x:c>
    </x:row>
    <x:row r="62">
      <x:c r="A62" s="21">
        <x:f>IF($K62="","",DAY($K62))</x:f>
        <x:v>20</x:v>
      </x:c>
      <x:c r="B62" s="22" t="str">
        <x:f>IF($K62="","",CHOOSE(WEEKDAY($K62,2),"Mo","Di","Mi","Do","Fr","Sa","So"))</x:f>
        <x:v>Mo</x:v>
      </x:c>
      <x:c r="C62" s="22">
        <x:f>IF($K62="","",ISOWEEKNUM($K62))</x:f>
        <x:v>43</x:v>
      </x:c>
      <x:c r="D62" s="23">
        <x:f>IF($K62="","",IF(AND(IFERROR(INDEX(Einstellungen!$I$3:$I$22,MATCH($K62,Einstellungen!$H$3:$H$22,0)),"")&lt;&gt;"",IFERROR(INDEX(Einstellungen!$B$20:$B$119,MATCH($K62,Einstellungen!$A$20:$A$119,0)),"")&lt;&gt;""),IFERROR(INDEX(Einstellungen!$I$3:$I$22,MATCH($K62,Einstellungen!$H$3:$H$22,0)),"")&amp;" / "&amp;IFERROR(INDEX(Einstellungen!$B$20:$B$119,MATCH($K62,Einstellungen!$A$20:$A$119,0)),""),IF(IFERROR(INDEX(Einstellungen!$I$3:$I$22,MATCH($K62,Einstellungen!$H$3:$H$22,0)),"")&lt;&gt;"",IFERROR(INDEX(Einstellungen!$I$3:$I$22,MATCH($K62,Einstellungen!$H$3:$H$22,0)),""),IFERROR(INDEX(Einstellungen!$B$20:$B$119,MATCH($K62,Einstellungen!$A$20:$A$119,0)),""))))</x:f>
      </x:c>
      <x:c r="E62" s="24">
        <x:f>IF($K62="","",SUM(F62:J62))</x:f>
        <x:v>7.5</x:v>
      </x:c>
      <x:c r="F62" s="25" t="n">
        <x:v>2</x:v>
      </x:c>
      <x:c r="G62" s="25" t="n">
        <x:v>2</x:v>
      </x:c>
      <x:c r="H62" s="25" t="n">
        <x:v>1</x:v>
      </x:c>
      <x:c r="I62" s="25" t="n">
        <x:v>2</x:v>
      </x:c>
      <x:c r="J62" s="25" t="n">
        <x:v>0.5</x:v>
      </x:c>
      <x:c r="K62">
        <x:f>IF(20&lt;=DAY(EOMONTH($K41,0)),$K41+19,"")</x:f>
        <x:v>45950</x:v>
      </x:c>
    </x:row>
    <x:row r="63">
      <x:c r="A63" s="21">
        <x:f>IF($K63="","",DAY($K63))</x:f>
        <x:v>21</x:v>
      </x:c>
      <x:c r="B63" s="22" t="str">
        <x:f>IF($K63="","",CHOOSE(WEEKDAY($K63,2),"Mo","Di","Mi","Do","Fr","Sa","So"))</x:f>
        <x:v>Di</x:v>
      </x:c>
      <x:c r="C63" s="22">
        <x:f>IF($K63="","",ISOWEEKNUM($K63))</x:f>
        <x:v>43</x:v>
      </x:c>
      <x:c r="D63" s="23">
        <x:f>IF($K63="","",IF(AND(IFERROR(INDEX(Einstellungen!$I$3:$I$22,MATCH($K63,Einstellungen!$H$3:$H$22,0)),"")&lt;&gt;"",IFERROR(INDEX(Einstellungen!$B$20:$B$119,MATCH($K63,Einstellungen!$A$20:$A$119,0)),"")&lt;&gt;""),IFERROR(INDEX(Einstellungen!$I$3:$I$22,MATCH($K63,Einstellungen!$H$3:$H$22,0)),"")&amp;" / "&amp;IFERROR(INDEX(Einstellungen!$B$20:$B$119,MATCH($K63,Einstellungen!$A$20:$A$119,0)),""),IF(IFERROR(INDEX(Einstellungen!$I$3:$I$22,MATCH($K63,Einstellungen!$H$3:$H$22,0)),"")&lt;&gt;"",IFERROR(INDEX(Einstellungen!$I$3:$I$22,MATCH($K63,Einstellungen!$H$3:$H$22,0)),""),IFERROR(INDEX(Einstellungen!$B$20:$B$119,MATCH($K63,Einstellungen!$A$20:$A$119,0)),""))))</x:f>
      </x:c>
      <x:c r="E63" s="24">
        <x:f>IF($K63="","",SUM(F63:J63))</x:f>
        <x:v>6</x:v>
      </x:c>
      <x:c r="F63" s="25" t="n">
        <x:v>1.5</x:v>
      </x:c>
      <x:c r="G63" s="25" t="n">
        <x:v>1.5</x:v>
      </x:c>
      <x:c r="H63" s="25" t="n">
        <x:v>1</x:v>
      </x:c>
      <x:c r="I63" s="25" t="n">
        <x:v>2</x:v>
      </x:c>
      <x:c r="J63" s="25" t="n"/>
      <x:c r="K63">
        <x:f>IF(21&lt;=DAY(EOMONTH($K41,0)),$K41+20,"")</x:f>
        <x:v>45951</x:v>
      </x:c>
    </x:row>
    <x:row r="64">
      <x:c r="A64" s="21">
        <x:f>IF($K64="","",DAY($K64))</x:f>
        <x:v>22</x:v>
      </x:c>
      <x:c r="B64" s="22" t="str">
        <x:f>IF($K64="","",CHOOSE(WEEKDAY($K64,2),"Mo","Di","Mi","Do","Fr","Sa","So"))</x:f>
        <x:v>Mi</x:v>
      </x:c>
      <x:c r="C64" s="22">
        <x:f>IF($K64="","",ISOWEEKNUM($K64))</x:f>
        <x:v>43</x:v>
      </x:c>
      <x:c r="D64" s="23">
        <x:f>IF($K64="","",IF(AND(IFERROR(INDEX(Einstellungen!$I$3:$I$22,MATCH($K64,Einstellungen!$H$3:$H$22,0)),"")&lt;&gt;"",IFERROR(INDEX(Einstellungen!$B$20:$B$119,MATCH($K64,Einstellungen!$A$20:$A$119,0)),"")&lt;&gt;""),IFERROR(INDEX(Einstellungen!$I$3:$I$22,MATCH($K64,Einstellungen!$H$3:$H$22,0)),"")&amp;" / "&amp;IFERROR(INDEX(Einstellungen!$B$20:$B$119,MATCH($K64,Einstellungen!$A$20:$A$119,0)),""),IF(IFERROR(INDEX(Einstellungen!$I$3:$I$22,MATCH($K64,Einstellungen!$H$3:$H$22,0)),"")&lt;&gt;"",IFERROR(INDEX(Einstellungen!$I$3:$I$22,MATCH($K64,Einstellungen!$H$3:$H$22,0)),""),IFERROR(INDEX(Einstellungen!$B$20:$B$119,MATCH($K64,Einstellungen!$A$20:$A$119,0)),""))))</x:f>
      </x:c>
      <x:c r="E64" s="24">
        <x:f>IF($K64="","",SUM(F64:J64))</x:f>
        <x:v>7</x:v>
      </x:c>
      <x:c r="F64" s="25" t="n">
        <x:v>1</x:v>
      </x:c>
      <x:c r="G64" s="25" t="n">
        <x:v>2.5</x:v>
      </x:c>
      <x:c r="H64" s="25" t="n">
        <x:v>1.5</x:v>
      </x:c>
      <x:c r="I64" s="25" t="n">
        <x:v>1.5</x:v>
      </x:c>
      <x:c r="J64" s="25" t="n">
        <x:v>0.5</x:v>
      </x:c>
      <x:c r="K64">
        <x:f>IF(22&lt;=DAY(EOMONTH($K41,0)),$K41+21,"")</x:f>
        <x:v>45952</x:v>
      </x:c>
    </x:row>
    <x:row r="65">
      <x:c r="A65" s="21">
        <x:f>IF($K65="","",DAY($K65))</x:f>
        <x:v>23</x:v>
      </x:c>
      <x:c r="B65" s="22" t="str">
        <x:f>IF($K65="","",CHOOSE(WEEKDAY($K65,2),"Mo","Di","Mi","Do","Fr","Sa","So"))</x:f>
        <x:v>Do</x:v>
      </x:c>
      <x:c r="C65" s="22">
        <x:f>IF($K65="","",ISOWEEKNUM($K65))</x:f>
        <x:v>43</x:v>
      </x:c>
      <x:c r="D65" s="23">
        <x:f>IF($K65="","",IF(AND(IFERROR(INDEX(Einstellungen!$I$3:$I$22,MATCH($K65,Einstellungen!$H$3:$H$22,0)),"")&lt;&gt;"",IFERROR(INDEX(Einstellungen!$B$20:$B$119,MATCH($K65,Einstellungen!$A$20:$A$119,0)),"")&lt;&gt;""),IFERROR(INDEX(Einstellungen!$I$3:$I$22,MATCH($K65,Einstellungen!$H$3:$H$22,0)),"")&amp;" / "&amp;IFERROR(INDEX(Einstellungen!$B$20:$B$119,MATCH($K65,Einstellungen!$A$20:$A$119,0)),""),IF(IFERROR(INDEX(Einstellungen!$I$3:$I$22,MATCH($K65,Einstellungen!$H$3:$H$22,0)),"")&lt;&gt;"",IFERROR(INDEX(Einstellungen!$I$3:$I$22,MATCH($K65,Einstellungen!$H$3:$H$22,0)),""),IFERROR(INDEX(Einstellungen!$B$20:$B$119,MATCH($K65,Einstellungen!$A$20:$A$119,0)),""))))</x:f>
      </x:c>
      <x:c r="E65" s="24">
        <x:f>IF($K65="","",SUM(F65:J65))</x:f>
        <x:v>8</x:v>
      </x:c>
      <x:c r="F65" s="25" t="n">
        <x:v>1.5</x:v>
      </x:c>
      <x:c r="G65" s="25" t="n">
        <x:v>2</x:v>
      </x:c>
      <x:c r="H65" s="25" t="n">
        <x:v>1.5</x:v>
      </x:c>
      <x:c r="I65" s="25" t="n">
        <x:v>2.5</x:v>
      </x:c>
      <x:c r="J65" s="25" t="n">
        <x:v>0.5</x:v>
      </x:c>
      <x:c r="K65">
        <x:f>IF(23&lt;=DAY(EOMONTH($K41,0)),$K41+22,"")</x:f>
        <x:v>45953</x:v>
      </x:c>
    </x:row>
    <x:row r="66">
      <x:c r="A66" s="21">
        <x:f>IF($K66="","",DAY($K66))</x:f>
        <x:v>24</x:v>
      </x:c>
      <x:c r="B66" s="22" t="str">
        <x:f>IF($K66="","",CHOOSE(WEEKDAY($K66,2),"Mo","Di","Mi","Do","Fr","Sa","So"))</x:f>
        <x:v>Fr</x:v>
      </x:c>
      <x:c r="C66" s="22">
        <x:f>IF($K66="","",ISOWEEKNUM($K66))</x:f>
        <x:v>43</x:v>
      </x:c>
      <x:c r="D66" s="23">
        <x:f>IF($K66="","",IF(AND(IFERROR(INDEX(Einstellungen!$I$3:$I$22,MATCH($K66,Einstellungen!$H$3:$H$22,0)),"")&lt;&gt;"",IFERROR(INDEX(Einstellungen!$B$20:$B$119,MATCH($K66,Einstellungen!$A$20:$A$119,0)),"")&lt;&gt;""),IFERROR(INDEX(Einstellungen!$I$3:$I$22,MATCH($K66,Einstellungen!$H$3:$H$22,0)),"")&amp;" / "&amp;IFERROR(INDEX(Einstellungen!$B$20:$B$119,MATCH($K66,Einstellungen!$A$20:$A$119,0)),""),IF(IFERROR(INDEX(Einstellungen!$I$3:$I$22,MATCH($K66,Einstellungen!$H$3:$H$22,0)),"")&lt;&gt;"",IFERROR(INDEX(Einstellungen!$I$3:$I$22,MATCH($K66,Einstellungen!$H$3:$H$22,0)),""),IFERROR(INDEX(Einstellungen!$B$20:$B$119,MATCH($K66,Einstellungen!$A$20:$A$119,0)),""))))</x:f>
      </x:c>
      <x:c r="E66" s="24">
        <x:f>IF($K66="","",SUM(F66:J66))</x:f>
        <x:v>3</x:v>
      </x:c>
      <x:c r="F66" s="25" t="n">
        <x:v>1</x:v>
      </x:c>
      <x:c r="G66" s="25" t="n">
        <x:v>0.5</x:v>
      </x:c>
      <x:c r="H66" s="25" t="n">
        <x:v>0.5</x:v>
      </x:c>
      <x:c r="I66" s="25" t="n">
        <x:v>1</x:v>
      </x:c>
      <x:c r="J66" s="25" t="n"/>
      <x:c r="K66">
        <x:f>IF(24&lt;=DAY(EOMONTH($K41,0)),$K41+23,"")</x:f>
        <x:v>45954</x:v>
      </x:c>
    </x:row>
    <x:row r="67">
      <x:c r="A67" s="21">
        <x:f>IF($K67="","",DAY($K67))</x:f>
        <x:v>25</x:v>
      </x:c>
      <x:c r="B67" s="22" t="str">
        <x:f>IF($K67="","",CHOOSE(WEEKDAY($K67,2),"Mo","Di","Mi","Do","Fr","Sa","So"))</x:f>
        <x:v>Sa</x:v>
      </x:c>
      <x:c r="C67" s="22">
        <x:f>IF($K67="","",ISOWEEKNUM($K67))</x:f>
        <x:v>43</x:v>
      </x:c>
      <x:c r="D67" s="23">
        <x:f>IF($K67="","",IF(AND(IFERROR(INDEX(Einstellungen!$I$3:$I$22,MATCH($K67,Einstellungen!$H$3:$H$22,0)),"")&lt;&gt;"",IFERROR(INDEX(Einstellungen!$B$20:$B$119,MATCH($K67,Einstellungen!$A$20:$A$119,0)),"")&lt;&gt;""),IFERROR(INDEX(Einstellungen!$I$3:$I$22,MATCH($K67,Einstellungen!$H$3:$H$22,0)),"")&amp;" / "&amp;IFERROR(INDEX(Einstellungen!$B$20:$B$119,MATCH($K67,Einstellungen!$A$20:$A$119,0)),""),IF(IFERROR(INDEX(Einstellungen!$I$3:$I$22,MATCH($K67,Einstellungen!$H$3:$H$22,0)),"")&lt;&gt;"",IFERROR(INDEX(Einstellungen!$I$3:$I$22,MATCH($K67,Einstellungen!$H$3:$H$22,0)),""),IFERROR(INDEX(Einstellungen!$B$20:$B$119,MATCH($K67,Einstellungen!$A$20:$A$119,0)),""))))</x:f>
      </x:c>
      <x:c r="E67" s="24">
        <x:f>IF($K67="","",SUM(F67:J67))</x:f>
        <x:v>0</x:v>
      </x:c>
      <x:c r="F67" s="25" t="n"/>
      <x:c r="G67" s="25" t="n"/>
      <x:c r="H67" s="25" t="n"/>
      <x:c r="I67" s="25" t="n"/>
      <x:c r="J67" s="25" t="n"/>
      <x:c r="K67">
        <x:f>IF(25&lt;=DAY(EOMONTH($K41,0)),$K41+24,"")</x:f>
        <x:v>45955</x:v>
      </x:c>
    </x:row>
    <x:row r="68">
      <x:c r="A68" s="21">
        <x:f>IF($K68="","",DAY($K68))</x:f>
        <x:v>26</x:v>
      </x:c>
      <x:c r="B68" s="22" t="str">
        <x:f>IF($K68="","",CHOOSE(WEEKDAY($K68,2),"Mo","Di","Mi","Do","Fr","Sa","So"))</x:f>
        <x:v>So</x:v>
      </x:c>
      <x:c r="C68" s="22">
        <x:f>IF($K68="","",ISOWEEKNUM($K68))</x:f>
        <x:v>43</x:v>
      </x:c>
      <x:c r="D68" s="23">
        <x:f>IF($K68="","",IF(AND(IFERROR(INDEX(Einstellungen!$I$3:$I$22,MATCH($K68,Einstellungen!$H$3:$H$22,0)),"")&lt;&gt;"",IFERROR(INDEX(Einstellungen!$B$20:$B$119,MATCH($K68,Einstellungen!$A$20:$A$119,0)),"")&lt;&gt;""),IFERROR(INDEX(Einstellungen!$I$3:$I$22,MATCH($K68,Einstellungen!$H$3:$H$22,0)),"")&amp;" / "&amp;IFERROR(INDEX(Einstellungen!$B$20:$B$119,MATCH($K68,Einstellungen!$A$20:$A$119,0)),""),IF(IFERROR(INDEX(Einstellungen!$I$3:$I$22,MATCH($K68,Einstellungen!$H$3:$H$22,0)),"")&lt;&gt;"",IFERROR(INDEX(Einstellungen!$I$3:$I$22,MATCH($K68,Einstellungen!$H$3:$H$22,0)),""),IFERROR(INDEX(Einstellungen!$B$20:$B$119,MATCH($K68,Einstellungen!$A$20:$A$119,0)),""))))</x:f>
      </x:c>
      <x:c r="E68" s="24">
        <x:f>IF($K68="","",SUM(F68:J68))</x:f>
        <x:v>0</x:v>
      </x:c>
      <x:c r="F68" s="25" t="n"/>
      <x:c r="G68" s="25" t="n"/>
      <x:c r="H68" s="25" t="n"/>
      <x:c r="I68" s="25" t="n"/>
      <x:c r="J68" s="25" t="n"/>
      <x:c r="K68">
        <x:f>IF(26&lt;=DAY(EOMONTH($K41,0)),$K41+25,"")</x:f>
        <x:v>45956</x:v>
      </x:c>
    </x:row>
    <x:row r="69">
      <x:c r="A69" s="21">
        <x:f>IF($K69="","",DAY($K69))</x:f>
        <x:v>27</x:v>
      </x:c>
      <x:c r="B69" s="22" t="str">
        <x:f>IF($K69="","",CHOOSE(WEEKDAY($K69,2),"Mo","Di","Mi","Do","Fr","Sa","So"))</x:f>
        <x:v>Mo</x:v>
      </x:c>
      <x:c r="C69" s="22">
        <x:f>IF($K69="","",ISOWEEKNUM($K69))</x:f>
        <x:v>44</x:v>
      </x:c>
      <x:c r="D69" s="23">
        <x:f>IF($K69="","",IF(AND(IFERROR(INDEX(Einstellungen!$I$3:$I$22,MATCH($K69,Einstellungen!$H$3:$H$22,0)),"")&lt;&gt;"",IFERROR(INDEX(Einstellungen!$B$20:$B$119,MATCH($K69,Einstellungen!$A$20:$A$119,0)),"")&lt;&gt;""),IFERROR(INDEX(Einstellungen!$I$3:$I$22,MATCH($K69,Einstellungen!$H$3:$H$22,0)),"")&amp;" / "&amp;IFERROR(INDEX(Einstellungen!$B$20:$B$119,MATCH($K69,Einstellungen!$A$20:$A$119,0)),""),IF(IFERROR(INDEX(Einstellungen!$I$3:$I$22,MATCH($K69,Einstellungen!$H$3:$H$22,0)),"")&lt;&gt;"",IFERROR(INDEX(Einstellungen!$I$3:$I$22,MATCH($K69,Einstellungen!$H$3:$H$22,0)),""),IFERROR(INDEX(Einstellungen!$B$20:$B$119,MATCH($K69,Einstellungen!$A$20:$A$119,0)),""))))</x:f>
      </x:c>
      <x:c r="E69" s="24">
        <x:f>IF($K69="","",SUM(F69:J69))</x:f>
        <x:v>6.5</x:v>
      </x:c>
      <x:c r="F69" s="25" t="n">
        <x:v>1</x:v>
      </x:c>
      <x:c r="G69" s="25" t="n">
        <x:v>2</x:v>
      </x:c>
      <x:c r="H69" s="25" t="n">
        <x:v>1</x:v>
      </x:c>
      <x:c r="I69" s="25" t="n">
        <x:v>2</x:v>
      </x:c>
      <x:c r="J69" s="25" t="n">
        <x:v>0.5</x:v>
      </x:c>
      <x:c r="K69">
        <x:f>IF(27&lt;=DAY(EOMONTH($K41,0)),$K41+26,"")</x:f>
        <x:v>45957</x:v>
      </x:c>
    </x:row>
    <x:row r="70">
      <x:c r="A70" s="21">
        <x:f>IF($K70="","",DAY($K70))</x:f>
        <x:v>28</x:v>
      </x:c>
      <x:c r="B70" s="22" t="str">
        <x:f>IF($K70="","",CHOOSE(WEEKDAY($K70,2),"Mo","Di","Mi","Do","Fr","Sa","So"))</x:f>
        <x:v>Di</x:v>
      </x:c>
      <x:c r="C70" s="22">
        <x:f>IF($K70="","",ISOWEEKNUM($K70))</x:f>
        <x:v>44</x:v>
      </x:c>
      <x:c r="D70" s="23">
        <x:f>IF($K70="","",IF(AND(IFERROR(INDEX(Einstellungen!$I$3:$I$22,MATCH($K70,Einstellungen!$H$3:$H$22,0)),"")&lt;&gt;"",IFERROR(INDEX(Einstellungen!$B$20:$B$119,MATCH($K70,Einstellungen!$A$20:$A$119,0)),"")&lt;&gt;""),IFERROR(INDEX(Einstellungen!$I$3:$I$22,MATCH($K70,Einstellungen!$H$3:$H$22,0)),"")&amp;" / "&amp;IFERROR(INDEX(Einstellungen!$B$20:$B$119,MATCH($K70,Einstellungen!$A$20:$A$119,0)),""),IF(IFERROR(INDEX(Einstellungen!$I$3:$I$22,MATCH($K70,Einstellungen!$H$3:$H$22,0)),"")&lt;&gt;"",IFERROR(INDEX(Einstellungen!$I$3:$I$22,MATCH($K70,Einstellungen!$H$3:$H$22,0)),""),IFERROR(INDEX(Einstellungen!$B$20:$B$119,MATCH($K70,Einstellungen!$A$20:$A$119,0)),""))))</x:f>
      </x:c>
      <x:c r="E70" s="24">
        <x:f>IF($K70="","",SUM(F70:J70))</x:f>
        <x:v>6.5</x:v>
      </x:c>
      <x:c r="F70" s="25" t="n">
        <x:v>1.5</x:v>
      </x:c>
      <x:c r="G70" s="25" t="n">
        <x:v>2</x:v>
      </x:c>
      <x:c r="H70" s="25" t="n">
        <x:v>1</x:v>
      </x:c>
      <x:c r="I70" s="25" t="n">
        <x:v>2</x:v>
      </x:c>
      <x:c r="J70" s="25" t="n"/>
      <x:c r="K70">
        <x:f>IF(28&lt;=DAY(EOMONTH($K41,0)),$K41+27,"")</x:f>
        <x:v>45958</x:v>
      </x:c>
    </x:row>
    <x:row r="71">
      <x:c r="A71" s="21">
        <x:f>IF($K71="","",DAY($K71))</x:f>
        <x:v>29</x:v>
      </x:c>
      <x:c r="B71" s="22" t="str">
        <x:f>IF($K71="","",CHOOSE(WEEKDAY($K71,2),"Mo","Di","Mi","Do","Fr","Sa","So"))</x:f>
        <x:v>Mi</x:v>
      </x:c>
      <x:c r="C71" s="22">
        <x:f>IF($K71="","",ISOWEEKNUM($K71))</x:f>
        <x:v>44</x:v>
      </x:c>
      <x:c r="D71" s="23">
        <x:f>IF($K71="","",IF(AND(IFERROR(INDEX(Einstellungen!$I$3:$I$22,MATCH($K71,Einstellungen!$H$3:$H$22,0)),"")&lt;&gt;"",IFERROR(INDEX(Einstellungen!$B$20:$B$119,MATCH($K71,Einstellungen!$A$20:$A$119,0)),"")&lt;&gt;""),IFERROR(INDEX(Einstellungen!$I$3:$I$22,MATCH($K71,Einstellungen!$H$3:$H$22,0)),"")&amp;" / "&amp;IFERROR(INDEX(Einstellungen!$B$20:$B$119,MATCH($K71,Einstellungen!$A$20:$A$119,0)),""),IF(IFERROR(INDEX(Einstellungen!$I$3:$I$22,MATCH($K71,Einstellungen!$H$3:$H$22,0)),"")&lt;&gt;"",IFERROR(INDEX(Einstellungen!$I$3:$I$22,MATCH($K71,Einstellungen!$H$3:$H$22,0)),""),IFERROR(INDEX(Einstellungen!$B$20:$B$119,MATCH($K71,Einstellungen!$A$20:$A$119,0)),""))))</x:f>
      </x:c>
      <x:c r="E71" s="24">
        <x:f>IF($K71="","",SUM(F71:J71))</x:f>
        <x:v>7.5</x:v>
      </x:c>
      <x:c r="F71" s="25" t="n">
        <x:v>1</x:v>
      </x:c>
      <x:c r="G71" s="25" t="n">
        <x:v>2.5</x:v>
      </x:c>
      <x:c r="H71" s="25" t="n">
        <x:v>2</x:v>
      </x:c>
      <x:c r="I71" s="25" t="n">
        <x:v>1.5</x:v>
      </x:c>
      <x:c r="J71" s="25" t="n">
        <x:v>0.5</x:v>
      </x:c>
      <x:c r="K71">
        <x:f>IF(29&lt;=DAY(EOMONTH($K41,0)),$K41+28,"")</x:f>
        <x:v>45959</x:v>
      </x:c>
    </x:row>
    <x:row r="72">
      <x:c r="A72" s="21">
        <x:f>IF($K72="","",DAY($K72))</x:f>
        <x:v>30</x:v>
      </x:c>
      <x:c r="B72" s="22" t="str">
        <x:f>IF($K72="","",CHOOSE(WEEKDAY($K72,2),"Mo","Di","Mi","Do","Fr","Sa","So"))</x:f>
        <x:v>Do</x:v>
      </x:c>
      <x:c r="C72" s="22">
        <x:f>IF($K72="","",ISOWEEKNUM($K72))</x:f>
        <x:v>44</x:v>
      </x:c>
      <x:c r="D72" s="23">
        <x:f>IF($K72="","",IF(AND(IFERROR(INDEX(Einstellungen!$I$3:$I$22,MATCH($K72,Einstellungen!$H$3:$H$22,0)),"")&lt;&gt;"",IFERROR(INDEX(Einstellungen!$B$20:$B$119,MATCH($K72,Einstellungen!$A$20:$A$119,0)),"")&lt;&gt;""),IFERROR(INDEX(Einstellungen!$I$3:$I$22,MATCH($K72,Einstellungen!$H$3:$H$22,0)),"")&amp;" / "&amp;IFERROR(INDEX(Einstellungen!$B$20:$B$119,MATCH($K72,Einstellungen!$A$20:$A$119,0)),""),IF(IFERROR(INDEX(Einstellungen!$I$3:$I$22,MATCH($K72,Einstellungen!$H$3:$H$22,0)),"")&lt;&gt;"",IFERROR(INDEX(Einstellungen!$I$3:$I$22,MATCH($K72,Einstellungen!$H$3:$H$22,0)),""),IFERROR(INDEX(Einstellungen!$B$20:$B$119,MATCH($K72,Einstellungen!$A$20:$A$119,0)),""))))</x:f>
      </x:c>
      <x:c r="E72" s="24">
        <x:f>IF($K72="","",SUM(F72:J72))</x:f>
        <x:v>7</x:v>
      </x:c>
      <x:c r="F72" s="25" t="n">
        <x:v>1.5</x:v>
      </x:c>
      <x:c r="G72" s="25" t="n">
        <x:v>2</x:v>
      </x:c>
      <x:c r="H72" s="25" t="n">
        <x:v>1.5</x:v>
      </x:c>
      <x:c r="I72" s="25" t="n">
        <x:v>1.5</x:v>
      </x:c>
      <x:c r="J72" s="25" t="n">
        <x:v>0.5</x:v>
      </x:c>
      <x:c r="K72">
        <x:f>IF(30&lt;=DAY(EOMONTH($K41,0)),$K41+29,"")</x:f>
        <x:v>45960</x:v>
      </x:c>
    </x:row>
    <x:row r="73">
      <x:c r="A73" s="21">
        <x:f>IF($K73="","",DAY($K73))</x:f>
        <x:v>31</x:v>
      </x:c>
      <x:c r="B73" s="22" t="str">
        <x:f>IF($K73="","",CHOOSE(WEEKDAY($K73,2),"Mo","Di","Mi","Do","Fr","Sa","So"))</x:f>
        <x:v>Fr</x:v>
      </x:c>
      <x:c r="C73" s="22">
        <x:f>IF($K73="","",ISOWEEKNUM($K73))</x:f>
        <x:v>44</x:v>
      </x:c>
      <x:c r="D73" s="23">
        <x:f>IF($K73="","",IF(AND(IFERROR(INDEX(Einstellungen!$I$3:$I$22,MATCH($K73,Einstellungen!$H$3:$H$22,0)),"")&lt;&gt;"",IFERROR(INDEX(Einstellungen!$B$20:$B$119,MATCH($K73,Einstellungen!$A$20:$A$119,0)),"")&lt;&gt;""),IFERROR(INDEX(Einstellungen!$I$3:$I$22,MATCH($K73,Einstellungen!$H$3:$H$22,0)),"")&amp;" / "&amp;IFERROR(INDEX(Einstellungen!$B$20:$B$119,MATCH($K73,Einstellungen!$A$20:$A$119,0)),""),IF(IFERROR(INDEX(Einstellungen!$I$3:$I$22,MATCH($K73,Einstellungen!$H$3:$H$22,0)),"")&lt;&gt;"",IFERROR(INDEX(Einstellungen!$I$3:$I$22,MATCH($K73,Einstellungen!$H$3:$H$22,0)),""),IFERROR(INDEX(Einstellungen!$B$20:$B$119,MATCH($K73,Einstellungen!$A$20:$A$119,0)),""))))</x:f>
      </x:c>
      <x:c r="E73" s="24">
        <x:f>IF($K73="","",SUM(F73:J73))</x:f>
        <x:v>3</x:v>
      </x:c>
      <x:c r="F73" s="25" t="n">
        <x:v>1</x:v>
      </x:c>
      <x:c r="G73" s="25" t="n">
        <x:v>0.5</x:v>
      </x:c>
      <x:c r="H73" s="25" t="n">
        <x:v>0.5</x:v>
      </x:c>
      <x:c r="I73" s="25" t="n">
        <x:v>1</x:v>
      </x:c>
      <x:c r="J73" s="25" t="n"/>
      <x:c r="K73">
        <x:f>IF(31&lt;=DAY(EOMONTH($K41,0)),$K41+30,"")</x:f>
        <x:v>45961</x:v>
      </x:c>
    </x:row>
    <x:row r="74">
      <x:c r="A74" s="26" t="n"/>
      <x:c r="B74" s="26" t="n"/>
      <x:c r="C74" s="26" t="n"/>
      <x:c r="D74" s="26" t="n"/>
      <x:c r="E74" s="26" t="n"/>
      <x:c r="F74" s="26" t="n"/>
      <x:c r="G74" s="26" t="n"/>
      <x:c r="H74" s="26" t="n"/>
      <x:c r="I74" s="26" t="n"/>
      <x:c r="J74" s="26" t="n"/>
    </x:row>
    <x:row r="75">
      <x:c r="A75" s="18" t="str">
        <x:f>INDEX(Einstellungen!$F$2:$F$13,MONTH($K75))&amp;" "&amp;YEAR($K75)</x:f>
        <x:v>November 2025</x:v>
      </x:c>
      <x:c r="B75" s="36" t="n"/>
      <x:c r="C75" s="36" t="n"/>
      <x:c r="D75" s="36" t="n"/>
      <x:c r="E75" s="36" t="n"/>
      <x:c r="F75" s="36" t="n"/>
      <x:c r="G75" s="36" t="n"/>
      <x:c r="H75" s="36" t="n"/>
      <x:c r="I75" s="36" t="n"/>
      <x:c r="J75" s="37" t="n"/>
      <x:c r="K75">
        <x:f>EDATE(Einstellungen!$B$5,2)</x:f>
        <x:v>45962</x:v>
      </x:c>
    </x:row>
    <x:row r="76">
      <x:c r="A76" s="20" t="inlineStr">
        <x:is>
          <x:t xml:space="preserve">Datum</x:t>
        </x:is>
      </x:c>
      <x:c r="B76" s="20" t="inlineStr">
        <x:is>
          <x:t xml:space="preserve">Tag</x:t>
        </x:is>
      </x:c>
      <x:c r="C76" s="20" t="inlineStr">
        <x:is>
          <x:t xml:space="preserve">KW</x:t>
        </x:is>
      </x:c>
      <x:c r="D76" s="20" t="inlineStr">
        <x:is>
          <x:t xml:space="preserve">Feiertag</x:t>
        </x:is>
      </x:c>
      <x:c r="E76" s="20" t="inlineStr">
        <x:is>
          <x:t xml:space="preserve">Arbeitszeit</x:t>
        </x:is>
      </x:c>
      <x:c r="F76" s="20" t="str">
        <x:f>Einstellungen!$B$11</x:f>
        <x:v>E-Mail</x:v>
      </x:c>
      <x:c r="G76" s="20" t="str">
        <x:f>Einstellungen!$B$12</x:f>
        <x:v>Meetings</x:v>
      </x:c>
      <x:c r="H76" s="20" t="str">
        <x:f>Einstellungen!$B$13</x:f>
        <x:v>Telefonate</x:v>
      </x:c>
      <x:c r="I76" s="20" t="str">
        <x:f>Einstellungen!$B$14</x:f>
        <x:v>Dokumentation</x:v>
      </x:c>
      <x:c r="J76" s="20" t="str">
        <x:f>Einstellungen!$B$15</x:f>
        <x:v>Sonstiges</x:v>
      </x:c>
    </x:row>
    <x:row r="77">
      <x:c r="A77" s="21">
        <x:f>IF($K77="","",DAY($K77))</x:f>
        <x:v>1</x:v>
      </x:c>
      <x:c r="B77" s="22" t="str">
        <x:f>IF($K77="","",CHOOSE(WEEKDAY($K77,2),"Mo","Di","Mi","Do","Fr","Sa","So"))</x:f>
        <x:v>Sa</x:v>
      </x:c>
      <x:c r="C77" s="22">
        <x:f>IF($K77="","",ISOWEEKNUM($K77))</x:f>
        <x:v>44</x:v>
      </x:c>
      <x:c r="D77" s="23">
        <x:f>IF($K77="","",IF(AND(IFERROR(INDEX(Einstellungen!$I$3:$I$22,MATCH($K77,Einstellungen!$H$3:$H$22,0)),"")&lt;&gt;"",IFERROR(INDEX(Einstellungen!$B$20:$B$119,MATCH($K77,Einstellungen!$A$20:$A$119,0)),"")&lt;&gt;""),IFERROR(INDEX(Einstellungen!$I$3:$I$22,MATCH($K77,Einstellungen!$H$3:$H$22,0)),"")&amp;" / "&amp;IFERROR(INDEX(Einstellungen!$B$20:$B$119,MATCH($K77,Einstellungen!$A$20:$A$119,0)),""),IF(IFERROR(INDEX(Einstellungen!$I$3:$I$22,MATCH($K77,Einstellungen!$H$3:$H$22,0)),"")&lt;&gt;"",IFERROR(INDEX(Einstellungen!$I$3:$I$22,MATCH($K77,Einstellungen!$H$3:$H$22,0)),""),IFERROR(INDEX(Einstellungen!$B$20:$B$119,MATCH($K77,Einstellungen!$A$20:$A$119,0)),""))))</x:f>
      </x:c>
      <x:c r="E77" s="24">
        <x:f>IF($K77="","",SUM(F77:J77))</x:f>
        <x:v>0</x:v>
      </x:c>
      <x:c r="F77" s="25" t="n"/>
      <x:c r="G77" s="25" t="n"/>
      <x:c r="H77" s="25" t="n"/>
      <x:c r="I77" s="25" t="n"/>
      <x:c r="J77" s="25" t="n"/>
      <x:c r="K77">
        <x:f>IF(1&lt;=DAY(EOMONTH($K75,0)),$K75+0,"")</x:f>
        <x:v>45962</x:v>
      </x:c>
    </x:row>
    <x:row r="78">
      <x:c r="A78" s="21">
        <x:f>IF($K78="","",DAY($K78))</x:f>
        <x:v>2</x:v>
      </x:c>
      <x:c r="B78" s="22" t="str">
        <x:f>IF($K78="","",CHOOSE(WEEKDAY($K78,2),"Mo","Di","Mi","Do","Fr","Sa","So"))</x:f>
        <x:v>So</x:v>
      </x:c>
      <x:c r="C78" s="22">
        <x:f>IF($K78="","",ISOWEEKNUM($K78))</x:f>
        <x:v>44</x:v>
      </x:c>
      <x:c r="D78" s="23">
        <x:f>IF($K78="","",IF(AND(IFERROR(INDEX(Einstellungen!$I$3:$I$22,MATCH($K78,Einstellungen!$H$3:$H$22,0)),"")&lt;&gt;"",IFERROR(INDEX(Einstellungen!$B$20:$B$119,MATCH($K78,Einstellungen!$A$20:$A$119,0)),"")&lt;&gt;""),IFERROR(INDEX(Einstellungen!$I$3:$I$22,MATCH($K78,Einstellungen!$H$3:$H$22,0)),"")&amp;" / "&amp;IFERROR(INDEX(Einstellungen!$B$20:$B$119,MATCH($K78,Einstellungen!$A$20:$A$119,0)),""),IF(IFERROR(INDEX(Einstellungen!$I$3:$I$22,MATCH($K78,Einstellungen!$H$3:$H$22,0)),"")&lt;&gt;"",IFERROR(INDEX(Einstellungen!$I$3:$I$22,MATCH($K78,Einstellungen!$H$3:$H$22,0)),""),IFERROR(INDEX(Einstellungen!$B$20:$B$119,MATCH($K78,Einstellungen!$A$20:$A$119,0)),""))))</x:f>
      </x:c>
      <x:c r="E78" s="24">
        <x:f>IF($K78="","",SUM(F78:J78))</x:f>
        <x:v>0</x:v>
      </x:c>
      <x:c r="F78" s="25" t="n"/>
      <x:c r="G78" s="25" t="n"/>
      <x:c r="H78" s="25" t="n"/>
      <x:c r="I78" s="25" t="n"/>
      <x:c r="J78" s="25" t="n"/>
      <x:c r="K78">
        <x:f>IF(2&lt;=DAY(EOMONTH($K75,0)),$K75+1,"")</x:f>
        <x:v>45963</x:v>
      </x:c>
    </x:row>
    <x:row r="79">
      <x:c r="A79" s="21">
        <x:f>IF($K79="","",DAY($K79))</x:f>
        <x:v>3</x:v>
      </x:c>
      <x:c r="B79" s="22" t="str">
        <x:f>IF($K79="","",CHOOSE(WEEKDAY($K79,2),"Mo","Di","Mi","Do","Fr","Sa","So"))</x:f>
        <x:v>Mo</x:v>
      </x:c>
      <x:c r="C79" s="22">
        <x:f>IF($K79="","",ISOWEEKNUM($K79))</x:f>
        <x:v>45</x:v>
      </x:c>
      <x:c r="D79" s="23">
        <x:f>IF($K79="","",IF(AND(IFERROR(INDEX(Einstellungen!$I$3:$I$22,MATCH($K79,Einstellungen!$H$3:$H$22,0)),"")&lt;&gt;"",IFERROR(INDEX(Einstellungen!$B$20:$B$119,MATCH($K79,Einstellungen!$A$20:$A$119,0)),"")&lt;&gt;""),IFERROR(INDEX(Einstellungen!$I$3:$I$22,MATCH($K79,Einstellungen!$H$3:$H$22,0)),"")&amp;" / "&amp;IFERROR(INDEX(Einstellungen!$B$20:$B$119,MATCH($K79,Einstellungen!$A$20:$A$119,0)),""),IF(IFERROR(INDEX(Einstellungen!$I$3:$I$22,MATCH($K79,Einstellungen!$H$3:$H$22,0)),"")&lt;&gt;"",IFERROR(INDEX(Einstellungen!$I$3:$I$22,MATCH($K79,Einstellungen!$H$3:$H$22,0)),""),IFERROR(INDEX(Einstellungen!$B$20:$B$119,MATCH($K79,Einstellungen!$A$20:$A$119,0)),""))))</x:f>
      </x:c>
      <x:c r="E79" s="24">
        <x:f>IF($K79="","",SUM(F79:J79))</x:f>
        <x:v>6.5</x:v>
      </x:c>
      <x:c r="F79" s="25" t="n">
        <x:v>1</x:v>
      </x:c>
      <x:c r="G79" s="25" t="n">
        <x:v>2</x:v>
      </x:c>
      <x:c r="H79" s="25" t="n">
        <x:v>1</x:v>
      </x:c>
      <x:c r="I79" s="25" t="n">
        <x:v>2</x:v>
      </x:c>
      <x:c r="J79" s="25" t="n">
        <x:v>0.5</x:v>
      </x:c>
      <x:c r="K79">
        <x:f>IF(3&lt;=DAY(EOMONTH($K75,0)),$K75+2,"")</x:f>
        <x:v>45964</x:v>
      </x:c>
    </x:row>
    <x:row r="80">
      <x:c r="A80" s="21">
        <x:f>IF($K80="","",DAY($K80))</x:f>
        <x:v>4</x:v>
      </x:c>
      <x:c r="B80" s="22" t="str">
        <x:f>IF($K80="","",CHOOSE(WEEKDAY($K80,2),"Mo","Di","Mi","Do","Fr","Sa","So"))</x:f>
        <x:v>Di</x:v>
      </x:c>
      <x:c r="C80" s="22">
        <x:f>IF($K80="","",ISOWEEKNUM($K80))</x:f>
        <x:v>45</x:v>
      </x:c>
      <x:c r="D80" s="23">
        <x:f>IF($K80="","",IF(AND(IFERROR(INDEX(Einstellungen!$I$3:$I$22,MATCH($K80,Einstellungen!$H$3:$H$22,0)),"")&lt;&gt;"",IFERROR(INDEX(Einstellungen!$B$20:$B$119,MATCH($K80,Einstellungen!$A$20:$A$119,0)),"")&lt;&gt;""),IFERROR(INDEX(Einstellungen!$I$3:$I$22,MATCH($K80,Einstellungen!$H$3:$H$22,0)),"")&amp;" / "&amp;IFERROR(INDEX(Einstellungen!$B$20:$B$119,MATCH($K80,Einstellungen!$A$20:$A$119,0)),""),IF(IFERROR(INDEX(Einstellungen!$I$3:$I$22,MATCH($K80,Einstellungen!$H$3:$H$22,0)),"")&lt;&gt;"",IFERROR(INDEX(Einstellungen!$I$3:$I$22,MATCH($K80,Einstellungen!$H$3:$H$22,0)),""),IFERROR(INDEX(Einstellungen!$B$20:$B$119,MATCH($K80,Einstellungen!$A$20:$A$119,0)),""))))</x:f>
      </x:c>
      <x:c r="E80" s="24">
        <x:f>IF($K80="","",SUM(F80:J80))</x:f>
        <x:v>7.5</x:v>
      </x:c>
      <x:c r="F80" s="25" t="n">
        <x:v>1.5</x:v>
      </x:c>
      <x:c r="G80" s="25" t="n">
        <x:v>2.5</x:v>
      </x:c>
      <x:c r="H80" s="25" t="n">
        <x:v>1</x:v>
      </x:c>
      <x:c r="I80" s="25" t="n">
        <x:v>2</x:v>
      </x:c>
      <x:c r="J80" s="25" t="n">
        <x:v>0.5</x:v>
      </x:c>
      <x:c r="K80">
        <x:f>IF(4&lt;=DAY(EOMONTH($K75,0)),$K75+3,"")</x:f>
        <x:v>45965</x:v>
      </x:c>
    </x:row>
    <x:row r="81">
      <x:c r="A81" s="21">
        <x:f>IF($K81="","",DAY($K81))</x:f>
        <x:v>5</x:v>
      </x:c>
      <x:c r="B81" s="22" t="str">
        <x:f>IF($K81="","",CHOOSE(WEEKDAY($K81,2),"Mo","Di","Mi","Do","Fr","Sa","So"))</x:f>
        <x:v>Mi</x:v>
      </x:c>
      <x:c r="C81" s="22">
        <x:f>IF($K81="","",ISOWEEKNUM($K81))</x:f>
        <x:v>45</x:v>
      </x:c>
      <x:c r="D81" s="23">
        <x:f>IF($K81="","",IF(AND(IFERROR(INDEX(Einstellungen!$I$3:$I$22,MATCH($K81,Einstellungen!$H$3:$H$22,0)),"")&lt;&gt;"",IFERROR(INDEX(Einstellungen!$B$20:$B$119,MATCH($K81,Einstellungen!$A$20:$A$119,0)),"")&lt;&gt;""),IFERROR(INDEX(Einstellungen!$I$3:$I$22,MATCH($K81,Einstellungen!$H$3:$H$22,0)),"")&amp;" / "&amp;IFERROR(INDEX(Einstellungen!$B$20:$B$119,MATCH($K81,Einstellungen!$A$20:$A$119,0)),""),IF(IFERROR(INDEX(Einstellungen!$I$3:$I$22,MATCH($K81,Einstellungen!$H$3:$H$22,0)),"")&lt;&gt;"",IFERROR(INDEX(Einstellungen!$I$3:$I$22,MATCH($K81,Einstellungen!$H$3:$H$22,0)),""),IFERROR(INDEX(Einstellungen!$B$20:$B$119,MATCH($K81,Einstellungen!$A$20:$A$119,0)),""))))</x:f>
      </x:c>
      <x:c r="E81" s="24">
        <x:f>IF($K81="","",SUM(F81:J81))</x:f>
        <x:v>7</x:v>
      </x:c>
      <x:c r="F81" s="25" t="n">
        <x:v>1</x:v>
      </x:c>
      <x:c r="G81" s="25" t="n">
        <x:v>2.5</x:v>
      </x:c>
      <x:c r="H81" s="25" t="n">
        <x:v>1.5</x:v>
      </x:c>
      <x:c r="I81" s="25" t="n">
        <x:v>1.5</x:v>
      </x:c>
      <x:c r="J81" s="25" t="n">
        <x:v>0.5</x:v>
      </x:c>
      <x:c r="K81">
        <x:f>IF(5&lt;=DAY(EOMONTH($K75,0)),$K75+4,"")</x:f>
        <x:v>45966</x:v>
      </x:c>
    </x:row>
    <x:row r="82">
      <x:c r="A82" s="21">
        <x:f>IF($K82="","",DAY($K82))</x:f>
        <x:v>6</x:v>
      </x:c>
      <x:c r="B82" s="22" t="str">
        <x:f>IF($K82="","",CHOOSE(WEEKDAY($K82,2),"Mo","Di","Mi","Do","Fr","Sa","So"))</x:f>
        <x:v>Do</x:v>
      </x:c>
      <x:c r="C82" s="22">
        <x:f>IF($K82="","",ISOWEEKNUM($K82))</x:f>
        <x:v>45</x:v>
      </x:c>
      <x:c r="D82" s="23">
        <x:f>IF($K82="","",IF(AND(IFERROR(INDEX(Einstellungen!$I$3:$I$22,MATCH($K82,Einstellungen!$H$3:$H$22,0)),"")&lt;&gt;"",IFERROR(INDEX(Einstellungen!$B$20:$B$119,MATCH($K82,Einstellungen!$A$20:$A$119,0)),"")&lt;&gt;""),IFERROR(INDEX(Einstellungen!$I$3:$I$22,MATCH($K82,Einstellungen!$H$3:$H$22,0)),"")&amp;" / "&amp;IFERROR(INDEX(Einstellungen!$B$20:$B$119,MATCH($K82,Einstellungen!$A$20:$A$119,0)),""),IF(IFERROR(INDEX(Einstellungen!$I$3:$I$22,MATCH($K82,Einstellungen!$H$3:$H$22,0)),"")&lt;&gt;"",IFERROR(INDEX(Einstellungen!$I$3:$I$22,MATCH($K82,Einstellungen!$H$3:$H$22,0)),""),IFERROR(INDEX(Einstellungen!$B$20:$B$119,MATCH($K82,Einstellungen!$A$20:$A$119,0)),""))))</x:f>
      </x:c>
      <x:c r="E82" s="24">
        <x:f>IF($K82="","",SUM(F82:J82))</x:f>
        <x:v>7</x:v>
      </x:c>
      <x:c r="F82" s="25" t="n">
        <x:v>1.5</x:v>
      </x:c>
      <x:c r="G82" s="25" t="n">
        <x:v>2</x:v>
      </x:c>
      <x:c r="H82" s="25" t="n">
        <x:v>1.5</x:v>
      </x:c>
      <x:c r="I82" s="25" t="n">
        <x:v>1.5</x:v>
      </x:c>
      <x:c r="J82" s="25" t="n">
        <x:v>0.5</x:v>
      </x:c>
      <x:c r="K82">
        <x:f>IF(6&lt;=DAY(EOMONTH($K75,0)),$K75+5,"")</x:f>
        <x:v>45967</x:v>
      </x:c>
    </x:row>
    <x:row r="83">
      <x:c r="A83" s="21">
        <x:f>IF($K83="","",DAY($K83))</x:f>
        <x:v>7</x:v>
      </x:c>
      <x:c r="B83" s="22" t="str">
        <x:f>IF($K83="","",CHOOSE(WEEKDAY($K83,2),"Mo","Di","Mi","Do","Fr","Sa","So"))</x:f>
        <x:v>Fr</x:v>
      </x:c>
      <x:c r="C83" s="22">
        <x:f>IF($K83="","",ISOWEEKNUM($K83))</x:f>
        <x:v>45</x:v>
      </x:c>
      <x:c r="D83" s="23">
        <x:f>IF($K83="","",IF(AND(IFERROR(INDEX(Einstellungen!$I$3:$I$22,MATCH($K83,Einstellungen!$H$3:$H$22,0)),"")&lt;&gt;"",IFERROR(INDEX(Einstellungen!$B$20:$B$119,MATCH($K83,Einstellungen!$A$20:$A$119,0)),"")&lt;&gt;""),IFERROR(INDEX(Einstellungen!$I$3:$I$22,MATCH($K83,Einstellungen!$H$3:$H$22,0)),"")&amp;" / "&amp;IFERROR(INDEX(Einstellungen!$B$20:$B$119,MATCH($K83,Einstellungen!$A$20:$A$119,0)),""),IF(IFERROR(INDEX(Einstellungen!$I$3:$I$22,MATCH($K83,Einstellungen!$H$3:$H$22,0)),"")&lt;&gt;"",IFERROR(INDEX(Einstellungen!$I$3:$I$22,MATCH($K83,Einstellungen!$H$3:$H$22,0)),""),IFERROR(INDEX(Einstellungen!$B$20:$B$119,MATCH($K83,Einstellungen!$A$20:$A$119,0)),""))))</x:f>
      </x:c>
      <x:c r="E83" s="24">
        <x:f>IF($K83="","",SUM(F83:J83))</x:f>
        <x:v>5</x:v>
      </x:c>
      <x:c r="F83" s="25" t="n">
        <x:v>2</x:v>
      </x:c>
      <x:c r="G83" s="25" t="n">
        <x:v>1</x:v>
      </x:c>
      <x:c r="H83" s="25" t="n">
        <x:v>1</x:v>
      </x:c>
      <x:c r="I83" s="25" t="n">
        <x:v>1</x:v>
      </x:c>
      <x:c r="J83" s="25" t="n"/>
      <x:c r="K83">
        <x:f>IF(7&lt;=DAY(EOMONTH($K75,0)),$K75+6,"")</x:f>
        <x:v>45968</x:v>
      </x:c>
    </x:row>
    <x:row r="84">
      <x:c r="A84" s="21">
        <x:f>IF($K84="","",DAY($K84))</x:f>
        <x:v>8</x:v>
      </x:c>
      <x:c r="B84" s="22" t="str">
        <x:f>IF($K84="","",CHOOSE(WEEKDAY($K84,2),"Mo","Di","Mi","Do","Fr","Sa","So"))</x:f>
        <x:v>Sa</x:v>
      </x:c>
      <x:c r="C84" s="22">
        <x:f>IF($K84="","",ISOWEEKNUM($K84))</x:f>
        <x:v>45</x:v>
      </x:c>
      <x:c r="D84" s="23">
        <x:f>IF($K84="","",IF(AND(IFERROR(INDEX(Einstellungen!$I$3:$I$22,MATCH($K84,Einstellungen!$H$3:$H$22,0)),"")&lt;&gt;"",IFERROR(INDEX(Einstellungen!$B$20:$B$119,MATCH($K84,Einstellungen!$A$20:$A$119,0)),"")&lt;&gt;""),IFERROR(INDEX(Einstellungen!$I$3:$I$22,MATCH($K84,Einstellungen!$H$3:$H$22,0)),"")&amp;" / "&amp;IFERROR(INDEX(Einstellungen!$B$20:$B$119,MATCH($K84,Einstellungen!$A$20:$A$119,0)),""),IF(IFERROR(INDEX(Einstellungen!$I$3:$I$22,MATCH($K84,Einstellungen!$H$3:$H$22,0)),"")&lt;&gt;"",IFERROR(INDEX(Einstellungen!$I$3:$I$22,MATCH($K84,Einstellungen!$H$3:$H$22,0)),""),IFERROR(INDEX(Einstellungen!$B$20:$B$119,MATCH($K84,Einstellungen!$A$20:$A$119,0)),""))))</x:f>
      </x:c>
      <x:c r="E84" s="24">
        <x:f>IF($K84="","",SUM(F84:J84))</x:f>
        <x:v>0</x:v>
      </x:c>
      <x:c r="F84" s="25" t="n"/>
      <x:c r="G84" s="25" t="n"/>
      <x:c r="H84" s="25" t="n"/>
      <x:c r="I84" s="25" t="n"/>
      <x:c r="J84" s="25" t="n"/>
      <x:c r="K84">
        <x:f>IF(8&lt;=DAY(EOMONTH($K75,0)),$K75+7,"")</x:f>
        <x:v>45969</x:v>
      </x:c>
    </x:row>
    <x:row r="85">
      <x:c r="A85" s="21">
        <x:f>IF($K85="","",DAY($K85))</x:f>
        <x:v>9</x:v>
      </x:c>
      <x:c r="B85" s="22" t="str">
        <x:f>IF($K85="","",CHOOSE(WEEKDAY($K85,2),"Mo","Di","Mi","Do","Fr","Sa","So"))</x:f>
        <x:v>So</x:v>
      </x:c>
      <x:c r="C85" s="22">
        <x:f>IF($K85="","",ISOWEEKNUM($K85))</x:f>
        <x:v>45</x:v>
      </x:c>
      <x:c r="D85" s="23">
        <x:f>IF($K85="","",IF(AND(IFERROR(INDEX(Einstellungen!$I$3:$I$22,MATCH($K85,Einstellungen!$H$3:$H$22,0)),"")&lt;&gt;"",IFERROR(INDEX(Einstellungen!$B$20:$B$119,MATCH($K85,Einstellungen!$A$20:$A$119,0)),"")&lt;&gt;""),IFERROR(INDEX(Einstellungen!$I$3:$I$22,MATCH($K85,Einstellungen!$H$3:$H$22,0)),"")&amp;" / "&amp;IFERROR(INDEX(Einstellungen!$B$20:$B$119,MATCH($K85,Einstellungen!$A$20:$A$119,0)),""),IF(IFERROR(INDEX(Einstellungen!$I$3:$I$22,MATCH($K85,Einstellungen!$H$3:$H$22,0)),"")&lt;&gt;"",IFERROR(INDEX(Einstellungen!$I$3:$I$22,MATCH($K85,Einstellungen!$H$3:$H$22,0)),""),IFERROR(INDEX(Einstellungen!$B$20:$B$119,MATCH($K85,Einstellungen!$A$20:$A$119,0)),""))))</x:f>
      </x:c>
      <x:c r="E85" s="24">
        <x:f>IF($K85="","",SUM(F85:J85))</x:f>
        <x:v>0</x:v>
      </x:c>
      <x:c r="F85" s="25" t="n"/>
      <x:c r="G85" s="25" t="n"/>
      <x:c r="H85" s="25" t="n"/>
      <x:c r="I85" s="25" t="n"/>
      <x:c r="J85" s="25" t="n"/>
      <x:c r="K85">
        <x:f>IF(9&lt;=DAY(EOMONTH($K75,0)),$K75+8,"")</x:f>
        <x:v>45970</x:v>
      </x:c>
    </x:row>
    <x:row r="86">
      <x:c r="A86" s="21">
        <x:f>IF($K86="","",DAY($K86))</x:f>
        <x:v>10</x:v>
      </x:c>
      <x:c r="B86" s="22" t="str">
        <x:f>IF($K86="","",CHOOSE(WEEKDAY($K86,2),"Mo","Di","Mi","Do","Fr","Sa","So"))</x:f>
        <x:v>Mo</x:v>
      </x:c>
      <x:c r="C86" s="22">
        <x:f>IF($K86="","",ISOWEEKNUM($K86))</x:f>
        <x:v>46</x:v>
      </x:c>
      <x:c r="D86" s="23">
        <x:f>IF($K86="","",IF(AND(IFERROR(INDEX(Einstellungen!$I$3:$I$22,MATCH($K86,Einstellungen!$H$3:$H$22,0)),"")&lt;&gt;"",IFERROR(INDEX(Einstellungen!$B$20:$B$119,MATCH($K86,Einstellungen!$A$20:$A$119,0)),"")&lt;&gt;""),IFERROR(INDEX(Einstellungen!$I$3:$I$22,MATCH($K86,Einstellungen!$H$3:$H$22,0)),"")&amp;" / "&amp;IFERROR(INDEX(Einstellungen!$B$20:$B$119,MATCH($K86,Einstellungen!$A$20:$A$119,0)),""),IF(IFERROR(INDEX(Einstellungen!$I$3:$I$22,MATCH($K86,Einstellungen!$H$3:$H$22,0)),"")&lt;&gt;"",IFERROR(INDEX(Einstellungen!$I$3:$I$22,MATCH($K86,Einstellungen!$H$3:$H$22,0)),""),IFERROR(INDEX(Einstellungen!$B$20:$B$119,MATCH($K86,Einstellungen!$A$20:$A$119,0)),""))))</x:f>
      </x:c>
      <x:c r="E86" s="24">
        <x:f>IF($K86="","",SUM(F86:J86))</x:f>
        <x:v>7.5</x:v>
      </x:c>
      <x:c r="F86" s="25" t="n">
        <x:v>2</x:v>
      </x:c>
      <x:c r="G86" s="25" t="n">
        <x:v>2</x:v>
      </x:c>
      <x:c r="H86" s="25" t="n">
        <x:v>1</x:v>
      </x:c>
      <x:c r="I86" s="25" t="n">
        <x:v>2</x:v>
      </x:c>
      <x:c r="J86" s="25" t="n">
        <x:v>0.5</x:v>
      </x:c>
      <x:c r="K86">
        <x:f>IF(10&lt;=DAY(EOMONTH($K75,0)),$K75+9,"")</x:f>
        <x:v>45971</x:v>
      </x:c>
    </x:row>
    <x:row r="87">
      <x:c r="A87" s="21">
        <x:f>IF($K87="","",DAY($K87))</x:f>
        <x:v>11</x:v>
      </x:c>
      <x:c r="B87" s="22" t="str">
        <x:f>IF($K87="","",CHOOSE(WEEKDAY($K87,2),"Mo","Di","Mi","Do","Fr","Sa","So"))</x:f>
        <x:v>Di</x:v>
      </x:c>
      <x:c r="C87" s="22">
        <x:f>IF($K87="","",ISOWEEKNUM($K87))</x:f>
        <x:v>46</x:v>
      </x:c>
      <x:c r="D87" s="23">
        <x:f>IF($K87="","",IF(AND(IFERROR(INDEX(Einstellungen!$I$3:$I$22,MATCH($K87,Einstellungen!$H$3:$H$22,0)),"")&lt;&gt;"",IFERROR(INDEX(Einstellungen!$B$20:$B$119,MATCH($K87,Einstellungen!$A$20:$A$119,0)),"")&lt;&gt;""),IFERROR(INDEX(Einstellungen!$I$3:$I$22,MATCH($K87,Einstellungen!$H$3:$H$22,0)),"")&amp;" / "&amp;IFERROR(INDEX(Einstellungen!$B$20:$B$119,MATCH($K87,Einstellungen!$A$20:$A$119,0)),""),IF(IFERROR(INDEX(Einstellungen!$I$3:$I$22,MATCH($K87,Einstellungen!$H$3:$H$22,0)),"")&lt;&gt;"",IFERROR(INDEX(Einstellungen!$I$3:$I$22,MATCH($K87,Einstellungen!$H$3:$H$22,0)),""),IFERROR(INDEX(Einstellungen!$B$20:$B$119,MATCH($K87,Einstellungen!$A$20:$A$119,0)),""))))</x:f>
      </x:c>
      <x:c r="E87" s="24">
        <x:f>IF($K87="","",SUM(F87:J87))</x:f>
        <x:v>7</x:v>
      </x:c>
      <x:c r="F87" s="25" t="n">
        <x:v>1.5</x:v>
      </x:c>
      <x:c r="G87" s="25" t="n">
        <x:v>2</x:v>
      </x:c>
      <x:c r="H87" s="25" t="n">
        <x:v>1</x:v>
      </x:c>
      <x:c r="I87" s="25" t="n">
        <x:v>2</x:v>
      </x:c>
      <x:c r="J87" s="25" t="n">
        <x:v>0.5</x:v>
      </x:c>
      <x:c r="K87">
        <x:f>IF(11&lt;=DAY(EOMONTH($K75,0)),$K75+10,"")</x:f>
        <x:v>45972</x:v>
      </x:c>
    </x:row>
    <x:row r="88">
      <x:c r="A88" s="21">
        <x:f>IF($K88="","",DAY($K88))</x:f>
        <x:v>12</x:v>
      </x:c>
      <x:c r="B88" s="22" t="str">
        <x:f>IF($K88="","",CHOOSE(WEEKDAY($K88,2),"Mo","Di","Mi","Do","Fr","Sa","So"))</x:f>
        <x:v>Mi</x:v>
      </x:c>
      <x:c r="C88" s="22">
        <x:f>IF($K88="","",ISOWEEKNUM($K88))</x:f>
        <x:v>46</x:v>
      </x:c>
      <x:c r="D88" s="23" t="str">
        <x:f>IF($K88="","",IF(AND(IFERROR(INDEX(Einstellungen!$I$3:$I$22,MATCH($K88,Einstellungen!$H$3:$H$22,0)),"")&lt;&gt;"",IFERROR(INDEX(Einstellungen!$B$20:$B$119,MATCH($K88,Einstellungen!$A$20:$A$119,0)),"")&lt;&gt;""),IFERROR(INDEX(Einstellungen!$I$3:$I$22,MATCH($K88,Einstellungen!$H$3:$H$22,0)),"")&amp;" / "&amp;IFERROR(INDEX(Einstellungen!$B$20:$B$119,MATCH($K88,Einstellungen!$A$20:$A$119,0)),""),IF(IFERROR(INDEX(Einstellungen!$I$3:$I$22,MATCH($K88,Einstellungen!$H$3:$H$22,0)),"")&lt;&gt;"",IFERROR(INDEX(Einstellungen!$I$3:$I$22,MATCH($K88,Einstellungen!$H$3:$H$22,0)),""),IFERROR(INDEX(Einstellungen!$B$20:$B$119,MATCH($K88,Einstellungen!$A$20:$A$119,0)),""))))</x:f>
        <x:v>Schulung</x:v>
      </x:c>
      <x:c r="E88" s="24">
        <x:f>IF($K88="","",SUM(F88:J88))</x:f>
        <x:v>7</x:v>
      </x:c>
      <x:c r="F88" s="25" t="n">
        <x:v>0.5</x:v>
      </x:c>
      <x:c r="G88" s="25" t="n">
        <x:v>4</x:v>
      </x:c>
      <x:c r="H88" s="25" t="n">
        <x:v>0.5</x:v>
      </x:c>
      <x:c r="I88" s="25" t="n">
        <x:v>1.5</x:v>
      </x:c>
      <x:c r="J88" s="25" t="n">
        <x:v>0.5</x:v>
      </x:c>
      <x:c r="K88">
        <x:f>IF(12&lt;=DAY(EOMONTH($K75,0)),$K75+11,"")</x:f>
        <x:v>45973</x:v>
      </x:c>
    </x:row>
    <x:row r="89">
      <x:c r="A89" s="21">
        <x:f>IF($K89="","",DAY($K89))</x:f>
        <x:v>13</x:v>
      </x:c>
      <x:c r="B89" s="22" t="str">
        <x:f>IF($K89="","",CHOOSE(WEEKDAY($K89,2),"Mo","Di","Mi","Do","Fr","Sa","So"))</x:f>
        <x:v>Do</x:v>
      </x:c>
      <x:c r="C89" s="22">
        <x:f>IF($K89="","",ISOWEEKNUM($K89))</x:f>
        <x:v>46</x:v>
      </x:c>
      <x:c r="D89" s="23">
        <x:f>IF($K89="","",IF(AND(IFERROR(INDEX(Einstellungen!$I$3:$I$22,MATCH($K89,Einstellungen!$H$3:$H$22,0)),"")&lt;&gt;"",IFERROR(INDEX(Einstellungen!$B$20:$B$119,MATCH($K89,Einstellungen!$A$20:$A$119,0)),"")&lt;&gt;""),IFERROR(INDEX(Einstellungen!$I$3:$I$22,MATCH($K89,Einstellungen!$H$3:$H$22,0)),"")&amp;" / "&amp;IFERROR(INDEX(Einstellungen!$B$20:$B$119,MATCH($K89,Einstellungen!$A$20:$A$119,0)),""),IF(IFERROR(INDEX(Einstellungen!$I$3:$I$22,MATCH($K89,Einstellungen!$H$3:$H$22,0)),"")&lt;&gt;"",IFERROR(INDEX(Einstellungen!$I$3:$I$22,MATCH($K89,Einstellungen!$H$3:$H$22,0)),""),IFERROR(INDEX(Einstellungen!$B$20:$B$119,MATCH($K89,Einstellungen!$A$20:$A$119,0)),""))))</x:f>
      </x:c>
      <x:c r="E89" s="24">
        <x:f>IF($K89="","",SUM(F89:J89))</x:f>
        <x:v>8</x:v>
      </x:c>
      <x:c r="F89" s="25" t="n">
        <x:v>1.5</x:v>
      </x:c>
      <x:c r="G89" s="25" t="n">
        <x:v>2</x:v>
      </x:c>
      <x:c r="H89" s="25" t="n">
        <x:v>1.5</x:v>
      </x:c>
      <x:c r="I89" s="25" t="n">
        <x:v>2.5</x:v>
      </x:c>
      <x:c r="J89" s="25" t="n">
        <x:v>0.5</x:v>
      </x:c>
      <x:c r="K89">
        <x:f>IF(13&lt;=DAY(EOMONTH($K75,0)),$K75+12,"")</x:f>
        <x:v>45974</x:v>
      </x:c>
    </x:row>
    <x:row r="90">
      <x:c r="A90" s="21">
        <x:f>IF($K90="","",DAY($K90))</x:f>
        <x:v>14</x:v>
      </x:c>
      <x:c r="B90" s="22" t="str">
        <x:f>IF($K90="","",CHOOSE(WEEKDAY($K90,2),"Mo","Di","Mi","Do","Fr","Sa","So"))</x:f>
        <x:v>Fr</x:v>
      </x:c>
      <x:c r="C90" s="22">
        <x:f>IF($K90="","",ISOWEEKNUM($K90))</x:f>
        <x:v>46</x:v>
      </x:c>
      <x:c r="D90" s="23">
        <x:f>IF($K90="","",IF(AND(IFERROR(INDEX(Einstellungen!$I$3:$I$22,MATCH($K90,Einstellungen!$H$3:$H$22,0)),"")&lt;&gt;"",IFERROR(INDEX(Einstellungen!$B$20:$B$119,MATCH($K90,Einstellungen!$A$20:$A$119,0)),"")&lt;&gt;""),IFERROR(INDEX(Einstellungen!$I$3:$I$22,MATCH($K90,Einstellungen!$H$3:$H$22,0)),"")&amp;" / "&amp;IFERROR(INDEX(Einstellungen!$B$20:$B$119,MATCH($K90,Einstellungen!$A$20:$A$119,0)),""),IF(IFERROR(INDEX(Einstellungen!$I$3:$I$22,MATCH($K90,Einstellungen!$H$3:$H$22,0)),"")&lt;&gt;"",IFERROR(INDEX(Einstellungen!$I$3:$I$22,MATCH($K90,Einstellungen!$H$3:$H$22,0)),""),IFERROR(INDEX(Einstellungen!$B$20:$B$119,MATCH($K90,Einstellungen!$A$20:$A$119,0)),""))))</x:f>
      </x:c>
      <x:c r="E90" s="24">
        <x:f>IF($K90="","",SUM(F90:J90))</x:f>
        <x:v>5</x:v>
      </x:c>
      <x:c r="F90" s="25" t="n">
        <x:v>2</x:v>
      </x:c>
      <x:c r="G90" s="25" t="n">
        <x:v>1</x:v>
      </x:c>
      <x:c r="H90" s="25" t="n">
        <x:v>1</x:v>
      </x:c>
      <x:c r="I90" s="25" t="n">
        <x:v>1</x:v>
      </x:c>
      <x:c r="J90" s="25" t="n"/>
      <x:c r="K90">
        <x:f>IF(14&lt;=DAY(EOMONTH($K75,0)),$K75+13,"")</x:f>
        <x:v>45975</x:v>
      </x:c>
    </x:row>
    <x:row r="91">
      <x:c r="A91" s="21">
        <x:f>IF($K91="","",DAY($K91))</x:f>
        <x:v>15</x:v>
      </x:c>
      <x:c r="B91" s="22" t="str">
        <x:f>IF($K91="","",CHOOSE(WEEKDAY($K91,2),"Mo","Di","Mi","Do","Fr","Sa","So"))</x:f>
        <x:v>Sa</x:v>
      </x:c>
      <x:c r="C91" s="22">
        <x:f>IF($K91="","",ISOWEEKNUM($K91))</x:f>
        <x:v>46</x:v>
      </x:c>
      <x:c r="D91" s="23">
        <x:f>IF($K91="","",IF(AND(IFERROR(INDEX(Einstellungen!$I$3:$I$22,MATCH($K91,Einstellungen!$H$3:$H$22,0)),"")&lt;&gt;"",IFERROR(INDEX(Einstellungen!$B$20:$B$119,MATCH($K91,Einstellungen!$A$20:$A$119,0)),"")&lt;&gt;""),IFERROR(INDEX(Einstellungen!$I$3:$I$22,MATCH($K91,Einstellungen!$H$3:$H$22,0)),"")&amp;" / "&amp;IFERROR(INDEX(Einstellungen!$B$20:$B$119,MATCH($K91,Einstellungen!$A$20:$A$119,0)),""),IF(IFERROR(INDEX(Einstellungen!$I$3:$I$22,MATCH($K91,Einstellungen!$H$3:$H$22,0)),"")&lt;&gt;"",IFERROR(INDEX(Einstellungen!$I$3:$I$22,MATCH($K91,Einstellungen!$H$3:$H$22,0)),""),IFERROR(INDEX(Einstellungen!$B$20:$B$119,MATCH($K91,Einstellungen!$A$20:$A$119,0)),""))))</x:f>
      </x:c>
      <x:c r="E91" s="24">
        <x:f>IF($K91="","",SUM(F91:J91))</x:f>
        <x:v>0</x:v>
      </x:c>
      <x:c r="F91" s="25" t="n"/>
      <x:c r="G91" s="25" t="n"/>
      <x:c r="H91" s="25" t="n"/>
      <x:c r="I91" s="25" t="n"/>
      <x:c r="J91" s="25" t="n"/>
      <x:c r="K91">
        <x:f>IF(15&lt;=DAY(EOMONTH($K75,0)),$K75+14,"")</x:f>
        <x:v>45976</x:v>
      </x:c>
    </x:row>
    <x:row r="92">
      <x:c r="A92" s="21">
        <x:f>IF($K92="","",DAY($K92))</x:f>
        <x:v>16</x:v>
      </x:c>
      <x:c r="B92" s="22" t="str">
        <x:f>IF($K92="","",CHOOSE(WEEKDAY($K92,2),"Mo","Di","Mi","Do","Fr","Sa","So"))</x:f>
        <x:v>So</x:v>
      </x:c>
      <x:c r="C92" s="22">
        <x:f>IF($K92="","",ISOWEEKNUM($K92))</x:f>
        <x:v>46</x:v>
      </x:c>
      <x:c r="D92" s="23">
        <x:f>IF($K92="","",IF(AND(IFERROR(INDEX(Einstellungen!$I$3:$I$22,MATCH($K92,Einstellungen!$H$3:$H$22,0)),"")&lt;&gt;"",IFERROR(INDEX(Einstellungen!$B$20:$B$119,MATCH($K92,Einstellungen!$A$20:$A$119,0)),"")&lt;&gt;""),IFERROR(INDEX(Einstellungen!$I$3:$I$22,MATCH($K92,Einstellungen!$H$3:$H$22,0)),"")&amp;" / "&amp;IFERROR(INDEX(Einstellungen!$B$20:$B$119,MATCH($K92,Einstellungen!$A$20:$A$119,0)),""),IF(IFERROR(INDEX(Einstellungen!$I$3:$I$22,MATCH($K92,Einstellungen!$H$3:$H$22,0)),"")&lt;&gt;"",IFERROR(INDEX(Einstellungen!$I$3:$I$22,MATCH($K92,Einstellungen!$H$3:$H$22,0)),""),IFERROR(INDEX(Einstellungen!$B$20:$B$119,MATCH($K92,Einstellungen!$A$20:$A$119,0)),""))))</x:f>
      </x:c>
      <x:c r="E92" s="24">
        <x:f>IF($K92="","",SUM(F92:J92))</x:f>
        <x:v>0</x:v>
      </x:c>
      <x:c r="F92" s="25" t="n"/>
      <x:c r="G92" s="25" t="n"/>
      <x:c r="H92" s="25" t="n"/>
      <x:c r="I92" s="25" t="n"/>
      <x:c r="J92" s="25" t="n"/>
      <x:c r="K92">
        <x:f>IF(16&lt;=DAY(EOMONTH($K75,0)),$K75+15,"")</x:f>
        <x:v>45977</x:v>
      </x:c>
    </x:row>
    <x:row r="93">
      <x:c r="A93" s="21">
        <x:f>IF($K93="","",DAY($K93))</x:f>
        <x:v>17</x:v>
      </x:c>
      <x:c r="B93" s="22" t="str">
        <x:f>IF($K93="","",CHOOSE(WEEKDAY($K93,2),"Mo","Di","Mi","Do","Fr","Sa","So"))</x:f>
        <x:v>Mo</x:v>
      </x:c>
      <x:c r="C93" s="22">
        <x:f>IF($K93="","",ISOWEEKNUM($K93))</x:f>
        <x:v>47</x:v>
      </x:c>
      <x:c r="D93" s="23">
        <x:f>IF($K93="","",IF(AND(IFERROR(INDEX(Einstellungen!$I$3:$I$22,MATCH($K93,Einstellungen!$H$3:$H$22,0)),"")&lt;&gt;"",IFERROR(INDEX(Einstellungen!$B$20:$B$119,MATCH($K93,Einstellungen!$A$20:$A$119,0)),"")&lt;&gt;""),IFERROR(INDEX(Einstellungen!$I$3:$I$22,MATCH($K93,Einstellungen!$H$3:$H$22,0)),"")&amp;" / "&amp;IFERROR(INDEX(Einstellungen!$B$20:$B$119,MATCH($K93,Einstellungen!$A$20:$A$119,0)),""),IF(IFERROR(INDEX(Einstellungen!$I$3:$I$22,MATCH($K93,Einstellungen!$H$3:$H$22,0)),"")&lt;&gt;"",IFERROR(INDEX(Einstellungen!$I$3:$I$22,MATCH($K93,Einstellungen!$H$3:$H$22,0)),""),IFERROR(INDEX(Einstellungen!$B$20:$B$119,MATCH($K93,Einstellungen!$A$20:$A$119,0)),""))))</x:f>
      </x:c>
      <x:c r="E93" s="24">
        <x:f>IF($K93="","",SUM(F93:J93))</x:f>
        <x:v>7</x:v>
      </x:c>
      <x:c r="F93" s="25" t="n">
        <x:v>1.5</x:v>
      </x:c>
      <x:c r="G93" s="25" t="n">
        <x:v>2</x:v>
      </x:c>
      <x:c r="H93" s="25" t="n">
        <x:v>1</x:v>
      </x:c>
      <x:c r="I93" s="25" t="n">
        <x:v>2</x:v>
      </x:c>
      <x:c r="J93" s="25" t="n">
        <x:v>0.5</x:v>
      </x:c>
      <x:c r="K93">
        <x:f>IF(17&lt;=DAY(EOMONTH($K75,0)),$K75+16,"")</x:f>
        <x:v>45978</x:v>
      </x:c>
    </x:row>
    <x:row r="94">
      <x:c r="A94" s="21">
        <x:f>IF($K94="","",DAY($K94))</x:f>
        <x:v>18</x:v>
      </x:c>
      <x:c r="B94" s="22" t="str">
        <x:f>IF($K94="","",CHOOSE(WEEKDAY($K94,2),"Mo","Di","Mi","Do","Fr","Sa","So"))</x:f>
        <x:v>Di</x:v>
      </x:c>
      <x:c r="C94" s="22">
        <x:f>IF($K94="","",ISOWEEKNUM($K94))</x:f>
        <x:v>47</x:v>
      </x:c>
      <x:c r="D94" s="23">
        <x:f>IF($K94="","",IF(AND(IFERROR(INDEX(Einstellungen!$I$3:$I$22,MATCH($K94,Einstellungen!$H$3:$H$22,0)),"")&lt;&gt;"",IFERROR(INDEX(Einstellungen!$B$20:$B$119,MATCH($K94,Einstellungen!$A$20:$A$119,0)),"")&lt;&gt;""),IFERROR(INDEX(Einstellungen!$I$3:$I$22,MATCH($K94,Einstellungen!$H$3:$H$22,0)),"")&amp;" / "&amp;IFERROR(INDEX(Einstellungen!$B$20:$B$119,MATCH($K94,Einstellungen!$A$20:$A$119,0)),""),IF(IFERROR(INDEX(Einstellungen!$I$3:$I$22,MATCH($K94,Einstellungen!$H$3:$H$22,0)),"")&lt;&gt;"",IFERROR(INDEX(Einstellungen!$I$3:$I$22,MATCH($K94,Einstellungen!$H$3:$H$22,0)),""),IFERROR(INDEX(Einstellungen!$B$20:$B$119,MATCH($K94,Einstellungen!$A$20:$A$119,0)),""))))</x:f>
      </x:c>
      <x:c r="E94" s="24">
        <x:f>IF($K94="","",SUM(F94:J94))</x:f>
        <x:v>6.5</x:v>
      </x:c>
      <x:c r="F94" s="25" t="n">
        <x:v>1.5</x:v>
      </x:c>
      <x:c r="G94" s="25" t="n">
        <x:v>1.5</x:v>
      </x:c>
      <x:c r="H94" s="25" t="n">
        <x:v>1</x:v>
      </x:c>
      <x:c r="I94" s="25" t="n">
        <x:v>2</x:v>
      </x:c>
      <x:c r="J94" s="25" t="n">
        <x:v>0.5</x:v>
      </x:c>
      <x:c r="K94">
        <x:f>IF(18&lt;=DAY(EOMONTH($K75,0)),$K75+17,"")</x:f>
        <x:v>45979</x:v>
      </x:c>
    </x:row>
    <x:row r="95">
      <x:c r="A95" s="21">
        <x:f>IF($K95="","",DAY($K95))</x:f>
        <x:v>19</x:v>
      </x:c>
      <x:c r="B95" s="22" t="str">
        <x:f>IF($K95="","",CHOOSE(WEEKDAY($K95,2),"Mo","Di","Mi","Do","Fr","Sa","So"))</x:f>
        <x:v>Mi</x:v>
      </x:c>
      <x:c r="C95" s="22">
        <x:f>IF($K95="","",ISOWEEKNUM($K95))</x:f>
        <x:v>47</x:v>
      </x:c>
      <x:c r="D95" s="23">
        <x:f>IF($K95="","",IF(AND(IFERROR(INDEX(Einstellungen!$I$3:$I$22,MATCH($K95,Einstellungen!$H$3:$H$22,0)),"")&lt;&gt;"",IFERROR(INDEX(Einstellungen!$B$20:$B$119,MATCH($K95,Einstellungen!$A$20:$A$119,0)),"")&lt;&gt;""),IFERROR(INDEX(Einstellungen!$I$3:$I$22,MATCH($K95,Einstellungen!$H$3:$H$22,0)),"")&amp;" / "&amp;IFERROR(INDEX(Einstellungen!$B$20:$B$119,MATCH($K95,Einstellungen!$A$20:$A$119,0)),""),IF(IFERROR(INDEX(Einstellungen!$I$3:$I$22,MATCH($K95,Einstellungen!$H$3:$H$22,0)),"")&lt;&gt;"",IFERROR(INDEX(Einstellungen!$I$3:$I$22,MATCH($K95,Einstellungen!$H$3:$H$22,0)),""),IFERROR(INDEX(Einstellungen!$B$20:$B$119,MATCH($K95,Einstellungen!$A$20:$A$119,0)),""))))</x:f>
      </x:c>
      <x:c r="E95" s="24">
        <x:f>IF($K95="","",SUM(F95:J95))</x:f>
        <x:v>7.5</x:v>
      </x:c>
      <x:c r="F95" s="25" t="n">
        <x:v>1</x:v>
      </x:c>
      <x:c r="G95" s="25" t="n">
        <x:v>2.5</x:v>
      </x:c>
      <x:c r="H95" s="25" t="n">
        <x:v>2</x:v>
      </x:c>
      <x:c r="I95" s="25" t="n">
        <x:v>1.5</x:v>
      </x:c>
      <x:c r="J95" s="25" t="n">
        <x:v>0.5</x:v>
      </x:c>
      <x:c r="K95">
        <x:f>IF(19&lt;=DAY(EOMONTH($K75,0)),$K75+18,"")</x:f>
        <x:v>45980</x:v>
      </x:c>
    </x:row>
    <x:row r="96">
      <x:c r="A96" s="21">
        <x:f>IF($K96="","",DAY($K96))</x:f>
        <x:v>20</x:v>
      </x:c>
      <x:c r="B96" s="22" t="str">
        <x:f>IF($K96="","",CHOOSE(WEEKDAY($K96,2),"Mo","Di","Mi","Do","Fr","Sa","So"))</x:f>
        <x:v>Do</x:v>
      </x:c>
      <x:c r="C96" s="22">
        <x:f>IF($K96="","",ISOWEEKNUM($K96))</x:f>
        <x:v>47</x:v>
      </x:c>
      <x:c r="D96" s="23">
        <x:f>IF($K96="","",IF(AND(IFERROR(INDEX(Einstellungen!$I$3:$I$22,MATCH($K96,Einstellungen!$H$3:$H$22,0)),"")&lt;&gt;"",IFERROR(INDEX(Einstellungen!$B$20:$B$119,MATCH($K96,Einstellungen!$A$20:$A$119,0)),"")&lt;&gt;""),IFERROR(INDEX(Einstellungen!$I$3:$I$22,MATCH($K96,Einstellungen!$H$3:$H$22,0)),"")&amp;" / "&amp;IFERROR(INDEX(Einstellungen!$B$20:$B$119,MATCH($K96,Einstellungen!$A$20:$A$119,0)),""),IF(IFERROR(INDEX(Einstellungen!$I$3:$I$22,MATCH($K96,Einstellungen!$H$3:$H$22,0)),"")&lt;&gt;"",IFERROR(INDEX(Einstellungen!$I$3:$I$22,MATCH($K96,Einstellungen!$H$3:$H$22,0)),""),IFERROR(INDEX(Einstellungen!$B$20:$B$119,MATCH($K96,Einstellungen!$A$20:$A$119,0)),""))))</x:f>
      </x:c>
      <x:c r="E96" s="24">
        <x:f>IF($K96="","",SUM(F96:J96))</x:f>
        <x:v>7.5</x:v>
      </x:c>
      <x:c r="F96" s="25" t="n">
        <x:v>1.5</x:v>
      </x:c>
      <x:c r="G96" s="25" t="n">
        <x:v>2</x:v>
      </x:c>
      <x:c r="H96" s="25" t="n">
        <x:v>1.5</x:v>
      </x:c>
      <x:c r="I96" s="25" t="n">
        <x:v>2</x:v>
      </x:c>
      <x:c r="J96" s="25" t="n">
        <x:v>0.5</x:v>
      </x:c>
      <x:c r="K96">
        <x:f>IF(20&lt;=DAY(EOMONTH($K75,0)),$K75+19,"")</x:f>
        <x:v>45981</x:v>
      </x:c>
    </x:row>
    <x:row r="97">
      <x:c r="A97" s="21">
        <x:f>IF($K97="","",DAY($K97))</x:f>
        <x:v>21</x:v>
      </x:c>
      <x:c r="B97" s="22" t="str">
        <x:f>IF($K97="","",CHOOSE(WEEKDAY($K97,2),"Mo","Di","Mi","Do","Fr","Sa","So"))</x:f>
        <x:v>Fr</x:v>
      </x:c>
      <x:c r="C97" s="22">
        <x:f>IF($K97="","",ISOWEEKNUM($K97))</x:f>
        <x:v>47</x:v>
      </x:c>
      <x:c r="D97" s="23">
        <x:f>IF($K97="","",IF(AND(IFERROR(INDEX(Einstellungen!$I$3:$I$22,MATCH($K97,Einstellungen!$H$3:$H$22,0)),"")&lt;&gt;"",IFERROR(INDEX(Einstellungen!$B$20:$B$119,MATCH($K97,Einstellungen!$A$20:$A$119,0)),"")&lt;&gt;""),IFERROR(INDEX(Einstellungen!$I$3:$I$22,MATCH($K97,Einstellungen!$H$3:$H$22,0)),"")&amp;" / "&amp;IFERROR(INDEX(Einstellungen!$B$20:$B$119,MATCH($K97,Einstellungen!$A$20:$A$119,0)),""),IF(IFERROR(INDEX(Einstellungen!$I$3:$I$22,MATCH($K97,Einstellungen!$H$3:$H$22,0)),"")&lt;&gt;"",IFERROR(INDEX(Einstellungen!$I$3:$I$22,MATCH($K97,Einstellungen!$H$3:$H$22,0)),""),IFERROR(INDEX(Einstellungen!$B$20:$B$119,MATCH($K97,Einstellungen!$A$20:$A$119,0)),""))))</x:f>
      </x:c>
      <x:c r="E97" s="24">
        <x:f>IF($K97="","",SUM(F97:J97))</x:f>
        <x:v>3</x:v>
      </x:c>
      <x:c r="F97" s="25" t="n">
        <x:v>1</x:v>
      </x:c>
      <x:c r="G97" s="25" t="n">
        <x:v>0.5</x:v>
      </x:c>
      <x:c r="H97" s="25" t="n">
        <x:v>0.5</x:v>
      </x:c>
      <x:c r="I97" s="25" t="n">
        <x:v>1</x:v>
      </x:c>
      <x:c r="J97" s="25" t="n"/>
      <x:c r="K97">
        <x:f>IF(21&lt;=DAY(EOMONTH($K75,0)),$K75+20,"")</x:f>
        <x:v>45982</x:v>
      </x:c>
    </x:row>
    <x:row r="98">
      <x:c r="A98" s="21">
        <x:f>IF($K98="","",DAY($K98))</x:f>
        <x:v>22</x:v>
      </x:c>
      <x:c r="B98" s="22" t="str">
        <x:f>IF($K98="","",CHOOSE(WEEKDAY($K98,2),"Mo","Di","Mi","Do","Fr","Sa","So"))</x:f>
        <x:v>Sa</x:v>
      </x:c>
      <x:c r="C98" s="22">
        <x:f>IF($K98="","",ISOWEEKNUM($K98))</x:f>
        <x:v>47</x:v>
      </x:c>
      <x:c r="D98" s="23">
        <x:f>IF($K98="","",IF(AND(IFERROR(INDEX(Einstellungen!$I$3:$I$22,MATCH($K98,Einstellungen!$H$3:$H$22,0)),"")&lt;&gt;"",IFERROR(INDEX(Einstellungen!$B$20:$B$119,MATCH($K98,Einstellungen!$A$20:$A$119,0)),"")&lt;&gt;""),IFERROR(INDEX(Einstellungen!$I$3:$I$22,MATCH($K98,Einstellungen!$H$3:$H$22,0)),"")&amp;" / "&amp;IFERROR(INDEX(Einstellungen!$B$20:$B$119,MATCH($K98,Einstellungen!$A$20:$A$119,0)),""),IF(IFERROR(INDEX(Einstellungen!$I$3:$I$22,MATCH($K98,Einstellungen!$H$3:$H$22,0)),"")&lt;&gt;"",IFERROR(INDEX(Einstellungen!$I$3:$I$22,MATCH($K98,Einstellungen!$H$3:$H$22,0)),""),IFERROR(INDEX(Einstellungen!$B$20:$B$119,MATCH($K98,Einstellungen!$A$20:$A$119,0)),""))))</x:f>
      </x:c>
      <x:c r="E98" s="24">
        <x:f>IF($K98="","",SUM(F98:J98))</x:f>
        <x:v>0</x:v>
      </x:c>
      <x:c r="F98" s="25" t="n"/>
      <x:c r="G98" s="25" t="n"/>
      <x:c r="H98" s="25" t="n"/>
      <x:c r="I98" s="25" t="n"/>
      <x:c r="J98" s="25" t="n"/>
      <x:c r="K98">
        <x:f>IF(22&lt;=DAY(EOMONTH($K75,0)),$K75+21,"")</x:f>
        <x:v>45983</x:v>
      </x:c>
    </x:row>
    <x:row r="99">
      <x:c r="A99" s="21">
        <x:f>IF($K99="","",DAY($K99))</x:f>
        <x:v>23</x:v>
      </x:c>
      <x:c r="B99" s="22" t="str">
        <x:f>IF($K99="","",CHOOSE(WEEKDAY($K99,2),"Mo","Di","Mi","Do","Fr","Sa","So"))</x:f>
        <x:v>So</x:v>
      </x:c>
      <x:c r="C99" s="22">
        <x:f>IF($K99="","",ISOWEEKNUM($K99))</x:f>
        <x:v>47</x:v>
      </x:c>
      <x:c r="D99" s="23">
        <x:f>IF($K99="","",IF(AND(IFERROR(INDEX(Einstellungen!$I$3:$I$22,MATCH($K99,Einstellungen!$H$3:$H$22,0)),"")&lt;&gt;"",IFERROR(INDEX(Einstellungen!$B$20:$B$119,MATCH($K99,Einstellungen!$A$20:$A$119,0)),"")&lt;&gt;""),IFERROR(INDEX(Einstellungen!$I$3:$I$22,MATCH($K99,Einstellungen!$H$3:$H$22,0)),"")&amp;" / "&amp;IFERROR(INDEX(Einstellungen!$B$20:$B$119,MATCH($K99,Einstellungen!$A$20:$A$119,0)),""),IF(IFERROR(INDEX(Einstellungen!$I$3:$I$22,MATCH($K99,Einstellungen!$H$3:$H$22,0)),"")&lt;&gt;"",IFERROR(INDEX(Einstellungen!$I$3:$I$22,MATCH($K99,Einstellungen!$H$3:$H$22,0)),""),IFERROR(INDEX(Einstellungen!$B$20:$B$119,MATCH($K99,Einstellungen!$A$20:$A$119,0)),""))))</x:f>
      </x:c>
      <x:c r="E99" s="24">
        <x:f>IF($K99="","",SUM(F99:J99))</x:f>
        <x:v>0</x:v>
      </x:c>
      <x:c r="F99" s="25" t="n"/>
      <x:c r="G99" s="25" t="n"/>
      <x:c r="H99" s="25" t="n"/>
      <x:c r="I99" s="25" t="n"/>
      <x:c r="J99" s="25" t="n"/>
      <x:c r="K99">
        <x:f>IF(23&lt;=DAY(EOMONTH($K75,0)),$K75+22,"")</x:f>
        <x:v>45984</x:v>
      </x:c>
    </x:row>
    <x:row r="100">
      <x:c r="A100" s="21">
        <x:f>IF($K100="","",DAY($K100))</x:f>
        <x:v>24</x:v>
      </x:c>
      <x:c r="B100" s="22" t="str">
        <x:f>IF($K100="","",CHOOSE(WEEKDAY($K100,2),"Mo","Di","Mi","Do","Fr","Sa","So"))</x:f>
        <x:v>Mo</x:v>
      </x:c>
      <x:c r="C100" s="22">
        <x:f>IF($K100="","",ISOWEEKNUM($K100))</x:f>
        <x:v>48</x:v>
      </x:c>
      <x:c r="D100" s="23">
        <x:f>IF($K100="","",IF(AND(IFERROR(INDEX(Einstellungen!$I$3:$I$22,MATCH($K100,Einstellungen!$H$3:$H$22,0)),"")&lt;&gt;"",IFERROR(INDEX(Einstellungen!$B$20:$B$119,MATCH($K100,Einstellungen!$A$20:$A$119,0)),"")&lt;&gt;""),IFERROR(INDEX(Einstellungen!$I$3:$I$22,MATCH($K100,Einstellungen!$H$3:$H$22,0)),"")&amp;" / "&amp;IFERROR(INDEX(Einstellungen!$B$20:$B$119,MATCH($K100,Einstellungen!$A$20:$A$119,0)),""),IF(IFERROR(INDEX(Einstellungen!$I$3:$I$22,MATCH($K100,Einstellungen!$H$3:$H$22,0)),"")&lt;&gt;"",IFERROR(INDEX(Einstellungen!$I$3:$I$22,MATCH($K100,Einstellungen!$H$3:$H$22,0)),""),IFERROR(INDEX(Einstellungen!$B$20:$B$119,MATCH($K100,Einstellungen!$A$20:$A$119,0)),""))))</x:f>
      </x:c>
      <x:c r="E100" s="24">
        <x:f>IF($K100="","",SUM(F100:J100))</x:f>
        <x:v>6.5</x:v>
      </x:c>
      <x:c r="F100" s="25" t="n">
        <x:v>1</x:v>
      </x:c>
      <x:c r="G100" s="25" t="n">
        <x:v>2</x:v>
      </x:c>
      <x:c r="H100" s="25" t="n">
        <x:v>1</x:v>
      </x:c>
      <x:c r="I100" s="25" t="n">
        <x:v>2</x:v>
      </x:c>
      <x:c r="J100" s="25" t="n">
        <x:v>0.5</x:v>
      </x:c>
      <x:c r="K100">
        <x:f>IF(24&lt;=DAY(EOMONTH($K75,0)),$K75+23,"")</x:f>
        <x:v>45985</x:v>
      </x:c>
    </x:row>
    <x:row r="101">
      <x:c r="A101" s="21">
        <x:f>IF($K101="","",DAY($K101))</x:f>
        <x:v>25</x:v>
      </x:c>
      <x:c r="B101" s="22" t="str">
        <x:f>IF($K101="","",CHOOSE(WEEKDAY($K101,2),"Mo","Di","Mi","Do","Fr","Sa","So"))</x:f>
        <x:v>Di</x:v>
      </x:c>
      <x:c r="C101" s="22">
        <x:f>IF($K101="","",ISOWEEKNUM($K101))</x:f>
        <x:v>48</x:v>
      </x:c>
      <x:c r="D101" s="23">
        <x:f>IF($K101="","",IF(AND(IFERROR(INDEX(Einstellungen!$I$3:$I$22,MATCH($K101,Einstellungen!$H$3:$H$22,0)),"")&lt;&gt;"",IFERROR(INDEX(Einstellungen!$B$20:$B$119,MATCH($K101,Einstellungen!$A$20:$A$119,0)),"")&lt;&gt;""),IFERROR(INDEX(Einstellungen!$I$3:$I$22,MATCH($K101,Einstellungen!$H$3:$H$22,0)),"")&amp;" / "&amp;IFERROR(INDEX(Einstellungen!$B$20:$B$119,MATCH($K101,Einstellungen!$A$20:$A$119,0)),""),IF(IFERROR(INDEX(Einstellungen!$I$3:$I$22,MATCH($K101,Einstellungen!$H$3:$H$22,0)),"")&lt;&gt;"",IFERROR(INDEX(Einstellungen!$I$3:$I$22,MATCH($K101,Einstellungen!$H$3:$H$22,0)),""),IFERROR(INDEX(Einstellungen!$B$20:$B$119,MATCH($K101,Einstellungen!$A$20:$A$119,0)),""))))</x:f>
      </x:c>
      <x:c r="E101" s="24">
        <x:f>IF($K101="","",SUM(F101:J101))</x:f>
        <x:v>7.5</x:v>
      </x:c>
      <x:c r="F101" s="25" t="n">
        <x:v>1.5</x:v>
      </x:c>
      <x:c r="G101" s="25" t="n">
        <x:v>2.5</x:v>
      </x:c>
      <x:c r="H101" s="25" t="n">
        <x:v>1</x:v>
      </x:c>
      <x:c r="I101" s="25" t="n">
        <x:v>2</x:v>
      </x:c>
      <x:c r="J101" s="25" t="n">
        <x:v>0.5</x:v>
      </x:c>
      <x:c r="K101">
        <x:f>IF(25&lt;=DAY(EOMONTH($K75,0)),$K75+24,"")</x:f>
        <x:v>45986</x:v>
      </x:c>
    </x:row>
    <x:row r="102">
      <x:c r="A102" s="21">
        <x:f>IF($K102="","",DAY($K102))</x:f>
        <x:v>26</x:v>
      </x:c>
      <x:c r="B102" s="22" t="str">
        <x:f>IF($K102="","",CHOOSE(WEEKDAY($K102,2),"Mo","Di","Mi","Do","Fr","Sa","So"))</x:f>
        <x:v>Mi</x:v>
      </x:c>
      <x:c r="C102" s="22">
        <x:f>IF($K102="","",ISOWEEKNUM($K102))</x:f>
        <x:v>48</x:v>
      </x:c>
      <x:c r="D102" s="23">
        <x:f>IF($K102="","",IF(AND(IFERROR(INDEX(Einstellungen!$I$3:$I$22,MATCH($K102,Einstellungen!$H$3:$H$22,0)),"")&lt;&gt;"",IFERROR(INDEX(Einstellungen!$B$20:$B$119,MATCH($K102,Einstellungen!$A$20:$A$119,0)),"")&lt;&gt;""),IFERROR(INDEX(Einstellungen!$I$3:$I$22,MATCH($K102,Einstellungen!$H$3:$H$22,0)),"")&amp;" / "&amp;IFERROR(INDEX(Einstellungen!$B$20:$B$119,MATCH($K102,Einstellungen!$A$20:$A$119,0)),""),IF(IFERROR(INDEX(Einstellungen!$I$3:$I$22,MATCH($K102,Einstellungen!$H$3:$H$22,0)),"")&lt;&gt;"",IFERROR(INDEX(Einstellungen!$I$3:$I$22,MATCH($K102,Einstellungen!$H$3:$H$22,0)),""),IFERROR(INDEX(Einstellungen!$B$20:$B$119,MATCH($K102,Einstellungen!$A$20:$A$119,0)),""))))</x:f>
      </x:c>
      <x:c r="E102" s="24">
        <x:f>IF($K102="","",SUM(F102:J102))</x:f>
        <x:v>7</x:v>
      </x:c>
      <x:c r="F102" s="25" t="n">
        <x:v>1</x:v>
      </x:c>
      <x:c r="G102" s="25" t="n">
        <x:v>2.5</x:v>
      </x:c>
      <x:c r="H102" s="25" t="n">
        <x:v>1.5</x:v>
      </x:c>
      <x:c r="I102" s="25" t="n">
        <x:v>1.5</x:v>
      </x:c>
      <x:c r="J102" s="25" t="n">
        <x:v>0.5</x:v>
      </x:c>
      <x:c r="K102">
        <x:f>IF(26&lt;=DAY(EOMONTH($K75,0)),$K75+25,"")</x:f>
        <x:v>45987</x:v>
      </x:c>
    </x:row>
    <x:row r="103">
      <x:c r="A103" s="21">
        <x:f>IF($K103="","",DAY($K103))</x:f>
        <x:v>27</x:v>
      </x:c>
      <x:c r="B103" s="22" t="str">
        <x:f>IF($K103="","",CHOOSE(WEEKDAY($K103,2),"Mo","Di","Mi","Do","Fr","Sa","So"))</x:f>
        <x:v>Do</x:v>
      </x:c>
      <x:c r="C103" s="22">
        <x:f>IF($K103="","",ISOWEEKNUM($K103))</x:f>
        <x:v>48</x:v>
      </x:c>
      <x:c r="D103" s="23">
        <x:f>IF($K103="","",IF(AND(IFERROR(INDEX(Einstellungen!$I$3:$I$22,MATCH($K103,Einstellungen!$H$3:$H$22,0)),"")&lt;&gt;"",IFERROR(INDEX(Einstellungen!$B$20:$B$119,MATCH($K103,Einstellungen!$A$20:$A$119,0)),"")&lt;&gt;""),IFERROR(INDEX(Einstellungen!$I$3:$I$22,MATCH($K103,Einstellungen!$H$3:$H$22,0)),"")&amp;" / "&amp;IFERROR(INDEX(Einstellungen!$B$20:$B$119,MATCH($K103,Einstellungen!$A$20:$A$119,0)),""),IF(IFERROR(INDEX(Einstellungen!$I$3:$I$22,MATCH($K103,Einstellungen!$H$3:$H$22,0)),"")&lt;&gt;"",IFERROR(INDEX(Einstellungen!$I$3:$I$22,MATCH($K103,Einstellungen!$H$3:$H$22,0)),""),IFERROR(INDEX(Einstellungen!$B$20:$B$119,MATCH($K103,Einstellungen!$A$20:$A$119,0)),""))))</x:f>
      </x:c>
      <x:c r="E103" s="24">
        <x:f>IF($K103="","",SUM(F103:J103))</x:f>
        <x:v>7</x:v>
      </x:c>
      <x:c r="F103" s="25" t="n">
        <x:v>1.5</x:v>
      </x:c>
      <x:c r="G103" s="25" t="n">
        <x:v>2</x:v>
      </x:c>
      <x:c r="H103" s="25" t="n">
        <x:v>1.5</x:v>
      </x:c>
      <x:c r="I103" s="25" t="n">
        <x:v>1.5</x:v>
      </x:c>
      <x:c r="J103" s="25" t="n">
        <x:v>0.5</x:v>
      </x:c>
      <x:c r="K103">
        <x:f>IF(27&lt;=DAY(EOMONTH($K75,0)),$K75+26,"")</x:f>
        <x:v>45988</x:v>
      </x:c>
    </x:row>
    <x:row r="104">
      <x:c r="A104" s="21">
        <x:f>IF($K104="","",DAY($K104))</x:f>
        <x:v>28</x:v>
      </x:c>
      <x:c r="B104" s="22" t="str">
        <x:f>IF($K104="","",CHOOSE(WEEKDAY($K104,2),"Mo","Di","Mi","Do","Fr","Sa","So"))</x:f>
        <x:v>Fr</x:v>
      </x:c>
      <x:c r="C104" s="22">
        <x:f>IF($K104="","",ISOWEEKNUM($K104))</x:f>
        <x:v>48</x:v>
      </x:c>
      <x:c r="D104" s="23">
        <x:f>IF($K104="","",IF(AND(IFERROR(INDEX(Einstellungen!$I$3:$I$22,MATCH($K104,Einstellungen!$H$3:$H$22,0)),"")&lt;&gt;"",IFERROR(INDEX(Einstellungen!$B$20:$B$119,MATCH($K104,Einstellungen!$A$20:$A$119,0)),"")&lt;&gt;""),IFERROR(INDEX(Einstellungen!$I$3:$I$22,MATCH($K104,Einstellungen!$H$3:$H$22,0)),"")&amp;" / "&amp;IFERROR(INDEX(Einstellungen!$B$20:$B$119,MATCH($K104,Einstellungen!$A$20:$A$119,0)),""),IF(IFERROR(INDEX(Einstellungen!$I$3:$I$22,MATCH($K104,Einstellungen!$H$3:$H$22,0)),"")&lt;&gt;"",IFERROR(INDEX(Einstellungen!$I$3:$I$22,MATCH($K104,Einstellungen!$H$3:$H$22,0)),""),IFERROR(INDEX(Einstellungen!$B$20:$B$119,MATCH($K104,Einstellungen!$A$20:$A$119,0)),""))))</x:f>
      </x:c>
      <x:c r="E104" s="24">
        <x:f>IF($K104="","",SUM(F104:J104))</x:f>
        <x:v>3</x:v>
      </x:c>
      <x:c r="F104" s="25" t="n">
        <x:v>1</x:v>
      </x:c>
      <x:c r="G104" s="25" t="n">
        <x:v>0.5</x:v>
      </x:c>
      <x:c r="H104" s="25" t="n">
        <x:v>0.5</x:v>
      </x:c>
      <x:c r="I104" s="25" t="n">
        <x:v>1</x:v>
      </x:c>
      <x:c r="J104" s="25" t="n"/>
      <x:c r="K104">
        <x:f>IF(28&lt;=DAY(EOMONTH($K75,0)),$K75+27,"")</x:f>
        <x:v>45989</x:v>
      </x:c>
    </x:row>
    <x:row r="105">
      <x:c r="A105" s="21">
        <x:f>IF($K105="","",DAY($K105))</x:f>
        <x:v>29</x:v>
      </x:c>
      <x:c r="B105" s="22" t="str">
        <x:f>IF($K105="","",CHOOSE(WEEKDAY($K105,2),"Mo","Di","Mi","Do","Fr","Sa","So"))</x:f>
        <x:v>Sa</x:v>
      </x:c>
      <x:c r="C105" s="22">
        <x:f>IF($K105="","",ISOWEEKNUM($K105))</x:f>
        <x:v>48</x:v>
      </x:c>
      <x:c r="D105" s="23">
        <x:f>IF($K105="","",IF(AND(IFERROR(INDEX(Einstellungen!$I$3:$I$22,MATCH($K105,Einstellungen!$H$3:$H$22,0)),"")&lt;&gt;"",IFERROR(INDEX(Einstellungen!$B$20:$B$119,MATCH($K105,Einstellungen!$A$20:$A$119,0)),"")&lt;&gt;""),IFERROR(INDEX(Einstellungen!$I$3:$I$22,MATCH($K105,Einstellungen!$H$3:$H$22,0)),"")&amp;" / "&amp;IFERROR(INDEX(Einstellungen!$B$20:$B$119,MATCH($K105,Einstellungen!$A$20:$A$119,0)),""),IF(IFERROR(INDEX(Einstellungen!$I$3:$I$22,MATCH($K105,Einstellungen!$H$3:$H$22,0)),"")&lt;&gt;"",IFERROR(INDEX(Einstellungen!$I$3:$I$22,MATCH($K105,Einstellungen!$H$3:$H$22,0)),""),IFERROR(INDEX(Einstellungen!$B$20:$B$119,MATCH($K105,Einstellungen!$A$20:$A$119,0)),""))))</x:f>
      </x:c>
      <x:c r="E105" s="24">
        <x:f>IF($K105="","",SUM(F105:J105))</x:f>
        <x:v>0</x:v>
      </x:c>
      <x:c r="F105" s="25" t="n"/>
      <x:c r="G105" s="25" t="n"/>
      <x:c r="H105" s="25" t="n"/>
      <x:c r="I105" s="25" t="n"/>
      <x:c r="J105" s="25" t="n"/>
      <x:c r="K105">
        <x:f>IF(29&lt;=DAY(EOMONTH($K75,0)),$K75+28,"")</x:f>
        <x:v>45990</x:v>
      </x:c>
    </x:row>
    <x:row r="106">
      <x:c r="A106" s="21">
        <x:f>IF($K106="","",DAY($K106))</x:f>
        <x:v>30</x:v>
      </x:c>
      <x:c r="B106" s="22" t="str">
        <x:f>IF($K106="","",CHOOSE(WEEKDAY($K106,2),"Mo","Di","Mi","Do","Fr","Sa","So"))</x:f>
        <x:v>So</x:v>
      </x:c>
      <x:c r="C106" s="22">
        <x:f>IF($K106="","",ISOWEEKNUM($K106))</x:f>
        <x:v>48</x:v>
      </x:c>
      <x:c r="D106" s="23">
        <x:f>IF($K106="","",IF(AND(IFERROR(INDEX(Einstellungen!$I$3:$I$22,MATCH($K106,Einstellungen!$H$3:$H$22,0)),"")&lt;&gt;"",IFERROR(INDEX(Einstellungen!$B$20:$B$119,MATCH($K106,Einstellungen!$A$20:$A$119,0)),"")&lt;&gt;""),IFERROR(INDEX(Einstellungen!$I$3:$I$22,MATCH($K106,Einstellungen!$H$3:$H$22,0)),"")&amp;" / "&amp;IFERROR(INDEX(Einstellungen!$B$20:$B$119,MATCH($K106,Einstellungen!$A$20:$A$119,0)),""),IF(IFERROR(INDEX(Einstellungen!$I$3:$I$22,MATCH($K106,Einstellungen!$H$3:$H$22,0)),"")&lt;&gt;"",IFERROR(INDEX(Einstellungen!$I$3:$I$22,MATCH($K106,Einstellungen!$H$3:$H$22,0)),""),IFERROR(INDEX(Einstellungen!$B$20:$B$119,MATCH($K106,Einstellungen!$A$20:$A$119,0)),""))))</x:f>
      </x:c>
      <x:c r="E106" s="24">
        <x:f>IF($K106="","",SUM(F106:J106))</x:f>
        <x:v>0</x:v>
      </x:c>
      <x:c r="F106" s="25" t="n"/>
      <x:c r="G106" s="25" t="n"/>
      <x:c r="H106" s="25" t="n"/>
      <x:c r="I106" s="25" t="n"/>
      <x:c r="J106" s="25" t="n"/>
      <x:c r="K106">
        <x:f>IF(30&lt;=DAY(EOMONTH($K75,0)),$K75+29,"")</x:f>
        <x:v>45991</x:v>
      </x:c>
    </x:row>
    <x:row r="107">
      <x:c r="A107" s="21">
        <x:f>IF($K107="","",DAY($K107))</x:f>
      </x:c>
      <x:c r="B107" s="22">
        <x:f>IF($K107="","",CHOOSE(WEEKDAY($K107,2),"Mo","Di","Mi","Do","Fr","Sa","So"))</x:f>
      </x:c>
      <x:c r="C107" s="22">
        <x:f>IF($K107="","",ISOWEEKNUM($K107))</x:f>
      </x:c>
      <x:c r="D107" s="23">
        <x:f>IF($K107="","",IF(AND(IFERROR(INDEX(Einstellungen!$I$3:$I$22,MATCH($K107,Einstellungen!$H$3:$H$22,0)),"")&lt;&gt;"",IFERROR(INDEX(Einstellungen!$B$20:$B$119,MATCH($K107,Einstellungen!$A$20:$A$119,0)),"")&lt;&gt;""),IFERROR(INDEX(Einstellungen!$I$3:$I$22,MATCH($K107,Einstellungen!$H$3:$H$22,0)),"")&amp;" / "&amp;IFERROR(INDEX(Einstellungen!$B$20:$B$119,MATCH($K107,Einstellungen!$A$20:$A$119,0)),""),IF(IFERROR(INDEX(Einstellungen!$I$3:$I$22,MATCH($K107,Einstellungen!$H$3:$H$22,0)),"")&lt;&gt;"",IFERROR(INDEX(Einstellungen!$I$3:$I$22,MATCH($K107,Einstellungen!$H$3:$H$22,0)),""),IFERROR(INDEX(Einstellungen!$B$20:$B$119,MATCH($K107,Einstellungen!$A$20:$A$119,0)),""))))</x:f>
      </x:c>
      <x:c r="E107" s="24">
        <x:f>IF($K107="","",SUM(F107:J107))</x:f>
      </x:c>
      <x:c r="F107" s="25" t="n"/>
      <x:c r="G107" s="25" t="n"/>
      <x:c r="H107" s="25" t="n"/>
      <x:c r="I107" s="25" t="n"/>
      <x:c r="J107" s="25" t="n"/>
      <x:c r="K107">
        <x:f>IF(31&lt;=DAY(EOMONTH($K75,0)),$K75+30,"")</x:f>
      </x:c>
    </x:row>
    <x:row r="108">
      <x:c r="A108" s="26" t="n"/>
      <x:c r="B108" s="26" t="n"/>
      <x:c r="C108" s="26" t="n"/>
      <x:c r="D108" s="26" t="n"/>
      <x:c r="E108" s="26" t="n"/>
      <x:c r="F108" s="26" t="n"/>
      <x:c r="G108" s="26" t="n"/>
      <x:c r="H108" s="26" t="n"/>
      <x:c r="I108" s="26" t="n"/>
      <x:c r="J108" s="26" t="n"/>
    </x:row>
    <x:row r="109">
      <x:c r="A109" s="18" t="str">
        <x:f>INDEX(Einstellungen!$F$2:$F$13,MONTH($K109))&amp;" "&amp;YEAR($K109)</x:f>
        <x:v>Dezember 2025</x:v>
      </x:c>
      <x:c r="B109" s="36" t="n"/>
      <x:c r="C109" s="36" t="n"/>
      <x:c r="D109" s="36" t="n"/>
      <x:c r="E109" s="36" t="n"/>
      <x:c r="F109" s="36" t="n"/>
      <x:c r="G109" s="36" t="n"/>
      <x:c r="H109" s="36" t="n"/>
      <x:c r="I109" s="36" t="n"/>
      <x:c r="J109" s="37" t="n"/>
      <x:c r="K109">
        <x:f>EDATE(Einstellungen!$B$5,3)</x:f>
        <x:v>45992</x:v>
      </x:c>
    </x:row>
    <x:row r="110">
      <x:c r="A110" s="20" t="inlineStr">
        <x:is>
          <x:t xml:space="preserve">Datum</x:t>
        </x:is>
      </x:c>
      <x:c r="B110" s="20" t="inlineStr">
        <x:is>
          <x:t xml:space="preserve">Tag</x:t>
        </x:is>
      </x:c>
      <x:c r="C110" s="20" t="inlineStr">
        <x:is>
          <x:t xml:space="preserve">KW</x:t>
        </x:is>
      </x:c>
      <x:c r="D110" s="20" t="inlineStr">
        <x:is>
          <x:t xml:space="preserve">Feiertag</x:t>
        </x:is>
      </x:c>
      <x:c r="E110" s="20" t="inlineStr">
        <x:is>
          <x:t xml:space="preserve">Arbeitszeit</x:t>
        </x:is>
      </x:c>
      <x:c r="F110" s="20" t="str">
        <x:f>Einstellungen!$B$11</x:f>
        <x:v>E-Mail</x:v>
      </x:c>
      <x:c r="G110" s="20" t="str">
        <x:f>Einstellungen!$B$12</x:f>
        <x:v>Meetings</x:v>
      </x:c>
      <x:c r="H110" s="20" t="str">
        <x:f>Einstellungen!$B$13</x:f>
        <x:v>Telefonate</x:v>
      </x:c>
      <x:c r="I110" s="20" t="str">
        <x:f>Einstellungen!$B$14</x:f>
        <x:v>Dokumentation</x:v>
      </x:c>
      <x:c r="J110" s="20" t="str">
        <x:f>Einstellungen!$B$15</x:f>
        <x:v>Sonstiges</x:v>
      </x:c>
    </x:row>
    <x:row r="111">
      <x:c r="A111" s="21">
        <x:f>IF($K111="","",DAY($K111))</x:f>
        <x:v>1</x:v>
      </x:c>
      <x:c r="B111" s="22" t="str">
        <x:f>IF($K111="","",CHOOSE(WEEKDAY($K111,2),"Mo","Di","Mi","Do","Fr","Sa","So"))</x:f>
        <x:v>Mo</x:v>
      </x:c>
      <x:c r="C111" s="22">
        <x:f>IF($K111="","",ISOWEEKNUM($K111))</x:f>
        <x:v>49</x:v>
      </x:c>
      <x:c r="D111" s="23">
        <x:f>IF($K111="","",IF(AND(IFERROR(INDEX(Einstellungen!$I$3:$I$22,MATCH($K111,Einstellungen!$H$3:$H$22,0)),"")&lt;&gt;"",IFERROR(INDEX(Einstellungen!$B$20:$B$119,MATCH($K111,Einstellungen!$A$20:$A$119,0)),"")&lt;&gt;""),IFERROR(INDEX(Einstellungen!$I$3:$I$22,MATCH($K111,Einstellungen!$H$3:$H$22,0)),"")&amp;" / "&amp;IFERROR(INDEX(Einstellungen!$B$20:$B$119,MATCH($K111,Einstellungen!$A$20:$A$119,0)),""),IF(IFERROR(INDEX(Einstellungen!$I$3:$I$22,MATCH($K111,Einstellungen!$H$3:$H$22,0)),"")&lt;&gt;"",IFERROR(INDEX(Einstellungen!$I$3:$I$22,MATCH($K111,Einstellungen!$H$3:$H$22,0)),""),IFERROR(INDEX(Einstellungen!$B$20:$B$119,MATCH($K111,Einstellungen!$A$20:$A$119,0)),""))))</x:f>
      </x:c>
      <x:c r="E111" s="24">
        <x:f>IF($K111="","",SUM(F111:J111))</x:f>
        <x:v>6.5</x:v>
      </x:c>
      <x:c r="F111" s="25" t="n">
        <x:v>1</x:v>
      </x:c>
      <x:c r="G111" s="25" t="n">
        <x:v>2</x:v>
      </x:c>
      <x:c r="H111" s="25" t="n">
        <x:v>1</x:v>
      </x:c>
      <x:c r="I111" s="25" t="n">
        <x:v>2</x:v>
      </x:c>
      <x:c r="J111" s="25" t="n">
        <x:v>0.5</x:v>
      </x:c>
      <x:c r="K111">
        <x:f>IF(1&lt;=DAY(EOMONTH($K109,0)),$K109+0,"")</x:f>
        <x:v>45992</x:v>
      </x:c>
    </x:row>
    <x:row r="112">
      <x:c r="A112" s="21">
        <x:f>IF($K112="","",DAY($K112))</x:f>
        <x:v>2</x:v>
      </x:c>
      <x:c r="B112" s="22" t="str">
        <x:f>IF($K112="","",CHOOSE(WEEKDAY($K112,2),"Mo","Di","Mi","Do","Fr","Sa","So"))</x:f>
        <x:v>Di</x:v>
      </x:c>
      <x:c r="C112" s="22">
        <x:f>IF($K112="","",ISOWEEKNUM($K112))</x:f>
        <x:v>49</x:v>
      </x:c>
      <x:c r="D112" s="23">
        <x:f>IF($K112="","",IF(AND(IFERROR(INDEX(Einstellungen!$I$3:$I$22,MATCH($K112,Einstellungen!$H$3:$H$22,0)),"")&lt;&gt;"",IFERROR(INDEX(Einstellungen!$B$20:$B$119,MATCH($K112,Einstellungen!$A$20:$A$119,0)),"")&lt;&gt;""),IFERROR(INDEX(Einstellungen!$I$3:$I$22,MATCH($K112,Einstellungen!$H$3:$H$22,0)),"")&amp;" / "&amp;IFERROR(INDEX(Einstellungen!$B$20:$B$119,MATCH($K112,Einstellungen!$A$20:$A$119,0)),""),IF(IFERROR(INDEX(Einstellungen!$I$3:$I$22,MATCH($K112,Einstellungen!$H$3:$H$22,0)),"")&lt;&gt;"",IFERROR(INDEX(Einstellungen!$I$3:$I$22,MATCH($K112,Einstellungen!$H$3:$H$22,0)),""),IFERROR(INDEX(Einstellungen!$B$20:$B$119,MATCH($K112,Einstellungen!$A$20:$A$119,0)),""))))</x:f>
      </x:c>
      <x:c r="E112" s="24">
        <x:f>IF($K112="","",SUM(F112:J112))</x:f>
        <x:v>6.5</x:v>
      </x:c>
      <x:c r="F112" s="25" t="n">
        <x:v>1.5</x:v>
      </x:c>
      <x:c r="G112" s="25" t="n">
        <x:v>1.5</x:v>
      </x:c>
      <x:c r="H112" s="25" t="n">
        <x:v>1</x:v>
      </x:c>
      <x:c r="I112" s="25" t="n">
        <x:v>2</x:v>
      </x:c>
      <x:c r="J112" s="25" t="n">
        <x:v>0.5</x:v>
      </x:c>
      <x:c r="K112">
        <x:f>IF(2&lt;=DAY(EOMONTH($K109,0)),$K109+1,"")</x:f>
        <x:v>45993</x:v>
      </x:c>
    </x:row>
    <x:row r="113">
      <x:c r="A113" s="21">
        <x:f>IF($K113="","",DAY($K113))</x:f>
        <x:v>3</x:v>
      </x:c>
      <x:c r="B113" s="22" t="str">
        <x:f>IF($K113="","",CHOOSE(WEEKDAY($K113,2),"Mo","Di","Mi","Do","Fr","Sa","So"))</x:f>
        <x:v>Mi</x:v>
      </x:c>
      <x:c r="C113" s="22">
        <x:f>IF($K113="","",ISOWEEKNUM($K113))</x:f>
        <x:v>49</x:v>
      </x:c>
      <x:c r="D113" s="23">
        <x:f>IF($K113="","",IF(AND(IFERROR(INDEX(Einstellungen!$I$3:$I$22,MATCH($K113,Einstellungen!$H$3:$H$22,0)),"")&lt;&gt;"",IFERROR(INDEX(Einstellungen!$B$20:$B$119,MATCH($K113,Einstellungen!$A$20:$A$119,0)),"")&lt;&gt;""),IFERROR(INDEX(Einstellungen!$I$3:$I$22,MATCH($K113,Einstellungen!$H$3:$H$22,0)),"")&amp;" / "&amp;IFERROR(INDEX(Einstellungen!$B$20:$B$119,MATCH($K113,Einstellungen!$A$20:$A$119,0)),""),IF(IFERROR(INDEX(Einstellungen!$I$3:$I$22,MATCH($K113,Einstellungen!$H$3:$H$22,0)),"")&lt;&gt;"",IFERROR(INDEX(Einstellungen!$I$3:$I$22,MATCH($K113,Einstellungen!$H$3:$H$22,0)),""),IFERROR(INDEX(Einstellungen!$B$20:$B$119,MATCH($K113,Einstellungen!$A$20:$A$119,0)),""))))</x:f>
      </x:c>
      <x:c r="E113" s="24">
        <x:f>IF($K113="","",SUM(F113:J113))</x:f>
        <x:v>6.5</x:v>
      </x:c>
      <x:c r="F113" s="25" t="n">
        <x:v>1</x:v>
      </x:c>
      <x:c r="G113" s="25" t="n">
        <x:v>2.5</x:v>
      </x:c>
      <x:c r="H113" s="25" t="n">
        <x:v>1</x:v>
      </x:c>
      <x:c r="I113" s="25" t="n">
        <x:v>1.5</x:v>
      </x:c>
      <x:c r="J113" s="25" t="n">
        <x:v>0.5</x:v>
      </x:c>
      <x:c r="K113">
        <x:f>IF(3&lt;=DAY(EOMONTH($K109,0)),$K109+2,"")</x:f>
        <x:v>45994</x:v>
      </x:c>
    </x:row>
    <x:row r="114">
      <x:c r="A114" s="21">
        <x:f>IF($K114="","",DAY($K114))</x:f>
        <x:v>4</x:v>
      </x:c>
      <x:c r="B114" s="22" t="str">
        <x:f>IF($K114="","",CHOOSE(WEEKDAY($K114,2),"Mo","Di","Mi","Do","Fr","Sa","So"))</x:f>
        <x:v>Do</x:v>
      </x:c>
      <x:c r="C114" s="22">
        <x:f>IF($K114="","",ISOWEEKNUM($K114))</x:f>
        <x:v>49</x:v>
      </x:c>
      <x:c r="D114" s="23">
        <x:f>IF($K114="","",IF(AND(IFERROR(INDEX(Einstellungen!$I$3:$I$22,MATCH($K114,Einstellungen!$H$3:$H$22,0)),"")&lt;&gt;"",IFERROR(INDEX(Einstellungen!$B$20:$B$119,MATCH($K114,Einstellungen!$A$20:$A$119,0)),"")&lt;&gt;""),IFERROR(INDEX(Einstellungen!$I$3:$I$22,MATCH($K114,Einstellungen!$H$3:$H$22,0)),"")&amp;" / "&amp;IFERROR(INDEX(Einstellungen!$B$20:$B$119,MATCH($K114,Einstellungen!$A$20:$A$119,0)),""),IF(IFERROR(INDEX(Einstellungen!$I$3:$I$22,MATCH($K114,Einstellungen!$H$3:$H$22,0)),"")&lt;&gt;"",IFERROR(INDEX(Einstellungen!$I$3:$I$22,MATCH($K114,Einstellungen!$H$3:$H$22,0)),""),IFERROR(INDEX(Einstellungen!$B$20:$B$119,MATCH($K114,Einstellungen!$A$20:$A$119,0)),""))))</x:f>
      </x:c>
      <x:c r="E114" s="24">
        <x:f>IF($K114="","",SUM(F114:J114))</x:f>
        <x:v>7</x:v>
      </x:c>
      <x:c r="F114" s="25" t="n">
        <x:v>1.5</x:v>
      </x:c>
      <x:c r="G114" s="25" t="n">
        <x:v>2</x:v>
      </x:c>
      <x:c r="H114" s="25" t="n">
        <x:v>1.5</x:v>
      </x:c>
      <x:c r="I114" s="25" t="n">
        <x:v>1.5</x:v>
      </x:c>
      <x:c r="J114" s="25" t="n">
        <x:v>0.5</x:v>
      </x:c>
      <x:c r="K114">
        <x:f>IF(4&lt;=DAY(EOMONTH($K109,0)),$K109+3,"")</x:f>
        <x:v>45995</x:v>
      </x:c>
    </x:row>
    <x:row r="115">
      <x:c r="A115" s="21">
        <x:f>IF($K115="","",DAY($K115))</x:f>
        <x:v>5</x:v>
      </x:c>
      <x:c r="B115" s="22" t="str">
        <x:f>IF($K115="","",CHOOSE(WEEKDAY($K115,2),"Mo","Di","Mi","Do","Fr","Sa","So"))</x:f>
        <x:v>Fr</x:v>
      </x:c>
      <x:c r="C115" s="22">
        <x:f>IF($K115="","",ISOWEEKNUM($K115))</x:f>
        <x:v>49</x:v>
      </x:c>
      <x:c r="D115" s="23" t="str">
        <x:f>IF($K115="","",IF(AND(IFERROR(INDEX(Einstellungen!$I$3:$I$22,MATCH($K115,Einstellungen!$H$3:$H$22,0)),"")&lt;&gt;"",IFERROR(INDEX(Einstellungen!$B$20:$B$119,MATCH($K115,Einstellungen!$A$20:$A$119,0)),"")&lt;&gt;""),IFERROR(INDEX(Einstellungen!$I$3:$I$22,MATCH($K115,Einstellungen!$H$3:$H$22,0)),"")&amp;" / "&amp;IFERROR(INDEX(Einstellungen!$B$20:$B$119,MATCH($K115,Einstellungen!$A$20:$A$119,0)),""),IF(IFERROR(INDEX(Einstellungen!$I$3:$I$22,MATCH($K115,Einstellungen!$H$3:$H$22,0)),"")&lt;&gt;"",IFERROR(INDEX(Einstellungen!$I$3:$I$22,MATCH($K115,Einstellungen!$H$3:$H$22,0)),""),IFERROR(INDEX(Einstellungen!$B$20:$B$119,MATCH($K115,Einstellungen!$A$20:$A$119,0)),""))))</x:f>
        <x:v>Jahresgespräch</x:v>
      </x:c>
      <x:c r="E115" s="24">
        <x:f>IF($K115="","",SUM(F115:J115))</x:f>
        <x:v>5.5</x:v>
      </x:c>
      <x:c r="F115" s="25" t="n">
        <x:v>2</x:v>
      </x:c>
      <x:c r="G115" s="25" t="n">
        <x:v>1</x:v>
      </x:c>
      <x:c r="H115" s="25" t="n">
        <x:v>1</x:v>
      </x:c>
      <x:c r="I115" s="25" t="n">
        <x:v>1</x:v>
      </x:c>
      <x:c r="J115" s="25" t="n">
        <x:v>0.5</x:v>
      </x:c>
      <x:c r="K115">
        <x:f>IF(5&lt;=DAY(EOMONTH($K109,0)),$K109+4,"")</x:f>
        <x:v>45996</x:v>
      </x:c>
    </x:row>
    <x:row r="116">
      <x:c r="A116" s="21">
        <x:f>IF($K116="","",DAY($K116))</x:f>
        <x:v>6</x:v>
      </x:c>
      <x:c r="B116" s="22" t="str">
        <x:f>IF($K116="","",CHOOSE(WEEKDAY($K116,2),"Mo","Di","Mi","Do","Fr","Sa","So"))</x:f>
        <x:v>Sa</x:v>
      </x:c>
      <x:c r="C116" s="22">
        <x:f>IF($K116="","",ISOWEEKNUM($K116))</x:f>
        <x:v>49</x:v>
      </x:c>
      <x:c r="D116" s="23">
        <x:f>IF($K116="","",IF(AND(IFERROR(INDEX(Einstellungen!$I$3:$I$22,MATCH($K116,Einstellungen!$H$3:$H$22,0)),"")&lt;&gt;"",IFERROR(INDEX(Einstellungen!$B$20:$B$119,MATCH($K116,Einstellungen!$A$20:$A$119,0)),"")&lt;&gt;""),IFERROR(INDEX(Einstellungen!$I$3:$I$22,MATCH($K116,Einstellungen!$H$3:$H$22,0)),"")&amp;" / "&amp;IFERROR(INDEX(Einstellungen!$B$20:$B$119,MATCH($K116,Einstellungen!$A$20:$A$119,0)),""),IF(IFERROR(INDEX(Einstellungen!$I$3:$I$22,MATCH($K116,Einstellungen!$H$3:$H$22,0)),"")&lt;&gt;"",IFERROR(INDEX(Einstellungen!$I$3:$I$22,MATCH($K116,Einstellungen!$H$3:$H$22,0)),""),IFERROR(INDEX(Einstellungen!$B$20:$B$119,MATCH($K116,Einstellungen!$A$20:$A$119,0)),""))))</x:f>
      </x:c>
      <x:c r="E116" s="24">
        <x:f>IF($K116="","",SUM(F116:J116))</x:f>
        <x:v>0</x:v>
      </x:c>
      <x:c r="F116" s="25" t="n"/>
      <x:c r="G116" s="25" t="n"/>
      <x:c r="H116" s="25" t="n"/>
      <x:c r="I116" s="25" t="n"/>
      <x:c r="J116" s="25" t="n"/>
      <x:c r="K116">
        <x:f>IF(6&lt;=DAY(EOMONTH($K109,0)),$K109+5,"")</x:f>
        <x:v>45997</x:v>
      </x:c>
    </x:row>
    <x:row r="117">
      <x:c r="A117" s="21">
        <x:f>IF($K117="","",DAY($K117))</x:f>
        <x:v>7</x:v>
      </x:c>
      <x:c r="B117" s="22" t="str">
        <x:f>IF($K117="","",CHOOSE(WEEKDAY($K117,2),"Mo","Di","Mi","Do","Fr","Sa","So"))</x:f>
        <x:v>So</x:v>
      </x:c>
      <x:c r="C117" s="22">
        <x:f>IF($K117="","",ISOWEEKNUM($K117))</x:f>
        <x:v>49</x:v>
      </x:c>
      <x:c r="D117" s="23">
        <x:f>IF($K117="","",IF(AND(IFERROR(INDEX(Einstellungen!$I$3:$I$22,MATCH($K117,Einstellungen!$H$3:$H$22,0)),"")&lt;&gt;"",IFERROR(INDEX(Einstellungen!$B$20:$B$119,MATCH($K117,Einstellungen!$A$20:$A$119,0)),"")&lt;&gt;""),IFERROR(INDEX(Einstellungen!$I$3:$I$22,MATCH($K117,Einstellungen!$H$3:$H$22,0)),"")&amp;" / "&amp;IFERROR(INDEX(Einstellungen!$B$20:$B$119,MATCH($K117,Einstellungen!$A$20:$A$119,0)),""),IF(IFERROR(INDEX(Einstellungen!$I$3:$I$22,MATCH($K117,Einstellungen!$H$3:$H$22,0)),"")&lt;&gt;"",IFERROR(INDEX(Einstellungen!$I$3:$I$22,MATCH($K117,Einstellungen!$H$3:$H$22,0)),""),IFERROR(INDEX(Einstellungen!$B$20:$B$119,MATCH($K117,Einstellungen!$A$20:$A$119,0)),""))))</x:f>
      </x:c>
      <x:c r="E117" s="24">
        <x:f>IF($K117="","",SUM(F117:J117))</x:f>
        <x:v>0</x:v>
      </x:c>
      <x:c r="F117" s="25" t="n"/>
      <x:c r="G117" s="25" t="n"/>
      <x:c r="H117" s="25" t="n"/>
      <x:c r="I117" s="25" t="n"/>
      <x:c r="J117" s="25" t="n"/>
      <x:c r="K117">
        <x:f>IF(7&lt;=DAY(EOMONTH($K109,0)),$K109+6,"")</x:f>
        <x:v>45998</x:v>
      </x:c>
    </x:row>
    <x:row r="118">
      <x:c r="A118" s="21">
        <x:f>IF($K118="","",DAY($K118))</x:f>
        <x:v>8</x:v>
      </x:c>
      <x:c r="B118" s="22" t="str">
        <x:f>IF($K118="","",CHOOSE(WEEKDAY($K118,2),"Mo","Di","Mi","Do","Fr","Sa","So"))</x:f>
        <x:v>Mo</x:v>
      </x:c>
      <x:c r="C118" s="22">
        <x:f>IF($K118="","",ISOWEEKNUM($K118))</x:f>
        <x:v>50</x:v>
      </x:c>
      <x:c r="D118" s="23">
        <x:f>IF($K118="","",IF(AND(IFERROR(INDEX(Einstellungen!$I$3:$I$22,MATCH($K118,Einstellungen!$H$3:$H$22,0)),"")&lt;&gt;"",IFERROR(INDEX(Einstellungen!$B$20:$B$119,MATCH($K118,Einstellungen!$A$20:$A$119,0)),"")&lt;&gt;""),IFERROR(INDEX(Einstellungen!$I$3:$I$22,MATCH($K118,Einstellungen!$H$3:$H$22,0)),"")&amp;" / "&amp;IFERROR(INDEX(Einstellungen!$B$20:$B$119,MATCH($K118,Einstellungen!$A$20:$A$119,0)),""),IF(IFERROR(INDEX(Einstellungen!$I$3:$I$22,MATCH($K118,Einstellungen!$H$3:$H$22,0)),"")&lt;&gt;"",IFERROR(INDEX(Einstellungen!$I$3:$I$22,MATCH($K118,Einstellungen!$H$3:$H$22,0)),""),IFERROR(INDEX(Einstellungen!$B$20:$B$119,MATCH($K118,Einstellungen!$A$20:$A$119,0)),""))))</x:f>
      </x:c>
      <x:c r="E118" s="24">
        <x:f>IF($K118="","",SUM(F118:J118))</x:f>
        <x:v>6.5</x:v>
      </x:c>
      <x:c r="F118" s="25" t="n">
        <x:v>1</x:v>
      </x:c>
      <x:c r="G118" s="25" t="n">
        <x:v>2</x:v>
      </x:c>
      <x:c r="H118" s="25" t="n">
        <x:v>1</x:v>
      </x:c>
      <x:c r="I118" s="25" t="n">
        <x:v>2</x:v>
      </x:c>
      <x:c r="J118" s="25" t="n">
        <x:v>0.5</x:v>
      </x:c>
      <x:c r="K118">
        <x:f>IF(8&lt;=DAY(EOMONTH($K109,0)),$K109+7,"")</x:f>
        <x:v>45999</x:v>
      </x:c>
    </x:row>
    <x:row r="119">
      <x:c r="A119" s="21">
        <x:f>IF($K119="","",DAY($K119))</x:f>
        <x:v>9</x:v>
      </x:c>
      <x:c r="B119" s="22" t="str">
        <x:f>IF($K119="","",CHOOSE(WEEKDAY($K119,2),"Mo","Di","Mi","Do","Fr","Sa","So"))</x:f>
        <x:v>Di</x:v>
      </x:c>
      <x:c r="C119" s="22">
        <x:f>IF($K119="","",ISOWEEKNUM($K119))</x:f>
        <x:v>50</x:v>
      </x:c>
      <x:c r="D119" s="23">
        <x:f>IF($K119="","",IF(AND(IFERROR(INDEX(Einstellungen!$I$3:$I$22,MATCH($K119,Einstellungen!$H$3:$H$22,0)),"")&lt;&gt;"",IFERROR(INDEX(Einstellungen!$B$20:$B$119,MATCH($K119,Einstellungen!$A$20:$A$119,0)),"")&lt;&gt;""),IFERROR(INDEX(Einstellungen!$I$3:$I$22,MATCH($K119,Einstellungen!$H$3:$H$22,0)),"")&amp;" / "&amp;IFERROR(INDEX(Einstellungen!$B$20:$B$119,MATCH($K119,Einstellungen!$A$20:$A$119,0)),""),IF(IFERROR(INDEX(Einstellungen!$I$3:$I$22,MATCH($K119,Einstellungen!$H$3:$H$22,0)),"")&lt;&gt;"",IFERROR(INDEX(Einstellungen!$I$3:$I$22,MATCH($K119,Einstellungen!$H$3:$H$22,0)),""),IFERROR(INDEX(Einstellungen!$B$20:$B$119,MATCH($K119,Einstellungen!$A$20:$A$119,0)),""))))</x:f>
      </x:c>
      <x:c r="E119" s="24">
        <x:f>IF($K119="","",SUM(F119:J119))</x:f>
        <x:v>6.5</x:v>
      </x:c>
      <x:c r="F119" s="25" t="n">
        <x:v>1.5</x:v>
      </x:c>
      <x:c r="G119" s="25" t="n">
        <x:v>1.5</x:v>
      </x:c>
      <x:c r="H119" s="25" t="n">
        <x:v>1</x:v>
      </x:c>
      <x:c r="I119" s="25" t="n">
        <x:v>2</x:v>
      </x:c>
      <x:c r="J119" s="25" t="n">
        <x:v>0.5</x:v>
      </x:c>
      <x:c r="K119">
        <x:f>IF(9&lt;=DAY(EOMONTH($K109,0)),$K109+8,"")</x:f>
        <x:v>46000</x:v>
      </x:c>
    </x:row>
    <x:row r="120">
      <x:c r="A120" s="21">
        <x:f>IF($K120="","",DAY($K120))</x:f>
        <x:v>10</x:v>
      </x:c>
      <x:c r="B120" s="22" t="str">
        <x:f>IF($K120="","",CHOOSE(WEEKDAY($K120,2),"Mo","Di","Mi","Do","Fr","Sa","So"))</x:f>
        <x:v>Mi</x:v>
      </x:c>
      <x:c r="C120" s="22">
        <x:f>IF($K120="","",ISOWEEKNUM($K120))</x:f>
        <x:v>50</x:v>
      </x:c>
      <x:c r="D120" s="23">
        <x:f>IF($K120="","",IF(AND(IFERROR(INDEX(Einstellungen!$I$3:$I$22,MATCH($K120,Einstellungen!$H$3:$H$22,0)),"")&lt;&gt;"",IFERROR(INDEX(Einstellungen!$B$20:$B$119,MATCH($K120,Einstellungen!$A$20:$A$119,0)),"")&lt;&gt;""),IFERROR(INDEX(Einstellungen!$I$3:$I$22,MATCH($K120,Einstellungen!$H$3:$H$22,0)),"")&amp;" / "&amp;IFERROR(INDEX(Einstellungen!$B$20:$B$119,MATCH($K120,Einstellungen!$A$20:$A$119,0)),""),IF(IFERROR(INDEX(Einstellungen!$I$3:$I$22,MATCH($K120,Einstellungen!$H$3:$H$22,0)),"")&lt;&gt;"",IFERROR(INDEX(Einstellungen!$I$3:$I$22,MATCH($K120,Einstellungen!$H$3:$H$22,0)),""),IFERROR(INDEX(Einstellungen!$B$20:$B$119,MATCH($K120,Einstellungen!$A$20:$A$119,0)),""))))</x:f>
      </x:c>
      <x:c r="E120" s="24">
        <x:f>IF($K120="","",SUM(F120:J120))</x:f>
        <x:v>6.5</x:v>
      </x:c>
      <x:c r="F120" s="25" t="n">
        <x:v>1</x:v>
      </x:c>
      <x:c r="G120" s="25" t="n">
        <x:v>2.5</x:v>
      </x:c>
      <x:c r="H120" s="25" t="n">
        <x:v>1</x:v>
      </x:c>
      <x:c r="I120" s="25" t="n">
        <x:v>1.5</x:v>
      </x:c>
      <x:c r="J120" s="25" t="n">
        <x:v>0.5</x:v>
      </x:c>
      <x:c r="K120">
        <x:f>IF(10&lt;=DAY(EOMONTH($K109,0)),$K109+9,"")</x:f>
        <x:v>46001</x:v>
      </x:c>
    </x:row>
    <x:row r="121">
      <x:c r="A121" s="21">
        <x:f>IF($K121="","",DAY($K121))</x:f>
        <x:v>11</x:v>
      </x:c>
      <x:c r="B121" s="22" t="str">
        <x:f>IF($K121="","",CHOOSE(WEEKDAY($K121,2),"Mo","Di","Mi","Do","Fr","Sa","So"))</x:f>
        <x:v>Do</x:v>
      </x:c>
      <x:c r="C121" s="22">
        <x:f>IF($K121="","",ISOWEEKNUM($K121))</x:f>
        <x:v>50</x:v>
      </x:c>
      <x:c r="D121" s="23">
        <x:f>IF($K121="","",IF(AND(IFERROR(INDEX(Einstellungen!$I$3:$I$22,MATCH($K121,Einstellungen!$H$3:$H$22,0)),"")&lt;&gt;"",IFERROR(INDEX(Einstellungen!$B$20:$B$119,MATCH($K121,Einstellungen!$A$20:$A$119,0)),"")&lt;&gt;""),IFERROR(INDEX(Einstellungen!$I$3:$I$22,MATCH($K121,Einstellungen!$H$3:$H$22,0)),"")&amp;" / "&amp;IFERROR(INDEX(Einstellungen!$B$20:$B$119,MATCH($K121,Einstellungen!$A$20:$A$119,0)),""),IF(IFERROR(INDEX(Einstellungen!$I$3:$I$22,MATCH($K121,Einstellungen!$H$3:$H$22,0)),"")&lt;&gt;"",IFERROR(INDEX(Einstellungen!$I$3:$I$22,MATCH($K121,Einstellungen!$H$3:$H$22,0)),""),IFERROR(INDEX(Einstellungen!$B$20:$B$119,MATCH($K121,Einstellungen!$A$20:$A$119,0)),""))))</x:f>
      </x:c>
      <x:c r="E121" s="24">
        <x:f>IF($K121="","",SUM(F121:J121))</x:f>
        <x:v>7</x:v>
      </x:c>
      <x:c r="F121" s="25" t="n">
        <x:v>1.5</x:v>
      </x:c>
      <x:c r="G121" s="25" t="n">
        <x:v>2</x:v>
      </x:c>
      <x:c r="H121" s="25" t="n">
        <x:v>1.5</x:v>
      </x:c>
      <x:c r="I121" s="25" t="n">
        <x:v>1.5</x:v>
      </x:c>
      <x:c r="J121" s="25" t="n">
        <x:v>0.5</x:v>
      </x:c>
      <x:c r="K121">
        <x:f>IF(11&lt;=DAY(EOMONTH($K109,0)),$K109+10,"")</x:f>
        <x:v>46002</x:v>
      </x:c>
    </x:row>
    <x:row r="122">
      <x:c r="A122" s="21">
        <x:f>IF($K122="","",DAY($K122))</x:f>
        <x:v>12</x:v>
      </x:c>
      <x:c r="B122" s="22" t="str">
        <x:f>IF($K122="","",CHOOSE(WEEKDAY($K122,2),"Mo","Di","Mi","Do","Fr","Sa","So"))</x:f>
        <x:v>Fr</x:v>
      </x:c>
      <x:c r="C122" s="22">
        <x:f>IF($K122="","",ISOWEEKNUM($K122))</x:f>
        <x:v>50</x:v>
      </x:c>
      <x:c r="D122" s="23">
        <x:f>IF($K122="","",IF(AND(IFERROR(INDEX(Einstellungen!$I$3:$I$22,MATCH($K122,Einstellungen!$H$3:$H$22,0)),"")&lt;&gt;"",IFERROR(INDEX(Einstellungen!$B$20:$B$119,MATCH($K122,Einstellungen!$A$20:$A$119,0)),"")&lt;&gt;""),IFERROR(INDEX(Einstellungen!$I$3:$I$22,MATCH($K122,Einstellungen!$H$3:$H$22,0)),"")&amp;" / "&amp;IFERROR(INDEX(Einstellungen!$B$20:$B$119,MATCH($K122,Einstellungen!$A$20:$A$119,0)),""),IF(IFERROR(INDEX(Einstellungen!$I$3:$I$22,MATCH($K122,Einstellungen!$H$3:$H$22,0)),"")&lt;&gt;"",IFERROR(INDEX(Einstellungen!$I$3:$I$22,MATCH($K122,Einstellungen!$H$3:$H$22,0)),""),IFERROR(INDEX(Einstellungen!$B$20:$B$119,MATCH($K122,Einstellungen!$A$20:$A$119,0)),""))))</x:f>
      </x:c>
      <x:c r="E122" s="24">
        <x:f>IF($K122="","",SUM(F122:J122))</x:f>
        <x:v>5.5</x:v>
      </x:c>
      <x:c r="F122" s="25" t="n">
        <x:v>2</x:v>
      </x:c>
      <x:c r="G122" s="25" t="n">
        <x:v>1</x:v>
      </x:c>
      <x:c r="H122" s="25" t="n">
        <x:v>1</x:v>
      </x:c>
      <x:c r="I122" s="25" t="n">
        <x:v>1</x:v>
      </x:c>
      <x:c r="J122" s="25" t="n">
        <x:v>0.5</x:v>
      </x:c>
      <x:c r="K122">
        <x:f>IF(12&lt;=DAY(EOMONTH($K109,0)),$K109+11,"")</x:f>
        <x:v>46003</x:v>
      </x:c>
    </x:row>
    <x:row r="123">
      <x:c r="A123" s="21">
        <x:f>IF($K123="","",DAY($K123))</x:f>
        <x:v>13</x:v>
      </x:c>
      <x:c r="B123" s="22" t="str">
        <x:f>IF($K123="","",CHOOSE(WEEKDAY($K123,2),"Mo","Di","Mi","Do","Fr","Sa","So"))</x:f>
        <x:v>Sa</x:v>
      </x:c>
      <x:c r="C123" s="22">
        <x:f>IF($K123="","",ISOWEEKNUM($K123))</x:f>
        <x:v>50</x:v>
      </x:c>
      <x:c r="D123" s="23">
        <x:f>IF($K123="","",IF(AND(IFERROR(INDEX(Einstellungen!$I$3:$I$22,MATCH($K123,Einstellungen!$H$3:$H$22,0)),"")&lt;&gt;"",IFERROR(INDEX(Einstellungen!$B$20:$B$119,MATCH($K123,Einstellungen!$A$20:$A$119,0)),"")&lt;&gt;""),IFERROR(INDEX(Einstellungen!$I$3:$I$22,MATCH($K123,Einstellungen!$H$3:$H$22,0)),"")&amp;" / "&amp;IFERROR(INDEX(Einstellungen!$B$20:$B$119,MATCH($K123,Einstellungen!$A$20:$A$119,0)),""),IF(IFERROR(INDEX(Einstellungen!$I$3:$I$22,MATCH($K123,Einstellungen!$H$3:$H$22,0)),"")&lt;&gt;"",IFERROR(INDEX(Einstellungen!$I$3:$I$22,MATCH($K123,Einstellungen!$H$3:$H$22,0)),""),IFERROR(INDEX(Einstellungen!$B$20:$B$119,MATCH($K123,Einstellungen!$A$20:$A$119,0)),""))))</x:f>
      </x:c>
      <x:c r="E123" s="24">
        <x:f>IF($K123="","",SUM(F123:J123))</x:f>
        <x:v>0</x:v>
      </x:c>
      <x:c r="F123" s="25" t="n"/>
      <x:c r="G123" s="25" t="n"/>
      <x:c r="H123" s="25" t="n"/>
      <x:c r="I123" s="25" t="n"/>
      <x:c r="J123" s="25" t="n"/>
      <x:c r="K123">
        <x:f>IF(13&lt;=DAY(EOMONTH($K109,0)),$K109+12,"")</x:f>
        <x:v>46004</x:v>
      </x:c>
    </x:row>
    <x:row r="124">
      <x:c r="A124" s="21">
        <x:f>IF($K124="","",DAY($K124))</x:f>
        <x:v>14</x:v>
      </x:c>
      <x:c r="B124" s="22" t="str">
        <x:f>IF($K124="","",CHOOSE(WEEKDAY($K124,2),"Mo","Di","Mi","Do","Fr","Sa","So"))</x:f>
        <x:v>So</x:v>
      </x:c>
      <x:c r="C124" s="22">
        <x:f>IF($K124="","",ISOWEEKNUM($K124))</x:f>
        <x:v>50</x:v>
      </x:c>
      <x:c r="D124" s="23">
        <x:f>IF($K124="","",IF(AND(IFERROR(INDEX(Einstellungen!$I$3:$I$22,MATCH($K124,Einstellungen!$H$3:$H$22,0)),"")&lt;&gt;"",IFERROR(INDEX(Einstellungen!$B$20:$B$119,MATCH($K124,Einstellungen!$A$20:$A$119,0)),"")&lt;&gt;""),IFERROR(INDEX(Einstellungen!$I$3:$I$22,MATCH($K124,Einstellungen!$H$3:$H$22,0)),"")&amp;" / "&amp;IFERROR(INDEX(Einstellungen!$B$20:$B$119,MATCH($K124,Einstellungen!$A$20:$A$119,0)),""),IF(IFERROR(INDEX(Einstellungen!$I$3:$I$22,MATCH($K124,Einstellungen!$H$3:$H$22,0)),"")&lt;&gt;"",IFERROR(INDEX(Einstellungen!$I$3:$I$22,MATCH($K124,Einstellungen!$H$3:$H$22,0)),""),IFERROR(INDEX(Einstellungen!$B$20:$B$119,MATCH($K124,Einstellungen!$A$20:$A$119,0)),""))))</x:f>
      </x:c>
      <x:c r="E124" s="24">
        <x:f>IF($K124="","",SUM(F124:J124))</x:f>
        <x:v>0</x:v>
      </x:c>
      <x:c r="F124" s="25" t="n"/>
      <x:c r="G124" s="25" t="n"/>
      <x:c r="H124" s="25" t="n"/>
      <x:c r="I124" s="25" t="n"/>
      <x:c r="J124" s="25" t="n"/>
      <x:c r="K124">
        <x:f>IF(14&lt;=DAY(EOMONTH($K109,0)),$K109+13,"")</x:f>
        <x:v>46005</x:v>
      </x:c>
    </x:row>
    <x:row r="125">
      <x:c r="A125" s="21">
        <x:f>IF($K125="","",DAY($K125))</x:f>
        <x:v>15</x:v>
      </x:c>
      <x:c r="B125" s="22" t="str">
        <x:f>IF($K125="","",CHOOSE(WEEKDAY($K125,2),"Mo","Di","Mi","Do","Fr","Sa","So"))</x:f>
        <x:v>Mo</x:v>
      </x:c>
      <x:c r="C125" s="22">
        <x:f>IF($K125="","",ISOWEEKNUM($K125))</x:f>
        <x:v>51</x:v>
      </x:c>
      <x:c r="D125" s="23">
        <x:f>IF($K125="","",IF(AND(IFERROR(INDEX(Einstellungen!$I$3:$I$22,MATCH($K125,Einstellungen!$H$3:$H$22,0)),"")&lt;&gt;"",IFERROR(INDEX(Einstellungen!$B$20:$B$119,MATCH($K125,Einstellungen!$A$20:$A$119,0)),"")&lt;&gt;""),IFERROR(INDEX(Einstellungen!$I$3:$I$22,MATCH($K125,Einstellungen!$H$3:$H$22,0)),"")&amp;" / "&amp;IFERROR(INDEX(Einstellungen!$B$20:$B$119,MATCH($K125,Einstellungen!$A$20:$A$119,0)),""),IF(IFERROR(INDEX(Einstellungen!$I$3:$I$22,MATCH($K125,Einstellungen!$H$3:$H$22,0)),"")&lt;&gt;"",IFERROR(INDEX(Einstellungen!$I$3:$I$22,MATCH($K125,Einstellungen!$H$3:$H$22,0)),""),IFERROR(INDEX(Einstellungen!$B$20:$B$119,MATCH($K125,Einstellungen!$A$20:$A$119,0)),""))))</x:f>
      </x:c>
      <x:c r="E125" s="24">
        <x:f>IF($K125="","",SUM(F125:J125))</x:f>
        <x:v>6.5</x:v>
      </x:c>
      <x:c r="F125" s="25" t="n">
        <x:v>1</x:v>
      </x:c>
      <x:c r="G125" s="25" t="n">
        <x:v>2</x:v>
      </x:c>
      <x:c r="H125" s="25" t="n">
        <x:v>1</x:v>
      </x:c>
      <x:c r="I125" s="25" t="n">
        <x:v>2</x:v>
      </x:c>
      <x:c r="J125" s="25" t="n">
        <x:v>0.5</x:v>
      </x:c>
      <x:c r="K125">
        <x:f>IF(15&lt;=DAY(EOMONTH($K109,0)),$K109+14,"")</x:f>
        <x:v>46006</x:v>
      </x:c>
    </x:row>
    <x:row r="126">
      <x:c r="A126" s="21">
        <x:f>IF($K126="","",DAY($K126))</x:f>
        <x:v>16</x:v>
      </x:c>
      <x:c r="B126" s="22" t="str">
        <x:f>IF($K126="","",CHOOSE(WEEKDAY($K126,2),"Mo","Di","Mi","Do","Fr","Sa","So"))</x:f>
        <x:v>Di</x:v>
      </x:c>
      <x:c r="C126" s="22">
        <x:f>IF($K126="","",ISOWEEKNUM($K126))</x:f>
        <x:v>51</x:v>
      </x:c>
      <x:c r="D126" s="23">
        <x:f>IF($K126="","",IF(AND(IFERROR(INDEX(Einstellungen!$I$3:$I$22,MATCH($K126,Einstellungen!$H$3:$H$22,0)),"")&lt;&gt;"",IFERROR(INDEX(Einstellungen!$B$20:$B$119,MATCH($K126,Einstellungen!$A$20:$A$119,0)),"")&lt;&gt;""),IFERROR(INDEX(Einstellungen!$I$3:$I$22,MATCH($K126,Einstellungen!$H$3:$H$22,0)),"")&amp;" / "&amp;IFERROR(INDEX(Einstellungen!$B$20:$B$119,MATCH($K126,Einstellungen!$A$20:$A$119,0)),""),IF(IFERROR(INDEX(Einstellungen!$I$3:$I$22,MATCH($K126,Einstellungen!$H$3:$H$22,0)),"")&lt;&gt;"",IFERROR(INDEX(Einstellungen!$I$3:$I$22,MATCH($K126,Einstellungen!$H$3:$H$22,0)),""),IFERROR(INDEX(Einstellungen!$B$20:$B$119,MATCH($K126,Einstellungen!$A$20:$A$119,0)),""))))</x:f>
      </x:c>
      <x:c r="E126" s="24">
        <x:f>IF($K126="","",SUM(F126:J126))</x:f>
        <x:v>6.5</x:v>
      </x:c>
      <x:c r="F126" s="25" t="n">
        <x:v>1.5</x:v>
      </x:c>
      <x:c r="G126" s="25" t="n">
        <x:v>1.5</x:v>
      </x:c>
      <x:c r="H126" s="25" t="n">
        <x:v>1</x:v>
      </x:c>
      <x:c r="I126" s="25" t="n">
        <x:v>2</x:v>
      </x:c>
      <x:c r="J126" s="25" t="n">
        <x:v>0.5</x:v>
      </x:c>
      <x:c r="K126">
        <x:f>IF(16&lt;=DAY(EOMONTH($K109,0)),$K109+15,"")</x:f>
        <x:v>46007</x:v>
      </x:c>
    </x:row>
    <x:row r="127">
      <x:c r="A127" s="21">
        <x:f>IF($K127="","",DAY($K127))</x:f>
        <x:v>17</x:v>
      </x:c>
      <x:c r="B127" s="22" t="str">
        <x:f>IF($K127="","",CHOOSE(WEEKDAY($K127,2),"Mo","Di","Mi","Do","Fr","Sa","So"))</x:f>
        <x:v>Mi</x:v>
      </x:c>
      <x:c r="C127" s="22">
        <x:f>IF($K127="","",ISOWEEKNUM($K127))</x:f>
        <x:v>51</x:v>
      </x:c>
      <x:c r="D127" s="23">
        <x:f>IF($K127="","",IF(AND(IFERROR(INDEX(Einstellungen!$I$3:$I$22,MATCH($K127,Einstellungen!$H$3:$H$22,0)),"")&lt;&gt;"",IFERROR(INDEX(Einstellungen!$B$20:$B$119,MATCH($K127,Einstellungen!$A$20:$A$119,0)),"")&lt;&gt;""),IFERROR(INDEX(Einstellungen!$I$3:$I$22,MATCH($K127,Einstellungen!$H$3:$H$22,0)),"")&amp;" / "&amp;IFERROR(INDEX(Einstellungen!$B$20:$B$119,MATCH($K127,Einstellungen!$A$20:$A$119,0)),""),IF(IFERROR(INDEX(Einstellungen!$I$3:$I$22,MATCH($K127,Einstellungen!$H$3:$H$22,0)),"")&lt;&gt;"",IFERROR(INDEX(Einstellungen!$I$3:$I$22,MATCH($K127,Einstellungen!$H$3:$H$22,0)),""),IFERROR(INDEX(Einstellungen!$B$20:$B$119,MATCH($K127,Einstellungen!$A$20:$A$119,0)),""))))</x:f>
      </x:c>
      <x:c r="E127" s="24">
        <x:f>IF($K127="","",SUM(F127:J127))</x:f>
        <x:v>6.5</x:v>
      </x:c>
      <x:c r="F127" s="25" t="n">
        <x:v>1</x:v>
      </x:c>
      <x:c r="G127" s="25" t="n">
        <x:v>2.5</x:v>
      </x:c>
      <x:c r="H127" s="25" t="n">
        <x:v>1</x:v>
      </x:c>
      <x:c r="I127" s="25" t="n">
        <x:v>1.5</x:v>
      </x:c>
      <x:c r="J127" s="25" t="n">
        <x:v>0.5</x:v>
      </x:c>
      <x:c r="K127">
        <x:f>IF(17&lt;=DAY(EOMONTH($K109,0)),$K109+16,"")</x:f>
        <x:v>46008</x:v>
      </x:c>
    </x:row>
    <x:row r="128">
      <x:c r="A128" s="21">
        <x:f>IF($K128="","",DAY($K128))</x:f>
        <x:v>18</x:v>
      </x:c>
      <x:c r="B128" s="22" t="str">
        <x:f>IF($K128="","",CHOOSE(WEEKDAY($K128,2),"Mo","Di","Mi","Do","Fr","Sa","So"))</x:f>
        <x:v>Do</x:v>
      </x:c>
      <x:c r="C128" s="22">
        <x:f>IF($K128="","",ISOWEEKNUM($K128))</x:f>
        <x:v>51</x:v>
      </x:c>
      <x:c r="D128" s="23">
        <x:f>IF($K128="","",IF(AND(IFERROR(INDEX(Einstellungen!$I$3:$I$22,MATCH($K128,Einstellungen!$H$3:$H$22,0)),"")&lt;&gt;"",IFERROR(INDEX(Einstellungen!$B$20:$B$119,MATCH($K128,Einstellungen!$A$20:$A$119,0)),"")&lt;&gt;""),IFERROR(INDEX(Einstellungen!$I$3:$I$22,MATCH($K128,Einstellungen!$H$3:$H$22,0)),"")&amp;" / "&amp;IFERROR(INDEX(Einstellungen!$B$20:$B$119,MATCH($K128,Einstellungen!$A$20:$A$119,0)),""),IF(IFERROR(INDEX(Einstellungen!$I$3:$I$22,MATCH($K128,Einstellungen!$H$3:$H$22,0)),"")&lt;&gt;"",IFERROR(INDEX(Einstellungen!$I$3:$I$22,MATCH($K128,Einstellungen!$H$3:$H$22,0)),""),IFERROR(INDEX(Einstellungen!$B$20:$B$119,MATCH($K128,Einstellungen!$A$20:$A$119,0)),""))))</x:f>
      </x:c>
      <x:c r="E128" s="24">
        <x:f>IF($K128="","",SUM(F128:J128))</x:f>
        <x:v>7</x:v>
      </x:c>
      <x:c r="F128" s="25" t="n">
        <x:v>1.5</x:v>
      </x:c>
      <x:c r="G128" s="25" t="n">
        <x:v>2</x:v>
      </x:c>
      <x:c r="H128" s="25" t="n">
        <x:v>1.5</x:v>
      </x:c>
      <x:c r="I128" s="25" t="n">
        <x:v>1.5</x:v>
      </x:c>
      <x:c r="J128" s="25" t="n">
        <x:v>0.5</x:v>
      </x:c>
      <x:c r="K128">
        <x:f>IF(18&lt;=DAY(EOMONTH($K109,0)),$K109+17,"")</x:f>
        <x:v>46009</x:v>
      </x:c>
    </x:row>
    <x:row r="129">
      <x:c r="A129" s="21">
        <x:f>IF($K129="","",DAY($K129))</x:f>
        <x:v>19</x:v>
      </x:c>
      <x:c r="B129" s="22" t="str">
        <x:f>IF($K129="","",CHOOSE(WEEKDAY($K129,2),"Mo","Di","Mi","Do","Fr","Sa","So"))</x:f>
        <x:v>Fr</x:v>
      </x:c>
      <x:c r="C129" s="22">
        <x:f>IF($K129="","",ISOWEEKNUM($K129))</x:f>
        <x:v>51</x:v>
      </x:c>
      <x:c r="D129" s="23">
        <x:f>IF($K129="","",IF(AND(IFERROR(INDEX(Einstellungen!$I$3:$I$22,MATCH($K129,Einstellungen!$H$3:$H$22,0)),"")&lt;&gt;"",IFERROR(INDEX(Einstellungen!$B$20:$B$119,MATCH($K129,Einstellungen!$A$20:$A$119,0)),"")&lt;&gt;""),IFERROR(INDEX(Einstellungen!$I$3:$I$22,MATCH($K129,Einstellungen!$H$3:$H$22,0)),"")&amp;" / "&amp;IFERROR(INDEX(Einstellungen!$B$20:$B$119,MATCH($K129,Einstellungen!$A$20:$A$119,0)),""),IF(IFERROR(INDEX(Einstellungen!$I$3:$I$22,MATCH($K129,Einstellungen!$H$3:$H$22,0)),"")&lt;&gt;"",IFERROR(INDEX(Einstellungen!$I$3:$I$22,MATCH($K129,Einstellungen!$H$3:$H$22,0)),""),IFERROR(INDEX(Einstellungen!$B$20:$B$119,MATCH($K129,Einstellungen!$A$20:$A$119,0)),""))))</x:f>
      </x:c>
      <x:c r="E129" s="24">
        <x:f>IF($K129="","",SUM(F129:J129))</x:f>
        <x:v>5.5</x:v>
      </x:c>
      <x:c r="F129" s="25" t="n">
        <x:v>2</x:v>
      </x:c>
      <x:c r="G129" s="25" t="n">
        <x:v>1</x:v>
      </x:c>
      <x:c r="H129" s="25" t="n">
        <x:v>1</x:v>
      </x:c>
      <x:c r="I129" s="25" t="n">
        <x:v>1</x:v>
      </x:c>
      <x:c r="J129" s="25" t="n">
        <x:v>0.5</x:v>
      </x:c>
      <x:c r="K129">
        <x:f>IF(19&lt;=DAY(EOMONTH($K109,0)),$K109+18,"")</x:f>
        <x:v>46010</x:v>
      </x:c>
    </x:row>
    <x:row r="130">
      <x:c r="A130" s="21">
        <x:f>IF($K130="","",DAY($K130))</x:f>
        <x:v>20</x:v>
      </x:c>
      <x:c r="B130" s="22" t="str">
        <x:f>IF($K130="","",CHOOSE(WEEKDAY($K130,2),"Mo","Di","Mi","Do","Fr","Sa","So"))</x:f>
        <x:v>Sa</x:v>
      </x:c>
      <x:c r="C130" s="22">
        <x:f>IF($K130="","",ISOWEEKNUM($K130))</x:f>
        <x:v>51</x:v>
      </x:c>
      <x:c r="D130" s="23">
        <x:f>IF($K130="","",IF(AND(IFERROR(INDEX(Einstellungen!$I$3:$I$22,MATCH($K130,Einstellungen!$H$3:$H$22,0)),"")&lt;&gt;"",IFERROR(INDEX(Einstellungen!$B$20:$B$119,MATCH($K130,Einstellungen!$A$20:$A$119,0)),"")&lt;&gt;""),IFERROR(INDEX(Einstellungen!$I$3:$I$22,MATCH($K130,Einstellungen!$H$3:$H$22,0)),"")&amp;" / "&amp;IFERROR(INDEX(Einstellungen!$B$20:$B$119,MATCH($K130,Einstellungen!$A$20:$A$119,0)),""),IF(IFERROR(INDEX(Einstellungen!$I$3:$I$22,MATCH($K130,Einstellungen!$H$3:$H$22,0)),"")&lt;&gt;"",IFERROR(INDEX(Einstellungen!$I$3:$I$22,MATCH($K130,Einstellungen!$H$3:$H$22,0)),""),IFERROR(INDEX(Einstellungen!$B$20:$B$119,MATCH($K130,Einstellungen!$A$20:$A$119,0)),""))))</x:f>
      </x:c>
      <x:c r="E130" s="24">
        <x:f>IF($K130="","",SUM(F130:J130))</x:f>
        <x:v>0</x:v>
      </x:c>
      <x:c r="F130" s="25" t="n"/>
      <x:c r="G130" s="25" t="n"/>
      <x:c r="H130" s="25" t="n"/>
      <x:c r="I130" s="25" t="n"/>
      <x:c r="J130" s="25" t="n"/>
      <x:c r="K130">
        <x:f>IF(20&lt;=DAY(EOMONTH($K109,0)),$K109+19,"")</x:f>
        <x:v>46011</x:v>
      </x:c>
    </x:row>
    <x:row r="131">
      <x:c r="A131" s="21">
        <x:f>IF($K131="","",DAY($K131))</x:f>
        <x:v>21</x:v>
      </x:c>
      <x:c r="B131" s="22" t="str">
        <x:f>IF($K131="","",CHOOSE(WEEKDAY($K131,2),"Mo","Di","Mi","Do","Fr","Sa","So"))</x:f>
        <x:v>So</x:v>
      </x:c>
      <x:c r="C131" s="22">
        <x:f>IF($K131="","",ISOWEEKNUM($K131))</x:f>
        <x:v>51</x:v>
      </x:c>
      <x:c r="D131" s="23">
        <x:f>IF($K131="","",IF(AND(IFERROR(INDEX(Einstellungen!$I$3:$I$22,MATCH($K131,Einstellungen!$H$3:$H$22,0)),"")&lt;&gt;"",IFERROR(INDEX(Einstellungen!$B$20:$B$119,MATCH($K131,Einstellungen!$A$20:$A$119,0)),"")&lt;&gt;""),IFERROR(INDEX(Einstellungen!$I$3:$I$22,MATCH($K131,Einstellungen!$H$3:$H$22,0)),"")&amp;" / "&amp;IFERROR(INDEX(Einstellungen!$B$20:$B$119,MATCH($K131,Einstellungen!$A$20:$A$119,0)),""),IF(IFERROR(INDEX(Einstellungen!$I$3:$I$22,MATCH($K131,Einstellungen!$H$3:$H$22,0)),"")&lt;&gt;"",IFERROR(INDEX(Einstellungen!$I$3:$I$22,MATCH($K131,Einstellungen!$H$3:$H$22,0)),""),IFERROR(INDEX(Einstellungen!$B$20:$B$119,MATCH($K131,Einstellungen!$A$20:$A$119,0)),""))))</x:f>
      </x:c>
      <x:c r="E131" s="24">
        <x:f>IF($K131="","",SUM(F131:J131))</x:f>
        <x:v>0</x:v>
      </x:c>
      <x:c r="F131" s="25" t="n"/>
      <x:c r="G131" s="25" t="n"/>
      <x:c r="H131" s="25" t="n"/>
      <x:c r="I131" s="25" t="n"/>
      <x:c r="J131" s="25" t="n"/>
      <x:c r="K131">
        <x:f>IF(21&lt;=DAY(EOMONTH($K109,0)),$K109+20,"")</x:f>
        <x:v>46012</x:v>
      </x:c>
    </x:row>
    <x:row r="132">
      <x:c r="A132" s="21">
        <x:f>IF($K132="","",DAY($K132))</x:f>
        <x:v>22</x:v>
      </x:c>
      <x:c r="B132" s="22" t="str">
        <x:f>IF($K132="","",CHOOSE(WEEKDAY($K132,2),"Mo","Di","Mi","Do","Fr","Sa","So"))</x:f>
        <x:v>Mo</x:v>
      </x:c>
      <x:c r="C132" s="22">
        <x:f>IF($K132="","",ISOWEEKNUM($K132))</x:f>
        <x:v>52</x:v>
      </x:c>
      <x:c r="D132" s="23">
        <x:f>IF($K132="","",IF(AND(IFERROR(INDEX(Einstellungen!$I$3:$I$22,MATCH($K132,Einstellungen!$H$3:$H$22,0)),"")&lt;&gt;"",IFERROR(INDEX(Einstellungen!$B$20:$B$119,MATCH($K132,Einstellungen!$A$20:$A$119,0)),"")&lt;&gt;""),IFERROR(INDEX(Einstellungen!$I$3:$I$22,MATCH($K132,Einstellungen!$H$3:$H$22,0)),"")&amp;" / "&amp;IFERROR(INDEX(Einstellungen!$B$20:$B$119,MATCH($K132,Einstellungen!$A$20:$A$119,0)),""),IF(IFERROR(INDEX(Einstellungen!$I$3:$I$22,MATCH($K132,Einstellungen!$H$3:$H$22,0)),"")&lt;&gt;"",IFERROR(INDEX(Einstellungen!$I$3:$I$22,MATCH($K132,Einstellungen!$H$3:$H$22,0)),""),IFERROR(INDEX(Einstellungen!$B$20:$B$119,MATCH($K132,Einstellungen!$A$20:$A$119,0)),""))))</x:f>
      </x:c>
      <x:c r="E132" s="24">
        <x:f>IF($K132="","",SUM(F132:J132))</x:f>
        <x:v>6.5</x:v>
      </x:c>
      <x:c r="F132" s="25" t="n">
        <x:v>1</x:v>
      </x:c>
      <x:c r="G132" s="25" t="n">
        <x:v>2</x:v>
      </x:c>
      <x:c r="H132" s="25" t="n">
        <x:v>1</x:v>
      </x:c>
      <x:c r="I132" s="25" t="n">
        <x:v>2</x:v>
      </x:c>
      <x:c r="J132" s="25" t="n">
        <x:v>0.5</x:v>
      </x:c>
      <x:c r="K132">
        <x:f>IF(22&lt;=DAY(EOMONTH($K109,0)),$K109+21,"")</x:f>
        <x:v>46013</x:v>
      </x:c>
    </x:row>
    <x:row r="133">
      <x:c r="A133" s="21">
        <x:f>IF($K133="","",DAY($K133))</x:f>
        <x:v>23</x:v>
      </x:c>
      <x:c r="B133" s="22" t="str">
        <x:f>IF($K133="","",CHOOSE(WEEKDAY($K133,2),"Mo","Di","Mi","Do","Fr","Sa","So"))</x:f>
        <x:v>Di</x:v>
      </x:c>
      <x:c r="C133" s="22">
        <x:f>IF($K133="","",ISOWEEKNUM($K133))</x:f>
        <x:v>52</x:v>
      </x:c>
      <x:c r="D133" s="23">
        <x:f>IF($K133="","",IF(AND(IFERROR(INDEX(Einstellungen!$I$3:$I$22,MATCH($K133,Einstellungen!$H$3:$H$22,0)),"")&lt;&gt;"",IFERROR(INDEX(Einstellungen!$B$20:$B$119,MATCH($K133,Einstellungen!$A$20:$A$119,0)),"")&lt;&gt;""),IFERROR(INDEX(Einstellungen!$I$3:$I$22,MATCH($K133,Einstellungen!$H$3:$H$22,0)),"")&amp;" / "&amp;IFERROR(INDEX(Einstellungen!$B$20:$B$119,MATCH($K133,Einstellungen!$A$20:$A$119,0)),""),IF(IFERROR(INDEX(Einstellungen!$I$3:$I$22,MATCH($K133,Einstellungen!$H$3:$H$22,0)),"")&lt;&gt;"",IFERROR(INDEX(Einstellungen!$I$3:$I$22,MATCH($K133,Einstellungen!$H$3:$H$22,0)),""),IFERROR(INDEX(Einstellungen!$B$20:$B$119,MATCH($K133,Einstellungen!$A$20:$A$119,0)),""))))</x:f>
      </x:c>
      <x:c r="E133" s="24">
        <x:f>IF($K133="","",SUM(F133:J133))</x:f>
        <x:v>6.5</x:v>
      </x:c>
      <x:c r="F133" s="25" t="n">
        <x:v>1.5</x:v>
      </x:c>
      <x:c r="G133" s="25" t="n">
        <x:v>1.5</x:v>
      </x:c>
      <x:c r="H133" s="25" t="n">
        <x:v>1</x:v>
      </x:c>
      <x:c r="I133" s="25" t="n">
        <x:v>2</x:v>
      </x:c>
      <x:c r="J133" s="25" t="n">
        <x:v>0.5</x:v>
      </x:c>
      <x:c r="K133">
        <x:f>IF(23&lt;=DAY(EOMONTH($K109,0)),$K109+22,"")</x:f>
        <x:v>46014</x:v>
      </x:c>
    </x:row>
    <x:row r="134">
      <x:c r="A134" s="21">
        <x:f>IF($K134="","",DAY($K134))</x:f>
        <x:v>24</x:v>
      </x:c>
      <x:c r="B134" s="22" t="str">
        <x:f>IF($K134="","",CHOOSE(WEEKDAY($K134,2),"Mo","Di","Mi","Do","Fr","Sa","So"))</x:f>
        <x:v>Mi</x:v>
      </x:c>
      <x:c r="C134" s="22">
        <x:f>IF($K134="","",ISOWEEKNUM($K134))</x:f>
        <x:v>52</x:v>
      </x:c>
      <x:c r="D134" s="23">
        <x:f>IF($K134="","",IF(AND(IFERROR(INDEX(Einstellungen!$I$3:$I$22,MATCH($K134,Einstellungen!$H$3:$H$22,0)),"")&lt;&gt;"",IFERROR(INDEX(Einstellungen!$B$20:$B$119,MATCH($K134,Einstellungen!$A$20:$A$119,0)),"")&lt;&gt;""),IFERROR(INDEX(Einstellungen!$I$3:$I$22,MATCH($K134,Einstellungen!$H$3:$H$22,0)),"")&amp;" / "&amp;IFERROR(INDEX(Einstellungen!$B$20:$B$119,MATCH($K134,Einstellungen!$A$20:$A$119,0)),""),IF(IFERROR(INDEX(Einstellungen!$I$3:$I$22,MATCH($K134,Einstellungen!$H$3:$H$22,0)),"")&lt;&gt;"",IFERROR(INDEX(Einstellungen!$I$3:$I$22,MATCH($K134,Einstellungen!$H$3:$H$22,0)),""),IFERROR(INDEX(Einstellungen!$B$20:$B$119,MATCH($K134,Einstellungen!$A$20:$A$119,0)),""))))</x:f>
      </x:c>
      <x:c r="E134" s="24">
        <x:f>IF($K134="","",SUM(F134:J134))</x:f>
        <x:v>6.5</x:v>
      </x:c>
      <x:c r="F134" s="25" t="n">
        <x:v>1</x:v>
      </x:c>
      <x:c r="G134" s="25" t="n">
        <x:v>2.5</x:v>
      </x:c>
      <x:c r="H134" s="25" t="n">
        <x:v>1</x:v>
      </x:c>
      <x:c r="I134" s="25" t="n">
        <x:v>1.5</x:v>
      </x:c>
      <x:c r="J134" s="25" t="n">
        <x:v>0.5</x:v>
      </x:c>
      <x:c r="K134">
        <x:f>IF(24&lt;=DAY(EOMONTH($K109,0)),$K109+23,"")</x:f>
        <x:v>46015</x:v>
      </x:c>
    </x:row>
    <x:row r="135">
      <x:c r="A135" s="21">
        <x:f>IF($K135="","",DAY($K135))</x:f>
        <x:v>25</x:v>
      </x:c>
      <x:c r="B135" s="22" t="str">
        <x:f>IF($K135="","",CHOOSE(WEEKDAY($K135,2),"Mo","Di","Mi","Do","Fr","Sa","So"))</x:f>
        <x:v>Do</x:v>
      </x:c>
      <x:c r="C135" s="22">
        <x:f>IF($K135="","",ISOWEEKNUM($K135))</x:f>
        <x:v>52</x:v>
      </x:c>
      <x:c r="D135" s="23" t="str">
        <x:f>IF($K135="","",IF(AND(IFERROR(INDEX(Einstellungen!$I$3:$I$22,MATCH($K135,Einstellungen!$H$3:$H$22,0)),"")&lt;&gt;"",IFERROR(INDEX(Einstellungen!$B$20:$B$119,MATCH($K135,Einstellungen!$A$20:$A$119,0)),"")&lt;&gt;""),IFERROR(INDEX(Einstellungen!$I$3:$I$22,MATCH($K135,Einstellungen!$H$3:$H$22,0)),"")&amp;" / "&amp;IFERROR(INDEX(Einstellungen!$B$20:$B$119,MATCH($K135,Einstellungen!$A$20:$A$119,0)),""),IF(IFERROR(INDEX(Einstellungen!$I$3:$I$22,MATCH($K135,Einstellungen!$H$3:$H$22,0)),"")&lt;&gt;"",IFERROR(INDEX(Einstellungen!$I$3:$I$22,MATCH($K135,Einstellungen!$H$3:$H$22,0)),""),IFERROR(INDEX(Einstellungen!$B$20:$B$119,MATCH($K135,Einstellungen!$A$20:$A$119,0)),""))))</x:f>
        <x:v>1. Weihnachtstag</x:v>
      </x:c>
      <x:c r="E135" s="24">
        <x:f>IF($K135="","",SUM(F135:J135))</x:f>
        <x:v>0</x:v>
      </x:c>
      <x:c r="F135" s="25" t="n"/>
      <x:c r="G135" s="25" t="n"/>
      <x:c r="H135" s="25" t="n"/>
      <x:c r="I135" s="25" t="n"/>
      <x:c r="J135" s="25" t="n"/>
      <x:c r="K135">
        <x:f>IF(25&lt;=DAY(EOMONTH($K109,0)),$K109+24,"")</x:f>
        <x:v>46016</x:v>
      </x:c>
    </x:row>
    <x:row r="136">
      <x:c r="A136" s="21">
        <x:f>IF($K136="","",DAY($K136))</x:f>
        <x:v>26</x:v>
      </x:c>
      <x:c r="B136" s="22" t="str">
        <x:f>IF($K136="","",CHOOSE(WEEKDAY($K136,2),"Mo","Di","Mi","Do","Fr","Sa","So"))</x:f>
        <x:v>Fr</x:v>
      </x:c>
      <x:c r="C136" s="22">
        <x:f>IF($K136="","",ISOWEEKNUM($K136))</x:f>
        <x:v>52</x:v>
      </x:c>
      <x:c r="D136" s="23" t="str">
        <x:f>IF($K136="","",IF(AND(IFERROR(INDEX(Einstellungen!$I$3:$I$22,MATCH($K136,Einstellungen!$H$3:$H$22,0)),"")&lt;&gt;"",IFERROR(INDEX(Einstellungen!$B$20:$B$119,MATCH($K136,Einstellungen!$A$20:$A$119,0)),"")&lt;&gt;""),IFERROR(INDEX(Einstellungen!$I$3:$I$22,MATCH($K136,Einstellungen!$H$3:$H$22,0)),"")&amp;" / "&amp;IFERROR(INDEX(Einstellungen!$B$20:$B$119,MATCH($K136,Einstellungen!$A$20:$A$119,0)),""),IF(IFERROR(INDEX(Einstellungen!$I$3:$I$22,MATCH($K136,Einstellungen!$H$3:$H$22,0)),"")&lt;&gt;"",IFERROR(INDEX(Einstellungen!$I$3:$I$22,MATCH($K136,Einstellungen!$H$3:$H$22,0)),""),IFERROR(INDEX(Einstellungen!$B$20:$B$119,MATCH($K136,Einstellungen!$A$20:$A$119,0)),""))))</x:f>
        <x:v>2. Weihnachtstag</x:v>
      </x:c>
      <x:c r="E136" s="24">
        <x:f>IF($K136="","",SUM(F136:J136))</x:f>
        <x:v>0</x:v>
      </x:c>
      <x:c r="F136" s="25" t="n"/>
      <x:c r="G136" s="25" t="n"/>
      <x:c r="H136" s="25" t="n"/>
      <x:c r="I136" s="25" t="n"/>
      <x:c r="J136" s="25" t="n"/>
      <x:c r="K136">
        <x:f>IF(26&lt;=DAY(EOMONTH($K109,0)),$K109+25,"")</x:f>
        <x:v>46017</x:v>
      </x:c>
    </x:row>
    <x:row r="137">
      <x:c r="A137" s="21">
        <x:f>IF($K137="","",DAY($K137))</x:f>
        <x:v>27</x:v>
      </x:c>
      <x:c r="B137" s="22" t="str">
        <x:f>IF($K137="","",CHOOSE(WEEKDAY($K137,2),"Mo","Di","Mi","Do","Fr","Sa","So"))</x:f>
        <x:v>Sa</x:v>
      </x:c>
      <x:c r="C137" s="22">
        <x:f>IF($K137="","",ISOWEEKNUM($K137))</x:f>
        <x:v>52</x:v>
      </x:c>
      <x:c r="D137" s="23">
        <x:f>IF($K137="","",IF(AND(IFERROR(INDEX(Einstellungen!$I$3:$I$22,MATCH($K137,Einstellungen!$H$3:$H$22,0)),"")&lt;&gt;"",IFERROR(INDEX(Einstellungen!$B$20:$B$119,MATCH($K137,Einstellungen!$A$20:$A$119,0)),"")&lt;&gt;""),IFERROR(INDEX(Einstellungen!$I$3:$I$22,MATCH($K137,Einstellungen!$H$3:$H$22,0)),"")&amp;" / "&amp;IFERROR(INDEX(Einstellungen!$B$20:$B$119,MATCH($K137,Einstellungen!$A$20:$A$119,0)),""),IF(IFERROR(INDEX(Einstellungen!$I$3:$I$22,MATCH($K137,Einstellungen!$H$3:$H$22,0)),"")&lt;&gt;"",IFERROR(INDEX(Einstellungen!$I$3:$I$22,MATCH($K137,Einstellungen!$H$3:$H$22,0)),""),IFERROR(INDEX(Einstellungen!$B$20:$B$119,MATCH($K137,Einstellungen!$A$20:$A$119,0)),""))))</x:f>
      </x:c>
      <x:c r="E137" s="24">
        <x:f>IF($K137="","",SUM(F137:J137))</x:f>
        <x:v>0</x:v>
      </x:c>
      <x:c r="F137" s="25" t="n"/>
      <x:c r="G137" s="25" t="n"/>
      <x:c r="H137" s="25" t="n"/>
      <x:c r="I137" s="25" t="n"/>
      <x:c r="J137" s="25" t="n"/>
      <x:c r="K137">
        <x:f>IF(27&lt;=DAY(EOMONTH($K109,0)),$K109+26,"")</x:f>
        <x:v>46018</x:v>
      </x:c>
    </x:row>
    <x:row r="138">
      <x:c r="A138" s="21">
        <x:f>IF($K138="","",DAY($K138))</x:f>
        <x:v>28</x:v>
      </x:c>
      <x:c r="B138" s="22" t="str">
        <x:f>IF($K138="","",CHOOSE(WEEKDAY($K138,2),"Mo","Di","Mi","Do","Fr","Sa","So"))</x:f>
        <x:v>So</x:v>
      </x:c>
      <x:c r="C138" s="22">
        <x:f>IF($K138="","",ISOWEEKNUM($K138))</x:f>
        <x:v>52</x:v>
      </x:c>
      <x:c r="D138" s="23">
        <x:f>IF($K138="","",IF(AND(IFERROR(INDEX(Einstellungen!$I$3:$I$22,MATCH($K138,Einstellungen!$H$3:$H$22,0)),"")&lt;&gt;"",IFERROR(INDEX(Einstellungen!$B$20:$B$119,MATCH($K138,Einstellungen!$A$20:$A$119,0)),"")&lt;&gt;""),IFERROR(INDEX(Einstellungen!$I$3:$I$22,MATCH($K138,Einstellungen!$H$3:$H$22,0)),"")&amp;" / "&amp;IFERROR(INDEX(Einstellungen!$B$20:$B$119,MATCH($K138,Einstellungen!$A$20:$A$119,0)),""),IF(IFERROR(INDEX(Einstellungen!$I$3:$I$22,MATCH($K138,Einstellungen!$H$3:$H$22,0)),"")&lt;&gt;"",IFERROR(INDEX(Einstellungen!$I$3:$I$22,MATCH($K138,Einstellungen!$H$3:$H$22,0)),""),IFERROR(INDEX(Einstellungen!$B$20:$B$119,MATCH($K138,Einstellungen!$A$20:$A$119,0)),""))))</x:f>
      </x:c>
      <x:c r="E138" s="24">
        <x:f>IF($K138="","",SUM(F138:J138))</x:f>
        <x:v>0</x:v>
      </x:c>
      <x:c r="F138" s="25" t="n"/>
      <x:c r="G138" s="25" t="n"/>
      <x:c r="H138" s="25" t="n"/>
      <x:c r="I138" s="25" t="n"/>
      <x:c r="J138" s="25" t="n"/>
      <x:c r="K138">
        <x:f>IF(28&lt;=DAY(EOMONTH($K109,0)),$K109+27,"")</x:f>
        <x:v>46019</x:v>
      </x:c>
    </x:row>
    <x:row r="139">
      <x:c r="A139" s="21">
        <x:f>IF($K139="","",DAY($K139))</x:f>
        <x:v>29</x:v>
      </x:c>
      <x:c r="B139" s="22" t="str">
        <x:f>IF($K139="","",CHOOSE(WEEKDAY($K139,2),"Mo","Di","Mi","Do","Fr","Sa","So"))</x:f>
        <x:v>Mo</x:v>
      </x:c>
      <x:c r="C139" s="22">
        <x:f>IF($K139="","",ISOWEEKNUM($K139))</x:f>
        <x:v>1</x:v>
      </x:c>
      <x:c r="D139" s="23">
        <x:f>IF($K139="","",IF(AND(IFERROR(INDEX(Einstellungen!$I$3:$I$22,MATCH($K139,Einstellungen!$H$3:$H$22,0)),"")&lt;&gt;"",IFERROR(INDEX(Einstellungen!$B$20:$B$119,MATCH($K139,Einstellungen!$A$20:$A$119,0)),"")&lt;&gt;""),IFERROR(INDEX(Einstellungen!$I$3:$I$22,MATCH($K139,Einstellungen!$H$3:$H$22,0)),"")&amp;" / "&amp;IFERROR(INDEX(Einstellungen!$B$20:$B$119,MATCH($K139,Einstellungen!$A$20:$A$119,0)),""),IF(IFERROR(INDEX(Einstellungen!$I$3:$I$22,MATCH($K139,Einstellungen!$H$3:$H$22,0)),"")&lt;&gt;"",IFERROR(INDEX(Einstellungen!$I$3:$I$22,MATCH($K139,Einstellungen!$H$3:$H$22,0)),""),IFERROR(INDEX(Einstellungen!$B$20:$B$119,MATCH($K139,Einstellungen!$A$20:$A$119,0)),""))))</x:f>
      </x:c>
      <x:c r="E139" s="24">
        <x:f>IF($K139="","",SUM(F139:J139))</x:f>
        <x:v>6.5</x:v>
      </x:c>
      <x:c r="F139" s="25" t="n">
        <x:v>1</x:v>
      </x:c>
      <x:c r="G139" s="25" t="n">
        <x:v>2</x:v>
      </x:c>
      <x:c r="H139" s="25" t="n">
        <x:v>1</x:v>
      </x:c>
      <x:c r="I139" s="25" t="n">
        <x:v>2</x:v>
      </x:c>
      <x:c r="J139" s="25" t="n">
        <x:v>0.5</x:v>
      </x:c>
      <x:c r="K139">
        <x:f>IF(29&lt;=DAY(EOMONTH($K109,0)),$K109+28,"")</x:f>
        <x:v>46020</x:v>
      </x:c>
    </x:row>
    <x:row r="140">
      <x:c r="A140" s="21">
        <x:f>IF($K140="","",DAY($K140))</x:f>
        <x:v>30</x:v>
      </x:c>
      <x:c r="B140" s="22" t="str">
        <x:f>IF($K140="","",CHOOSE(WEEKDAY($K140,2),"Mo","Di","Mi","Do","Fr","Sa","So"))</x:f>
        <x:v>Di</x:v>
      </x:c>
      <x:c r="C140" s="22">
        <x:f>IF($K140="","",ISOWEEKNUM($K140))</x:f>
        <x:v>1</x:v>
      </x:c>
      <x:c r="D140" s="23">
        <x:f>IF($K140="","",IF(AND(IFERROR(INDEX(Einstellungen!$I$3:$I$22,MATCH($K140,Einstellungen!$H$3:$H$22,0)),"")&lt;&gt;"",IFERROR(INDEX(Einstellungen!$B$20:$B$119,MATCH($K140,Einstellungen!$A$20:$A$119,0)),"")&lt;&gt;""),IFERROR(INDEX(Einstellungen!$I$3:$I$22,MATCH($K140,Einstellungen!$H$3:$H$22,0)),"")&amp;" / "&amp;IFERROR(INDEX(Einstellungen!$B$20:$B$119,MATCH($K140,Einstellungen!$A$20:$A$119,0)),""),IF(IFERROR(INDEX(Einstellungen!$I$3:$I$22,MATCH($K140,Einstellungen!$H$3:$H$22,0)),"")&lt;&gt;"",IFERROR(INDEX(Einstellungen!$I$3:$I$22,MATCH($K140,Einstellungen!$H$3:$H$22,0)),""),IFERROR(INDEX(Einstellungen!$B$20:$B$119,MATCH($K140,Einstellungen!$A$20:$A$119,0)),""))))</x:f>
      </x:c>
      <x:c r="E140" s="24">
        <x:f>IF($K140="","",SUM(F140:J140))</x:f>
        <x:v>6.5</x:v>
      </x:c>
      <x:c r="F140" s="25" t="n">
        <x:v>1.5</x:v>
      </x:c>
      <x:c r="G140" s="25" t="n">
        <x:v>1.5</x:v>
      </x:c>
      <x:c r="H140" s="25" t="n">
        <x:v>1</x:v>
      </x:c>
      <x:c r="I140" s="25" t="n">
        <x:v>2</x:v>
      </x:c>
      <x:c r="J140" s="25" t="n">
        <x:v>0.5</x:v>
      </x:c>
      <x:c r="K140">
        <x:f>IF(30&lt;=DAY(EOMONTH($K109,0)),$K109+29,"")</x:f>
        <x:v>46021</x:v>
      </x:c>
    </x:row>
    <x:row r="141">
      <x:c r="A141" s="21">
        <x:f>IF($K141="","",DAY($K141))</x:f>
        <x:v>31</x:v>
      </x:c>
      <x:c r="B141" s="22" t="str">
        <x:f>IF($K141="","",CHOOSE(WEEKDAY($K141,2),"Mo","Di","Mi","Do","Fr","Sa","So"))</x:f>
        <x:v>Mi</x:v>
      </x:c>
      <x:c r="C141" s="22">
        <x:f>IF($K141="","",ISOWEEKNUM($K141))</x:f>
        <x:v>1</x:v>
      </x:c>
      <x:c r="D141" s="23">
        <x:f>IF($K141="","",IF(AND(IFERROR(INDEX(Einstellungen!$I$3:$I$22,MATCH($K141,Einstellungen!$H$3:$H$22,0)),"")&lt;&gt;"",IFERROR(INDEX(Einstellungen!$B$20:$B$119,MATCH($K141,Einstellungen!$A$20:$A$119,0)),"")&lt;&gt;""),IFERROR(INDEX(Einstellungen!$I$3:$I$22,MATCH($K141,Einstellungen!$H$3:$H$22,0)),"")&amp;" / "&amp;IFERROR(INDEX(Einstellungen!$B$20:$B$119,MATCH($K141,Einstellungen!$A$20:$A$119,0)),""),IF(IFERROR(INDEX(Einstellungen!$I$3:$I$22,MATCH($K141,Einstellungen!$H$3:$H$22,0)),"")&lt;&gt;"",IFERROR(INDEX(Einstellungen!$I$3:$I$22,MATCH($K141,Einstellungen!$H$3:$H$22,0)),""),IFERROR(INDEX(Einstellungen!$B$20:$B$119,MATCH($K141,Einstellungen!$A$20:$A$119,0)),""))))</x:f>
      </x:c>
      <x:c r="E141" s="24">
        <x:f>IF($K141="","",SUM(F141:J141))</x:f>
        <x:v>6.5</x:v>
      </x:c>
      <x:c r="F141" s="25" t="n">
        <x:v>1</x:v>
      </x:c>
      <x:c r="G141" s="25" t="n">
        <x:v>2.5</x:v>
      </x:c>
      <x:c r="H141" s="25" t="n">
        <x:v>1</x:v>
      </x:c>
      <x:c r="I141" s="25" t="n">
        <x:v>1.5</x:v>
      </x:c>
      <x:c r="J141" s="25" t="n">
        <x:v>0.5</x:v>
      </x:c>
      <x:c r="K141">
        <x:f>IF(31&lt;=DAY(EOMONTH($K109,0)),$K109+30,"")</x:f>
        <x:v>46022</x:v>
      </x:c>
    </x:row>
    <x:row r="142">
      <x:c r="A142" s="26" t="n"/>
      <x:c r="B142" s="26" t="n"/>
      <x:c r="C142" s="26" t="n"/>
      <x:c r="D142" s="26" t="n"/>
      <x:c r="E142" s="26" t="n"/>
      <x:c r="F142" s="26" t="n"/>
      <x:c r="G142" s="26" t="n"/>
      <x:c r="H142" s="26" t="n"/>
      <x:c r="I142" s="26" t="n"/>
      <x:c r="J142" s="26" t="n"/>
    </x:row>
    <x:row r="143">
      <x:c r="A143" s="18" t="str">
        <x:f>INDEX(Einstellungen!$F$2:$F$13,MONTH($K143))&amp;" "&amp;YEAR($K143)</x:f>
        <x:v>Januar 2026</x:v>
      </x:c>
      <x:c r="B143" s="36" t="n"/>
      <x:c r="C143" s="36" t="n"/>
      <x:c r="D143" s="36" t="n"/>
      <x:c r="E143" s="36" t="n"/>
      <x:c r="F143" s="36" t="n"/>
      <x:c r="G143" s="36" t="n"/>
      <x:c r="H143" s="36" t="n"/>
      <x:c r="I143" s="36" t="n"/>
      <x:c r="J143" s="37" t="n"/>
      <x:c r="K143">
        <x:f>EDATE(Einstellungen!$B$5,4)</x:f>
        <x:v>46023</x:v>
      </x:c>
    </x:row>
    <x:row r="144">
      <x:c r="A144" s="20" t="inlineStr">
        <x:is>
          <x:t xml:space="preserve">Datum</x:t>
        </x:is>
      </x:c>
      <x:c r="B144" s="20" t="inlineStr">
        <x:is>
          <x:t xml:space="preserve">Tag</x:t>
        </x:is>
      </x:c>
      <x:c r="C144" s="20" t="inlineStr">
        <x:is>
          <x:t xml:space="preserve">KW</x:t>
        </x:is>
      </x:c>
      <x:c r="D144" s="20" t="inlineStr">
        <x:is>
          <x:t xml:space="preserve">Feiertag</x:t>
        </x:is>
      </x:c>
      <x:c r="E144" s="20" t="inlineStr">
        <x:is>
          <x:t xml:space="preserve">Arbeitszeit</x:t>
        </x:is>
      </x:c>
      <x:c r="F144" s="20" t="str">
        <x:f>Einstellungen!$B$11</x:f>
        <x:v>E-Mail</x:v>
      </x:c>
      <x:c r="G144" s="20" t="str">
        <x:f>Einstellungen!$B$12</x:f>
        <x:v>Meetings</x:v>
      </x:c>
      <x:c r="H144" s="20" t="str">
        <x:f>Einstellungen!$B$13</x:f>
        <x:v>Telefonate</x:v>
      </x:c>
      <x:c r="I144" s="20" t="str">
        <x:f>Einstellungen!$B$14</x:f>
        <x:v>Dokumentation</x:v>
      </x:c>
      <x:c r="J144" s="20" t="str">
        <x:f>Einstellungen!$B$15</x:f>
        <x:v>Sonstiges</x:v>
      </x:c>
    </x:row>
    <x:row r="145">
      <x:c r="A145" s="21">
        <x:f>IF($K145="","",DAY($K145))</x:f>
        <x:v>1</x:v>
      </x:c>
      <x:c r="B145" s="22" t="str">
        <x:f>IF($K145="","",CHOOSE(WEEKDAY($K145,2),"Mo","Di","Mi","Do","Fr","Sa","So"))</x:f>
        <x:v>Do</x:v>
      </x:c>
      <x:c r="C145" s="22">
        <x:f>IF($K145="","",ISOWEEKNUM($K145))</x:f>
        <x:v>1</x:v>
      </x:c>
      <x:c r="D145" s="23" t="str">
        <x:f>IF($K145="","",IF(AND(IFERROR(INDEX(Einstellungen!$I$3:$I$22,MATCH($K145,Einstellungen!$H$3:$H$22,0)),"")&lt;&gt;"",IFERROR(INDEX(Einstellungen!$B$20:$B$119,MATCH($K145,Einstellungen!$A$20:$A$119,0)),"")&lt;&gt;""),IFERROR(INDEX(Einstellungen!$I$3:$I$22,MATCH($K145,Einstellungen!$H$3:$H$22,0)),"")&amp;" / "&amp;IFERROR(INDEX(Einstellungen!$B$20:$B$119,MATCH($K145,Einstellungen!$A$20:$A$119,0)),""),IF(IFERROR(INDEX(Einstellungen!$I$3:$I$22,MATCH($K145,Einstellungen!$H$3:$H$22,0)),"")&lt;&gt;"",IFERROR(INDEX(Einstellungen!$I$3:$I$22,MATCH($K145,Einstellungen!$H$3:$H$22,0)),""),IFERROR(INDEX(Einstellungen!$B$20:$B$119,MATCH($K145,Einstellungen!$A$20:$A$119,0)),""))))</x:f>
        <x:v>Neujahr</x:v>
      </x:c>
      <x:c r="E145" s="24">
        <x:f>IF($K145="","",SUM(F145:J145))</x:f>
        <x:v>0</x:v>
      </x:c>
      <x:c r="F145" s="25" t="n"/>
      <x:c r="G145" s="25" t="n"/>
      <x:c r="H145" s="25" t="n"/>
      <x:c r="I145" s="25" t="n"/>
      <x:c r="J145" s="25" t="n"/>
      <x:c r="K145">
        <x:f>IF(1&lt;=DAY(EOMONTH($K143,0)),$K143+0,"")</x:f>
        <x:v>46023</x:v>
      </x:c>
    </x:row>
    <x:row r="146">
      <x:c r="A146" s="21">
        <x:f>IF($K146="","",DAY($K146))</x:f>
        <x:v>2</x:v>
      </x:c>
      <x:c r="B146" s="22" t="str">
        <x:f>IF($K146="","",CHOOSE(WEEKDAY($K146,2),"Mo","Di","Mi","Do","Fr","Sa","So"))</x:f>
        <x:v>Fr</x:v>
      </x:c>
      <x:c r="C146" s="22">
        <x:f>IF($K146="","",ISOWEEKNUM($K146))</x:f>
        <x:v>1</x:v>
      </x:c>
      <x:c r="D146" s="23">
        <x:f>IF($K146="","",IF(AND(IFERROR(INDEX(Einstellungen!$I$3:$I$22,MATCH($K146,Einstellungen!$H$3:$H$22,0)),"")&lt;&gt;"",IFERROR(INDEX(Einstellungen!$B$20:$B$119,MATCH($K146,Einstellungen!$A$20:$A$119,0)),"")&lt;&gt;""),IFERROR(INDEX(Einstellungen!$I$3:$I$22,MATCH($K146,Einstellungen!$H$3:$H$22,0)),"")&amp;" / "&amp;IFERROR(INDEX(Einstellungen!$B$20:$B$119,MATCH($K146,Einstellungen!$A$20:$A$119,0)),""),IF(IFERROR(INDEX(Einstellungen!$I$3:$I$22,MATCH($K146,Einstellungen!$H$3:$H$22,0)),"")&lt;&gt;"",IFERROR(INDEX(Einstellungen!$I$3:$I$22,MATCH($K146,Einstellungen!$H$3:$H$22,0)),""),IFERROR(INDEX(Einstellungen!$B$20:$B$119,MATCH($K146,Einstellungen!$A$20:$A$119,0)),""))))</x:f>
      </x:c>
      <x:c r="E146" s="24">
        <x:f>IF($K146="","",SUM(F146:J146))</x:f>
        <x:v>6.5</x:v>
      </x:c>
      <x:c r="F146" s="25" t="n">
        <x:v>2</x:v>
      </x:c>
      <x:c r="G146" s="25" t="n">
        <x:v>1</x:v>
      </x:c>
      <x:c r="H146" s="25" t="n">
        <x:v>1</x:v>
      </x:c>
      <x:c r="I146" s="25" t="n">
        <x:v>1</x:v>
      </x:c>
      <x:c r="J146" s="25" t="n">
        <x:v>1.5</x:v>
      </x:c>
      <x:c r="K146">
        <x:f>IF(2&lt;=DAY(EOMONTH($K143,0)),$K143+1,"")</x:f>
        <x:v>46024</x:v>
      </x:c>
    </x:row>
    <x:row r="147">
      <x:c r="A147" s="21">
        <x:f>IF($K147="","",DAY($K147))</x:f>
        <x:v>3</x:v>
      </x:c>
      <x:c r="B147" s="22" t="str">
        <x:f>IF($K147="","",CHOOSE(WEEKDAY($K147,2),"Mo","Di","Mi","Do","Fr","Sa","So"))</x:f>
        <x:v>Sa</x:v>
      </x:c>
      <x:c r="C147" s="22">
        <x:f>IF($K147="","",ISOWEEKNUM($K147))</x:f>
        <x:v>1</x:v>
      </x:c>
      <x:c r="D147" s="23">
        <x:f>IF($K147="","",IF(AND(IFERROR(INDEX(Einstellungen!$I$3:$I$22,MATCH($K147,Einstellungen!$H$3:$H$22,0)),"")&lt;&gt;"",IFERROR(INDEX(Einstellungen!$B$20:$B$119,MATCH($K147,Einstellungen!$A$20:$A$119,0)),"")&lt;&gt;""),IFERROR(INDEX(Einstellungen!$I$3:$I$22,MATCH($K147,Einstellungen!$H$3:$H$22,0)),"")&amp;" / "&amp;IFERROR(INDEX(Einstellungen!$B$20:$B$119,MATCH($K147,Einstellungen!$A$20:$A$119,0)),""),IF(IFERROR(INDEX(Einstellungen!$I$3:$I$22,MATCH($K147,Einstellungen!$H$3:$H$22,0)),"")&lt;&gt;"",IFERROR(INDEX(Einstellungen!$I$3:$I$22,MATCH($K147,Einstellungen!$H$3:$H$22,0)),""),IFERROR(INDEX(Einstellungen!$B$20:$B$119,MATCH($K147,Einstellungen!$A$20:$A$119,0)),""))))</x:f>
      </x:c>
      <x:c r="E147" s="24">
        <x:f>IF($K147="","",SUM(F147:J147))</x:f>
        <x:v>0</x:v>
      </x:c>
      <x:c r="F147" s="25" t="n"/>
      <x:c r="G147" s="25" t="n"/>
      <x:c r="H147" s="25" t="n"/>
      <x:c r="I147" s="25" t="n"/>
      <x:c r="J147" s="25" t="n"/>
      <x:c r="K147">
        <x:f>IF(3&lt;=DAY(EOMONTH($K143,0)),$K143+2,"")</x:f>
        <x:v>46025</x:v>
      </x:c>
    </x:row>
    <x:row r="148">
      <x:c r="A148" s="21">
        <x:f>IF($K148="","",DAY($K148))</x:f>
        <x:v>4</x:v>
      </x:c>
      <x:c r="B148" s="22" t="str">
        <x:f>IF($K148="","",CHOOSE(WEEKDAY($K148,2),"Mo","Di","Mi","Do","Fr","Sa","So"))</x:f>
        <x:v>So</x:v>
      </x:c>
      <x:c r="C148" s="22">
        <x:f>IF($K148="","",ISOWEEKNUM($K148))</x:f>
        <x:v>1</x:v>
      </x:c>
      <x:c r="D148" s="23">
        <x:f>IF($K148="","",IF(AND(IFERROR(INDEX(Einstellungen!$I$3:$I$22,MATCH($K148,Einstellungen!$H$3:$H$22,0)),"")&lt;&gt;"",IFERROR(INDEX(Einstellungen!$B$20:$B$119,MATCH($K148,Einstellungen!$A$20:$A$119,0)),"")&lt;&gt;""),IFERROR(INDEX(Einstellungen!$I$3:$I$22,MATCH($K148,Einstellungen!$H$3:$H$22,0)),"")&amp;" / "&amp;IFERROR(INDEX(Einstellungen!$B$20:$B$119,MATCH($K148,Einstellungen!$A$20:$A$119,0)),""),IF(IFERROR(INDEX(Einstellungen!$I$3:$I$22,MATCH($K148,Einstellungen!$H$3:$H$22,0)),"")&lt;&gt;"",IFERROR(INDEX(Einstellungen!$I$3:$I$22,MATCH($K148,Einstellungen!$H$3:$H$22,0)),""),IFERROR(INDEX(Einstellungen!$B$20:$B$119,MATCH($K148,Einstellungen!$A$20:$A$119,0)),""))))</x:f>
      </x:c>
      <x:c r="E148" s="24">
        <x:f>IF($K148="","",SUM(F148:J148))</x:f>
        <x:v>0</x:v>
      </x:c>
      <x:c r="F148" s="25" t="n"/>
      <x:c r="G148" s="25" t="n"/>
      <x:c r="H148" s="25" t="n"/>
      <x:c r="I148" s="25" t="n"/>
      <x:c r="J148" s="25" t="n"/>
      <x:c r="K148">
        <x:f>IF(4&lt;=DAY(EOMONTH($K143,0)),$K143+3,"")</x:f>
        <x:v>46026</x:v>
      </x:c>
    </x:row>
    <x:row r="149">
      <x:c r="A149" s="21">
        <x:f>IF($K149="","",DAY($K149))</x:f>
        <x:v>5</x:v>
      </x:c>
      <x:c r="B149" s="22" t="str">
        <x:f>IF($K149="","",CHOOSE(WEEKDAY($K149,2),"Mo","Di","Mi","Do","Fr","Sa","So"))</x:f>
        <x:v>Mo</x:v>
      </x:c>
      <x:c r="C149" s="22">
        <x:f>IF($K149="","",ISOWEEKNUM($K149))</x:f>
        <x:v>2</x:v>
      </x:c>
      <x:c r="D149" s="23">
        <x:f>IF($K149="","",IF(AND(IFERROR(INDEX(Einstellungen!$I$3:$I$22,MATCH($K149,Einstellungen!$H$3:$H$22,0)),"")&lt;&gt;"",IFERROR(INDEX(Einstellungen!$B$20:$B$119,MATCH($K149,Einstellungen!$A$20:$A$119,0)),"")&lt;&gt;""),IFERROR(INDEX(Einstellungen!$I$3:$I$22,MATCH($K149,Einstellungen!$H$3:$H$22,0)),"")&amp;" / "&amp;IFERROR(INDEX(Einstellungen!$B$20:$B$119,MATCH($K149,Einstellungen!$A$20:$A$119,0)),""),IF(IFERROR(INDEX(Einstellungen!$I$3:$I$22,MATCH($K149,Einstellungen!$H$3:$H$22,0)),"")&lt;&gt;"",IFERROR(INDEX(Einstellungen!$I$3:$I$22,MATCH($K149,Einstellungen!$H$3:$H$22,0)),""),IFERROR(INDEX(Einstellungen!$B$20:$B$119,MATCH($K149,Einstellungen!$A$20:$A$119,0)),""))))</x:f>
      </x:c>
      <x:c r="E149" s="24">
        <x:f>IF($K149="","",SUM(F149:J149))</x:f>
        <x:v>7.5</x:v>
      </x:c>
      <x:c r="F149" s="25" t="n">
        <x:v>2</x:v>
      </x:c>
      <x:c r="G149" s="25" t="n">
        <x:v>2</x:v>
      </x:c>
      <x:c r="H149" s="25" t="n">
        <x:v>1</x:v>
      </x:c>
      <x:c r="I149" s="25" t="n">
        <x:v>2</x:v>
      </x:c>
      <x:c r="J149" s="25" t="n">
        <x:v>0.5</x:v>
      </x:c>
      <x:c r="K149">
        <x:f>IF(5&lt;=DAY(EOMONTH($K143,0)),$K143+4,"")</x:f>
        <x:v>46027</x:v>
      </x:c>
    </x:row>
    <x:row r="150">
      <x:c r="A150" s="21">
        <x:f>IF($K150="","",DAY($K150))</x:f>
        <x:v>6</x:v>
      </x:c>
      <x:c r="B150" s="22" t="str">
        <x:f>IF($K150="","",CHOOSE(WEEKDAY($K150,2),"Mo","Di","Mi","Do","Fr","Sa","So"))</x:f>
        <x:v>Di</x:v>
      </x:c>
      <x:c r="C150" s="22">
        <x:f>IF($K150="","",ISOWEEKNUM($K150))</x:f>
        <x:v>2</x:v>
      </x:c>
      <x:c r="D150" s="23">
        <x:f>IF($K150="","",IF(AND(IFERROR(INDEX(Einstellungen!$I$3:$I$22,MATCH($K150,Einstellungen!$H$3:$H$22,0)),"")&lt;&gt;"",IFERROR(INDEX(Einstellungen!$B$20:$B$119,MATCH($K150,Einstellungen!$A$20:$A$119,0)),"")&lt;&gt;""),IFERROR(INDEX(Einstellungen!$I$3:$I$22,MATCH($K150,Einstellungen!$H$3:$H$22,0)),"")&amp;" / "&amp;IFERROR(INDEX(Einstellungen!$B$20:$B$119,MATCH($K150,Einstellungen!$A$20:$A$119,0)),""),IF(IFERROR(INDEX(Einstellungen!$I$3:$I$22,MATCH($K150,Einstellungen!$H$3:$H$22,0)),"")&lt;&gt;"",IFERROR(INDEX(Einstellungen!$I$3:$I$22,MATCH($K150,Einstellungen!$H$3:$H$22,0)),""),IFERROR(INDEX(Einstellungen!$B$20:$B$119,MATCH($K150,Einstellungen!$A$20:$A$119,0)),""))))</x:f>
      </x:c>
      <x:c r="E150" s="24">
        <x:f>IF($K150="","",SUM(F150:J150))</x:f>
        <x:v>6.5</x:v>
      </x:c>
      <x:c r="F150" s="25" t="n">
        <x:v>1.5</x:v>
      </x:c>
      <x:c r="G150" s="25" t="n">
        <x:v>1.5</x:v>
      </x:c>
      <x:c r="H150" s="25" t="n">
        <x:v>1</x:v>
      </x:c>
      <x:c r="I150" s="25" t="n">
        <x:v>2</x:v>
      </x:c>
      <x:c r="J150" s="25" t="n">
        <x:v>0.5</x:v>
      </x:c>
      <x:c r="K150">
        <x:f>IF(6&lt;=DAY(EOMONTH($K143,0)),$K143+5,"")</x:f>
        <x:v>46028</x:v>
      </x:c>
    </x:row>
    <x:row r="151">
      <x:c r="A151" s="21">
        <x:f>IF($K151="","",DAY($K151))</x:f>
        <x:v>7</x:v>
      </x:c>
      <x:c r="B151" s="22" t="str">
        <x:f>IF($K151="","",CHOOSE(WEEKDAY($K151,2),"Mo","Di","Mi","Do","Fr","Sa","So"))</x:f>
        <x:v>Mi</x:v>
      </x:c>
      <x:c r="C151" s="22">
        <x:f>IF($K151="","",ISOWEEKNUM($K151))</x:f>
        <x:v>2</x:v>
      </x:c>
      <x:c r="D151" s="23">
        <x:f>IF($K151="","",IF(AND(IFERROR(INDEX(Einstellungen!$I$3:$I$22,MATCH($K151,Einstellungen!$H$3:$H$22,0)),"")&lt;&gt;"",IFERROR(INDEX(Einstellungen!$B$20:$B$119,MATCH($K151,Einstellungen!$A$20:$A$119,0)),"")&lt;&gt;""),IFERROR(INDEX(Einstellungen!$I$3:$I$22,MATCH($K151,Einstellungen!$H$3:$H$22,0)),"")&amp;" / "&amp;IFERROR(INDEX(Einstellungen!$B$20:$B$119,MATCH($K151,Einstellungen!$A$20:$A$119,0)),""),IF(IFERROR(INDEX(Einstellungen!$I$3:$I$22,MATCH($K151,Einstellungen!$H$3:$H$22,0)),"")&lt;&gt;"",IFERROR(INDEX(Einstellungen!$I$3:$I$22,MATCH($K151,Einstellungen!$H$3:$H$22,0)),""),IFERROR(INDEX(Einstellungen!$B$20:$B$119,MATCH($K151,Einstellungen!$A$20:$A$119,0)),""))))</x:f>
      </x:c>
      <x:c r="E151" s="24">
        <x:f>IF($K151="","",SUM(F151:J151))</x:f>
        <x:v>6.5</x:v>
      </x:c>
      <x:c r="F151" s="25" t="n">
        <x:v>1</x:v>
      </x:c>
      <x:c r="G151" s="25" t="n">
        <x:v>2.5</x:v>
      </x:c>
      <x:c r="H151" s="25" t="n">
        <x:v>1.5</x:v>
      </x:c>
      <x:c r="I151" s="25" t="n">
        <x:v>1.5</x:v>
      </x:c>
      <x:c r="J151" s="25" t="n"/>
      <x:c r="K151">
        <x:f>IF(7&lt;=DAY(EOMONTH($K143,0)),$K143+6,"")</x:f>
        <x:v>46029</x:v>
      </x:c>
    </x:row>
    <x:row r="152">
      <x:c r="A152" s="21">
        <x:f>IF($K152="","",DAY($K152))</x:f>
        <x:v>8</x:v>
      </x:c>
      <x:c r="B152" s="22" t="str">
        <x:f>IF($K152="","",CHOOSE(WEEKDAY($K152,2),"Mo","Di","Mi","Do","Fr","Sa","So"))</x:f>
        <x:v>Do</x:v>
      </x:c>
      <x:c r="C152" s="22">
        <x:f>IF($K152="","",ISOWEEKNUM($K152))</x:f>
        <x:v>2</x:v>
      </x:c>
      <x:c r="D152" s="23">
        <x:f>IF($K152="","",IF(AND(IFERROR(INDEX(Einstellungen!$I$3:$I$22,MATCH($K152,Einstellungen!$H$3:$H$22,0)),"")&lt;&gt;"",IFERROR(INDEX(Einstellungen!$B$20:$B$119,MATCH($K152,Einstellungen!$A$20:$A$119,0)),"")&lt;&gt;""),IFERROR(INDEX(Einstellungen!$I$3:$I$22,MATCH($K152,Einstellungen!$H$3:$H$22,0)),"")&amp;" / "&amp;IFERROR(INDEX(Einstellungen!$B$20:$B$119,MATCH($K152,Einstellungen!$A$20:$A$119,0)),""),IF(IFERROR(INDEX(Einstellungen!$I$3:$I$22,MATCH($K152,Einstellungen!$H$3:$H$22,0)),"")&lt;&gt;"",IFERROR(INDEX(Einstellungen!$I$3:$I$22,MATCH($K152,Einstellungen!$H$3:$H$22,0)),""),IFERROR(INDEX(Einstellungen!$B$20:$B$119,MATCH($K152,Einstellungen!$A$20:$A$119,0)),""))))</x:f>
      </x:c>
      <x:c r="E152" s="24">
        <x:f>IF($K152="","",SUM(F152:J152))</x:f>
        <x:v>8</x:v>
      </x:c>
      <x:c r="F152" s="25" t="n">
        <x:v>1.5</x:v>
      </x:c>
      <x:c r="G152" s="25" t="n">
        <x:v>2</x:v>
      </x:c>
      <x:c r="H152" s="25" t="n">
        <x:v>1.5</x:v>
      </x:c>
      <x:c r="I152" s="25" t="n">
        <x:v>2.5</x:v>
      </x:c>
      <x:c r="J152" s="25" t="n">
        <x:v>0.5</x:v>
      </x:c>
      <x:c r="K152">
        <x:f>IF(8&lt;=DAY(EOMONTH($K143,0)),$K143+7,"")</x:f>
        <x:v>46030</x:v>
      </x:c>
    </x:row>
    <x:row r="153">
      <x:c r="A153" s="21">
        <x:f>IF($K153="","",DAY($K153))</x:f>
        <x:v>9</x:v>
      </x:c>
      <x:c r="B153" s="22" t="str">
        <x:f>IF($K153="","",CHOOSE(WEEKDAY($K153,2),"Mo","Di","Mi","Do","Fr","Sa","So"))</x:f>
        <x:v>Fr</x:v>
      </x:c>
      <x:c r="C153" s="22">
        <x:f>IF($K153="","",ISOWEEKNUM($K153))</x:f>
        <x:v>2</x:v>
      </x:c>
      <x:c r="D153" s="23">
        <x:f>IF($K153="","",IF(AND(IFERROR(INDEX(Einstellungen!$I$3:$I$22,MATCH($K153,Einstellungen!$H$3:$H$22,0)),"")&lt;&gt;"",IFERROR(INDEX(Einstellungen!$B$20:$B$119,MATCH($K153,Einstellungen!$A$20:$A$119,0)),"")&lt;&gt;""),IFERROR(INDEX(Einstellungen!$I$3:$I$22,MATCH($K153,Einstellungen!$H$3:$H$22,0)),"")&amp;" / "&amp;IFERROR(INDEX(Einstellungen!$B$20:$B$119,MATCH($K153,Einstellungen!$A$20:$A$119,0)),""),IF(IFERROR(INDEX(Einstellungen!$I$3:$I$22,MATCH($K153,Einstellungen!$H$3:$H$22,0)),"")&lt;&gt;"",IFERROR(INDEX(Einstellungen!$I$3:$I$22,MATCH($K153,Einstellungen!$H$3:$H$22,0)),""),IFERROR(INDEX(Einstellungen!$B$20:$B$119,MATCH($K153,Einstellungen!$A$20:$A$119,0)),""))))</x:f>
      </x:c>
      <x:c r="E153" s="24">
        <x:f>IF($K153="","",SUM(F153:J153))</x:f>
        <x:v>5.5</x:v>
      </x:c>
      <x:c r="F153" s="25" t="n">
        <x:v>2</x:v>
      </x:c>
      <x:c r="G153" s="25" t="n">
        <x:v>1</x:v>
      </x:c>
      <x:c r="H153" s="25" t="n">
        <x:v>1</x:v>
      </x:c>
      <x:c r="I153" s="25" t="n">
        <x:v>1</x:v>
      </x:c>
      <x:c r="J153" s="25" t="n">
        <x:v>0.5</x:v>
      </x:c>
      <x:c r="K153">
        <x:f>IF(9&lt;=DAY(EOMONTH($K143,0)),$K143+8,"")</x:f>
        <x:v>46031</x:v>
      </x:c>
    </x:row>
    <x:row r="154">
      <x:c r="A154" s="21">
        <x:f>IF($K154="","",DAY($K154))</x:f>
        <x:v>10</x:v>
      </x:c>
      <x:c r="B154" s="22" t="str">
        <x:f>IF($K154="","",CHOOSE(WEEKDAY($K154,2),"Mo","Di","Mi","Do","Fr","Sa","So"))</x:f>
        <x:v>Sa</x:v>
      </x:c>
      <x:c r="C154" s="22">
        <x:f>IF($K154="","",ISOWEEKNUM($K154))</x:f>
        <x:v>2</x:v>
      </x:c>
      <x:c r="D154" s="23">
        <x:f>IF($K154="","",IF(AND(IFERROR(INDEX(Einstellungen!$I$3:$I$22,MATCH($K154,Einstellungen!$H$3:$H$22,0)),"")&lt;&gt;"",IFERROR(INDEX(Einstellungen!$B$20:$B$119,MATCH($K154,Einstellungen!$A$20:$A$119,0)),"")&lt;&gt;""),IFERROR(INDEX(Einstellungen!$I$3:$I$22,MATCH($K154,Einstellungen!$H$3:$H$22,0)),"")&amp;" / "&amp;IFERROR(INDEX(Einstellungen!$B$20:$B$119,MATCH($K154,Einstellungen!$A$20:$A$119,0)),""),IF(IFERROR(INDEX(Einstellungen!$I$3:$I$22,MATCH($K154,Einstellungen!$H$3:$H$22,0)),"")&lt;&gt;"",IFERROR(INDEX(Einstellungen!$I$3:$I$22,MATCH($K154,Einstellungen!$H$3:$H$22,0)),""),IFERROR(INDEX(Einstellungen!$B$20:$B$119,MATCH($K154,Einstellungen!$A$20:$A$119,0)),""))))</x:f>
      </x:c>
      <x:c r="E154" s="24">
        <x:f>IF($K154="","",SUM(F154:J154))</x:f>
        <x:v>0</x:v>
      </x:c>
      <x:c r="F154" s="25" t="n"/>
      <x:c r="G154" s="25" t="n"/>
      <x:c r="H154" s="25" t="n"/>
      <x:c r="I154" s="25" t="n"/>
      <x:c r="J154" s="25" t="n"/>
      <x:c r="K154">
        <x:f>IF(10&lt;=DAY(EOMONTH($K143,0)),$K143+9,"")</x:f>
        <x:v>46032</x:v>
      </x:c>
    </x:row>
    <x:row r="155">
      <x:c r="A155" s="21">
        <x:f>IF($K155="","",DAY($K155))</x:f>
        <x:v>11</x:v>
      </x:c>
      <x:c r="B155" s="22" t="str">
        <x:f>IF($K155="","",CHOOSE(WEEKDAY($K155,2),"Mo","Di","Mi","Do","Fr","Sa","So"))</x:f>
        <x:v>So</x:v>
      </x:c>
      <x:c r="C155" s="22">
        <x:f>IF($K155="","",ISOWEEKNUM($K155))</x:f>
        <x:v>2</x:v>
      </x:c>
      <x:c r="D155" s="23">
        <x:f>IF($K155="","",IF(AND(IFERROR(INDEX(Einstellungen!$I$3:$I$22,MATCH($K155,Einstellungen!$H$3:$H$22,0)),"")&lt;&gt;"",IFERROR(INDEX(Einstellungen!$B$20:$B$119,MATCH($K155,Einstellungen!$A$20:$A$119,0)),"")&lt;&gt;""),IFERROR(INDEX(Einstellungen!$I$3:$I$22,MATCH($K155,Einstellungen!$H$3:$H$22,0)),"")&amp;" / "&amp;IFERROR(INDEX(Einstellungen!$B$20:$B$119,MATCH($K155,Einstellungen!$A$20:$A$119,0)),""),IF(IFERROR(INDEX(Einstellungen!$I$3:$I$22,MATCH($K155,Einstellungen!$H$3:$H$22,0)),"")&lt;&gt;"",IFERROR(INDEX(Einstellungen!$I$3:$I$22,MATCH($K155,Einstellungen!$H$3:$H$22,0)),""),IFERROR(INDEX(Einstellungen!$B$20:$B$119,MATCH($K155,Einstellungen!$A$20:$A$119,0)),""))))</x:f>
      </x:c>
      <x:c r="E155" s="24">
        <x:f>IF($K155="","",SUM(F155:J155))</x:f>
        <x:v>0</x:v>
      </x:c>
      <x:c r="F155" s="25" t="n"/>
      <x:c r="G155" s="25" t="n"/>
      <x:c r="H155" s="25" t="n"/>
      <x:c r="I155" s="25" t="n"/>
      <x:c r="J155" s="25" t="n"/>
      <x:c r="K155">
        <x:f>IF(11&lt;=DAY(EOMONTH($K143,0)),$K143+10,"")</x:f>
        <x:v>46033</x:v>
      </x:c>
    </x:row>
    <x:row r="156">
      <x:c r="A156" s="21">
        <x:f>IF($K156="","",DAY($K156))</x:f>
        <x:v>12</x:v>
      </x:c>
      <x:c r="B156" s="22" t="str">
        <x:f>IF($K156="","",CHOOSE(WEEKDAY($K156,2),"Mo","Di","Mi","Do","Fr","Sa","So"))</x:f>
        <x:v>Mo</x:v>
      </x:c>
      <x:c r="C156" s="22">
        <x:f>IF($K156="","",ISOWEEKNUM($K156))</x:f>
        <x:v>3</x:v>
      </x:c>
      <x:c r="D156" s="23">
        <x:f>IF($K156="","",IF(AND(IFERROR(INDEX(Einstellungen!$I$3:$I$22,MATCH($K156,Einstellungen!$H$3:$H$22,0)),"")&lt;&gt;"",IFERROR(INDEX(Einstellungen!$B$20:$B$119,MATCH($K156,Einstellungen!$A$20:$A$119,0)),"")&lt;&gt;""),IFERROR(INDEX(Einstellungen!$I$3:$I$22,MATCH($K156,Einstellungen!$H$3:$H$22,0)),"")&amp;" / "&amp;IFERROR(INDEX(Einstellungen!$B$20:$B$119,MATCH($K156,Einstellungen!$A$20:$A$119,0)),""),IF(IFERROR(INDEX(Einstellungen!$I$3:$I$22,MATCH($K156,Einstellungen!$H$3:$H$22,0)),"")&lt;&gt;"",IFERROR(INDEX(Einstellungen!$I$3:$I$22,MATCH($K156,Einstellungen!$H$3:$H$22,0)),""),IFERROR(INDEX(Einstellungen!$B$20:$B$119,MATCH($K156,Einstellungen!$A$20:$A$119,0)),""))))</x:f>
      </x:c>
      <x:c r="E156" s="24">
        <x:f>IF($K156="","",SUM(F156:J156))</x:f>
        <x:v>6.5</x:v>
      </x:c>
      <x:c r="F156" s="25" t="n">
        <x:v>1</x:v>
      </x:c>
      <x:c r="G156" s="25" t="n">
        <x:v>2</x:v>
      </x:c>
      <x:c r="H156" s="25" t="n">
        <x:v>1</x:v>
      </x:c>
      <x:c r="I156" s="25" t="n">
        <x:v>2</x:v>
      </x:c>
      <x:c r="J156" s="25" t="n">
        <x:v>0.5</x:v>
      </x:c>
      <x:c r="K156">
        <x:f>IF(12&lt;=DAY(EOMONTH($K143,0)),$K143+11,"")</x:f>
        <x:v>46034</x:v>
      </x:c>
    </x:row>
    <x:row r="157">
      <x:c r="A157" s="21">
        <x:f>IF($K157="","",DAY($K157))</x:f>
        <x:v>13</x:v>
      </x:c>
      <x:c r="B157" s="22" t="str">
        <x:f>IF($K157="","",CHOOSE(WEEKDAY($K157,2),"Mo","Di","Mi","Do","Fr","Sa","So"))</x:f>
        <x:v>Di</x:v>
      </x:c>
      <x:c r="C157" s="22">
        <x:f>IF($K157="","",ISOWEEKNUM($K157))</x:f>
        <x:v>3</x:v>
      </x:c>
      <x:c r="D157" s="23">
        <x:f>IF($K157="","",IF(AND(IFERROR(INDEX(Einstellungen!$I$3:$I$22,MATCH($K157,Einstellungen!$H$3:$H$22,0)),"")&lt;&gt;"",IFERROR(INDEX(Einstellungen!$B$20:$B$119,MATCH($K157,Einstellungen!$A$20:$A$119,0)),"")&lt;&gt;""),IFERROR(INDEX(Einstellungen!$I$3:$I$22,MATCH($K157,Einstellungen!$H$3:$H$22,0)),"")&amp;" / "&amp;IFERROR(INDEX(Einstellungen!$B$20:$B$119,MATCH($K157,Einstellungen!$A$20:$A$119,0)),""),IF(IFERROR(INDEX(Einstellungen!$I$3:$I$22,MATCH($K157,Einstellungen!$H$3:$H$22,0)),"")&lt;&gt;"",IFERROR(INDEX(Einstellungen!$I$3:$I$22,MATCH($K157,Einstellungen!$H$3:$H$22,0)),""),IFERROR(INDEX(Einstellungen!$B$20:$B$119,MATCH($K157,Einstellungen!$A$20:$A$119,0)),""))))</x:f>
      </x:c>
      <x:c r="E157" s="24">
        <x:f>IF($K157="","",SUM(F157:J157))</x:f>
        <x:v>7</x:v>
      </x:c>
      <x:c r="F157" s="25" t="n">
        <x:v>1.5</x:v>
      </x:c>
      <x:c r="G157" s="25" t="n">
        <x:v>2</x:v>
      </x:c>
      <x:c r="H157" s="25" t="n">
        <x:v>1</x:v>
      </x:c>
      <x:c r="I157" s="25" t="n">
        <x:v>2</x:v>
      </x:c>
      <x:c r="J157" s="25" t="n">
        <x:v>0.5</x:v>
      </x:c>
      <x:c r="K157">
        <x:f>IF(13&lt;=DAY(EOMONTH($K143,0)),$K143+12,"")</x:f>
        <x:v>46035</x:v>
      </x:c>
    </x:row>
    <x:row r="158">
      <x:c r="A158" s="21">
        <x:f>IF($K158="","",DAY($K158))</x:f>
        <x:v>14</x:v>
      </x:c>
      <x:c r="B158" s="22" t="str">
        <x:f>IF($K158="","",CHOOSE(WEEKDAY($K158,2),"Mo","Di","Mi","Do","Fr","Sa","So"))</x:f>
        <x:v>Mi</x:v>
      </x:c>
      <x:c r="C158" s="22">
        <x:f>IF($K158="","",ISOWEEKNUM($K158))</x:f>
        <x:v>3</x:v>
      </x:c>
      <x:c r="D158" s="23" t="str">
        <x:f>IF($K158="","",IF(AND(IFERROR(INDEX(Einstellungen!$I$3:$I$22,MATCH($K158,Einstellungen!$H$3:$H$22,0)),"")&lt;&gt;"",IFERROR(INDEX(Einstellungen!$B$20:$B$119,MATCH($K158,Einstellungen!$A$20:$A$119,0)),"")&lt;&gt;""),IFERROR(INDEX(Einstellungen!$I$3:$I$22,MATCH($K158,Einstellungen!$H$3:$H$22,0)),"")&amp;" / "&amp;IFERROR(INDEX(Einstellungen!$B$20:$B$119,MATCH($K158,Einstellungen!$A$20:$A$119,0)),""),IF(IFERROR(INDEX(Einstellungen!$I$3:$I$22,MATCH($K158,Einstellungen!$H$3:$H$22,0)),"")&lt;&gt;"",IFERROR(INDEX(Einstellungen!$I$3:$I$22,MATCH($K158,Einstellungen!$H$3:$H$22,0)),""),IFERROR(INDEX(Einstellungen!$B$20:$B$119,MATCH($K158,Einstellungen!$A$20:$A$119,0)),""))))</x:f>
        <x:v>Projektstart Alpha</x:v>
      </x:c>
      <x:c r="E158" s="24">
        <x:f>IF($K158="","",SUM(F158:J158))</x:f>
        <x:v>7</x:v>
      </x:c>
      <x:c r="F158" s="25" t="n">
        <x:v>1</x:v>
      </x:c>
      <x:c r="G158" s="25" t="n">
        <x:v>2.5</x:v>
      </x:c>
      <x:c r="H158" s="25" t="n">
        <x:v>2</x:v>
      </x:c>
      <x:c r="I158" s="25" t="n">
        <x:v>1.5</x:v>
      </x:c>
      <x:c r="J158" s="25" t="n"/>
      <x:c r="K158">
        <x:f>IF(14&lt;=DAY(EOMONTH($K143,0)),$K143+13,"")</x:f>
        <x:v>46036</x:v>
      </x:c>
    </x:row>
    <x:row r="159">
      <x:c r="A159" s="21">
        <x:f>IF($K159="","",DAY($K159))</x:f>
        <x:v>15</x:v>
      </x:c>
      <x:c r="B159" s="22" t="str">
        <x:f>IF($K159="","",CHOOSE(WEEKDAY($K159,2),"Mo","Di","Mi","Do","Fr","Sa","So"))</x:f>
        <x:v>Do</x:v>
      </x:c>
      <x:c r="C159" s="22">
        <x:f>IF($K159="","",ISOWEEKNUM($K159))</x:f>
        <x:v>3</x:v>
      </x:c>
      <x:c r="D159" s="23">
        <x:f>IF($K159="","",IF(AND(IFERROR(INDEX(Einstellungen!$I$3:$I$22,MATCH($K159,Einstellungen!$H$3:$H$22,0)),"")&lt;&gt;"",IFERROR(INDEX(Einstellungen!$B$20:$B$119,MATCH($K159,Einstellungen!$A$20:$A$119,0)),"")&lt;&gt;""),IFERROR(INDEX(Einstellungen!$I$3:$I$22,MATCH($K159,Einstellungen!$H$3:$H$22,0)),"")&amp;" / "&amp;IFERROR(INDEX(Einstellungen!$B$20:$B$119,MATCH($K159,Einstellungen!$A$20:$A$119,0)),""),IF(IFERROR(INDEX(Einstellungen!$I$3:$I$22,MATCH($K159,Einstellungen!$H$3:$H$22,0)),"")&lt;&gt;"",IFERROR(INDEX(Einstellungen!$I$3:$I$22,MATCH($K159,Einstellungen!$H$3:$H$22,0)),""),IFERROR(INDEX(Einstellungen!$B$20:$B$119,MATCH($K159,Einstellungen!$A$20:$A$119,0)),""))))</x:f>
      </x:c>
      <x:c r="E159" s="24">
        <x:f>IF($K159="","",SUM(F159:J159))</x:f>
        <x:v>7</x:v>
      </x:c>
      <x:c r="F159" s="25" t="n">
        <x:v>1.5</x:v>
      </x:c>
      <x:c r="G159" s="25" t="n">
        <x:v>2</x:v>
      </x:c>
      <x:c r="H159" s="25" t="n">
        <x:v>1.5</x:v>
      </x:c>
      <x:c r="I159" s="25" t="n">
        <x:v>1.5</x:v>
      </x:c>
      <x:c r="J159" s="25" t="n">
        <x:v>0.5</x:v>
      </x:c>
      <x:c r="K159">
        <x:f>IF(15&lt;=DAY(EOMONTH($K143,0)),$K143+14,"")</x:f>
        <x:v>46037</x:v>
      </x:c>
    </x:row>
    <x:row r="160">
      <x:c r="A160" s="21">
        <x:f>IF($K160="","",DAY($K160))</x:f>
        <x:v>16</x:v>
      </x:c>
      <x:c r="B160" s="22" t="str">
        <x:f>IF($K160="","",CHOOSE(WEEKDAY($K160,2),"Mo","Di","Mi","Do","Fr","Sa","So"))</x:f>
        <x:v>Fr</x:v>
      </x:c>
      <x:c r="C160" s="22">
        <x:f>IF($K160="","",ISOWEEKNUM($K160))</x:f>
        <x:v>3</x:v>
      </x:c>
      <x:c r="D160" s="23">
        <x:f>IF($K160="","",IF(AND(IFERROR(INDEX(Einstellungen!$I$3:$I$22,MATCH($K160,Einstellungen!$H$3:$H$22,0)),"")&lt;&gt;"",IFERROR(INDEX(Einstellungen!$B$20:$B$119,MATCH($K160,Einstellungen!$A$20:$A$119,0)),"")&lt;&gt;""),IFERROR(INDEX(Einstellungen!$I$3:$I$22,MATCH($K160,Einstellungen!$H$3:$H$22,0)),"")&amp;" / "&amp;IFERROR(INDEX(Einstellungen!$B$20:$B$119,MATCH($K160,Einstellungen!$A$20:$A$119,0)),""),IF(IFERROR(INDEX(Einstellungen!$I$3:$I$22,MATCH($K160,Einstellungen!$H$3:$H$22,0)),"")&lt;&gt;"",IFERROR(INDEX(Einstellungen!$I$3:$I$22,MATCH($K160,Einstellungen!$H$3:$H$22,0)),""),IFERROR(INDEX(Einstellungen!$B$20:$B$119,MATCH($K160,Einstellungen!$A$20:$A$119,0)),""))))</x:f>
      </x:c>
      <x:c r="E160" s="24">
        <x:f>IF($K160="","",SUM(F160:J160))</x:f>
        <x:v>6</x:v>
      </x:c>
      <x:c r="F160" s="25" t="n">
        <x:v>2</x:v>
      </x:c>
      <x:c r="G160" s="25" t="n">
        <x:v>1</x:v>
      </x:c>
      <x:c r="H160" s="25" t="n">
        <x:v>1</x:v>
      </x:c>
      <x:c r="I160" s="25" t="n">
        <x:v>1</x:v>
      </x:c>
      <x:c r="J160" s="25" t="n">
        <x:v>1</x:v>
      </x:c>
      <x:c r="K160">
        <x:f>IF(16&lt;=DAY(EOMONTH($K143,0)),$K143+15,"")</x:f>
        <x:v>46038</x:v>
      </x:c>
    </x:row>
    <x:row r="161">
      <x:c r="A161" s="21">
        <x:f>IF($K161="","",DAY($K161))</x:f>
        <x:v>17</x:v>
      </x:c>
      <x:c r="B161" s="22" t="str">
        <x:f>IF($K161="","",CHOOSE(WEEKDAY($K161,2),"Mo","Di","Mi","Do","Fr","Sa","So"))</x:f>
        <x:v>Sa</x:v>
      </x:c>
      <x:c r="C161" s="22">
        <x:f>IF($K161="","",ISOWEEKNUM($K161))</x:f>
        <x:v>3</x:v>
      </x:c>
      <x:c r="D161" s="23">
        <x:f>IF($K161="","",IF(AND(IFERROR(INDEX(Einstellungen!$I$3:$I$22,MATCH($K161,Einstellungen!$H$3:$H$22,0)),"")&lt;&gt;"",IFERROR(INDEX(Einstellungen!$B$20:$B$119,MATCH($K161,Einstellungen!$A$20:$A$119,0)),"")&lt;&gt;""),IFERROR(INDEX(Einstellungen!$I$3:$I$22,MATCH($K161,Einstellungen!$H$3:$H$22,0)),"")&amp;" / "&amp;IFERROR(INDEX(Einstellungen!$B$20:$B$119,MATCH($K161,Einstellungen!$A$20:$A$119,0)),""),IF(IFERROR(INDEX(Einstellungen!$I$3:$I$22,MATCH($K161,Einstellungen!$H$3:$H$22,0)),"")&lt;&gt;"",IFERROR(INDEX(Einstellungen!$I$3:$I$22,MATCH($K161,Einstellungen!$H$3:$H$22,0)),""),IFERROR(INDEX(Einstellungen!$B$20:$B$119,MATCH($K161,Einstellungen!$A$20:$A$119,0)),""))))</x:f>
      </x:c>
      <x:c r="E161" s="24">
        <x:f>IF($K161="","",SUM(F161:J161))</x:f>
        <x:v>0</x:v>
      </x:c>
      <x:c r="F161" s="25" t="n"/>
      <x:c r="G161" s="25" t="n"/>
      <x:c r="H161" s="25" t="n"/>
      <x:c r="I161" s="25" t="n"/>
      <x:c r="J161" s="25" t="n"/>
      <x:c r="K161">
        <x:f>IF(17&lt;=DAY(EOMONTH($K143,0)),$K143+16,"")</x:f>
        <x:v>46039</x:v>
      </x:c>
    </x:row>
    <x:row r="162">
      <x:c r="A162" s="21">
        <x:f>IF($K162="","",DAY($K162))</x:f>
        <x:v>18</x:v>
      </x:c>
      <x:c r="B162" s="22" t="str">
        <x:f>IF($K162="","",CHOOSE(WEEKDAY($K162,2),"Mo","Di","Mi","Do","Fr","Sa","So"))</x:f>
        <x:v>So</x:v>
      </x:c>
      <x:c r="C162" s="22">
        <x:f>IF($K162="","",ISOWEEKNUM($K162))</x:f>
        <x:v>3</x:v>
      </x:c>
      <x:c r="D162" s="23">
        <x:f>IF($K162="","",IF(AND(IFERROR(INDEX(Einstellungen!$I$3:$I$22,MATCH($K162,Einstellungen!$H$3:$H$22,0)),"")&lt;&gt;"",IFERROR(INDEX(Einstellungen!$B$20:$B$119,MATCH($K162,Einstellungen!$A$20:$A$119,0)),"")&lt;&gt;""),IFERROR(INDEX(Einstellungen!$I$3:$I$22,MATCH($K162,Einstellungen!$H$3:$H$22,0)),"")&amp;" / "&amp;IFERROR(INDEX(Einstellungen!$B$20:$B$119,MATCH($K162,Einstellungen!$A$20:$A$119,0)),""),IF(IFERROR(INDEX(Einstellungen!$I$3:$I$22,MATCH($K162,Einstellungen!$H$3:$H$22,0)),"")&lt;&gt;"",IFERROR(INDEX(Einstellungen!$I$3:$I$22,MATCH($K162,Einstellungen!$H$3:$H$22,0)),""),IFERROR(INDEX(Einstellungen!$B$20:$B$119,MATCH($K162,Einstellungen!$A$20:$A$119,0)),""))))</x:f>
      </x:c>
      <x:c r="E162" s="24">
        <x:f>IF($K162="","",SUM(F162:J162))</x:f>
        <x:v>0</x:v>
      </x:c>
      <x:c r="F162" s="25" t="n"/>
      <x:c r="G162" s="25" t="n"/>
      <x:c r="H162" s="25" t="n"/>
      <x:c r="I162" s="25" t="n"/>
      <x:c r="J162" s="25" t="n"/>
      <x:c r="K162">
        <x:f>IF(18&lt;=DAY(EOMONTH($K143,0)),$K143+17,"")</x:f>
        <x:v>46040</x:v>
      </x:c>
    </x:row>
    <x:row r="163">
      <x:c r="A163" s="21">
        <x:f>IF($K163="","",DAY($K163))</x:f>
        <x:v>19</x:v>
      </x:c>
      <x:c r="B163" s="22" t="str">
        <x:f>IF($K163="","",CHOOSE(WEEKDAY($K163,2),"Mo","Di","Mi","Do","Fr","Sa","So"))</x:f>
        <x:v>Mo</x:v>
      </x:c>
      <x:c r="C163" s="22">
        <x:f>IF($K163="","",ISOWEEKNUM($K163))</x:f>
        <x:v>4</x:v>
      </x:c>
      <x:c r="D163" s="23">
        <x:f>IF($K163="","",IF(AND(IFERROR(INDEX(Einstellungen!$I$3:$I$22,MATCH($K163,Einstellungen!$H$3:$H$22,0)),"")&lt;&gt;"",IFERROR(INDEX(Einstellungen!$B$20:$B$119,MATCH($K163,Einstellungen!$A$20:$A$119,0)),"")&lt;&gt;""),IFERROR(INDEX(Einstellungen!$I$3:$I$22,MATCH($K163,Einstellungen!$H$3:$H$22,0)),"")&amp;" / "&amp;IFERROR(INDEX(Einstellungen!$B$20:$B$119,MATCH($K163,Einstellungen!$A$20:$A$119,0)),""),IF(IFERROR(INDEX(Einstellungen!$I$3:$I$22,MATCH($K163,Einstellungen!$H$3:$H$22,0)),"")&lt;&gt;"",IFERROR(INDEX(Einstellungen!$I$3:$I$22,MATCH($K163,Einstellungen!$H$3:$H$22,0)),""),IFERROR(INDEX(Einstellungen!$B$20:$B$119,MATCH($K163,Einstellungen!$A$20:$A$119,0)),""))))</x:f>
      </x:c>
      <x:c r="E163" s="24">
        <x:f>IF($K163="","",SUM(F163:J163))</x:f>
        <x:v>7</x:v>
      </x:c>
      <x:c r="F163" s="25" t="n">
        <x:v>1.5</x:v>
      </x:c>
      <x:c r="G163" s="25" t="n">
        <x:v>2</x:v>
      </x:c>
      <x:c r="H163" s="25" t="n">
        <x:v>1</x:v>
      </x:c>
      <x:c r="I163" s="25" t="n">
        <x:v>2</x:v>
      </x:c>
      <x:c r="J163" s="25" t="n">
        <x:v>0.5</x:v>
      </x:c>
      <x:c r="K163">
        <x:f>IF(19&lt;=DAY(EOMONTH($K143,0)),$K143+18,"")</x:f>
        <x:v>46041</x:v>
      </x:c>
    </x:row>
    <x:row r="164">
      <x:c r="A164" s="21">
        <x:f>IF($K164="","",DAY($K164))</x:f>
        <x:v>20</x:v>
      </x:c>
      <x:c r="B164" s="22" t="str">
        <x:f>IF($K164="","",CHOOSE(WEEKDAY($K164,2),"Mo","Di","Mi","Do","Fr","Sa","So"))</x:f>
        <x:v>Di</x:v>
      </x:c>
      <x:c r="C164" s="22">
        <x:f>IF($K164="","",ISOWEEKNUM($K164))</x:f>
        <x:v>4</x:v>
      </x:c>
      <x:c r="D164" s="23">
        <x:f>IF($K164="","",IF(AND(IFERROR(INDEX(Einstellungen!$I$3:$I$22,MATCH($K164,Einstellungen!$H$3:$H$22,0)),"")&lt;&gt;"",IFERROR(INDEX(Einstellungen!$B$20:$B$119,MATCH($K164,Einstellungen!$A$20:$A$119,0)),"")&lt;&gt;""),IFERROR(INDEX(Einstellungen!$I$3:$I$22,MATCH($K164,Einstellungen!$H$3:$H$22,0)),"")&amp;" / "&amp;IFERROR(INDEX(Einstellungen!$B$20:$B$119,MATCH($K164,Einstellungen!$A$20:$A$119,0)),""),IF(IFERROR(INDEX(Einstellungen!$I$3:$I$22,MATCH($K164,Einstellungen!$H$3:$H$22,0)),"")&lt;&gt;"",IFERROR(INDEX(Einstellungen!$I$3:$I$22,MATCH($K164,Einstellungen!$H$3:$H$22,0)),""),IFERROR(INDEX(Einstellungen!$B$20:$B$119,MATCH($K164,Einstellungen!$A$20:$A$119,0)),""))))</x:f>
      </x:c>
      <x:c r="E164" s="24">
        <x:f>IF($K164="","",SUM(F164:J164))</x:f>
        <x:v>7.5</x:v>
      </x:c>
      <x:c r="F164" s="25" t="n">
        <x:v>1.5</x:v>
      </x:c>
      <x:c r="G164" s="25" t="n">
        <x:v>2.5</x:v>
      </x:c>
      <x:c r="H164" s="25" t="n">
        <x:v>1</x:v>
      </x:c>
      <x:c r="I164" s="25" t="n">
        <x:v>2</x:v>
      </x:c>
      <x:c r="J164" s="25" t="n">
        <x:v>0.5</x:v>
      </x:c>
      <x:c r="K164">
        <x:f>IF(20&lt;=DAY(EOMONTH($K143,0)),$K143+19,"")</x:f>
        <x:v>46042</x:v>
      </x:c>
    </x:row>
    <x:row r="165">
      <x:c r="A165" s="21">
        <x:f>IF($K165="","",DAY($K165))</x:f>
        <x:v>21</x:v>
      </x:c>
      <x:c r="B165" s="22" t="str">
        <x:f>IF($K165="","",CHOOSE(WEEKDAY($K165,2),"Mo","Di","Mi","Do","Fr","Sa","So"))</x:f>
        <x:v>Mi</x:v>
      </x:c>
      <x:c r="C165" s="22">
        <x:f>IF($K165="","",ISOWEEKNUM($K165))</x:f>
        <x:v>4</x:v>
      </x:c>
      <x:c r="D165" s="23">
        <x:f>IF($K165="","",IF(AND(IFERROR(INDEX(Einstellungen!$I$3:$I$22,MATCH($K165,Einstellungen!$H$3:$H$22,0)),"")&lt;&gt;"",IFERROR(INDEX(Einstellungen!$B$20:$B$119,MATCH($K165,Einstellungen!$A$20:$A$119,0)),"")&lt;&gt;""),IFERROR(INDEX(Einstellungen!$I$3:$I$22,MATCH($K165,Einstellungen!$H$3:$H$22,0)),"")&amp;" / "&amp;IFERROR(INDEX(Einstellungen!$B$20:$B$119,MATCH($K165,Einstellungen!$A$20:$A$119,0)),""),IF(IFERROR(INDEX(Einstellungen!$I$3:$I$22,MATCH($K165,Einstellungen!$H$3:$H$22,0)),"")&lt;&gt;"",IFERROR(INDEX(Einstellungen!$I$3:$I$22,MATCH($K165,Einstellungen!$H$3:$H$22,0)),""),IFERROR(INDEX(Einstellungen!$B$20:$B$119,MATCH($K165,Einstellungen!$A$20:$A$119,0)),""))))</x:f>
      </x:c>
      <x:c r="E165" s="24">
        <x:f>IF($K165="","",SUM(F165:J165))</x:f>
        <x:v>6</x:v>
      </x:c>
      <x:c r="F165" s="25" t="n">
        <x:v>1</x:v>
      </x:c>
      <x:c r="G165" s="25" t="n">
        <x:v>2.5</x:v>
      </x:c>
      <x:c r="H165" s="25" t="n">
        <x:v>1</x:v>
      </x:c>
      <x:c r="I165" s="25" t="n">
        <x:v>1.5</x:v>
      </x:c>
      <x:c r="J165" s="25" t="n"/>
      <x:c r="K165">
        <x:f>IF(21&lt;=DAY(EOMONTH($K143,0)),$K143+20,"")</x:f>
        <x:v>46043</x:v>
      </x:c>
    </x:row>
    <x:row r="166">
      <x:c r="A166" s="21">
        <x:f>IF($K166="","",DAY($K166))</x:f>
        <x:v>22</x:v>
      </x:c>
      <x:c r="B166" s="22" t="str">
        <x:f>IF($K166="","",CHOOSE(WEEKDAY($K166,2),"Mo","Di","Mi","Do","Fr","Sa","So"))</x:f>
        <x:v>Do</x:v>
      </x:c>
      <x:c r="C166" s="22">
        <x:f>IF($K166="","",ISOWEEKNUM($K166))</x:f>
        <x:v>4</x:v>
      </x:c>
      <x:c r="D166" s="23">
        <x:f>IF($K166="","",IF(AND(IFERROR(INDEX(Einstellungen!$I$3:$I$22,MATCH($K166,Einstellungen!$H$3:$H$22,0)),"")&lt;&gt;"",IFERROR(INDEX(Einstellungen!$B$20:$B$119,MATCH($K166,Einstellungen!$A$20:$A$119,0)),"")&lt;&gt;""),IFERROR(INDEX(Einstellungen!$I$3:$I$22,MATCH($K166,Einstellungen!$H$3:$H$22,0)),"")&amp;" / "&amp;IFERROR(INDEX(Einstellungen!$B$20:$B$119,MATCH($K166,Einstellungen!$A$20:$A$119,0)),""),IF(IFERROR(INDEX(Einstellungen!$I$3:$I$22,MATCH($K166,Einstellungen!$H$3:$H$22,0)),"")&lt;&gt;"",IFERROR(INDEX(Einstellungen!$I$3:$I$22,MATCH($K166,Einstellungen!$H$3:$H$22,0)),""),IFERROR(INDEX(Einstellungen!$B$20:$B$119,MATCH($K166,Einstellungen!$A$20:$A$119,0)),""))))</x:f>
      </x:c>
      <x:c r="E166" s="24">
        <x:f>IF($K166="","",SUM(F166:J166))</x:f>
        <x:v>7.5</x:v>
      </x:c>
      <x:c r="F166" s="25" t="n">
        <x:v>1.5</x:v>
      </x:c>
      <x:c r="G166" s="25" t="n">
        <x:v>2</x:v>
      </x:c>
      <x:c r="H166" s="25" t="n">
        <x:v>1.5</x:v>
      </x:c>
      <x:c r="I166" s="25" t="n">
        <x:v>2</x:v>
      </x:c>
      <x:c r="J166" s="25" t="n">
        <x:v>0.5</x:v>
      </x:c>
      <x:c r="K166">
        <x:f>IF(22&lt;=DAY(EOMONTH($K143,0)),$K143+21,"")</x:f>
        <x:v>46044</x:v>
      </x:c>
    </x:row>
    <x:row r="167">
      <x:c r="A167" s="21">
        <x:f>IF($K167="","",DAY($K167))</x:f>
        <x:v>23</x:v>
      </x:c>
      <x:c r="B167" s="22" t="str">
        <x:f>IF($K167="","",CHOOSE(WEEKDAY($K167,2),"Mo","Di","Mi","Do","Fr","Sa","So"))</x:f>
        <x:v>Fr</x:v>
      </x:c>
      <x:c r="C167" s="22">
        <x:f>IF($K167="","",ISOWEEKNUM($K167))</x:f>
        <x:v>4</x:v>
      </x:c>
      <x:c r="D167" s="23">
        <x:f>IF($K167="","",IF(AND(IFERROR(INDEX(Einstellungen!$I$3:$I$22,MATCH($K167,Einstellungen!$H$3:$H$22,0)),"")&lt;&gt;"",IFERROR(INDEX(Einstellungen!$B$20:$B$119,MATCH($K167,Einstellungen!$A$20:$A$119,0)),"")&lt;&gt;""),IFERROR(INDEX(Einstellungen!$I$3:$I$22,MATCH($K167,Einstellungen!$H$3:$H$22,0)),"")&amp;" / "&amp;IFERROR(INDEX(Einstellungen!$B$20:$B$119,MATCH($K167,Einstellungen!$A$20:$A$119,0)),""),IF(IFERROR(INDEX(Einstellungen!$I$3:$I$22,MATCH($K167,Einstellungen!$H$3:$H$22,0)),"")&lt;&gt;"",IFERROR(INDEX(Einstellungen!$I$3:$I$22,MATCH($K167,Einstellungen!$H$3:$H$22,0)),""),IFERROR(INDEX(Einstellungen!$B$20:$B$119,MATCH($K167,Einstellungen!$A$20:$A$119,0)),""))))</x:f>
      </x:c>
      <x:c r="E167" s="24">
        <x:f>IF($K167="","",SUM(F167:J167))</x:f>
        <x:v>3</x:v>
      </x:c>
      <x:c r="F167" s="25" t="n">
        <x:v>1</x:v>
      </x:c>
      <x:c r="G167" s="25" t="n">
        <x:v>0.5</x:v>
      </x:c>
      <x:c r="H167" s="25" t="n">
        <x:v>0.5</x:v>
      </x:c>
      <x:c r="I167" s="25" t="n">
        <x:v>1</x:v>
      </x:c>
      <x:c r="J167" s="25" t="n"/>
      <x:c r="K167">
        <x:f>IF(23&lt;=DAY(EOMONTH($K143,0)),$K143+22,"")</x:f>
        <x:v>46045</x:v>
      </x:c>
    </x:row>
    <x:row r="168">
      <x:c r="A168" s="21">
        <x:f>IF($K168="","",DAY($K168))</x:f>
        <x:v>24</x:v>
      </x:c>
      <x:c r="B168" s="22" t="str">
        <x:f>IF($K168="","",CHOOSE(WEEKDAY($K168,2),"Mo","Di","Mi","Do","Fr","Sa","So"))</x:f>
        <x:v>Sa</x:v>
      </x:c>
      <x:c r="C168" s="22">
        <x:f>IF($K168="","",ISOWEEKNUM($K168))</x:f>
        <x:v>4</x:v>
      </x:c>
      <x:c r="D168" s="23">
        <x:f>IF($K168="","",IF(AND(IFERROR(INDEX(Einstellungen!$I$3:$I$22,MATCH($K168,Einstellungen!$H$3:$H$22,0)),"")&lt;&gt;"",IFERROR(INDEX(Einstellungen!$B$20:$B$119,MATCH($K168,Einstellungen!$A$20:$A$119,0)),"")&lt;&gt;""),IFERROR(INDEX(Einstellungen!$I$3:$I$22,MATCH($K168,Einstellungen!$H$3:$H$22,0)),"")&amp;" / "&amp;IFERROR(INDEX(Einstellungen!$B$20:$B$119,MATCH($K168,Einstellungen!$A$20:$A$119,0)),""),IF(IFERROR(INDEX(Einstellungen!$I$3:$I$22,MATCH($K168,Einstellungen!$H$3:$H$22,0)),"")&lt;&gt;"",IFERROR(INDEX(Einstellungen!$I$3:$I$22,MATCH($K168,Einstellungen!$H$3:$H$22,0)),""),IFERROR(INDEX(Einstellungen!$B$20:$B$119,MATCH($K168,Einstellungen!$A$20:$A$119,0)),""))))</x:f>
      </x:c>
      <x:c r="E168" s="24">
        <x:f>IF($K168="","",SUM(F168:J168))</x:f>
        <x:v>0</x:v>
      </x:c>
      <x:c r="F168" s="25" t="n"/>
      <x:c r="G168" s="25" t="n"/>
      <x:c r="H168" s="25" t="n"/>
      <x:c r="I168" s="25" t="n"/>
      <x:c r="J168" s="25" t="n"/>
      <x:c r="K168">
        <x:f>IF(24&lt;=DAY(EOMONTH($K143,0)),$K143+23,"")</x:f>
        <x:v>46046</x:v>
      </x:c>
    </x:row>
    <x:row r="169">
      <x:c r="A169" s="21">
        <x:f>IF($K169="","",DAY($K169))</x:f>
        <x:v>25</x:v>
      </x:c>
      <x:c r="B169" s="22" t="str">
        <x:f>IF($K169="","",CHOOSE(WEEKDAY($K169,2),"Mo","Di","Mi","Do","Fr","Sa","So"))</x:f>
        <x:v>So</x:v>
      </x:c>
      <x:c r="C169" s="22">
        <x:f>IF($K169="","",ISOWEEKNUM($K169))</x:f>
        <x:v>4</x:v>
      </x:c>
      <x:c r="D169" s="23">
        <x:f>IF($K169="","",IF(AND(IFERROR(INDEX(Einstellungen!$I$3:$I$22,MATCH($K169,Einstellungen!$H$3:$H$22,0)),"")&lt;&gt;"",IFERROR(INDEX(Einstellungen!$B$20:$B$119,MATCH($K169,Einstellungen!$A$20:$A$119,0)),"")&lt;&gt;""),IFERROR(INDEX(Einstellungen!$I$3:$I$22,MATCH($K169,Einstellungen!$H$3:$H$22,0)),"")&amp;" / "&amp;IFERROR(INDEX(Einstellungen!$B$20:$B$119,MATCH($K169,Einstellungen!$A$20:$A$119,0)),""),IF(IFERROR(INDEX(Einstellungen!$I$3:$I$22,MATCH($K169,Einstellungen!$H$3:$H$22,0)),"")&lt;&gt;"",IFERROR(INDEX(Einstellungen!$I$3:$I$22,MATCH($K169,Einstellungen!$H$3:$H$22,0)),""),IFERROR(INDEX(Einstellungen!$B$20:$B$119,MATCH($K169,Einstellungen!$A$20:$A$119,0)),""))))</x:f>
      </x:c>
      <x:c r="E169" s="24">
        <x:f>IF($K169="","",SUM(F169:J169))</x:f>
        <x:v>0</x:v>
      </x:c>
      <x:c r="F169" s="25" t="n"/>
      <x:c r="G169" s="25" t="n"/>
      <x:c r="H169" s="25" t="n"/>
      <x:c r="I169" s="25" t="n"/>
      <x:c r="J169" s="25" t="n"/>
      <x:c r="K169">
        <x:f>IF(25&lt;=DAY(EOMONTH($K143,0)),$K143+24,"")</x:f>
        <x:v>46047</x:v>
      </x:c>
    </x:row>
    <x:row r="170">
      <x:c r="A170" s="21">
        <x:f>IF($K170="","",DAY($K170))</x:f>
        <x:v>26</x:v>
      </x:c>
      <x:c r="B170" s="22" t="str">
        <x:f>IF($K170="","",CHOOSE(WEEKDAY($K170,2),"Mo","Di","Mi","Do","Fr","Sa","So"))</x:f>
        <x:v>Mo</x:v>
      </x:c>
      <x:c r="C170" s="22">
        <x:f>IF($K170="","",ISOWEEKNUM($K170))</x:f>
        <x:v>5</x:v>
      </x:c>
      <x:c r="D170" s="23">
        <x:f>IF($K170="","",IF(AND(IFERROR(INDEX(Einstellungen!$I$3:$I$22,MATCH($K170,Einstellungen!$H$3:$H$22,0)),"")&lt;&gt;"",IFERROR(INDEX(Einstellungen!$B$20:$B$119,MATCH($K170,Einstellungen!$A$20:$A$119,0)),"")&lt;&gt;""),IFERROR(INDEX(Einstellungen!$I$3:$I$22,MATCH($K170,Einstellungen!$H$3:$H$22,0)),"")&amp;" / "&amp;IFERROR(INDEX(Einstellungen!$B$20:$B$119,MATCH($K170,Einstellungen!$A$20:$A$119,0)),""),IF(IFERROR(INDEX(Einstellungen!$I$3:$I$22,MATCH($K170,Einstellungen!$H$3:$H$22,0)),"")&lt;&gt;"",IFERROR(INDEX(Einstellungen!$I$3:$I$22,MATCH($K170,Einstellungen!$H$3:$H$22,0)),""),IFERROR(INDEX(Einstellungen!$B$20:$B$119,MATCH($K170,Einstellungen!$A$20:$A$119,0)),""))))</x:f>
      </x:c>
      <x:c r="E170" s="24">
        <x:f>IF($K170="","",SUM(F170:J170))</x:f>
        <x:v>7.5</x:v>
      </x:c>
      <x:c r="F170" s="25" t="n">
        <x:v>2</x:v>
      </x:c>
      <x:c r="G170" s="25" t="n">
        <x:v>2</x:v>
      </x:c>
      <x:c r="H170" s="25" t="n">
        <x:v>1</x:v>
      </x:c>
      <x:c r="I170" s="25" t="n">
        <x:v>2</x:v>
      </x:c>
      <x:c r="J170" s="25" t="n">
        <x:v>0.5</x:v>
      </x:c>
      <x:c r="K170">
        <x:f>IF(26&lt;=DAY(EOMONTH($K143,0)),$K143+25,"")</x:f>
        <x:v>46048</x:v>
      </x:c>
    </x:row>
    <x:row r="171">
      <x:c r="A171" s="21">
        <x:f>IF($K171="","",DAY($K171))</x:f>
        <x:v>27</x:v>
      </x:c>
      <x:c r="B171" s="22" t="str">
        <x:f>IF($K171="","",CHOOSE(WEEKDAY($K171,2),"Mo","Di","Mi","Do","Fr","Sa","So"))</x:f>
        <x:v>Di</x:v>
      </x:c>
      <x:c r="C171" s="22">
        <x:f>IF($K171="","",ISOWEEKNUM($K171))</x:f>
        <x:v>5</x:v>
      </x:c>
      <x:c r="D171" s="23">
        <x:f>IF($K171="","",IF(AND(IFERROR(INDEX(Einstellungen!$I$3:$I$22,MATCH($K171,Einstellungen!$H$3:$H$22,0)),"")&lt;&gt;"",IFERROR(INDEX(Einstellungen!$B$20:$B$119,MATCH($K171,Einstellungen!$A$20:$A$119,0)),"")&lt;&gt;""),IFERROR(INDEX(Einstellungen!$I$3:$I$22,MATCH($K171,Einstellungen!$H$3:$H$22,0)),"")&amp;" / "&amp;IFERROR(INDEX(Einstellungen!$B$20:$B$119,MATCH($K171,Einstellungen!$A$20:$A$119,0)),""),IF(IFERROR(INDEX(Einstellungen!$I$3:$I$22,MATCH($K171,Einstellungen!$H$3:$H$22,0)),"")&lt;&gt;"",IFERROR(INDEX(Einstellungen!$I$3:$I$22,MATCH($K171,Einstellungen!$H$3:$H$22,0)),""),IFERROR(INDEX(Einstellungen!$B$20:$B$119,MATCH($K171,Einstellungen!$A$20:$A$119,0)),""))))</x:f>
      </x:c>
      <x:c r="E171" s="24">
        <x:f>IF($K171="","",SUM(F171:J171))</x:f>
        <x:v>6.5</x:v>
      </x:c>
      <x:c r="F171" s="25" t="n">
        <x:v>1.5</x:v>
      </x:c>
      <x:c r="G171" s="25" t="n">
        <x:v>1.5</x:v>
      </x:c>
      <x:c r="H171" s="25" t="n">
        <x:v>1</x:v>
      </x:c>
      <x:c r="I171" s="25" t="n">
        <x:v>2</x:v>
      </x:c>
      <x:c r="J171" s="25" t="n">
        <x:v>0.5</x:v>
      </x:c>
      <x:c r="K171">
        <x:f>IF(27&lt;=DAY(EOMONTH($K143,0)),$K143+26,"")</x:f>
        <x:v>46049</x:v>
      </x:c>
    </x:row>
    <x:row r="172">
      <x:c r="A172" s="21">
        <x:f>IF($K172="","",DAY($K172))</x:f>
        <x:v>28</x:v>
      </x:c>
      <x:c r="B172" s="22" t="str">
        <x:f>IF($K172="","",CHOOSE(WEEKDAY($K172,2),"Mo","Di","Mi","Do","Fr","Sa","So"))</x:f>
        <x:v>Mi</x:v>
      </x:c>
      <x:c r="C172" s="22">
        <x:f>IF($K172="","",ISOWEEKNUM($K172))</x:f>
        <x:v>5</x:v>
      </x:c>
      <x:c r="D172" s="23">
        <x:f>IF($K172="","",IF(AND(IFERROR(INDEX(Einstellungen!$I$3:$I$22,MATCH($K172,Einstellungen!$H$3:$H$22,0)),"")&lt;&gt;"",IFERROR(INDEX(Einstellungen!$B$20:$B$119,MATCH($K172,Einstellungen!$A$20:$A$119,0)),"")&lt;&gt;""),IFERROR(INDEX(Einstellungen!$I$3:$I$22,MATCH($K172,Einstellungen!$H$3:$H$22,0)),"")&amp;" / "&amp;IFERROR(INDEX(Einstellungen!$B$20:$B$119,MATCH($K172,Einstellungen!$A$20:$A$119,0)),""),IF(IFERROR(INDEX(Einstellungen!$I$3:$I$22,MATCH($K172,Einstellungen!$H$3:$H$22,0)),"")&lt;&gt;"",IFERROR(INDEX(Einstellungen!$I$3:$I$22,MATCH($K172,Einstellungen!$H$3:$H$22,0)),""),IFERROR(INDEX(Einstellungen!$B$20:$B$119,MATCH($K172,Einstellungen!$A$20:$A$119,0)),""))))</x:f>
      </x:c>
      <x:c r="E172" s="24">
        <x:f>IF($K172="","",SUM(F172:J172))</x:f>
        <x:v>6.5</x:v>
      </x:c>
      <x:c r="F172" s="25" t="n">
        <x:v>1</x:v>
      </x:c>
      <x:c r="G172" s="25" t="n">
        <x:v>2.5</x:v>
      </x:c>
      <x:c r="H172" s="25" t="n">
        <x:v>1.5</x:v>
      </x:c>
      <x:c r="I172" s="25" t="n">
        <x:v>1.5</x:v>
      </x:c>
      <x:c r="J172" s="25" t="n"/>
      <x:c r="K172">
        <x:f>IF(28&lt;=DAY(EOMONTH($K143,0)),$K143+27,"")</x:f>
        <x:v>46050</x:v>
      </x:c>
    </x:row>
    <x:row r="173">
      <x:c r="A173" s="21">
        <x:f>IF($K173="","",DAY($K173))</x:f>
        <x:v>29</x:v>
      </x:c>
      <x:c r="B173" s="22" t="str">
        <x:f>IF($K173="","",CHOOSE(WEEKDAY($K173,2),"Mo","Di","Mi","Do","Fr","Sa","So"))</x:f>
        <x:v>Do</x:v>
      </x:c>
      <x:c r="C173" s="22">
        <x:f>IF($K173="","",ISOWEEKNUM($K173))</x:f>
        <x:v>5</x:v>
      </x:c>
      <x:c r="D173" s="23">
        <x:f>IF($K173="","",IF(AND(IFERROR(INDEX(Einstellungen!$I$3:$I$22,MATCH($K173,Einstellungen!$H$3:$H$22,0)),"")&lt;&gt;"",IFERROR(INDEX(Einstellungen!$B$20:$B$119,MATCH($K173,Einstellungen!$A$20:$A$119,0)),"")&lt;&gt;""),IFERROR(INDEX(Einstellungen!$I$3:$I$22,MATCH($K173,Einstellungen!$H$3:$H$22,0)),"")&amp;" / "&amp;IFERROR(INDEX(Einstellungen!$B$20:$B$119,MATCH($K173,Einstellungen!$A$20:$A$119,0)),""),IF(IFERROR(INDEX(Einstellungen!$I$3:$I$22,MATCH($K173,Einstellungen!$H$3:$H$22,0)),"")&lt;&gt;"",IFERROR(INDEX(Einstellungen!$I$3:$I$22,MATCH($K173,Einstellungen!$H$3:$H$22,0)),""),IFERROR(INDEX(Einstellungen!$B$20:$B$119,MATCH($K173,Einstellungen!$A$20:$A$119,0)),""))))</x:f>
      </x:c>
      <x:c r="E173" s="24">
        <x:f>IF($K173="","",SUM(F173:J173))</x:f>
        <x:v>8</x:v>
      </x:c>
      <x:c r="F173" s="25" t="n">
        <x:v>1.5</x:v>
      </x:c>
      <x:c r="G173" s="25" t="n">
        <x:v>2</x:v>
      </x:c>
      <x:c r="H173" s="25" t="n">
        <x:v>1.5</x:v>
      </x:c>
      <x:c r="I173" s="25" t="n">
        <x:v>2.5</x:v>
      </x:c>
      <x:c r="J173" s="25" t="n">
        <x:v>0.5</x:v>
      </x:c>
      <x:c r="K173">
        <x:f>IF(29&lt;=DAY(EOMONTH($K143,0)),$K143+28,"")</x:f>
        <x:v>46051</x:v>
      </x:c>
    </x:row>
    <x:row r="174">
      <x:c r="A174" s="21">
        <x:f>IF($K174="","",DAY($K174))</x:f>
        <x:v>30</x:v>
      </x:c>
      <x:c r="B174" s="22" t="str">
        <x:f>IF($K174="","",CHOOSE(WEEKDAY($K174,2),"Mo","Di","Mi","Do","Fr","Sa","So"))</x:f>
        <x:v>Fr</x:v>
      </x:c>
      <x:c r="C174" s="22">
        <x:f>IF($K174="","",ISOWEEKNUM($K174))</x:f>
        <x:v>5</x:v>
      </x:c>
      <x:c r="D174" s="23">
        <x:f>IF($K174="","",IF(AND(IFERROR(INDEX(Einstellungen!$I$3:$I$22,MATCH($K174,Einstellungen!$H$3:$H$22,0)),"")&lt;&gt;"",IFERROR(INDEX(Einstellungen!$B$20:$B$119,MATCH($K174,Einstellungen!$A$20:$A$119,0)),"")&lt;&gt;""),IFERROR(INDEX(Einstellungen!$I$3:$I$22,MATCH($K174,Einstellungen!$H$3:$H$22,0)),"")&amp;" / "&amp;IFERROR(INDEX(Einstellungen!$B$20:$B$119,MATCH($K174,Einstellungen!$A$20:$A$119,0)),""),IF(IFERROR(INDEX(Einstellungen!$I$3:$I$22,MATCH($K174,Einstellungen!$H$3:$H$22,0)),"")&lt;&gt;"",IFERROR(INDEX(Einstellungen!$I$3:$I$22,MATCH($K174,Einstellungen!$H$3:$H$22,0)),""),IFERROR(INDEX(Einstellungen!$B$20:$B$119,MATCH($K174,Einstellungen!$A$20:$A$119,0)),""))))</x:f>
      </x:c>
      <x:c r="E174" s="24">
        <x:f>IF($K174="","",SUM(F174:J174))</x:f>
        <x:v>3</x:v>
      </x:c>
      <x:c r="F174" s="25" t="n">
        <x:v>1</x:v>
      </x:c>
      <x:c r="G174" s="25" t="n">
        <x:v>0.5</x:v>
      </x:c>
      <x:c r="H174" s="25" t="n">
        <x:v>0.5</x:v>
      </x:c>
      <x:c r="I174" s="25" t="n">
        <x:v>1</x:v>
      </x:c>
      <x:c r="J174" s="25" t="n"/>
      <x:c r="K174">
        <x:f>IF(30&lt;=DAY(EOMONTH($K143,0)),$K143+29,"")</x:f>
        <x:v>46052</x:v>
      </x:c>
    </x:row>
    <x:row r="175">
      <x:c r="A175" s="21">
        <x:f>IF($K175="","",DAY($K175))</x:f>
        <x:v>31</x:v>
      </x:c>
      <x:c r="B175" s="22" t="str">
        <x:f>IF($K175="","",CHOOSE(WEEKDAY($K175,2),"Mo","Di","Mi","Do","Fr","Sa","So"))</x:f>
        <x:v>Sa</x:v>
      </x:c>
      <x:c r="C175" s="22">
        <x:f>IF($K175="","",ISOWEEKNUM($K175))</x:f>
        <x:v>5</x:v>
      </x:c>
      <x:c r="D175" s="23">
        <x:f>IF($K175="","",IF(AND(IFERROR(INDEX(Einstellungen!$I$3:$I$22,MATCH($K175,Einstellungen!$H$3:$H$22,0)),"")&lt;&gt;"",IFERROR(INDEX(Einstellungen!$B$20:$B$119,MATCH($K175,Einstellungen!$A$20:$A$119,0)),"")&lt;&gt;""),IFERROR(INDEX(Einstellungen!$I$3:$I$22,MATCH($K175,Einstellungen!$H$3:$H$22,0)),"")&amp;" / "&amp;IFERROR(INDEX(Einstellungen!$B$20:$B$119,MATCH($K175,Einstellungen!$A$20:$A$119,0)),""),IF(IFERROR(INDEX(Einstellungen!$I$3:$I$22,MATCH($K175,Einstellungen!$H$3:$H$22,0)),"")&lt;&gt;"",IFERROR(INDEX(Einstellungen!$I$3:$I$22,MATCH($K175,Einstellungen!$H$3:$H$22,0)),""),IFERROR(INDEX(Einstellungen!$B$20:$B$119,MATCH($K175,Einstellungen!$A$20:$A$119,0)),""))))</x:f>
      </x:c>
      <x:c r="E175" s="24">
        <x:f>IF($K175="","",SUM(F175:J175))</x:f>
        <x:v>0</x:v>
      </x:c>
      <x:c r="F175" s="25" t="n"/>
      <x:c r="G175" s="25" t="n"/>
      <x:c r="H175" s="25" t="n"/>
      <x:c r="I175" s="25" t="n"/>
      <x:c r="J175" s="25" t="n"/>
      <x:c r="K175">
        <x:f>IF(31&lt;=DAY(EOMONTH($K143,0)),$K143+30,"")</x:f>
        <x:v>46053</x:v>
      </x:c>
    </x:row>
    <x:row r="176">
      <x:c r="A176" s="26" t="n"/>
      <x:c r="B176" s="26" t="n"/>
      <x:c r="C176" s="26" t="n"/>
      <x:c r="D176" s="26" t="n"/>
      <x:c r="E176" s="26" t="n"/>
      <x:c r="F176" s="26" t="n"/>
      <x:c r="G176" s="26" t="n"/>
      <x:c r="H176" s="26" t="n"/>
      <x:c r="I176" s="26" t="n"/>
      <x:c r="J176" s="26" t="n"/>
    </x:row>
    <x:row r="177">
      <x:c r="A177" s="18" t="str">
        <x:f>INDEX(Einstellungen!$F$2:$F$13,MONTH($K177))&amp;" "&amp;YEAR($K177)</x:f>
        <x:v>Februar 2026</x:v>
      </x:c>
      <x:c r="B177" s="36" t="n"/>
      <x:c r="C177" s="36" t="n"/>
      <x:c r="D177" s="36" t="n"/>
      <x:c r="E177" s="36" t="n"/>
      <x:c r="F177" s="36" t="n"/>
      <x:c r="G177" s="36" t="n"/>
      <x:c r="H177" s="36" t="n"/>
      <x:c r="I177" s="36" t="n"/>
      <x:c r="J177" s="37" t="n"/>
      <x:c r="K177">
        <x:f>EDATE(Einstellungen!$B$5,5)</x:f>
        <x:v>46054</x:v>
      </x:c>
    </x:row>
    <x:row r="178">
      <x:c r="A178" s="20" t="inlineStr">
        <x:is>
          <x:t xml:space="preserve">Datum</x:t>
        </x:is>
      </x:c>
      <x:c r="B178" s="20" t="inlineStr">
        <x:is>
          <x:t xml:space="preserve">Tag</x:t>
        </x:is>
      </x:c>
      <x:c r="C178" s="20" t="inlineStr">
        <x:is>
          <x:t xml:space="preserve">KW</x:t>
        </x:is>
      </x:c>
      <x:c r="D178" s="20" t="inlineStr">
        <x:is>
          <x:t xml:space="preserve">Feiertag</x:t>
        </x:is>
      </x:c>
      <x:c r="E178" s="20" t="inlineStr">
        <x:is>
          <x:t xml:space="preserve">Arbeitszeit</x:t>
        </x:is>
      </x:c>
      <x:c r="F178" s="20" t="str">
        <x:f>Einstellungen!$B$11</x:f>
        <x:v>E-Mail</x:v>
      </x:c>
      <x:c r="G178" s="20" t="str">
        <x:f>Einstellungen!$B$12</x:f>
        <x:v>Meetings</x:v>
      </x:c>
      <x:c r="H178" s="20" t="str">
        <x:f>Einstellungen!$B$13</x:f>
        <x:v>Telefonate</x:v>
      </x:c>
      <x:c r="I178" s="20" t="str">
        <x:f>Einstellungen!$B$14</x:f>
        <x:v>Dokumentation</x:v>
      </x:c>
      <x:c r="J178" s="20" t="str">
        <x:f>Einstellungen!$B$15</x:f>
        <x:v>Sonstiges</x:v>
      </x:c>
    </x:row>
    <x:row r="179">
      <x:c r="A179" s="21">
        <x:f>IF($K179="","",DAY($K179))</x:f>
        <x:v>1</x:v>
      </x:c>
      <x:c r="B179" s="22" t="str">
        <x:f>IF($K179="","",CHOOSE(WEEKDAY($K179,2),"Mo","Di","Mi","Do","Fr","Sa","So"))</x:f>
        <x:v>So</x:v>
      </x:c>
      <x:c r="C179" s="22">
        <x:f>IF($K179="","",ISOWEEKNUM($K179))</x:f>
        <x:v>5</x:v>
      </x:c>
      <x:c r="D179" s="23">
        <x:f>IF($K179="","",IF(AND(IFERROR(INDEX(Einstellungen!$I$3:$I$22,MATCH($K179,Einstellungen!$H$3:$H$22,0)),"")&lt;&gt;"",IFERROR(INDEX(Einstellungen!$B$20:$B$119,MATCH($K179,Einstellungen!$A$20:$A$119,0)),"")&lt;&gt;""),IFERROR(INDEX(Einstellungen!$I$3:$I$22,MATCH($K179,Einstellungen!$H$3:$H$22,0)),"")&amp;" / "&amp;IFERROR(INDEX(Einstellungen!$B$20:$B$119,MATCH($K179,Einstellungen!$A$20:$A$119,0)),""),IF(IFERROR(INDEX(Einstellungen!$I$3:$I$22,MATCH($K179,Einstellungen!$H$3:$H$22,0)),"")&lt;&gt;"",IFERROR(INDEX(Einstellungen!$I$3:$I$22,MATCH($K179,Einstellungen!$H$3:$H$22,0)),""),IFERROR(INDEX(Einstellungen!$B$20:$B$119,MATCH($K179,Einstellungen!$A$20:$A$119,0)),""))))</x:f>
      </x:c>
      <x:c r="E179" s="24">
        <x:f>IF($K179="","",SUM(F179:J179))</x:f>
        <x:v>0</x:v>
      </x:c>
      <x:c r="F179" s="25" t="n"/>
      <x:c r="G179" s="25" t="n"/>
      <x:c r="H179" s="25" t="n"/>
      <x:c r="I179" s="25" t="n"/>
      <x:c r="J179" s="25" t="n"/>
      <x:c r="K179">
        <x:f>IF(1&lt;=DAY(EOMONTH($K177,0)),$K177+0,"")</x:f>
        <x:v>46054</x:v>
      </x:c>
    </x:row>
    <x:row r="180">
      <x:c r="A180" s="21">
        <x:f>IF($K180="","",DAY($K180))</x:f>
        <x:v>2</x:v>
      </x:c>
      <x:c r="B180" s="22" t="str">
        <x:f>IF($K180="","",CHOOSE(WEEKDAY($K180,2),"Mo","Di","Mi","Do","Fr","Sa","So"))</x:f>
        <x:v>Mo</x:v>
      </x:c>
      <x:c r="C180" s="22">
        <x:f>IF($K180="","",ISOWEEKNUM($K180))</x:f>
        <x:v>6</x:v>
      </x:c>
      <x:c r="D180" s="23">
        <x:f>IF($K180="","",IF(AND(IFERROR(INDEX(Einstellungen!$I$3:$I$22,MATCH($K180,Einstellungen!$H$3:$H$22,0)),"")&lt;&gt;"",IFERROR(INDEX(Einstellungen!$B$20:$B$119,MATCH($K180,Einstellungen!$A$20:$A$119,0)),"")&lt;&gt;""),IFERROR(INDEX(Einstellungen!$I$3:$I$22,MATCH($K180,Einstellungen!$H$3:$H$22,0)),"")&amp;" / "&amp;IFERROR(INDEX(Einstellungen!$B$20:$B$119,MATCH($K180,Einstellungen!$A$20:$A$119,0)),""),IF(IFERROR(INDEX(Einstellungen!$I$3:$I$22,MATCH($K180,Einstellungen!$H$3:$H$22,0)),"")&lt;&gt;"",IFERROR(INDEX(Einstellungen!$I$3:$I$22,MATCH($K180,Einstellungen!$H$3:$H$22,0)),""),IFERROR(INDEX(Einstellungen!$B$20:$B$119,MATCH($K180,Einstellungen!$A$20:$A$119,0)),""))))</x:f>
      </x:c>
      <x:c r="E180" s="24">
        <x:f>IF($K180="","",SUM(F180:J180))</x:f>
        <x:v>7</x:v>
      </x:c>
      <x:c r="F180" s="25" t="n">
        <x:v>1.5</x:v>
      </x:c>
      <x:c r="G180" s="25" t="n">
        <x:v>2</x:v>
      </x:c>
      <x:c r="H180" s="25" t="n">
        <x:v>1</x:v>
      </x:c>
      <x:c r="I180" s="25" t="n">
        <x:v>2</x:v>
      </x:c>
      <x:c r="J180" s="25" t="n">
        <x:v>0.5</x:v>
      </x:c>
      <x:c r="K180">
        <x:f>IF(2&lt;=DAY(EOMONTH($K177,0)),$K177+1,"")</x:f>
        <x:v>46055</x:v>
      </x:c>
    </x:row>
    <x:row r="181">
      <x:c r="A181" s="21">
        <x:f>IF($K181="","",DAY($K181))</x:f>
        <x:v>3</x:v>
      </x:c>
      <x:c r="B181" s="22" t="str">
        <x:f>IF($K181="","",CHOOSE(WEEKDAY($K181,2),"Mo","Di","Mi","Do","Fr","Sa","So"))</x:f>
        <x:v>Di</x:v>
      </x:c>
      <x:c r="C181" s="22">
        <x:f>IF($K181="","",ISOWEEKNUM($K181))</x:f>
        <x:v>6</x:v>
      </x:c>
      <x:c r="D181" s="23">
        <x:f>IF($K181="","",IF(AND(IFERROR(INDEX(Einstellungen!$I$3:$I$22,MATCH($K181,Einstellungen!$H$3:$H$22,0)),"")&lt;&gt;"",IFERROR(INDEX(Einstellungen!$B$20:$B$119,MATCH($K181,Einstellungen!$A$20:$A$119,0)),"")&lt;&gt;""),IFERROR(INDEX(Einstellungen!$I$3:$I$22,MATCH($K181,Einstellungen!$H$3:$H$22,0)),"")&amp;" / "&amp;IFERROR(INDEX(Einstellungen!$B$20:$B$119,MATCH($K181,Einstellungen!$A$20:$A$119,0)),""),IF(IFERROR(INDEX(Einstellungen!$I$3:$I$22,MATCH($K181,Einstellungen!$H$3:$H$22,0)),"")&lt;&gt;"",IFERROR(INDEX(Einstellungen!$I$3:$I$22,MATCH($K181,Einstellungen!$H$3:$H$22,0)),""),IFERROR(INDEX(Einstellungen!$B$20:$B$119,MATCH($K181,Einstellungen!$A$20:$A$119,0)),""))))</x:f>
      </x:c>
      <x:c r="E181" s="24">
        <x:f>IF($K181="","",SUM(F181:J181))</x:f>
        <x:v>6.5</x:v>
      </x:c>
      <x:c r="F181" s="25" t="n">
        <x:v>1.5</x:v>
      </x:c>
      <x:c r="G181" s="25" t="n">
        <x:v>1.5</x:v>
      </x:c>
      <x:c r="H181" s="25" t="n">
        <x:v>1</x:v>
      </x:c>
      <x:c r="I181" s="25" t="n">
        <x:v>2</x:v>
      </x:c>
      <x:c r="J181" s="25" t="n">
        <x:v>0.5</x:v>
      </x:c>
      <x:c r="K181">
        <x:f>IF(3&lt;=DAY(EOMONTH($K177,0)),$K177+2,"")</x:f>
        <x:v>46056</x:v>
      </x:c>
    </x:row>
    <x:row r="182">
      <x:c r="A182" s="21">
        <x:f>IF($K182="","",DAY($K182))</x:f>
        <x:v>4</x:v>
      </x:c>
      <x:c r="B182" s="22" t="str">
        <x:f>IF($K182="","",CHOOSE(WEEKDAY($K182,2),"Mo","Di","Mi","Do","Fr","Sa","So"))</x:f>
        <x:v>Mi</x:v>
      </x:c>
      <x:c r="C182" s="22">
        <x:f>IF($K182="","",ISOWEEKNUM($K182))</x:f>
        <x:v>6</x:v>
      </x:c>
      <x:c r="D182" s="23">
        <x:f>IF($K182="","",IF(AND(IFERROR(INDEX(Einstellungen!$I$3:$I$22,MATCH($K182,Einstellungen!$H$3:$H$22,0)),"")&lt;&gt;"",IFERROR(INDEX(Einstellungen!$B$20:$B$119,MATCH($K182,Einstellungen!$A$20:$A$119,0)),"")&lt;&gt;""),IFERROR(INDEX(Einstellungen!$I$3:$I$22,MATCH($K182,Einstellungen!$H$3:$H$22,0)),"")&amp;" / "&amp;IFERROR(INDEX(Einstellungen!$B$20:$B$119,MATCH($K182,Einstellungen!$A$20:$A$119,0)),""),IF(IFERROR(INDEX(Einstellungen!$I$3:$I$22,MATCH($K182,Einstellungen!$H$3:$H$22,0)),"")&lt;&gt;"",IFERROR(INDEX(Einstellungen!$I$3:$I$22,MATCH($K182,Einstellungen!$H$3:$H$22,0)),""),IFERROR(INDEX(Einstellungen!$B$20:$B$119,MATCH($K182,Einstellungen!$A$20:$A$119,0)),""))))</x:f>
      </x:c>
      <x:c r="E182" s="24">
        <x:f>IF($K182="","",SUM(F182:J182))</x:f>
        <x:v>7.5</x:v>
      </x:c>
      <x:c r="F182" s="25" t="n">
        <x:v>1</x:v>
      </x:c>
      <x:c r="G182" s="25" t="n">
        <x:v>2.5</x:v>
      </x:c>
      <x:c r="H182" s="25" t="n">
        <x:v>2</x:v>
      </x:c>
      <x:c r="I182" s="25" t="n">
        <x:v>1.5</x:v>
      </x:c>
      <x:c r="J182" s="25" t="n">
        <x:v>0.5</x:v>
      </x:c>
      <x:c r="K182">
        <x:f>IF(4&lt;=DAY(EOMONTH($K177,0)),$K177+3,"")</x:f>
        <x:v>46057</x:v>
      </x:c>
    </x:row>
    <x:row r="183">
      <x:c r="A183" s="21">
        <x:f>IF($K183="","",DAY($K183))</x:f>
        <x:v>5</x:v>
      </x:c>
      <x:c r="B183" s="22" t="str">
        <x:f>IF($K183="","",CHOOSE(WEEKDAY($K183,2),"Mo","Di","Mi","Do","Fr","Sa","So"))</x:f>
        <x:v>Do</x:v>
      </x:c>
      <x:c r="C183" s="22">
        <x:f>IF($K183="","",ISOWEEKNUM($K183))</x:f>
        <x:v>6</x:v>
      </x:c>
      <x:c r="D183" s="23">
        <x:f>IF($K183="","",IF(AND(IFERROR(INDEX(Einstellungen!$I$3:$I$22,MATCH($K183,Einstellungen!$H$3:$H$22,0)),"")&lt;&gt;"",IFERROR(INDEX(Einstellungen!$B$20:$B$119,MATCH($K183,Einstellungen!$A$20:$A$119,0)),"")&lt;&gt;""),IFERROR(INDEX(Einstellungen!$I$3:$I$22,MATCH($K183,Einstellungen!$H$3:$H$22,0)),"")&amp;" / "&amp;IFERROR(INDEX(Einstellungen!$B$20:$B$119,MATCH($K183,Einstellungen!$A$20:$A$119,0)),""),IF(IFERROR(INDEX(Einstellungen!$I$3:$I$22,MATCH($K183,Einstellungen!$H$3:$H$22,0)),"")&lt;&gt;"",IFERROR(INDEX(Einstellungen!$I$3:$I$22,MATCH($K183,Einstellungen!$H$3:$H$22,0)),""),IFERROR(INDEX(Einstellungen!$B$20:$B$119,MATCH($K183,Einstellungen!$A$20:$A$119,0)),""))))</x:f>
      </x:c>
      <x:c r="E183" s="24">
        <x:f>IF($K183="","",SUM(F183:J183))</x:f>
        <x:v>7.5</x:v>
      </x:c>
      <x:c r="F183" s="25" t="n">
        <x:v>1.5</x:v>
      </x:c>
      <x:c r="G183" s="25" t="n">
        <x:v>2</x:v>
      </x:c>
      <x:c r="H183" s="25" t="n">
        <x:v>1.5</x:v>
      </x:c>
      <x:c r="I183" s="25" t="n">
        <x:v>2</x:v>
      </x:c>
      <x:c r="J183" s="25" t="n">
        <x:v>0.5</x:v>
      </x:c>
      <x:c r="K183">
        <x:f>IF(5&lt;=DAY(EOMONTH($K177,0)),$K177+4,"")</x:f>
        <x:v>46058</x:v>
      </x:c>
    </x:row>
    <x:row r="184">
      <x:c r="A184" s="21">
        <x:f>IF($K184="","",DAY($K184))</x:f>
        <x:v>6</x:v>
      </x:c>
      <x:c r="B184" s="22" t="str">
        <x:f>IF($K184="","",CHOOSE(WEEKDAY($K184,2),"Mo","Di","Mi","Do","Fr","Sa","So"))</x:f>
        <x:v>Fr</x:v>
      </x:c>
      <x:c r="C184" s="22">
        <x:f>IF($K184="","",ISOWEEKNUM($K184))</x:f>
        <x:v>6</x:v>
      </x:c>
      <x:c r="D184" s="23">
        <x:f>IF($K184="","",IF(AND(IFERROR(INDEX(Einstellungen!$I$3:$I$22,MATCH($K184,Einstellungen!$H$3:$H$22,0)),"")&lt;&gt;"",IFERROR(INDEX(Einstellungen!$B$20:$B$119,MATCH($K184,Einstellungen!$A$20:$A$119,0)),"")&lt;&gt;""),IFERROR(INDEX(Einstellungen!$I$3:$I$22,MATCH($K184,Einstellungen!$H$3:$H$22,0)),"")&amp;" / "&amp;IFERROR(INDEX(Einstellungen!$B$20:$B$119,MATCH($K184,Einstellungen!$A$20:$A$119,0)),""),IF(IFERROR(INDEX(Einstellungen!$I$3:$I$22,MATCH($K184,Einstellungen!$H$3:$H$22,0)),"")&lt;&gt;"",IFERROR(INDEX(Einstellungen!$I$3:$I$22,MATCH($K184,Einstellungen!$H$3:$H$22,0)),""),IFERROR(INDEX(Einstellungen!$B$20:$B$119,MATCH($K184,Einstellungen!$A$20:$A$119,0)),""))))</x:f>
      </x:c>
      <x:c r="E184" s="24">
        <x:f>IF($K184="","",SUM(F184:J184))</x:f>
        <x:v>5.5</x:v>
      </x:c>
      <x:c r="F184" s="25" t="n">
        <x:v>2</x:v>
      </x:c>
      <x:c r="G184" s="25" t="n">
        <x:v>1</x:v>
      </x:c>
      <x:c r="H184" s="25" t="n">
        <x:v>1</x:v>
      </x:c>
      <x:c r="I184" s="25" t="n">
        <x:v>1</x:v>
      </x:c>
      <x:c r="J184" s="25" t="n">
        <x:v>0.5</x:v>
      </x:c>
      <x:c r="K184">
        <x:f>IF(6&lt;=DAY(EOMONTH($K177,0)),$K177+5,"")</x:f>
        <x:v>46059</x:v>
      </x:c>
    </x:row>
    <x:row r="185">
      <x:c r="A185" s="21">
        <x:f>IF($K185="","",DAY($K185))</x:f>
        <x:v>7</x:v>
      </x:c>
      <x:c r="B185" s="22" t="str">
        <x:f>IF($K185="","",CHOOSE(WEEKDAY($K185,2),"Mo","Di","Mi","Do","Fr","Sa","So"))</x:f>
        <x:v>Sa</x:v>
      </x:c>
      <x:c r="C185" s="22">
        <x:f>IF($K185="","",ISOWEEKNUM($K185))</x:f>
        <x:v>6</x:v>
      </x:c>
      <x:c r="D185" s="23">
        <x:f>IF($K185="","",IF(AND(IFERROR(INDEX(Einstellungen!$I$3:$I$22,MATCH($K185,Einstellungen!$H$3:$H$22,0)),"")&lt;&gt;"",IFERROR(INDEX(Einstellungen!$B$20:$B$119,MATCH($K185,Einstellungen!$A$20:$A$119,0)),"")&lt;&gt;""),IFERROR(INDEX(Einstellungen!$I$3:$I$22,MATCH($K185,Einstellungen!$H$3:$H$22,0)),"")&amp;" / "&amp;IFERROR(INDEX(Einstellungen!$B$20:$B$119,MATCH($K185,Einstellungen!$A$20:$A$119,0)),""),IF(IFERROR(INDEX(Einstellungen!$I$3:$I$22,MATCH($K185,Einstellungen!$H$3:$H$22,0)),"")&lt;&gt;"",IFERROR(INDEX(Einstellungen!$I$3:$I$22,MATCH($K185,Einstellungen!$H$3:$H$22,0)),""),IFERROR(INDEX(Einstellungen!$B$20:$B$119,MATCH($K185,Einstellungen!$A$20:$A$119,0)),""))))</x:f>
      </x:c>
      <x:c r="E185" s="24">
        <x:f>IF($K185="","",SUM(F185:J185))</x:f>
        <x:v>0</x:v>
      </x:c>
      <x:c r="F185" s="25" t="n"/>
      <x:c r="G185" s="25" t="n"/>
      <x:c r="H185" s="25" t="n"/>
      <x:c r="I185" s="25" t="n"/>
      <x:c r="J185" s="25" t="n"/>
      <x:c r="K185">
        <x:f>IF(7&lt;=DAY(EOMONTH($K177,0)),$K177+6,"")</x:f>
        <x:v>46060</x:v>
      </x:c>
    </x:row>
    <x:row r="186">
      <x:c r="A186" s="21">
        <x:f>IF($K186="","",DAY($K186))</x:f>
        <x:v>8</x:v>
      </x:c>
      <x:c r="B186" s="22" t="str">
        <x:f>IF($K186="","",CHOOSE(WEEKDAY($K186,2),"Mo","Di","Mi","Do","Fr","Sa","So"))</x:f>
        <x:v>So</x:v>
      </x:c>
      <x:c r="C186" s="22">
        <x:f>IF($K186="","",ISOWEEKNUM($K186))</x:f>
        <x:v>6</x:v>
      </x:c>
      <x:c r="D186" s="23">
        <x:f>IF($K186="","",IF(AND(IFERROR(INDEX(Einstellungen!$I$3:$I$22,MATCH($K186,Einstellungen!$H$3:$H$22,0)),"")&lt;&gt;"",IFERROR(INDEX(Einstellungen!$B$20:$B$119,MATCH($K186,Einstellungen!$A$20:$A$119,0)),"")&lt;&gt;""),IFERROR(INDEX(Einstellungen!$I$3:$I$22,MATCH($K186,Einstellungen!$H$3:$H$22,0)),"")&amp;" / "&amp;IFERROR(INDEX(Einstellungen!$B$20:$B$119,MATCH($K186,Einstellungen!$A$20:$A$119,0)),""),IF(IFERROR(INDEX(Einstellungen!$I$3:$I$22,MATCH($K186,Einstellungen!$H$3:$H$22,0)),"")&lt;&gt;"",IFERROR(INDEX(Einstellungen!$I$3:$I$22,MATCH($K186,Einstellungen!$H$3:$H$22,0)),""),IFERROR(INDEX(Einstellungen!$B$20:$B$119,MATCH($K186,Einstellungen!$A$20:$A$119,0)),""))))</x:f>
      </x:c>
      <x:c r="E186" s="24">
        <x:f>IF($K186="","",SUM(F186:J186))</x:f>
        <x:v>0</x:v>
      </x:c>
      <x:c r="F186" s="25" t="n"/>
      <x:c r="G186" s="25" t="n"/>
      <x:c r="H186" s="25" t="n"/>
      <x:c r="I186" s="25" t="n"/>
      <x:c r="J186" s="25" t="n"/>
      <x:c r="K186">
        <x:f>IF(8&lt;=DAY(EOMONTH($K177,0)),$K177+7,"")</x:f>
        <x:v>46061</x:v>
      </x:c>
    </x:row>
    <x:row r="187">
      <x:c r="A187" s="21">
        <x:f>IF($K187="","",DAY($K187))</x:f>
        <x:v>9</x:v>
      </x:c>
      <x:c r="B187" s="22" t="str">
        <x:f>IF($K187="","",CHOOSE(WEEKDAY($K187,2),"Mo","Di","Mi","Do","Fr","Sa","So"))</x:f>
        <x:v>Mo</x:v>
      </x:c>
      <x:c r="C187" s="22">
        <x:f>IF($K187="","",ISOWEEKNUM($K187))</x:f>
        <x:v>7</x:v>
      </x:c>
      <x:c r="D187" s="23">
        <x:f>IF($K187="","",IF(AND(IFERROR(INDEX(Einstellungen!$I$3:$I$22,MATCH($K187,Einstellungen!$H$3:$H$22,0)),"")&lt;&gt;"",IFERROR(INDEX(Einstellungen!$B$20:$B$119,MATCH($K187,Einstellungen!$A$20:$A$119,0)),"")&lt;&gt;""),IFERROR(INDEX(Einstellungen!$I$3:$I$22,MATCH($K187,Einstellungen!$H$3:$H$22,0)),"")&amp;" / "&amp;IFERROR(INDEX(Einstellungen!$B$20:$B$119,MATCH($K187,Einstellungen!$A$20:$A$119,0)),""),IF(IFERROR(INDEX(Einstellungen!$I$3:$I$22,MATCH($K187,Einstellungen!$H$3:$H$22,0)),"")&lt;&gt;"",IFERROR(INDEX(Einstellungen!$I$3:$I$22,MATCH($K187,Einstellungen!$H$3:$H$22,0)),""),IFERROR(INDEX(Einstellungen!$B$20:$B$119,MATCH($K187,Einstellungen!$A$20:$A$119,0)),""))))</x:f>
      </x:c>
      <x:c r="E187" s="24">
        <x:f>IF($K187="","",SUM(F187:J187))</x:f>
        <x:v>6.5</x:v>
      </x:c>
      <x:c r="F187" s="25" t="n">
        <x:v>1</x:v>
      </x:c>
      <x:c r="G187" s="25" t="n">
        <x:v>2</x:v>
      </x:c>
      <x:c r="H187" s="25" t="n">
        <x:v>1</x:v>
      </x:c>
      <x:c r="I187" s="25" t="n">
        <x:v>2</x:v>
      </x:c>
      <x:c r="J187" s="25" t="n">
        <x:v>0.5</x:v>
      </x:c>
      <x:c r="K187">
        <x:f>IF(9&lt;=DAY(EOMONTH($K177,0)),$K177+8,"")</x:f>
        <x:v>46062</x:v>
      </x:c>
    </x:row>
    <x:row r="188">
      <x:c r="A188" s="21">
        <x:f>IF($K188="","",DAY($K188))</x:f>
        <x:v>10</x:v>
      </x:c>
      <x:c r="B188" s="22" t="str">
        <x:f>IF($K188="","",CHOOSE(WEEKDAY($K188,2),"Mo","Di","Mi","Do","Fr","Sa","So"))</x:f>
        <x:v>Di</x:v>
      </x:c>
      <x:c r="C188" s="22">
        <x:f>IF($K188="","",ISOWEEKNUM($K188))</x:f>
        <x:v>7</x:v>
      </x:c>
      <x:c r="D188" s="23">
        <x:f>IF($K188="","",IF(AND(IFERROR(INDEX(Einstellungen!$I$3:$I$22,MATCH($K188,Einstellungen!$H$3:$H$22,0)),"")&lt;&gt;"",IFERROR(INDEX(Einstellungen!$B$20:$B$119,MATCH($K188,Einstellungen!$A$20:$A$119,0)),"")&lt;&gt;""),IFERROR(INDEX(Einstellungen!$I$3:$I$22,MATCH($K188,Einstellungen!$H$3:$H$22,0)),"")&amp;" / "&amp;IFERROR(INDEX(Einstellungen!$B$20:$B$119,MATCH($K188,Einstellungen!$A$20:$A$119,0)),""),IF(IFERROR(INDEX(Einstellungen!$I$3:$I$22,MATCH($K188,Einstellungen!$H$3:$H$22,0)),"")&lt;&gt;"",IFERROR(INDEX(Einstellungen!$I$3:$I$22,MATCH($K188,Einstellungen!$H$3:$H$22,0)),""),IFERROR(INDEX(Einstellungen!$B$20:$B$119,MATCH($K188,Einstellungen!$A$20:$A$119,0)),""))))</x:f>
      </x:c>
      <x:c r="E188" s="24">
        <x:f>IF($K188="","",SUM(F188:J188))</x:f>
        <x:v>7.5</x:v>
      </x:c>
      <x:c r="F188" s="25" t="n">
        <x:v>1.5</x:v>
      </x:c>
      <x:c r="G188" s="25" t="n">
        <x:v>2.5</x:v>
      </x:c>
      <x:c r="H188" s="25" t="n">
        <x:v>1</x:v>
      </x:c>
      <x:c r="I188" s="25" t="n">
        <x:v>2</x:v>
      </x:c>
      <x:c r="J188" s="25" t="n">
        <x:v>0.5</x:v>
      </x:c>
      <x:c r="K188">
        <x:f>IF(10&lt;=DAY(EOMONTH($K177,0)),$K177+9,"")</x:f>
        <x:v>46063</x:v>
      </x:c>
    </x:row>
    <x:row r="189">
      <x:c r="A189" s="21">
        <x:f>IF($K189="","",DAY($K189))</x:f>
        <x:v>11</x:v>
      </x:c>
      <x:c r="B189" s="22" t="str">
        <x:f>IF($K189="","",CHOOSE(WEEKDAY($K189,2),"Mo","Di","Mi","Do","Fr","Sa","So"))</x:f>
        <x:v>Mi</x:v>
      </x:c>
      <x:c r="C189" s="22">
        <x:f>IF($K189="","",ISOWEEKNUM($K189))</x:f>
        <x:v>7</x:v>
      </x:c>
      <x:c r="D189" s="23">
        <x:f>IF($K189="","",IF(AND(IFERROR(INDEX(Einstellungen!$I$3:$I$22,MATCH($K189,Einstellungen!$H$3:$H$22,0)),"")&lt;&gt;"",IFERROR(INDEX(Einstellungen!$B$20:$B$119,MATCH($K189,Einstellungen!$A$20:$A$119,0)),"")&lt;&gt;""),IFERROR(INDEX(Einstellungen!$I$3:$I$22,MATCH($K189,Einstellungen!$H$3:$H$22,0)),"")&amp;" / "&amp;IFERROR(INDEX(Einstellungen!$B$20:$B$119,MATCH($K189,Einstellungen!$A$20:$A$119,0)),""),IF(IFERROR(INDEX(Einstellungen!$I$3:$I$22,MATCH($K189,Einstellungen!$H$3:$H$22,0)),"")&lt;&gt;"",IFERROR(INDEX(Einstellungen!$I$3:$I$22,MATCH($K189,Einstellungen!$H$3:$H$22,0)),""),IFERROR(INDEX(Einstellungen!$B$20:$B$119,MATCH($K189,Einstellungen!$A$20:$A$119,0)),""))))</x:f>
      </x:c>
      <x:c r="E189" s="24">
        <x:f>IF($K189="","",SUM(F189:J189))</x:f>
        <x:v>7</x:v>
      </x:c>
      <x:c r="F189" s="25" t="n">
        <x:v>1</x:v>
      </x:c>
      <x:c r="G189" s="25" t="n">
        <x:v>2.5</x:v>
      </x:c>
      <x:c r="H189" s="25" t="n">
        <x:v>1.5</x:v>
      </x:c>
      <x:c r="I189" s="25" t="n">
        <x:v>1.5</x:v>
      </x:c>
      <x:c r="J189" s="25" t="n">
        <x:v>0.5</x:v>
      </x:c>
      <x:c r="K189">
        <x:f>IF(11&lt;=DAY(EOMONTH($K177,0)),$K177+10,"")</x:f>
        <x:v>46064</x:v>
      </x:c>
    </x:row>
    <x:row r="190">
      <x:c r="A190" s="21">
        <x:f>IF($K190="","",DAY($K190))</x:f>
        <x:v>12</x:v>
      </x:c>
      <x:c r="B190" s="22" t="str">
        <x:f>IF($K190="","",CHOOSE(WEEKDAY($K190,2),"Mo","Di","Mi","Do","Fr","Sa","So"))</x:f>
        <x:v>Do</x:v>
      </x:c>
      <x:c r="C190" s="22">
        <x:f>IF($K190="","",ISOWEEKNUM($K190))</x:f>
        <x:v>7</x:v>
      </x:c>
      <x:c r="D190" s="23">
        <x:f>IF($K190="","",IF(AND(IFERROR(INDEX(Einstellungen!$I$3:$I$22,MATCH($K190,Einstellungen!$H$3:$H$22,0)),"")&lt;&gt;"",IFERROR(INDEX(Einstellungen!$B$20:$B$119,MATCH($K190,Einstellungen!$A$20:$A$119,0)),"")&lt;&gt;""),IFERROR(INDEX(Einstellungen!$I$3:$I$22,MATCH($K190,Einstellungen!$H$3:$H$22,0)),"")&amp;" / "&amp;IFERROR(INDEX(Einstellungen!$B$20:$B$119,MATCH($K190,Einstellungen!$A$20:$A$119,0)),""),IF(IFERROR(INDEX(Einstellungen!$I$3:$I$22,MATCH($K190,Einstellungen!$H$3:$H$22,0)),"")&lt;&gt;"",IFERROR(INDEX(Einstellungen!$I$3:$I$22,MATCH($K190,Einstellungen!$H$3:$H$22,0)),""),IFERROR(INDEX(Einstellungen!$B$20:$B$119,MATCH($K190,Einstellungen!$A$20:$A$119,0)),""))))</x:f>
      </x:c>
      <x:c r="E190" s="24">
        <x:f>IF($K190="","",SUM(F190:J190))</x:f>
        <x:v>7</x:v>
      </x:c>
      <x:c r="F190" s="25" t="n">
        <x:v>1.5</x:v>
      </x:c>
      <x:c r="G190" s="25" t="n">
        <x:v>2</x:v>
      </x:c>
      <x:c r="H190" s="25" t="n">
        <x:v>1.5</x:v>
      </x:c>
      <x:c r="I190" s="25" t="n">
        <x:v>1.5</x:v>
      </x:c>
      <x:c r="J190" s="25" t="n">
        <x:v>0.5</x:v>
      </x:c>
      <x:c r="K190">
        <x:f>IF(12&lt;=DAY(EOMONTH($K177,0)),$K177+11,"")</x:f>
        <x:v>46065</x:v>
      </x:c>
    </x:row>
    <x:row r="191">
      <x:c r="A191" s="21">
        <x:f>IF($K191="","",DAY($K191))</x:f>
        <x:v>13</x:v>
      </x:c>
      <x:c r="B191" s="22" t="str">
        <x:f>IF($K191="","",CHOOSE(WEEKDAY($K191,2),"Mo","Di","Mi","Do","Fr","Sa","So"))</x:f>
        <x:v>Fr</x:v>
      </x:c>
      <x:c r="C191" s="22">
        <x:f>IF($K191="","",ISOWEEKNUM($K191))</x:f>
        <x:v>7</x:v>
      </x:c>
      <x:c r="D191" s="23">
        <x:f>IF($K191="","",IF(AND(IFERROR(INDEX(Einstellungen!$I$3:$I$22,MATCH($K191,Einstellungen!$H$3:$H$22,0)),"")&lt;&gt;"",IFERROR(INDEX(Einstellungen!$B$20:$B$119,MATCH($K191,Einstellungen!$A$20:$A$119,0)),"")&lt;&gt;""),IFERROR(INDEX(Einstellungen!$I$3:$I$22,MATCH($K191,Einstellungen!$H$3:$H$22,0)),"")&amp;" / "&amp;IFERROR(INDEX(Einstellungen!$B$20:$B$119,MATCH($K191,Einstellungen!$A$20:$A$119,0)),""),IF(IFERROR(INDEX(Einstellungen!$I$3:$I$22,MATCH($K191,Einstellungen!$H$3:$H$22,0)),"")&lt;&gt;"",IFERROR(INDEX(Einstellungen!$I$3:$I$22,MATCH($K191,Einstellungen!$H$3:$H$22,0)),""),IFERROR(INDEX(Einstellungen!$B$20:$B$119,MATCH($K191,Einstellungen!$A$20:$A$119,0)),""))))</x:f>
      </x:c>
      <x:c r="E191" s="24">
        <x:f>IF($K191="","",SUM(F191:J191))</x:f>
        <x:v>6.5</x:v>
      </x:c>
      <x:c r="F191" s="25" t="n">
        <x:v>2</x:v>
      </x:c>
      <x:c r="G191" s="25" t="n">
        <x:v>1</x:v>
      </x:c>
      <x:c r="H191" s="25" t="n">
        <x:v>1</x:v>
      </x:c>
      <x:c r="I191" s="25" t="n">
        <x:v>1</x:v>
      </x:c>
      <x:c r="J191" s="25" t="n">
        <x:v>1.5</x:v>
      </x:c>
      <x:c r="K191">
        <x:f>IF(13&lt;=DAY(EOMONTH($K177,0)),$K177+12,"")</x:f>
        <x:v>46066</x:v>
      </x:c>
    </x:row>
    <x:row r="192">
      <x:c r="A192" s="21">
        <x:f>IF($K192="","",DAY($K192))</x:f>
        <x:v>14</x:v>
      </x:c>
      <x:c r="B192" s="22" t="str">
        <x:f>IF($K192="","",CHOOSE(WEEKDAY($K192,2),"Mo","Di","Mi","Do","Fr","Sa","So"))</x:f>
        <x:v>Sa</x:v>
      </x:c>
      <x:c r="C192" s="22">
        <x:f>IF($K192="","",ISOWEEKNUM($K192))</x:f>
        <x:v>7</x:v>
      </x:c>
      <x:c r="D192" s="23">
        <x:f>IF($K192="","",IF(AND(IFERROR(INDEX(Einstellungen!$I$3:$I$22,MATCH($K192,Einstellungen!$H$3:$H$22,0)),"")&lt;&gt;"",IFERROR(INDEX(Einstellungen!$B$20:$B$119,MATCH($K192,Einstellungen!$A$20:$A$119,0)),"")&lt;&gt;""),IFERROR(INDEX(Einstellungen!$I$3:$I$22,MATCH($K192,Einstellungen!$H$3:$H$22,0)),"")&amp;" / "&amp;IFERROR(INDEX(Einstellungen!$B$20:$B$119,MATCH($K192,Einstellungen!$A$20:$A$119,0)),""),IF(IFERROR(INDEX(Einstellungen!$I$3:$I$22,MATCH($K192,Einstellungen!$H$3:$H$22,0)),"")&lt;&gt;"",IFERROR(INDEX(Einstellungen!$I$3:$I$22,MATCH($K192,Einstellungen!$H$3:$H$22,0)),""),IFERROR(INDEX(Einstellungen!$B$20:$B$119,MATCH($K192,Einstellungen!$A$20:$A$119,0)),""))))</x:f>
      </x:c>
      <x:c r="E192" s="24">
        <x:f>IF($K192="","",SUM(F192:J192))</x:f>
        <x:v>0</x:v>
      </x:c>
      <x:c r="F192" s="25" t="n"/>
      <x:c r="G192" s="25" t="n"/>
      <x:c r="H192" s="25" t="n"/>
      <x:c r="I192" s="25" t="n"/>
      <x:c r="J192" s="25" t="n"/>
      <x:c r="K192">
        <x:f>IF(14&lt;=DAY(EOMONTH($K177,0)),$K177+13,"")</x:f>
        <x:v>46067</x:v>
      </x:c>
    </x:row>
    <x:row r="193">
      <x:c r="A193" s="21">
        <x:f>IF($K193="","",DAY($K193))</x:f>
        <x:v>15</x:v>
      </x:c>
      <x:c r="B193" s="22" t="str">
        <x:f>IF($K193="","",CHOOSE(WEEKDAY($K193,2),"Mo","Di","Mi","Do","Fr","Sa","So"))</x:f>
        <x:v>So</x:v>
      </x:c>
      <x:c r="C193" s="22">
        <x:f>IF($K193="","",ISOWEEKNUM($K193))</x:f>
        <x:v>7</x:v>
      </x:c>
      <x:c r="D193" s="23">
        <x:f>IF($K193="","",IF(AND(IFERROR(INDEX(Einstellungen!$I$3:$I$22,MATCH($K193,Einstellungen!$H$3:$H$22,0)),"")&lt;&gt;"",IFERROR(INDEX(Einstellungen!$B$20:$B$119,MATCH($K193,Einstellungen!$A$20:$A$119,0)),"")&lt;&gt;""),IFERROR(INDEX(Einstellungen!$I$3:$I$22,MATCH($K193,Einstellungen!$H$3:$H$22,0)),"")&amp;" / "&amp;IFERROR(INDEX(Einstellungen!$B$20:$B$119,MATCH($K193,Einstellungen!$A$20:$A$119,0)),""),IF(IFERROR(INDEX(Einstellungen!$I$3:$I$22,MATCH($K193,Einstellungen!$H$3:$H$22,0)),"")&lt;&gt;"",IFERROR(INDEX(Einstellungen!$I$3:$I$22,MATCH($K193,Einstellungen!$H$3:$H$22,0)),""),IFERROR(INDEX(Einstellungen!$B$20:$B$119,MATCH($K193,Einstellungen!$A$20:$A$119,0)),""))))</x:f>
      </x:c>
      <x:c r="E193" s="24">
        <x:f>IF($K193="","",SUM(F193:J193))</x:f>
        <x:v>0</x:v>
      </x:c>
      <x:c r="F193" s="25" t="n"/>
      <x:c r="G193" s="25" t="n"/>
      <x:c r="H193" s="25" t="n"/>
      <x:c r="I193" s="25" t="n"/>
      <x:c r="J193" s="25" t="n"/>
      <x:c r="K193">
        <x:f>IF(15&lt;=DAY(EOMONTH($K177,0)),$K177+14,"")</x:f>
        <x:v>46068</x:v>
      </x:c>
    </x:row>
    <x:row r="194">
      <x:c r="A194" s="21">
        <x:f>IF($K194="","",DAY($K194))</x:f>
        <x:v>16</x:v>
      </x:c>
      <x:c r="B194" s="22" t="str">
        <x:f>IF($K194="","",CHOOSE(WEEKDAY($K194,2),"Mo","Di","Mi","Do","Fr","Sa","So"))</x:f>
        <x:v>Mo</x:v>
      </x:c>
      <x:c r="C194" s="22">
        <x:f>IF($K194="","",ISOWEEKNUM($K194))</x:f>
        <x:v>8</x:v>
      </x:c>
      <x:c r="D194" s="23">
        <x:f>IF($K194="","",IF(AND(IFERROR(INDEX(Einstellungen!$I$3:$I$22,MATCH($K194,Einstellungen!$H$3:$H$22,0)),"")&lt;&gt;"",IFERROR(INDEX(Einstellungen!$B$20:$B$119,MATCH($K194,Einstellungen!$A$20:$A$119,0)),"")&lt;&gt;""),IFERROR(INDEX(Einstellungen!$I$3:$I$22,MATCH($K194,Einstellungen!$H$3:$H$22,0)),"")&amp;" / "&amp;IFERROR(INDEX(Einstellungen!$B$20:$B$119,MATCH($K194,Einstellungen!$A$20:$A$119,0)),""),IF(IFERROR(INDEX(Einstellungen!$I$3:$I$22,MATCH($K194,Einstellungen!$H$3:$H$22,0)),"")&lt;&gt;"",IFERROR(INDEX(Einstellungen!$I$3:$I$22,MATCH($K194,Einstellungen!$H$3:$H$22,0)),""),IFERROR(INDEX(Einstellungen!$B$20:$B$119,MATCH($K194,Einstellungen!$A$20:$A$119,0)),""))))</x:f>
      </x:c>
      <x:c r="E194" s="24">
        <x:f>IF($K194="","",SUM(F194:J194))</x:f>
        <x:v>7.5</x:v>
      </x:c>
      <x:c r="F194" s="25" t="n">
        <x:v>2</x:v>
      </x:c>
      <x:c r="G194" s="25" t="n">
        <x:v>2</x:v>
      </x:c>
      <x:c r="H194" s="25" t="n">
        <x:v>1</x:v>
      </x:c>
      <x:c r="I194" s="25" t="n">
        <x:v>2</x:v>
      </x:c>
      <x:c r="J194" s="25" t="n">
        <x:v>0.5</x:v>
      </x:c>
      <x:c r="K194">
        <x:f>IF(16&lt;=DAY(EOMONTH($K177,0)),$K177+15,"")</x:f>
        <x:v>46069</x:v>
      </x:c>
    </x:row>
    <x:row r="195">
      <x:c r="A195" s="21">
        <x:f>IF($K195="","",DAY($K195))</x:f>
        <x:v>17</x:v>
      </x:c>
      <x:c r="B195" s="22" t="str">
        <x:f>IF($K195="","",CHOOSE(WEEKDAY($K195,2),"Mo","Di","Mi","Do","Fr","Sa","So"))</x:f>
        <x:v>Di</x:v>
      </x:c>
      <x:c r="C195" s="22">
        <x:f>IF($K195="","",ISOWEEKNUM($K195))</x:f>
        <x:v>8</x:v>
      </x:c>
      <x:c r="D195" s="23">
        <x:f>IF($K195="","",IF(AND(IFERROR(INDEX(Einstellungen!$I$3:$I$22,MATCH($K195,Einstellungen!$H$3:$H$22,0)),"")&lt;&gt;"",IFERROR(INDEX(Einstellungen!$B$20:$B$119,MATCH($K195,Einstellungen!$A$20:$A$119,0)),"")&lt;&gt;""),IFERROR(INDEX(Einstellungen!$I$3:$I$22,MATCH($K195,Einstellungen!$H$3:$H$22,0)),"")&amp;" / "&amp;IFERROR(INDEX(Einstellungen!$B$20:$B$119,MATCH($K195,Einstellungen!$A$20:$A$119,0)),""),IF(IFERROR(INDEX(Einstellungen!$I$3:$I$22,MATCH($K195,Einstellungen!$H$3:$H$22,0)),"")&lt;&gt;"",IFERROR(INDEX(Einstellungen!$I$3:$I$22,MATCH($K195,Einstellungen!$H$3:$H$22,0)),""),IFERROR(INDEX(Einstellungen!$B$20:$B$119,MATCH($K195,Einstellungen!$A$20:$A$119,0)),""))))</x:f>
      </x:c>
      <x:c r="E195" s="24">
        <x:f>IF($K195="","",SUM(F195:J195))</x:f>
        <x:v>7</x:v>
      </x:c>
      <x:c r="F195" s="25" t="n">
        <x:v>1.5</x:v>
      </x:c>
      <x:c r="G195" s="25" t="n">
        <x:v>2</x:v>
      </x:c>
      <x:c r="H195" s="25" t="n">
        <x:v>1</x:v>
      </x:c>
      <x:c r="I195" s="25" t="n">
        <x:v>2</x:v>
      </x:c>
      <x:c r="J195" s="25" t="n">
        <x:v>0.5</x:v>
      </x:c>
      <x:c r="K195">
        <x:f>IF(17&lt;=DAY(EOMONTH($K177,0)),$K177+16,"")</x:f>
        <x:v>46070</x:v>
      </x:c>
    </x:row>
    <x:row r="196">
      <x:c r="A196" s="21">
        <x:f>IF($K196="","",DAY($K196))</x:f>
        <x:v>18</x:v>
      </x:c>
      <x:c r="B196" s="22" t="str">
        <x:f>IF($K196="","",CHOOSE(WEEKDAY($K196,2),"Mo","Di","Mi","Do","Fr","Sa","So"))</x:f>
        <x:v>Mi</x:v>
      </x:c>
      <x:c r="C196" s="22">
        <x:f>IF($K196="","",ISOWEEKNUM($K196))</x:f>
        <x:v>8</x:v>
      </x:c>
      <x:c r="D196" s="23">
        <x:f>IF($K196="","",IF(AND(IFERROR(INDEX(Einstellungen!$I$3:$I$22,MATCH($K196,Einstellungen!$H$3:$H$22,0)),"")&lt;&gt;"",IFERROR(INDEX(Einstellungen!$B$20:$B$119,MATCH($K196,Einstellungen!$A$20:$A$119,0)),"")&lt;&gt;""),IFERROR(INDEX(Einstellungen!$I$3:$I$22,MATCH($K196,Einstellungen!$H$3:$H$22,0)),"")&amp;" / "&amp;IFERROR(INDEX(Einstellungen!$B$20:$B$119,MATCH($K196,Einstellungen!$A$20:$A$119,0)),""),IF(IFERROR(INDEX(Einstellungen!$I$3:$I$22,MATCH($K196,Einstellungen!$H$3:$H$22,0)),"")&lt;&gt;"",IFERROR(INDEX(Einstellungen!$I$3:$I$22,MATCH($K196,Einstellungen!$H$3:$H$22,0)),""),IFERROR(INDEX(Einstellungen!$B$20:$B$119,MATCH($K196,Einstellungen!$A$20:$A$119,0)),""))))</x:f>
      </x:c>
      <x:c r="E196" s="24">
        <x:f>IF($K196="","",SUM(F196:J196))</x:f>
        <x:v>6.5</x:v>
      </x:c>
      <x:c r="F196" s="25" t="n">
        <x:v>1</x:v>
      </x:c>
      <x:c r="G196" s="25" t="n">
        <x:v>2.5</x:v>
      </x:c>
      <x:c r="H196" s="25" t="n">
        <x:v>1</x:v>
      </x:c>
      <x:c r="I196" s="25" t="n">
        <x:v>1.5</x:v>
      </x:c>
      <x:c r="J196" s="25" t="n">
        <x:v>0.5</x:v>
      </x:c>
      <x:c r="K196">
        <x:f>IF(18&lt;=DAY(EOMONTH($K177,0)),$K177+17,"")</x:f>
        <x:v>46071</x:v>
      </x:c>
    </x:row>
    <x:row r="197">
      <x:c r="A197" s="21">
        <x:f>IF($K197="","",DAY($K197))</x:f>
        <x:v>19</x:v>
      </x:c>
      <x:c r="B197" s="22" t="str">
        <x:f>IF($K197="","",CHOOSE(WEEKDAY($K197,2),"Mo","Di","Mi","Do","Fr","Sa","So"))</x:f>
        <x:v>Do</x:v>
      </x:c>
      <x:c r="C197" s="22">
        <x:f>IF($K197="","",ISOWEEKNUM($K197))</x:f>
        <x:v>8</x:v>
      </x:c>
      <x:c r="D197" s="23" t="str">
        <x:f>IF($K197="","",IF(AND(IFERROR(INDEX(Einstellungen!$I$3:$I$22,MATCH($K197,Einstellungen!$H$3:$H$22,0)),"")&lt;&gt;"",IFERROR(INDEX(Einstellungen!$B$20:$B$119,MATCH($K197,Einstellungen!$A$20:$A$119,0)),"")&lt;&gt;""),IFERROR(INDEX(Einstellungen!$I$3:$I$22,MATCH($K197,Einstellungen!$H$3:$H$22,0)),"")&amp;" / "&amp;IFERROR(INDEX(Einstellungen!$B$20:$B$119,MATCH($K197,Einstellungen!$A$20:$A$119,0)),""),IF(IFERROR(INDEX(Einstellungen!$I$3:$I$22,MATCH($K197,Einstellungen!$H$3:$H$22,0)),"")&lt;&gt;"",IFERROR(INDEX(Einstellungen!$I$3:$I$22,MATCH($K197,Einstellungen!$H$3:$H$22,0)),""),IFERROR(INDEX(Einstellungen!$B$20:$B$119,MATCH($K197,Einstellungen!$A$20:$A$119,0)),""))))</x:f>
        <x:v>Messebesuch</x:v>
      </x:c>
      <x:c r="E197" s="24">
        <x:f>IF($K197="","",SUM(F197:J197))</x:f>
        <x:v>7.5</x:v>
      </x:c>
      <x:c r="F197" s="25" t="n">
        <x:v>1</x:v>
      </x:c>
      <x:c r="G197" s="25" t="n">
        <x:v>3</x:v>
      </x:c>
      <x:c r="H197" s="25" t="n">
        <x:v>2</x:v>
      </x:c>
      <x:c r="I197" s="25" t="n">
        <x:v>1</x:v>
      </x:c>
      <x:c r="J197" s="25" t="n">
        <x:v>0.5</x:v>
      </x:c>
      <x:c r="K197">
        <x:f>IF(19&lt;=DAY(EOMONTH($K177,0)),$K177+18,"")</x:f>
        <x:v>46072</x:v>
      </x:c>
    </x:row>
    <x:row r="198">
      <x:c r="A198" s="21">
        <x:f>IF($K198="","",DAY($K198))</x:f>
        <x:v>20</x:v>
      </x:c>
      <x:c r="B198" s="22" t="str">
        <x:f>IF($K198="","",CHOOSE(WEEKDAY($K198,2),"Mo","Di","Mi","Do","Fr","Sa","So"))</x:f>
        <x:v>Fr</x:v>
      </x:c>
      <x:c r="C198" s="22">
        <x:f>IF($K198="","",ISOWEEKNUM($K198))</x:f>
        <x:v>8</x:v>
      </x:c>
      <x:c r="D198" s="23">
        <x:f>IF($K198="","",IF(AND(IFERROR(INDEX(Einstellungen!$I$3:$I$22,MATCH($K198,Einstellungen!$H$3:$H$22,0)),"")&lt;&gt;"",IFERROR(INDEX(Einstellungen!$B$20:$B$119,MATCH($K198,Einstellungen!$A$20:$A$119,0)),"")&lt;&gt;""),IFERROR(INDEX(Einstellungen!$I$3:$I$22,MATCH($K198,Einstellungen!$H$3:$H$22,0)),"")&amp;" / "&amp;IFERROR(INDEX(Einstellungen!$B$20:$B$119,MATCH($K198,Einstellungen!$A$20:$A$119,0)),""),IF(IFERROR(INDEX(Einstellungen!$I$3:$I$22,MATCH($K198,Einstellungen!$H$3:$H$22,0)),"")&lt;&gt;"",IFERROR(INDEX(Einstellungen!$I$3:$I$22,MATCH($K198,Einstellungen!$H$3:$H$22,0)),""),IFERROR(INDEX(Einstellungen!$B$20:$B$119,MATCH($K198,Einstellungen!$A$20:$A$119,0)),""))))</x:f>
      </x:c>
      <x:c r="E198" s="24">
        <x:f>IF($K198="","",SUM(F198:J198))</x:f>
        <x:v>6</x:v>
      </x:c>
      <x:c r="F198" s="25" t="n">
        <x:v>2</x:v>
      </x:c>
      <x:c r="G198" s="25" t="n">
        <x:v>1</x:v>
      </x:c>
      <x:c r="H198" s="25" t="n">
        <x:v>1</x:v>
      </x:c>
      <x:c r="I198" s="25" t="n">
        <x:v>1</x:v>
      </x:c>
      <x:c r="J198" s="25" t="n">
        <x:v>1</x:v>
      </x:c>
      <x:c r="K198">
        <x:f>IF(20&lt;=DAY(EOMONTH($K177,0)),$K177+19,"")</x:f>
        <x:v>46073</x:v>
      </x:c>
    </x:row>
    <x:row r="199">
      <x:c r="A199" s="21">
        <x:f>IF($K199="","",DAY($K199))</x:f>
        <x:v>21</x:v>
      </x:c>
      <x:c r="B199" s="22" t="str">
        <x:f>IF($K199="","",CHOOSE(WEEKDAY($K199,2),"Mo","Di","Mi","Do","Fr","Sa","So"))</x:f>
        <x:v>Sa</x:v>
      </x:c>
      <x:c r="C199" s="22">
        <x:f>IF($K199="","",ISOWEEKNUM($K199))</x:f>
        <x:v>8</x:v>
      </x:c>
      <x:c r="D199" s="23">
        <x:f>IF($K199="","",IF(AND(IFERROR(INDEX(Einstellungen!$I$3:$I$22,MATCH($K199,Einstellungen!$H$3:$H$22,0)),"")&lt;&gt;"",IFERROR(INDEX(Einstellungen!$B$20:$B$119,MATCH($K199,Einstellungen!$A$20:$A$119,0)),"")&lt;&gt;""),IFERROR(INDEX(Einstellungen!$I$3:$I$22,MATCH($K199,Einstellungen!$H$3:$H$22,0)),"")&amp;" / "&amp;IFERROR(INDEX(Einstellungen!$B$20:$B$119,MATCH($K199,Einstellungen!$A$20:$A$119,0)),""),IF(IFERROR(INDEX(Einstellungen!$I$3:$I$22,MATCH($K199,Einstellungen!$H$3:$H$22,0)),"")&lt;&gt;"",IFERROR(INDEX(Einstellungen!$I$3:$I$22,MATCH($K199,Einstellungen!$H$3:$H$22,0)),""),IFERROR(INDEX(Einstellungen!$B$20:$B$119,MATCH($K199,Einstellungen!$A$20:$A$119,0)),""))))</x:f>
      </x:c>
      <x:c r="E199" s="24">
        <x:f>IF($K199="","",SUM(F199:J199))</x:f>
        <x:v>0</x:v>
      </x:c>
      <x:c r="F199" s="25" t="n"/>
      <x:c r="G199" s="25" t="n"/>
      <x:c r="H199" s="25" t="n"/>
      <x:c r="I199" s="25" t="n"/>
      <x:c r="J199" s="25" t="n"/>
      <x:c r="K199">
        <x:f>IF(21&lt;=DAY(EOMONTH($K177,0)),$K177+20,"")</x:f>
        <x:v>46074</x:v>
      </x:c>
    </x:row>
    <x:row r="200">
      <x:c r="A200" s="21">
        <x:f>IF($K200="","",DAY($K200))</x:f>
        <x:v>22</x:v>
      </x:c>
      <x:c r="B200" s="22" t="str">
        <x:f>IF($K200="","",CHOOSE(WEEKDAY($K200,2),"Mo","Di","Mi","Do","Fr","Sa","So"))</x:f>
        <x:v>So</x:v>
      </x:c>
      <x:c r="C200" s="22">
        <x:f>IF($K200="","",ISOWEEKNUM($K200))</x:f>
        <x:v>8</x:v>
      </x:c>
      <x:c r="D200" s="23">
        <x:f>IF($K200="","",IF(AND(IFERROR(INDEX(Einstellungen!$I$3:$I$22,MATCH($K200,Einstellungen!$H$3:$H$22,0)),"")&lt;&gt;"",IFERROR(INDEX(Einstellungen!$B$20:$B$119,MATCH($K200,Einstellungen!$A$20:$A$119,0)),"")&lt;&gt;""),IFERROR(INDEX(Einstellungen!$I$3:$I$22,MATCH($K200,Einstellungen!$H$3:$H$22,0)),"")&amp;" / "&amp;IFERROR(INDEX(Einstellungen!$B$20:$B$119,MATCH($K200,Einstellungen!$A$20:$A$119,0)),""),IF(IFERROR(INDEX(Einstellungen!$I$3:$I$22,MATCH($K200,Einstellungen!$H$3:$H$22,0)),"")&lt;&gt;"",IFERROR(INDEX(Einstellungen!$I$3:$I$22,MATCH($K200,Einstellungen!$H$3:$H$22,0)),""),IFERROR(INDEX(Einstellungen!$B$20:$B$119,MATCH($K200,Einstellungen!$A$20:$A$119,0)),""))))</x:f>
      </x:c>
      <x:c r="E200" s="24">
        <x:f>IF($K200="","",SUM(F200:J200))</x:f>
        <x:v>0</x:v>
      </x:c>
      <x:c r="F200" s="25" t="n"/>
      <x:c r="G200" s="25" t="n"/>
      <x:c r="H200" s="25" t="n"/>
      <x:c r="I200" s="25" t="n"/>
      <x:c r="J200" s="25" t="n"/>
      <x:c r="K200">
        <x:f>IF(22&lt;=DAY(EOMONTH($K177,0)),$K177+21,"")</x:f>
        <x:v>46075</x:v>
      </x:c>
    </x:row>
    <x:row r="201">
      <x:c r="A201" s="21">
        <x:f>IF($K201="","",DAY($K201))</x:f>
        <x:v>23</x:v>
      </x:c>
      <x:c r="B201" s="22" t="str">
        <x:f>IF($K201="","",CHOOSE(WEEKDAY($K201,2),"Mo","Di","Mi","Do","Fr","Sa","So"))</x:f>
        <x:v>Mo</x:v>
      </x:c>
      <x:c r="C201" s="22">
        <x:f>IF($K201="","",ISOWEEKNUM($K201))</x:f>
        <x:v>9</x:v>
      </x:c>
      <x:c r="D201" s="23">
        <x:f>IF($K201="","",IF(AND(IFERROR(INDEX(Einstellungen!$I$3:$I$22,MATCH($K201,Einstellungen!$H$3:$H$22,0)),"")&lt;&gt;"",IFERROR(INDEX(Einstellungen!$B$20:$B$119,MATCH($K201,Einstellungen!$A$20:$A$119,0)),"")&lt;&gt;""),IFERROR(INDEX(Einstellungen!$I$3:$I$22,MATCH($K201,Einstellungen!$H$3:$H$22,0)),"")&amp;" / "&amp;IFERROR(INDEX(Einstellungen!$B$20:$B$119,MATCH($K201,Einstellungen!$A$20:$A$119,0)),""),IF(IFERROR(INDEX(Einstellungen!$I$3:$I$22,MATCH($K201,Einstellungen!$H$3:$H$22,0)),"")&lt;&gt;"",IFERROR(INDEX(Einstellungen!$I$3:$I$22,MATCH($K201,Einstellungen!$H$3:$H$22,0)),""),IFERROR(INDEX(Einstellungen!$B$20:$B$119,MATCH($K201,Einstellungen!$A$20:$A$119,0)),""))))</x:f>
      </x:c>
      <x:c r="E201" s="24">
        <x:f>IF($K201="","",SUM(F201:J201))</x:f>
        <x:v>7</x:v>
      </x:c>
      <x:c r="F201" s="25" t="n">
        <x:v>1.5</x:v>
      </x:c>
      <x:c r="G201" s="25" t="n">
        <x:v>2</x:v>
      </x:c>
      <x:c r="H201" s="25" t="n">
        <x:v>1</x:v>
      </x:c>
      <x:c r="I201" s="25" t="n">
        <x:v>2</x:v>
      </x:c>
      <x:c r="J201" s="25" t="n">
        <x:v>0.5</x:v>
      </x:c>
      <x:c r="K201">
        <x:f>IF(23&lt;=DAY(EOMONTH($K177,0)),$K177+22,"")</x:f>
        <x:v>46076</x:v>
      </x:c>
    </x:row>
    <x:row r="202">
      <x:c r="A202" s="21">
        <x:f>IF($K202="","",DAY($K202))</x:f>
        <x:v>24</x:v>
      </x:c>
      <x:c r="B202" s="22" t="str">
        <x:f>IF($K202="","",CHOOSE(WEEKDAY($K202,2),"Mo","Di","Mi","Do","Fr","Sa","So"))</x:f>
        <x:v>Di</x:v>
      </x:c>
      <x:c r="C202" s="22">
        <x:f>IF($K202="","",ISOWEEKNUM($K202))</x:f>
        <x:v>9</x:v>
      </x:c>
      <x:c r="D202" s="23">
        <x:f>IF($K202="","",IF(AND(IFERROR(INDEX(Einstellungen!$I$3:$I$22,MATCH($K202,Einstellungen!$H$3:$H$22,0)),"")&lt;&gt;"",IFERROR(INDEX(Einstellungen!$B$20:$B$119,MATCH($K202,Einstellungen!$A$20:$A$119,0)),"")&lt;&gt;""),IFERROR(INDEX(Einstellungen!$I$3:$I$22,MATCH($K202,Einstellungen!$H$3:$H$22,0)),"")&amp;" / "&amp;IFERROR(INDEX(Einstellungen!$B$20:$B$119,MATCH($K202,Einstellungen!$A$20:$A$119,0)),""),IF(IFERROR(INDEX(Einstellungen!$I$3:$I$22,MATCH($K202,Einstellungen!$H$3:$H$22,0)),"")&lt;&gt;"",IFERROR(INDEX(Einstellungen!$I$3:$I$22,MATCH($K202,Einstellungen!$H$3:$H$22,0)),""),IFERROR(INDEX(Einstellungen!$B$20:$B$119,MATCH($K202,Einstellungen!$A$20:$A$119,0)),""))))</x:f>
      </x:c>
      <x:c r="E202" s="24">
        <x:f>IF($K202="","",SUM(F202:J202))</x:f>
        <x:v>6.5</x:v>
      </x:c>
      <x:c r="F202" s="25" t="n">
        <x:v>1.5</x:v>
      </x:c>
      <x:c r="G202" s="25" t="n">
        <x:v>1.5</x:v>
      </x:c>
      <x:c r="H202" s="25" t="n">
        <x:v>1</x:v>
      </x:c>
      <x:c r="I202" s="25" t="n">
        <x:v>2</x:v>
      </x:c>
      <x:c r="J202" s="25" t="n">
        <x:v>0.5</x:v>
      </x:c>
      <x:c r="K202">
        <x:f>IF(24&lt;=DAY(EOMONTH($K177,0)),$K177+23,"")</x:f>
        <x:v>46077</x:v>
      </x:c>
    </x:row>
    <x:row r="203">
      <x:c r="A203" s="21">
        <x:f>IF($K203="","",DAY($K203))</x:f>
        <x:v>25</x:v>
      </x:c>
      <x:c r="B203" s="22" t="str">
        <x:f>IF($K203="","",CHOOSE(WEEKDAY($K203,2),"Mo","Di","Mi","Do","Fr","Sa","So"))</x:f>
        <x:v>Mi</x:v>
      </x:c>
      <x:c r="C203" s="22">
        <x:f>IF($K203="","",ISOWEEKNUM($K203))</x:f>
        <x:v>9</x:v>
      </x:c>
      <x:c r="D203" s="23">
        <x:f>IF($K203="","",IF(AND(IFERROR(INDEX(Einstellungen!$I$3:$I$22,MATCH($K203,Einstellungen!$H$3:$H$22,0)),"")&lt;&gt;"",IFERROR(INDEX(Einstellungen!$B$20:$B$119,MATCH($K203,Einstellungen!$A$20:$A$119,0)),"")&lt;&gt;""),IFERROR(INDEX(Einstellungen!$I$3:$I$22,MATCH($K203,Einstellungen!$H$3:$H$22,0)),"")&amp;" / "&amp;IFERROR(INDEX(Einstellungen!$B$20:$B$119,MATCH($K203,Einstellungen!$A$20:$A$119,0)),""),IF(IFERROR(INDEX(Einstellungen!$I$3:$I$22,MATCH($K203,Einstellungen!$H$3:$H$22,0)),"")&lt;&gt;"",IFERROR(INDEX(Einstellungen!$I$3:$I$22,MATCH($K203,Einstellungen!$H$3:$H$22,0)),""),IFERROR(INDEX(Einstellungen!$B$20:$B$119,MATCH($K203,Einstellungen!$A$20:$A$119,0)),""))))</x:f>
      </x:c>
      <x:c r="E203" s="24">
        <x:f>IF($K203="","",SUM(F203:J203))</x:f>
        <x:v>7.5</x:v>
      </x:c>
      <x:c r="F203" s="25" t="n">
        <x:v>1</x:v>
      </x:c>
      <x:c r="G203" s="25" t="n">
        <x:v>2.5</x:v>
      </x:c>
      <x:c r="H203" s="25" t="n">
        <x:v>2</x:v>
      </x:c>
      <x:c r="I203" s="25" t="n">
        <x:v>1.5</x:v>
      </x:c>
      <x:c r="J203" s="25" t="n">
        <x:v>0.5</x:v>
      </x:c>
      <x:c r="K203">
        <x:f>IF(25&lt;=DAY(EOMONTH($K177,0)),$K177+24,"")</x:f>
        <x:v>46078</x:v>
      </x:c>
    </x:row>
    <x:row r="204">
      <x:c r="A204" s="21">
        <x:f>IF($K204="","",DAY($K204))</x:f>
        <x:v>26</x:v>
      </x:c>
      <x:c r="B204" s="22" t="str">
        <x:f>IF($K204="","",CHOOSE(WEEKDAY($K204,2),"Mo","Di","Mi","Do","Fr","Sa","So"))</x:f>
        <x:v>Do</x:v>
      </x:c>
      <x:c r="C204" s="22">
        <x:f>IF($K204="","",ISOWEEKNUM($K204))</x:f>
        <x:v>9</x:v>
      </x:c>
      <x:c r="D204" s="23">
        <x:f>IF($K204="","",IF(AND(IFERROR(INDEX(Einstellungen!$I$3:$I$22,MATCH($K204,Einstellungen!$H$3:$H$22,0)),"")&lt;&gt;"",IFERROR(INDEX(Einstellungen!$B$20:$B$119,MATCH($K204,Einstellungen!$A$20:$A$119,0)),"")&lt;&gt;""),IFERROR(INDEX(Einstellungen!$I$3:$I$22,MATCH($K204,Einstellungen!$H$3:$H$22,0)),"")&amp;" / "&amp;IFERROR(INDEX(Einstellungen!$B$20:$B$119,MATCH($K204,Einstellungen!$A$20:$A$119,0)),""),IF(IFERROR(INDEX(Einstellungen!$I$3:$I$22,MATCH($K204,Einstellungen!$H$3:$H$22,0)),"")&lt;&gt;"",IFERROR(INDEX(Einstellungen!$I$3:$I$22,MATCH($K204,Einstellungen!$H$3:$H$22,0)),""),IFERROR(INDEX(Einstellungen!$B$20:$B$119,MATCH($K204,Einstellungen!$A$20:$A$119,0)),""))))</x:f>
      </x:c>
      <x:c r="E204" s="24">
        <x:f>IF($K204="","",SUM(F204:J204))</x:f>
        <x:v>7.5</x:v>
      </x:c>
      <x:c r="F204" s="25" t="n">
        <x:v>1.5</x:v>
      </x:c>
      <x:c r="G204" s="25" t="n">
        <x:v>2</x:v>
      </x:c>
      <x:c r="H204" s="25" t="n">
        <x:v>1.5</x:v>
      </x:c>
      <x:c r="I204" s="25" t="n">
        <x:v>2</x:v>
      </x:c>
      <x:c r="J204" s="25" t="n">
        <x:v>0.5</x:v>
      </x:c>
      <x:c r="K204">
        <x:f>IF(26&lt;=DAY(EOMONTH($K177,0)),$K177+25,"")</x:f>
        <x:v>46079</x:v>
      </x:c>
    </x:row>
    <x:row r="205">
      <x:c r="A205" s="21">
        <x:f>IF($K205="","",DAY($K205))</x:f>
        <x:v>27</x:v>
      </x:c>
      <x:c r="B205" s="22" t="str">
        <x:f>IF($K205="","",CHOOSE(WEEKDAY($K205,2),"Mo","Di","Mi","Do","Fr","Sa","So"))</x:f>
        <x:v>Fr</x:v>
      </x:c>
      <x:c r="C205" s="22">
        <x:f>IF($K205="","",ISOWEEKNUM($K205))</x:f>
        <x:v>9</x:v>
      </x:c>
      <x:c r="D205" s="23">
        <x:f>IF($K205="","",IF(AND(IFERROR(INDEX(Einstellungen!$I$3:$I$22,MATCH($K205,Einstellungen!$H$3:$H$22,0)),"")&lt;&gt;"",IFERROR(INDEX(Einstellungen!$B$20:$B$119,MATCH($K205,Einstellungen!$A$20:$A$119,0)),"")&lt;&gt;""),IFERROR(INDEX(Einstellungen!$I$3:$I$22,MATCH($K205,Einstellungen!$H$3:$H$22,0)),"")&amp;" / "&amp;IFERROR(INDEX(Einstellungen!$B$20:$B$119,MATCH($K205,Einstellungen!$A$20:$A$119,0)),""),IF(IFERROR(INDEX(Einstellungen!$I$3:$I$22,MATCH($K205,Einstellungen!$H$3:$H$22,0)),"")&lt;&gt;"",IFERROR(INDEX(Einstellungen!$I$3:$I$22,MATCH($K205,Einstellungen!$H$3:$H$22,0)),""),IFERROR(INDEX(Einstellungen!$B$20:$B$119,MATCH($K205,Einstellungen!$A$20:$A$119,0)),""))))</x:f>
      </x:c>
      <x:c r="E205" s="24">
        <x:f>IF($K205="","",SUM(F205:J205))</x:f>
        <x:v>3</x:v>
      </x:c>
      <x:c r="F205" s="25" t="n">
        <x:v>1</x:v>
      </x:c>
      <x:c r="G205" s="25" t="n">
        <x:v>0.5</x:v>
      </x:c>
      <x:c r="H205" s="25" t="n">
        <x:v>0.5</x:v>
      </x:c>
      <x:c r="I205" s="25" t="n">
        <x:v>1</x:v>
      </x:c>
      <x:c r="J205" s="25" t="n"/>
      <x:c r="K205">
        <x:f>IF(27&lt;=DAY(EOMONTH($K177,0)),$K177+26,"")</x:f>
        <x:v>46080</x:v>
      </x:c>
    </x:row>
    <x:row r="206">
      <x:c r="A206" s="21">
        <x:f>IF($K206="","",DAY($K206))</x:f>
        <x:v>28</x:v>
      </x:c>
      <x:c r="B206" s="22" t="str">
        <x:f>IF($K206="","",CHOOSE(WEEKDAY($K206,2),"Mo","Di","Mi","Do","Fr","Sa","So"))</x:f>
        <x:v>Sa</x:v>
      </x:c>
      <x:c r="C206" s="22">
        <x:f>IF($K206="","",ISOWEEKNUM($K206))</x:f>
        <x:v>9</x:v>
      </x:c>
      <x:c r="D206" s="23">
        <x:f>IF($K206="","",IF(AND(IFERROR(INDEX(Einstellungen!$I$3:$I$22,MATCH($K206,Einstellungen!$H$3:$H$22,0)),"")&lt;&gt;"",IFERROR(INDEX(Einstellungen!$B$20:$B$119,MATCH($K206,Einstellungen!$A$20:$A$119,0)),"")&lt;&gt;""),IFERROR(INDEX(Einstellungen!$I$3:$I$22,MATCH($K206,Einstellungen!$H$3:$H$22,0)),"")&amp;" / "&amp;IFERROR(INDEX(Einstellungen!$B$20:$B$119,MATCH($K206,Einstellungen!$A$20:$A$119,0)),""),IF(IFERROR(INDEX(Einstellungen!$I$3:$I$22,MATCH($K206,Einstellungen!$H$3:$H$22,0)),"")&lt;&gt;"",IFERROR(INDEX(Einstellungen!$I$3:$I$22,MATCH($K206,Einstellungen!$H$3:$H$22,0)),""),IFERROR(INDEX(Einstellungen!$B$20:$B$119,MATCH($K206,Einstellungen!$A$20:$A$119,0)),""))))</x:f>
      </x:c>
      <x:c r="E206" s="24">
        <x:f>IF($K206="","",SUM(F206:J206))</x:f>
        <x:v>0</x:v>
      </x:c>
      <x:c r="F206" s="25" t="n"/>
      <x:c r="G206" s="25" t="n"/>
      <x:c r="H206" s="25" t="n"/>
      <x:c r="I206" s="25" t="n"/>
      <x:c r="J206" s="25" t="n"/>
      <x:c r="K206">
        <x:f>IF(28&lt;=DAY(EOMONTH($K177,0)),$K177+27,"")</x:f>
        <x:v>46081</x:v>
      </x:c>
    </x:row>
    <x:row r="207">
      <x:c r="A207" s="21">
        <x:f>IF($K207="","",DAY($K207))</x:f>
      </x:c>
      <x:c r="B207" s="22">
        <x:f>IF($K207="","",CHOOSE(WEEKDAY($K207,2),"Mo","Di","Mi","Do","Fr","Sa","So"))</x:f>
      </x:c>
      <x:c r="C207" s="22">
        <x:f>IF($K207="","",ISOWEEKNUM($K207))</x:f>
      </x:c>
      <x:c r="D207" s="23">
        <x:f>IF($K207="","",IF(AND(IFERROR(INDEX(Einstellungen!$I$3:$I$22,MATCH($K207,Einstellungen!$H$3:$H$22,0)),"")&lt;&gt;"",IFERROR(INDEX(Einstellungen!$B$20:$B$119,MATCH($K207,Einstellungen!$A$20:$A$119,0)),"")&lt;&gt;""),IFERROR(INDEX(Einstellungen!$I$3:$I$22,MATCH($K207,Einstellungen!$H$3:$H$22,0)),"")&amp;" / "&amp;IFERROR(INDEX(Einstellungen!$B$20:$B$119,MATCH($K207,Einstellungen!$A$20:$A$119,0)),""),IF(IFERROR(INDEX(Einstellungen!$I$3:$I$22,MATCH($K207,Einstellungen!$H$3:$H$22,0)),"")&lt;&gt;"",IFERROR(INDEX(Einstellungen!$I$3:$I$22,MATCH($K207,Einstellungen!$H$3:$H$22,0)),""),IFERROR(INDEX(Einstellungen!$B$20:$B$119,MATCH($K207,Einstellungen!$A$20:$A$119,0)),""))))</x:f>
      </x:c>
      <x:c r="E207" s="24">
        <x:f>IF($K207="","",SUM(F207:J207))</x:f>
      </x:c>
      <x:c r="F207" s="25" t="n"/>
      <x:c r="G207" s="25" t="n"/>
      <x:c r="H207" s="25" t="n"/>
      <x:c r="I207" s="25" t="n"/>
      <x:c r="J207" s="25" t="n"/>
      <x:c r="K207">
        <x:f>IF(29&lt;=DAY(EOMONTH($K177,0)),$K177+28,"")</x:f>
      </x:c>
    </x:row>
    <x:row r="208">
      <x:c r="A208" s="21">
        <x:f>IF($K208="","",DAY($K208))</x:f>
      </x:c>
      <x:c r="B208" s="22">
        <x:f>IF($K208="","",CHOOSE(WEEKDAY($K208,2),"Mo","Di","Mi","Do","Fr","Sa","So"))</x:f>
      </x:c>
      <x:c r="C208" s="22">
        <x:f>IF($K208="","",ISOWEEKNUM($K208))</x:f>
      </x:c>
      <x:c r="D208" s="23">
        <x:f>IF($K208="","",IF(AND(IFERROR(INDEX(Einstellungen!$I$3:$I$22,MATCH($K208,Einstellungen!$H$3:$H$22,0)),"")&lt;&gt;"",IFERROR(INDEX(Einstellungen!$B$20:$B$119,MATCH($K208,Einstellungen!$A$20:$A$119,0)),"")&lt;&gt;""),IFERROR(INDEX(Einstellungen!$I$3:$I$22,MATCH($K208,Einstellungen!$H$3:$H$22,0)),"")&amp;" / "&amp;IFERROR(INDEX(Einstellungen!$B$20:$B$119,MATCH($K208,Einstellungen!$A$20:$A$119,0)),""),IF(IFERROR(INDEX(Einstellungen!$I$3:$I$22,MATCH($K208,Einstellungen!$H$3:$H$22,0)),"")&lt;&gt;"",IFERROR(INDEX(Einstellungen!$I$3:$I$22,MATCH($K208,Einstellungen!$H$3:$H$22,0)),""),IFERROR(INDEX(Einstellungen!$B$20:$B$119,MATCH($K208,Einstellungen!$A$20:$A$119,0)),""))))</x:f>
      </x:c>
      <x:c r="E208" s="24">
        <x:f>IF($K208="","",SUM(F208:J208))</x:f>
      </x:c>
      <x:c r="F208" s="25" t="n"/>
      <x:c r="G208" s="25" t="n"/>
      <x:c r="H208" s="25" t="n"/>
      <x:c r="I208" s="25" t="n"/>
      <x:c r="J208" s="25" t="n"/>
      <x:c r="K208">
        <x:f>IF(30&lt;=DAY(EOMONTH($K177,0)),$K177+29,"")</x:f>
      </x:c>
    </x:row>
    <x:row r="209">
      <x:c r="A209" s="21">
        <x:f>IF($K209="","",DAY($K209))</x:f>
      </x:c>
      <x:c r="B209" s="22">
        <x:f>IF($K209="","",CHOOSE(WEEKDAY($K209,2),"Mo","Di","Mi","Do","Fr","Sa","So"))</x:f>
      </x:c>
      <x:c r="C209" s="22">
        <x:f>IF($K209="","",ISOWEEKNUM($K209))</x:f>
      </x:c>
      <x:c r="D209" s="23">
        <x:f>IF($K209="","",IF(AND(IFERROR(INDEX(Einstellungen!$I$3:$I$22,MATCH($K209,Einstellungen!$H$3:$H$22,0)),"")&lt;&gt;"",IFERROR(INDEX(Einstellungen!$B$20:$B$119,MATCH($K209,Einstellungen!$A$20:$A$119,0)),"")&lt;&gt;""),IFERROR(INDEX(Einstellungen!$I$3:$I$22,MATCH($K209,Einstellungen!$H$3:$H$22,0)),"")&amp;" / "&amp;IFERROR(INDEX(Einstellungen!$B$20:$B$119,MATCH($K209,Einstellungen!$A$20:$A$119,0)),""),IF(IFERROR(INDEX(Einstellungen!$I$3:$I$22,MATCH($K209,Einstellungen!$H$3:$H$22,0)),"")&lt;&gt;"",IFERROR(INDEX(Einstellungen!$I$3:$I$22,MATCH($K209,Einstellungen!$H$3:$H$22,0)),""),IFERROR(INDEX(Einstellungen!$B$20:$B$119,MATCH($K209,Einstellungen!$A$20:$A$119,0)),""))))</x:f>
      </x:c>
      <x:c r="E209" s="24">
        <x:f>IF($K209="","",SUM(F209:J209))</x:f>
      </x:c>
      <x:c r="F209" s="25" t="n"/>
      <x:c r="G209" s="25" t="n"/>
      <x:c r="H209" s="25" t="n"/>
      <x:c r="I209" s="25" t="n"/>
      <x:c r="J209" s="25" t="n"/>
      <x:c r="K209">
        <x:f>IF(31&lt;=DAY(EOMONTH($K177,0)),$K177+30,"")</x:f>
      </x:c>
    </x:row>
    <x:row r="210">
      <x:c r="A210" s="26" t="n"/>
      <x:c r="B210" s="26" t="n"/>
      <x:c r="C210" s="26" t="n"/>
      <x:c r="D210" s="26" t="n"/>
      <x:c r="E210" s="26" t="n"/>
      <x:c r="F210" s="26" t="n"/>
      <x:c r="G210" s="26" t="n"/>
      <x:c r="H210" s="26" t="n"/>
      <x:c r="I210" s="26" t="n"/>
      <x:c r="J210" s="26" t="n"/>
    </x:row>
    <x:row r="211">
      <x:c r="A211" s="18" t="str">
        <x:f>INDEX(Einstellungen!$F$2:$F$13,MONTH($K211))&amp;" "&amp;YEAR($K211)</x:f>
        <x:v>März 2026</x:v>
      </x:c>
      <x:c r="B211" s="36" t="n"/>
      <x:c r="C211" s="36" t="n"/>
      <x:c r="D211" s="36" t="n"/>
      <x:c r="E211" s="36" t="n"/>
      <x:c r="F211" s="36" t="n"/>
      <x:c r="G211" s="36" t="n"/>
      <x:c r="H211" s="36" t="n"/>
      <x:c r="I211" s="36" t="n"/>
      <x:c r="J211" s="37" t="n"/>
      <x:c r="K211">
        <x:f>EDATE(Einstellungen!$B$5,6)</x:f>
        <x:v>46082</x:v>
      </x:c>
    </x:row>
    <x:row r="212">
      <x:c r="A212" s="20" t="inlineStr">
        <x:is>
          <x:t xml:space="preserve">Datum</x:t>
        </x:is>
      </x:c>
      <x:c r="B212" s="20" t="inlineStr">
        <x:is>
          <x:t xml:space="preserve">Tag</x:t>
        </x:is>
      </x:c>
      <x:c r="C212" s="20" t="inlineStr">
        <x:is>
          <x:t xml:space="preserve">KW</x:t>
        </x:is>
      </x:c>
      <x:c r="D212" s="20" t="inlineStr">
        <x:is>
          <x:t xml:space="preserve">Feiertag</x:t>
        </x:is>
      </x:c>
      <x:c r="E212" s="20" t="inlineStr">
        <x:is>
          <x:t xml:space="preserve">Arbeitszeit</x:t>
        </x:is>
      </x:c>
      <x:c r="F212" s="20" t="str">
        <x:f>Einstellungen!$B$11</x:f>
        <x:v>E-Mail</x:v>
      </x:c>
      <x:c r="G212" s="20" t="str">
        <x:f>Einstellungen!$B$12</x:f>
        <x:v>Meetings</x:v>
      </x:c>
      <x:c r="H212" s="20" t="str">
        <x:f>Einstellungen!$B$13</x:f>
        <x:v>Telefonate</x:v>
      </x:c>
      <x:c r="I212" s="20" t="str">
        <x:f>Einstellungen!$B$14</x:f>
        <x:v>Dokumentation</x:v>
      </x:c>
      <x:c r="J212" s="20" t="str">
        <x:f>Einstellungen!$B$15</x:f>
        <x:v>Sonstiges</x:v>
      </x:c>
    </x:row>
    <x:row r="213">
      <x:c r="A213" s="21">
        <x:f>IF($K213="","",DAY($K213))</x:f>
        <x:v>1</x:v>
      </x:c>
      <x:c r="B213" s="22" t="str">
        <x:f>IF($K213="","",CHOOSE(WEEKDAY($K213,2),"Mo","Di","Mi","Do","Fr","Sa","So"))</x:f>
        <x:v>So</x:v>
      </x:c>
      <x:c r="C213" s="22">
        <x:f>IF($K213="","",ISOWEEKNUM($K213))</x:f>
        <x:v>9</x:v>
      </x:c>
      <x:c r="D213" s="23">
        <x:f>IF($K213="","",IF(AND(IFERROR(INDEX(Einstellungen!$I$3:$I$22,MATCH($K213,Einstellungen!$H$3:$H$22,0)),"")&lt;&gt;"",IFERROR(INDEX(Einstellungen!$B$20:$B$119,MATCH($K213,Einstellungen!$A$20:$A$119,0)),"")&lt;&gt;""),IFERROR(INDEX(Einstellungen!$I$3:$I$22,MATCH($K213,Einstellungen!$H$3:$H$22,0)),"")&amp;" / "&amp;IFERROR(INDEX(Einstellungen!$B$20:$B$119,MATCH($K213,Einstellungen!$A$20:$A$119,0)),""),IF(IFERROR(INDEX(Einstellungen!$I$3:$I$22,MATCH($K213,Einstellungen!$H$3:$H$22,0)),"")&lt;&gt;"",IFERROR(INDEX(Einstellungen!$I$3:$I$22,MATCH($K213,Einstellungen!$H$3:$H$22,0)),""),IFERROR(INDEX(Einstellungen!$B$20:$B$119,MATCH($K213,Einstellungen!$A$20:$A$119,0)),""))))</x:f>
      </x:c>
      <x:c r="E213" s="24">
        <x:f>IF($K213="","",SUM(F213:J213))</x:f>
        <x:v>0</x:v>
      </x:c>
      <x:c r="F213" s="25" t="n"/>
      <x:c r="G213" s="25" t="n"/>
      <x:c r="H213" s="25" t="n"/>
      <x:c r="I213" s="25" t="n"/>
      <x:c r="J213" s="25" t="n"/>
      <x:c r="K213">
        <x:f>IF(1&lt;=DAY(EOMONTH($K211,0)),$K211+0,"")</x:f>
        <x:v>46082</x:v>
      </x:c>
    </x:row>
    <x:row r="214">
      <x:c r="A214" s="21">
        <x:f>IF($K214="","",DAY($K214))</x:f>
        <x:v>2</x:v>
      </x:c>
      <x:c r="B214" s="22" t="str">
        <x:f>IF($K214="","",CHOOSE(WEEKDAY($K214,2),"Mo","Di","Mi","Do","Fr","Sa","So"))</x:f>
        <x:v>Mo</x:v>
      </x:c>
      <x:c r="C214" s="22">
        <x:f>IF($K214="","",ISOWEEKNUM($K214))</x:f>
        <x:v>10</x:v>
      </x:c>
      <x:c r="D214" s="23">
        <x:f>IF($K214="","",IF(AND(IFERROR(INDEX(Einstellungen!$I$3:$I$22,MATCH($K214,Einstellungen!$H$3:$H$22,0)),"")&lt;&gt;"",IFERROR(INDEX(Einstellungen!$B$20:$B$119,MATCH($K214,Einstellungen!$A$20:$A$119,0)),"")&lt;&gt;""),IFERROR(INDEX(Einstellungen!$I$3:$I$22,MATCH($K214,Einstellungen!$H$3:$H$22,0)),"")&amp;" / "&amp;IFERROR(INDEX(Einstellungen!$B$20:$B$119,MATCH($K214,Einstellungen!$A$20:$A$119,0)),""),IF(IFERROR(INDEX(Einstellungen!$I$3:$I$22,MATCH($K214,Einstellungen!$H$3:$H$22,0)),"")&lt;&gt;"",IFERROR(INDEX(Einstellungen!$I$3:$I$22,MATCH($K214,Einstellungen!$H$3:$H$22,0)),""),IFERROR(INDEX(Einstellungen!$B$20:$B$119,MATCH($K214,Einstellungen!$A$20:$A$119,0)),""))))</x:f>
      </x:c>
      <x:c r="E214" s="24">
        <x:f>IF($K214="","",SUM(F214:J214))</x:f>
        <x:v>6.5</x:v>
      </x:c>
      <x:c r="F214" s="25" t="n">
        <x:v>1</x:v>
      </x:c>
      <x:c r="G214" s="25" t="n">
        <x:v>2</x:v>
      </x:c>
      <x:c r="H214" s="25" t="n">
        <x:v>1</x:v>
      </x:c>
      <x:c r="I214" s="25" t="n">
        <x:v>2</x:v>
      </x:c>
      <x:c r="J214" s="25" t="n">
        <x:v>0.5</x:v>
      </x:c>
      <x:c r="K214">
        <x:f>IF(2&lt;=DAY(EOMONTH($K211,0)),$K211+1,"")</x:f>
        <x:v>46083</x:v>
      </x:c>
    </x:row>
    <x:row r="215">
      <x:c r="A215" s="21">
        <x:f>IF($K215="","",DAY($K215))</x:f>
        <x:v>3</x:v>
      </x:c>
      <x:c r="B215" s="22" t="str">
        <x:f>IF($K215="","",CHOOSE(WEEKDAY($K215,2),"Mo","Di","Mi","Do","Fr","Sa","So"))</x:f>
        <x:v>Di</x:v>
      </x:c>
      <x:c r="C215" s="22">
        <x:f>IF($K215="","",ISOWEEKNUM($K215))</x:f>
        <x:v>10</x:v>
      </x:c>
      <x:c r="D215" s="23">
        <x:f>IF($K215="","",IF(AND(IFERROR(INDEX(Einstellungen!$I$3:$I$22,MATCH($K215,Einstellungen!$H$3:$H$22,0)),"")&lt;&gt;"",IFERROR(INDEX(Einstellungen!$B$20:$B$119,MATCH($K215,Einstellungen!$A$20:$A$119,0)),"")&lt;&gt;""),IFERROR(INDEX(Einstellungen!$I$3:$I$22,MATCH($K215,Einstellungen!$H$3:$H$22,0)),"")&amp;" / "&amp;IFERROR(INDEX(Einstellungen!$B$20:$B$119,MATCH($K215,Einstellungen!$A$20:$A$119,0)),""),IF(IFERROR(INDEX(Einstellungen!$I$3:$I$22,MATCH($K215,Einstellungen!$H$3:$H$22,0)),"")&lt;&gt;"",IFERROR(INDEX(Einstellungen!$I$3:$I$22,MATCH($K215,Einstellungen!$H$3:$H$22,0)),""),IFERROR(INDEX(Einstellungen!$B$20:$B$119,MATCH($K215,Einstellungen!$A$20:$A$119,0)),""))))</x:f>
      </x:c>
      <x:c r="E215" s="24">
        <x:f>IF($K215="","",SUM(F215:J215))</x:f>
        <x:v>6.5</x:v>
      </x:c>
      <x:c r="F215" s="25" t="n">
        <x:v>1.5</x:v>
      </x:c>
      <x:c r="G215" s="25" t="n">
        <x:v>1.5</x:v>
      </x:c>
      <x:c r="H215" s="25" t="n">
        <x:v>1</x:v>
      </x:c>
      <x:c r="I215" s="25" t="n">
        <x:v>2</x:v>
      </x:c>
      <x:c r="J215" s="25" t="n">
        <x:v>0.5</x:v>
      </x:c>
      <x:c r="K215">
        <x:f>IF(3&lt;=DAY(EOMONTH($K211,0)),$K211+2,"")</x:f>
        <x:v>46084</x:v>
      </x:c>
    </x:row>
    <x:row r="216">
      <x:c r="A216" s="21">
        <x:f>IF($K216="","",DAY($K216))</x:f>
        <x:v>4</x:v>
      </x:c>
      <x:c r="B216" s="22" t="str">
        <x:f>IF($K216="","",CHOOSE(WEEKDAY($K216,2),"Mo","Di","Mi","Do","Fr","Sa","So"))</x:f>
        <x:v>Mi</x:v>
      </x:c>
      <x:c r="C216" s="22">
        <x:f>IF($K216="","",ISOWEEKNUM($K216))</x:f>
        <x:v>10</x:v>
      </x:c>
      <x:c r="D216" s="23" t="str">
        <x:f>IF($K216="","",IF(AND(IFERROR(INDEX(Einstellungen!$I$3:$I$22,MATCH($K216,Einstellungen!$H$3:$H$22,0)),"")&lt;&gt;"",IFERROR(INDEX(Einstellungen!$B$20:$B$119,MATCH($K216,Einstellungen!$A$20:$A$119,0)),"")&lt;&gt;""),IFERROR(INDEX(Einstellungen!$I$3:$I$22,MATCH($K216,Einstellungen!$H$3:$H$22,0)),"")&amp;" / "&amp;IFERROR(INDEX(Einstellungen!$B$20:$B$119,MATCH($K216,Einstellungen!$A$20:$A$119,0)),""),IF(IFERROR(INDEX(Einstellungen!$I$3:$I$22,MATCH($K216,Einstellungen!$H$3:$H$22,0)),"")&lt;&gt;"",IFERROR(INDEX(Einstellungen!$I$3:$I$22,MATCH($K216,Einstellungen!$H$3:$H$22,0)),""),IFERROR(INDEX(Einstellungen!$B$20:$B$119,MATCH($K216,Einstellungen!$A$20:$A$119,0)),""))))</x:f>
        <x:v>Arzttermin 15:00</x:v>
      </x:c>
      <x:c r="E216" s="24">
        <x:f>IF($K216="","",SUM(F216:J216))</x:f>
        <x:v>3.5</x:v>
      </x:c>
      <x:c r="F216" s="25" t="n">
        <x:v>1</x:v>
      </x:c>
      <x:c r="G216" s="25" t="n">
        <x:v>1</x:v>
      </x:c>
      <x:c r="H216" s="25" t="n">
        <x:v>0.5</x:v>
      </x:c>
      <x:c r="I216" s="25" t="n">
        <x:v>1</x:v>
      </x:c>
      <x:c r="J216" s="25" t="n"/>
      <x:c r="K216">
        <x:f>IF(4&lt;=DAY(EOMONTH($K211,0)),$K211+3,"")</x:f>
        <x:v>46085</x:v>
      </x:c>
    </x:row>
    <x:row r="217">
      <x:c r="A217" s="21">
        <x:f>IF($K217="","",DAY($K217))</x:f>
        <x:v>5</x:v>
      </x:c>
      <x:c r="B217" s="22" t="str">
        <x:f>IF($K217="","",CHOOSE(WEEKDAY($K217,2),"Mo","Di","Mi","Do","Fr","Sa","So"))</x:f>
        <x:v>Do</x:v>
      </x:c>
      <x:c r="C217" s="22">
        <x:f>IF($K217="","",ISOWEEKNUM($K217))</x:f>
        <x:v>10</x:v>
      </x:c>
      <x:c r="D217" s="23">
        <x:f>IF($K217="","",IF(AND(IFERROR(INDEX(Einstellungen!$I$3:$I$22,MATCH($K217,Einstellungen!$H$3:$H$22,0)),"")&lt;&gt;"",IFERROR(INDEX(Einstellungen!$B$20:$B$119,MATCH($K217,Einstellungen!$A$20:$A$119,0)),"")&lt;&gt;""),IFERROR(INDEX(Einstellungen!$I$3:$I$22,MATCH($K217,Einstellungen!$H$3:$H$22,0)),"")&amp;" / "&amp;IFERROR(INDEX(Einstellungen!$B$20:$B$119,MATCH($K217,Einstellungen!$A$20:$A$119,0)),""),IF(IFERROR(INDEX(Einstellungen!$I$3:$I$22,MATCH($K217,Einstellungen!$H$3:$H$22,0)),"")&lt;&gt;"",IFERROR(INDEX(Einstellungen!$I$3:$I$22,MATCH($K217,Einstellungen!$H$3:$H$22,0)),""),IFERROR(INDEX(Einstellungen!$B$20:$B$119,MATCH($K217,Einstellungen!$A$20:$A$119,0)),""))))</x:f>
      </x:c>
      <x:c r="E217" s="24">
        <x:f>IF($K217="","",SUM(F217:J217))</x:f>
        <x:v>7</x:v>
      </x:c>
      <x:c r="F217" s="25" t="n">
        <x:v>1.5</x:v>
      </x:c>
      <x:c r="G217" s="25" t="n">
        <x:v>2</x:v>
      </x:c>
      <x:c r="H217" s="25" t="n">
        <x:v>1.5</x:v>
      </x:c>
      <x:c r="I217" s="25" t="n">
        <x:v>1.5</x:v>
      </x:c>
      <x:c r="J217" s="25" t="n">
        <x:v>0.5</x:v>
      </x:c>
      <x:c r="K217">
        <x:f>IF(5&lt;=DAY(EOMONTH($K211,0)),$K211+4,"")</x:f>
        <x:v>46086</x:v>
      </x:c>
    </x:row>
    <x:row r="218">
      <x:c r="A218" s="21">
        <x:f>IF($K218="","",DAY($K218))</x:f>
        <x:v>6</x:v>
      </x:c>
      <x:c r="B218" s="22" t="str">
        <x:f>IF($K218="","",CHOOSE(WEEKDAY($K218,2),"Mo","Di","Mi","Do","Fr","Sa","So"))</x:f>
        <x:v>Fr</x:v>
      </x:c>
      <x:c r="C218" s="22">
        <x:f>IF($K218="","",ISOWEEKNUM($K218))</x:f>
        <x:v>10</x:v>
      </x:c>
      <x:c r="D218" s="23">
        <x:f>IF($K218="","",IF(AND(IFERROR(INDEX(Einstellungen!$I$3:$I$22,MATCH($K218,Einstellungen!$H$3:$H$22,0)),"")&lt;&gt;"",IFERROR(INDEX(Einstellungen!$B$20:$B$119,MATCH($K218,Einstellungen!$A$20:$A$119,0)),"")&lt;&gt;""),IFERROR(INDEX(Einstellungen!$I$3:$I$22,MATCH($K218,Einstellungen!$H$3:$H$22,0)),"")&amp;" / "&amp;IFERROR(INDEX(Einstellungen!$B$20:$B$119,MATCH($K218,Einstellungen!$A$20:$A$119,0)),""),IF(IFERROR(INDEX(Einstellungen!$I$3:$I$22,MATCH($K218,Einstellungen!$H$3:$H$22,0)),"")&lt;&gt;"",IFERROR(INDEX(Einstellungen!$I$3:$I$22,MATCH($K218,Einstellungen!$H$3:$H$22,0)),""),IFERROR(INDEX(Einstellungen!$B$20:$B$119,MATCH($K218,Einstellungen!$A$20:$A$119,0)),""))))</x:f>
      </x:c>
      <x:c r="E218" s="24">
        <x:f>IF($K218="","",SUM(F218:J218))</x:f>
        <x:v>5.5</x:v>
      </x:c>
      <x:c r="F218" s="25" t="n">
        <x:v>2</x:v>
      </x:c>
      <x:c r="G218" s="25" t="n">
        <x:v>1</x:v>
      </x:c>
      <x:c r="H218" s="25" t="n">
        <x:v>1</x:v>
      </x:c>
      <x:c r="I218" s="25" t="n">
        <x:v>1</x:v>
      </x:c>
      <x:c r="J218" s="25" t="n">
        <x:v>0.5</x:v>
      </x:c>
      <x:c r="K218">
        <x:f>IF(6&lt;=DAY(EOMONTH($K211,0)),$K211+5,"")</x:f>
        <x:v>46087</x:v>
      </x:c>
    </x:row>
    <x:row r="219">
      <x:c r="A219" s="21">
        <x:f>IF($K219="","",DAY($K219))</x:f>
        <x:v>7</x:v>
      </x:c>
      <x:c r="B219" s="22" t="str">
        <x:f>IF($K219="","",CHOOSE(WEEKDAY($K219,2),"Mo","Di","Mi","Do","Fr","Sa","So"))</x:f>
        <x:v>Sa</x:v>
      </x:c>
      <x:c r="C219" s="22">
        <x:f>IF($K219="","",ISOWEEKNUM($K219))</x:f>
        <x:v>10</x:v>
      </x:c>
      <x:c r="D219" s="23">
        <x:f>IF($K219="","",IF(AND(IFERROR(INDEX(Einstellungen!$I$3:$I$22,MATCH($K219,Einstellungen!$H$3:$H$22,0)),"")&lt;&gt;"",IFERROR(INDEX(Einstellungen!$B$20:$B$119,MATCH($K219,Einstellungen!$A$20:$A$119,0)),"")&lt;&gt;""),IFERROR(INDEX(Einstellungen!$I$3:$I$22,MATCH($K219,Einstellungen!$H$3:$H$22,0)),"")&amp;" / "&amp;IFERROR(INDEX(Einstellungen!$B$20:$B$119,MATCH($K219,Einstellungen!$A$20:$A$119,0)),""),IF(IFERROR(INDEX(Einstellungen!$I$3:$I$22,MATCH($K219,Einstellungen!$H$3:$H$22,0)),"")&lt;&gt;"",IFERROR(INDEX(Einstellungen!$I$3:$I$22,MATCH($K219,Einstellungen!$H$3:$H$22,0)),""),IFERROR(INDEX(Einstellungen!$B$20:$B$119,MATCH($K219,Einstellungen!$A$20:$A$119,0)),""))))</x:f>
      </x:c>
      <x:c r="E219" s="24">
        <x:f>IF($K219="","",SUM(F219:J219))</x:f>
        <x:v>0</x:v>
      </x:c>
      <x:c r="F219" s="25" t="n"/>
      <x:c r="G219" s="25" t="n"/>
      <x:c r="H219" s="25" t="n"/>
      <x:c r="I219" s="25" t="n"/>
      <x:c r="J219" s="25" t="n"/>
      <x:c r="K219">
        <x:f>IF(7&lt;=DAY(EOMONTH($K211,0)),$K211+6,"")</x:f>
        <x:v>46088</x:v>
      </x:c>
    </x:row>
    <x:row r="220">
      <x:c r="A220" s="21">
        <x:f>IF($K220="","",DAY($K220))</x:f>
        <x:v>8</x:v>
      </x:c>
      <x:c r="B220" s="22" t="str">
        <x:f>IF($K220="","",CHOOSE(WEEKDAY($K220,2),"Mo","Di","Mi","Do","Fr","Sa","So"))</x:f>
        <x:v>So</x:v>
      </x:c>
      <x:c r="C220" s="22">
        <x:f>IF($K220="","",ISOWEEKNUM($K220))</x:f>
        <x:v>10</x:v>
      </x:c>
      <x:c r="D220" s="23">
        <x:f>IF($K220="","",IF(AND(IFERROR(INDEX(Einstellungen!$I$3:$I$22,MATCH($K220,Einstellungen!$H$3:$H$22,0)),"")&lt;&gt;"",IFERROR(INDEX(Einstellungen!$B$20:$B$119,MATCH($K220,Einstellungen!$A$20:$A$119,0)),"")&lt;&gt;""),IFERROR(INDEX(Einstellungen!$I$3:$I$22,MATCH($K220,Einstellungen!$H$3:$H$22,0)),"")&amp;" / "&amp;IFERROR(INDEX(Einstellungen!$B$20:$B$119,MATCH($K220,Einstellungen!$A$20:$A$119,0)),""),IF(IFERROR(INDEX(Einstellungen!$I$3:$I$22,MATCH($K220,Einstellungen!$H$3:$H$22,0)),"")&lt;&gt;"",IFERROR(INDEX(Einstellungen!$I$3:$I$22,MATCH($K220,Einstellungen!$H$3:$H$22,0)),""),IFERROR(INDEX(Einstellungen!$B$20:$B$119,MATCH($K220,Einstellungen!$A$20:$A$119,0)),""))))</x:f>
      </x:c>
      <x:c r="E220" s="24">
        <x:f>IF($K220="","",SUM(F220:J220))</x:f>
        <x:v>0</x:v>
      </x:c>
      <x:c r="F220" s="25" t="n"/>
      <x:c r="G220" s="25" t="n"/>
      <x:c r="H220" s="25" t="n"/>
      <x:c r="I220" s="25" t="n"/>
      <x:c r="J220" s="25" t="n"/>
      <x:c r="K220">
        <x:f>IF(8&lt;=DAY(EOMONTH($K211,0)),$K211+7,"")</x:f>
        <x:v>46089</x:v>
      </x:c>
    </x:row>
    <x:row r="221">
      <x:c r="A221" s="21">
        <x:f>IF($K221="","",DAY($K221))</x:f>
        <x:v>9</x:v>
      </x:c>
      <x:c r="B221" s="22" t="str">
        <x:f>IF($K221="","",CHOOSE(WEEKDAY($K221,2),"Mo","Di","Mi","Do","Fr","Sa","So"))</x:f>
        <x:v>Mo</x:v>
      </x:c>
      <x:c r="C221" s="22">
        <x:f>IF($K221="","",ISOWEEKNUM($K221))</x:f>
        <x:v>11</x:v>
      </x:c>
      <x:c r="D221" s="23">
        <x:f>IF($K221="","",IF(AND(IFERROR(INDEX(Einstellungen!$I$3:$I$22,MATCH($K221,Einstellungen!$H$3:$H$22,0)),"")&lt;&gt;"",IFERROR(INDEX(Einstellungen!$B$20:$B$119,MATCH($K221,Einstellungen!$A$20:$A$119,0)),"")&lt;&gt;""),IFERROR(INDEX(Einstellungen!$I$3:$I$22,MATCH($K221,Einstellungen!$H$3:$H$22,0)),"")&amp;" / "&amp;IFERROR(INDEX(Einstellungen!$B$20:$B$119,MATCH($K221,Einstellungen!$A$20:$A$119,0)),""),IF(IFERROR(INDEX(Einstellungen!$I$3:$I$22,MATCH($K221,Einstellungen!$H$3:$H$22,0)),"")&lt;&gt;"",IFERROR(INDEX(Einstellungen!$I$3:$I$22,MATCH($K221,Einstellungen!$H$3:$H$22,0)),""),IFERROR(INDEX(Einstellungen!$B$20:$B$119,MATCH($K221,Einstellungen!$A$20:$A$119,0)),""))))</x:f>
      </x:c>
      <x:c r="E221" s="24">
        <x:f>IF($K221="","",SUM(F221:J221))</x:f>
        <x:v>6.5</x:v>
      </x:c>
      <x:c r="F221" s="25" t="n">
        <x:v>1</x:v>
      </x:c>
      <x:c r="G221" s="25" t="n">
        <x:v>2</x:v>
      </x:c>
      <x:c r="H221" s="25" t="n">
        <x:v>1</x:v>
      </x:c>
      <x:c r="I221" s="25" t="n">
        <x:v>2</x:v>
      </x:c>
      <x:c r="J221" s="25" t="n">
        <x:v>0.5</x:v>
      </x:c>
      <x:c r="K221">
        <x:f>IF(9&lt;=DAY(EOMONTH($K211,0)),$K211+8,"")</x:f>
        <x:v>46090</x:v>
      </x:c>
    </x:row>
    <x:row r="222">
      <x:c r="A222" s="21">
        <x:f>IF($K222="","",DAY($K222))</x:f>
        <x:v>10</x:v>
      </x:c>
      <x:c r="B222" s="22" t="str">
        <x:f>IF($K222="","",CHOOSE(WEEKDAY($K222,2),"Mo","Di","Mi","Do","Fr","Sa","So"))</x:f>
        <x:v>Di</x:v>
      </x:c>
      <x:c r="C222" s="22">
        <x:f>IF($K222="","",ISOWEEKNUM($K222))</x:f>
        <x:v>11</x:v>
      </x:c>
      <x:c r="D222" s="23">
        <x:f>IF($K222="","",IF(AND(IFERROR(INDEX(Einstellungen!$I$3:$I$22,MATCH($K222,Einstellungen!$H$3:$H$22,0)),"")&lt;&gt;"",IFERROR(INDEX(Einstellungen!$B$20:$B$119,MATCH($K222,Einstellungen!$A$20:$A$119,0)),"")&lt;&gt;""),IFERROR(INDEX(Einstellungen!$I$3:$I$22,MATCH($K222,Einstellungen!$H$3:$H$22,0)),"")&amp;" / "&amp;IFERROR(INDEX(Einstellungen!$B$20:$B$119,MATCH($K222,Einstellungen!$A$20:$A$119,0)),""),IF(IFERROR(INDEX(Einstellungen!$I$3:$I$22,MATCH($K222,Einstellungen!$H$3:$H$22,0)),"")&lt;&gt;"",IFERROR(INDEX(Einstellungen!$I$3:$I$22,MATCH($K222,Einstellungen!$H$3:$H$22,0)),""),IFERROR(INDEX(Einstellungen!$B$20:$B$119,MATCH($K222,Einstellungen!$A$20:$A$119,0)),""))))</x:f>
      </x:c>
      <x:c r="E222" s="24">
        <x:f>IF($K222="","",SUM(F222:J222))</x:f>
        <x:v>6.5</x:v>
      </x:c>
      <x:c r="F222" s="25" t="n">
        <x:v>1.5</x:v>
      </x:c>
      <x:c r="G222" s="25" t="n">
        <x:v>1.5</x:v>
      </x:c>
      <x:c r="H222" s="25" t="n">
        <x:v>1</x:v>
      </x:c>
      <x:c r="I222" s="25" t="n">
        <x:v>2</x:v>
      </x:c>
      <x:c r="J222" s="25" t="n">
        <x:v>0.5</x:v>
      </x:c>
      <x:c r="K222">
        <x:f>IF(10&lt;=DAY(EOMONTH($K211,0)),$K211+9,"")</x:f>
        <x:v>46091</x:v>
      </x:c>
    </x:row>
    <x:row r="223">
      <x:c r="A223" s="21">
        <x:f>IF($K223="","",DAY($K223))</x:f>
        <x:v>11</x:v>
      </x:c>
      <x:c r="B223" s="22" t="str">
        <x:f>IF($K223="","",CHOOSE(WEEKDAY($K223,2),"Mo","Di","Mi","Do","Fr","Sa","So"))</x:f>
        <x:v>Mi</x:v>
      </x:c>
      <x:c r="C223" s="22">
        <x:f>IF($K223="","",ISOWEEKNUM($K223))</x:f>
        <x:v>11</x:v>
      </x:c>
      <x:c r="D223" s="23">
        <x:f>IF($K223="","",IF(AND(IFERROR(INDEX(Einstellungen!$I$3:$I$22,MATCH($K223,Einstellungen!$H$3:$H$22,0)),"")&lt;&gt;"",IFERROR(INDEX(Einstellungen!$B$20:$B$119,MATCH($K223,Einstellungen!$A$20:$A$119,0)),"")&lt;&gt;""),IFERROR(INDEX(Einstellungen!$I$3:$I$22,MATCH($K223,Einstellungen!$H$3:$H$22,0)),"")&amp;" / "&amp;IFERROR(INDEX(Einstellungen!$B$20:$B$119,MATCH($K223,Einstellungen!$A$20:$A$119,0)),""),IF(IFERROR(INDEX(Einstellungen!$I$3:$I$22,MATCH($K223,Einstellungen!$H$3:$H$22,0)),"")&lt;&gt;"",IFERROR(INDEX(Einstellungen!$I$3:$I$22,MATCH($K223,Einstellungen!$H$3:$H$22,0)),""),IFERROR(INDEX(Einstellungen!$B$20:$B$119,MATCH($K223,Einstellungen!$A$20:$A$119,0)),""))))</x:f>
      </x:c>
      <x:c r="E223" s="24">
        <x:f>IF($K223="","",SUM(F223:J223))</x:f>
        <x:v>6.5</x:v>
      </x:c>
      <x:c r="F223" s="25" t="n">
        <x:v>1</x:v>
      </x:c>
      <x:c r="G223" s="25" t="n">
        <x:v>2.5</x:v>
      </x:c>
      <x:c r="H223" s="25" t="n">
        <x:v>1</x:v>
      </x:c>
      <x:c r="I223" s="25" t="n">
        <x:v>1.5</x:v>
      </x:c>
      <x:c r="J223" s="25" t="n">
        <x:v>0.5</x:v>
      </x:c>
      <x:c r="K223">
        <x:f>IF(11&lt;=DAY(EOMONTH($K211,0)),$K211+10,"")</x:f>
        <x:v>46092</x:v>
      </x:c>
    </x:row>
    <x:row r="224">
      <x:c r="A224" s="21">
        <x:f>IF($K224="","",DAY($K224))</x:f>
        <x:v>12</x:v>
      </x:c>
      <x:c r="B224" s="22" t="str">
        <x:f>IF($K224="","",CHOOSE(WEEKDAY($K224,2),"Mo","Di","Mi","Do","Fr","Sa","So"))</x:f>
        <x:v>Do</x:v>
      </x:c>
      <x:c r="C224" s="22">
        <x:f>IF($K224="","",ISOWEEKNUM($K224))</x:f>
        <x:v>11</x:v>
      </x:c>
      <x:c r="D224" s="23">
        <x:f>IF($K224="","",IF(AND(IFERROR(INDEX(Einstellungen!$I$3:$I$22,MATCH($K224,Einstellungen!$H$3:$H$22,0)),"")&lt;&gt;"",IFERROR(INDEX(Einstellungen!$B$20:$B$119,MATCH($K224,Einstellungen!$A$20:$A$119,0)),"")&lt;&gt;""),IFERROR(INDEX(Einstellungen!$I$3:$I$22,MATCH($K224,Einstellungen!$H$3:$H$22,0)),"")&amp;" / "&amp;IFERROR(INDEX(Einstellungen!$B$20:$B$119,MATCH($K224,Einstellungen!$A$20:$A$119,0)),""),IF(IFERROR(INDEX(Einstellungen!$I$3:$I$22,MATCH($K224,Einstellungen!$H$3:$H$22,0)),"")&lt;&gt;"",IFERROR(INDEX(Einstellungen!$I$3:$I$22,MATCH($K224,Einstellungen!$H$3:$H$22,0)),""),IFERROR(INDEX(Einstellungen!$B$20:$B$119,MATCH($K224,Einstellungen!$A$20:$A$119,0)),""))))</x:f>
      </x:c>
      <x:c r="E224" s="24">
        <x:f>IF($K224="","",SUM(F224:J224))</x:f>
        <x:v>7</x:v>
      </x:c>
      <x:c r="F224" s="25" t="n">
        <x:v>1.5</x:v>
      </x:c>
      <x:c r="G224" s="25" t="n">
        <x:v>2</x:v>
      </x:c>
      <x:c r="H224" s="25" t="n">
        <x:v>1.5</x:v>
      </x:c>
      <x:c r="I224" s="25" t="n">
        <x:v>1.5</x:v>
      </x:c>
      <x:c r="J224" s="25" t="n">
        <x:v>0.5</x:v>
      </x:c>
      <x:c r="K224">
        <x:f>IF(12&lt;=DAY(EOMONTH($K211,0)),$K211+11,"")</x:f>
        <x:v>46093</x:v>
      </x:c>
    </x:row>
    <x:row r="225">
      <x:c r="A225" s="21">
        <x:f>IF($K225="","",DAY($K225))</x:f>
        <x:v>13</x:v>
      </x:c>
      <x:c r="B225" s="22" t="str">
        <x:f>IF($K225="","",CHOOSE(WEEKDAY($K225,2),"Mo","Di","Mi","Do","Fr","Sa","So"))</x:f>
        <x:v>Fr</x:v>
      </x:c>
      <x:c r="C225" s="22">
        <x:f>IF($K225="","",ISOWEEKNUM($K225))</x:f>
        <x:v>11</x:v>
      </x:c>
      <x:c r="D225" s="23">
        <x:f>IF($K225="","",IF(AND(IFERROR(INDEX(Einstellungen!$I$3:$I$22,MATCH($K225,Einstellungen!$H$3:$H$22,0)),"")&lt;&gt;"",IFERROR(INDEX(Einstellungen!$B$20:$B$119,MATCH($K225,Einstellungen!$A$20:$A$119,0)),"")&lt;&gt;""),IFERROR(INDEX(Einstellungen!$I$3:$I$22,MATCH($K225,Einstellungen!$H$3:$H$22,0)),"")&amp;" / "&amp;IFERROR(INDEX(Einstellungen!$B$20:$B$119,MATCH($K225,Einstellungen!$A$20:$A$119,0)),""),IF(IFERROR(INDEX(Einstellungen!$I$3:$I$22,MATCH($K225,Einstellungen!$H$3:$H$22,0)),"")&lt;&gt;"",IFERROR(INDEX(Einstellungen!$I$3:$I$22,MATCH($K225,Einstellungen!$H$3:$H$22,0)),""),IFERROR(INDEX(Einstellungen!$B$20:$B$119,MATCH($K225,Einstellungen!$A$20:$A$119,0)),""))))</x:f>
      </x:c>
      <x:c r="E225" s="24">
        <x:f>IF($K225="","",SUM(F225:J225))</x:f>
        <x:v>5.5</x:v>
      </x:c>
      <x:c r="F225" s="25" t="n">
        <x:v>2</x:v>
      </x:c>
      <x:c r="G225" s="25" t="n">
        <x:v>1</x:v>
      </x:c>
      <x:c r="H225" s="25" t="n">
        <x:v>1</x:v>
      </x:c>
      <x:c r="I225" s="25" t="n">
        <x:v>1</x:v>
      </x:c>
      <x:c r="J225" s="25" t="n">
        <x:v>0.5</x:v>
      </x:c>
      <x:c r="K225">
        <x:f>IF(13&lt;=DAY(EOMONTH($K211,0)),$K211+12,"")</x:f>
        <x:v>46094</x:v>
      </x:c>
    </x:row>
    <x:row r="226">
      <x:c r="A226" s="21">
        <x:f>IF($K226="","",DAY($K226))</x:f>
        <x:v>14</x:v>
      </x:c>
      <x:c r="B226" s="22" t="str">
        <x:f>IF($K226="","",CHOOSE(WEEKDAY($K226,2),"Mo","Di","Mi","Do","Fr","Sa","So"))</x:f>
        <x:v>Sa</x:v>
      </x:c>
      <x:c r="C226" s="22">
        <x:f>IF($K226="","",ISOWEEKNUM($K226))</x:f>
        <x:v>11</x:v>
      </x:c>
      <x:c r="D226" s="23">
        <x:f>IF($K226="","",IF(AND(IFERROR(INDEX(Einstellungen!$I$3:$I$22,MATCH($K226,Einstellungen!$H$3:$H$22,0)),"")&lt;&gt;"",IFERROR(INDEX(Einstellungen!$B$20:$B$119,MATCH($K226,Einstellungen!$A$20:$A$119,0)),"")&lt;&gt;""),IFERROR(INDEX(Einstellungen!$I$3:$I$22,MATCH($K226,Einstellungen!$H$3:$H$22,0)),"")&amp;" / "&amp;IFERROR(INDEX(Einstellungen!$B$20:$B$119,MATCH($K226,Einstellungen!$A$20:$A$119,0)),""),IF(IFERROR(INDEX(Einstellungen!$I$3:$I$22,MATCH($K226,Einstellungen!$H$3:$H$22,0)),"")&lt;&gt;"",IFERROR(INDEX(Einstellungen!$I$3:$I$22,MATCH($K226,Einstellungen!$H$3:$H$22,0)),""),IFERROR(INDEX(Einstellungen!$B$20:$B$119,MATCH($K226,Einstellungen!$A$20:$A$119,0)),""))))</x:f>
      </x:c>
      <x:c r="E226" s="24">
        <x:f>IF($K226="","",SUM(F226:J226))</x:f>
        <x:v>0</x:v>
      </x:c>
      <x:c r="F226" s="25" t="n"/>
      <x:c r="G226" s="25" t="n"/>
      <x:c r="H226" s="25" t="n"/>
      <x:c r="I226" s="25" t="n"/>
      <x:c r="J226" s="25" t="n"/>
      <x:c r="K226">
        <x:f>IF(14&lt;=DAY(EOMONTH($K211,0)),$K211+13,"")</x:f>
        <x:v>46095</x:v>
      </x:c>
    </x:row>
    <x:row r="227">
      <x:c r="A227" s="21">
        <x:f>IF($K227="","",DAY($K227))</x:f>
        <x:v>15</x:v>
      </x:c>
      <x:c r="B227" s="22" t="str">
        <x:f>IF($K227="","",CHOOSE(WEEKDAY($K227,2),"Mo","Di","Mi","Do","Fr","Sa","So"))</x:f>
        <x:v>So</x:v>
      </x:c>
      <x:c r="C227" s="22">
        <x:f>IF($K227="","",ISOWEEKNUM($K227))</x:f>
        <x:v>11</x:v>
      </x:c>
      <x:c r="D227" s="23">
        <x:f>IF($K227="","",IF(AND(IFERROR(INDEX(Einstellungen!$I$3:$I$22,MATCH($K227,Einstellungen!$H$3:$H$22,0)),"")&lt;&gt;"",IFERROR(INDEX(Einstellungen!$B$20:$B$119,MATCH($K227,Einstellungen!$A$20:$A$119,0)),"")&lt;&gt;""),IFERROR(INDEX(Einstellungen!$I$3:$I$22,MATCH($K227,Einstellungen!$H$3:$H$22,0)),"")&amp;" / "&amp;IFERROR(INDEX(Einstellungen!$B$20:$B$119,MATCH($K227,Einstellungen!$A$20:$A$119,0)),""),IF(IFERROR(INDEX(Einstellungen!$I$3:$I$22,MATCH($K227,Einstellungen!$H$3:$H$22,0)),"")&lt;&gt;"",IFERROR(INDEX(Einstellungen!$I$3:$I$22,MATCH($K227,Einstellungen!$H$3:$H$22,0)),""),IFERROR(INDEX(Einstellungen!$B$20:$B$119,MATCH($K227,Einstellungen!$A$20:$A$119,0)),""))))</x:f>
      </x:c>
      <x:c r="E227" s="24">
        <x:f>IF($K227="","",SUM(F227:J227))</x:f>
        <x:v>0</x:v>
      </x:c>
      <x:c r="F227" s="25" t="n"/>
      <x:c r="G227" s="25" t="n"/>
      <x:c r="H227" s="25" t="n"/>
      <x:c r="I227" s="25" t="n"/>
      <x:c r="J227" s="25" t="n"/>
      <x:c r="K227">
        <x:f>IF(15&lt;=DAY(EOMONTH($K211,0)),$K211+14,"")</x:f>
        <x:v>46096</x:v>
      </x:c>
    </x:row>
    <x:row r="228">
      <x:c r="A228" s="21">
        <x:f>IF($K228="","",DAY($K228))</x:f>
        <x:v>16</x:v>
      </x:c>
      <x:c r="B228" s="22" t="str">
        <x:f>IF($K228="","",CHOOSE(WEEKDAY($K228,2),"Mo","Di","Mi","Do","Fr","Sa","So"))</x:f>
        <x:v>Mo</x:v>
      </x:c>
      <x:c r="C228" s="22">
        <x:f>IF($K228="","",ISOWEEKNUM($K228))</x:f>
        <x:v>12</x:v>
      </x:c>
      <x:c r="D228" s="23">
        <x:f>IF($K228="","",IF(AND(IFERROR(INDEX(Einstellungen!$I$3:$I$22,MATCH($K228,Einstellungen!$H$3:$H$22,0)),"")&lt;&gt;"",IFERROR(INDEX(Einstellungen!$B$20:$B$119,MATCH($K228,Einstellungen!$A$20:$A$119,0)),"")&lt;&gt;""),IFERROR(INDEX(Einstellungen!$I$3:$I$22,MATCH($K228,Einstellungen!$H$3:$H$22,0)),"")&amp;" / "&amp;IFERROR(INDEX(Einstellungen!$B$20:$B$119,MATCH($K228,Einstellungen!$A$20:$A$119,0)),""),IF(IFERROR(INDEX(Einstellungen!$I$3:$I$22,MATCH($K228,Einstellungen!$H$3:$H$22,0)),"")&lt;&gt;"",IFERROR(INDEX(Einstellungen!$I$3:$I$22,MATCH($K228,Einstellungen!$H$3:$H$22,0)),""),IFERROR(INDEX(Einstellungen!$B$20:$B$119,MATCH($K228,Einstellungen!$A$20:$A$119,0)),""))))</x:f>
      </x:c>
      <x:c r="E228" s="24">
        <x:f>IF($K228="","",SUM(F228:J228))</x:f>
        <x:v>6.5</x:v>
      </x:c>
      <x:c r="F228" s="25" t="n">
        <x:v>1</x:v>
      </x:c>
      <x:c r="G228" s="25" t="n">
        <x:v>2</x:v>
      </x:c>
      <x:c r="H228" s="25" t="n">
        <x:v>1</x:v>
      </x:c>
      <x:c r="I228" s="25" t="n">
        <x:v>2</x:v>
      </x:c>
      <x:c r="J228" s="25" t="n">
        <x:v>0.5</x:v>
      </x:c>
      <x:c r="K228">
        <x:f>IF(16&lt;=DAY(EOMONTH($K211,0)),$K211+15,"")</x:f>
        <x:v>46097</x:v>
      </x:c>
    </x:row>
    <x:row r="229">
      <x:c r="A229" s="21">
        <x:f>IF($K229="","",DAY($K229))</x:f>
        <x:v>17</x:v>
      </x:c>
      <x:c r="B229" s="22" t="str">
        <x:f>IF($K229="","",CHOOSE(WEEKDAY($K229,2),"Mo","Di","Mi","Do","Fr","Sa","So"))</x:f>
        <x:v>Di</x:v>
      </x:c>
      <x:c r="C229" s="22">
        <x:f>IF($K229="","",ISOWEEKNUM($K229))</x:f>
        <x:v>12</x:v>
      </x:c>
      <x:c r="D229" s="23">
        <x:f>IF($K229="","",IF(AND(IFERROR(INDEX(Einstellungen!$I$3:$I$22,MATCH($K229,Einstellungen!$H$3:$H$22,0)),"")&lt;&gt;"",IFERROR(INDEX(Einstellungen!$B$20:$B$119,MATCH($K229,Einstellungen!$A$20:$A$119,0)),"")&lt;&gt;""),IFERROR(INDEX(Einstellungen!$I$3:$I$22,MATCH($K229,Einstellungen!$H$3:$H$22,0)),"")&amp;" / "&amp;IFERROR(INDEX(Einstellungen!$B$20:$B$119,MATCH($K229,Einstellungen!$A$20:$A$119,0)),""),IF(IFERROR(INDEX(Einstellungen!$I$3:$I$22,MATCH($K229,Einstellungen!$H$3:$H$22,0)),"")&lt;&gt;"",IFERROR(INDEX(Einstellungen!$I$3:$I$22,MATCH($K229,Einstellungen!$H$3:$H$22,0)),""),IFERROR(INDEX(Einstellungen!$B$20:$B$119,MATCH($K229,Einstellungen!$A$20:$A$119,0)),""))))</x:f>
      </x:c>
      <x:c r="E229" s="24">
        <x:f>IF($K229="","",SUM(F229:J229))</x:f>
        <x:v>6.5</x:v>
      </x:c>
      <x:c r="F229" s="25" t="n">
        <x:v>1.5</x:v>
      </x:c>
      <x:c r="G229" s="25" t="n">
        <x:v>1.5</x:v>
      </x:c>
      <x:c r="H229" s="25" t="n">
        <x:v>1</x:v>
      </x:c>
      <x:c r="I229" s="25" t="n">
        <x:v>2</x:v>
      </x:c>
      <x:c r="J229" s="25" t="n">
        <x:v>0.5</x:v>
      </x:c>
      <x:c r="K229">
        <x:f>IF(17&lt;=DAY(EOMONTH($K211,0)),$K211+16,"")</x:f>
        <x:v>46098</x:v>
      </x:c>
    </x:row>
    <x:row r="230">
      <x:c r="A230" s="21">
        <x:f>IF($K230="","",DAY($K230))</x:f>
        <x:v>18</x:v>
      </x:c>
      <x:c r="B230" s="22" t="str">
        <x:f>IF($K230="","",CHOOSE(WEEKDAY($K230,2),"Mo","Di","Mi","Do","Fr","Sa","So"))</x:f>
        <x:v>Mi</x:v>
      </x:c>
      <x:c r="C230" s="22">
        <x:f>IF($K230="","",ISOWEEKNUM($K230))</x:f>
        <x:v>12</x:v>
      </x:c>
      <x:c r="D230" s="23">
        <x:f>IF($K230="","",IF(AND(IFERROR(INDEX(Einstellungen!$I$3:$I$22,MATCH($K230,Einstellungen!$H$3:$H$22,0)),"")&lt;&gt;"",IFERROR(INDEX(Einstellungen!$B$20:$B$119,MATCH($K230,Einstellungen!$A$20:$A$119,0)),"")&lt;&gt;""),IFERROR(INDEX(Einstellungen!$I$3:$I$22,MATCH($K230,Einstellungen!$H$3:$H$22,0)),"")&amp;" / "&amp;IFERROR(INDEX(Einstellungen!$B$20:$B$119,MATCH($K230,Einstellungen!$A$20:$A$119,0)),""),IF(IFERROR(INDEX(Einstellungen!$I$3:$I$22,MATCH($K230,Einstellungen!$H$3:$H$22,0)),"")&lt;&gt;"",IFERROR(INDEX(Einstellungen!$I$3:$I$22,MATCH($K230,Einstellungen!$H$3:$H$22,0)),""),IFERROR(INDEX(Einstellungen!$B$20:$B$119,MATCH($K230,Einstellungen!$A$20:$A$119,0)),""))))</x:f>
      </x:c>
      <x:c r="E230" s="24">
        <x:f>IF($K230="","",SUM(F230:J230))</x:f>
        <x:v>6.5</x:v>
      </x:c>
      <x:c r="F230" s="25" t="n">
        <x:v>1</x:v>
      </x:c>
      <x:c r="G230" s="25" t="n">
        <x:v>2.5</x:v>
      </x:c>
      <x:c r="H230" s="25" t="n">
        <x:v>1</x:v>
      </x:c>
      <x:c r="I230" s="25" t="n">
        <x:v>1.5</x:v>
      </x:c>
      <x:c r="J230" s="25" t="n">
        <x:v>0.5</x:v>
      </x:c>
      <x:c r="K230">
        <x:f>IF(18&lt;=DAY(EOMONTH($K211,0)),$K211+17,"")</x:f>
        <x:v>46099</x:v>
      </x:c>
    </x:row>
    <x:row r="231">
      <x:c r="A231" s="21">
        <x:f>IF($K231="","",DAY($K231))</x:f>
        <x:v>19</x:v>
      </x:c>
      <x:c r="B231" s="22" t="str">
        <x:f>IF($K231="","",CHOOSE(WEEKDAY($K231,2),"Mo","Di","Mi","Do","Fr","Sa","So"))</x:f>
        <x:v>Do</x:v>
      </x:c>
      <x:c r="C231" s="22">
        <x:f>IF($K231="","",ISOWEEKNUM($K231))</x:f>
        <x:v>12</x:v>
      </x:c>
      <x:c r="D231" s="23">
        <x:f>IF($K231="","",IF(AND(IFERROR(INDEX(Einstellungen!$I$3:$I$22,MATCH($K231,Einstellungen!$H$3:$H$22,0)),"")&lt;&gt;"",IFERROR(INDEX(Einstellungen!$B$20:$B$119,MATCH($K231,Einstellungen!$A$20:$A$119,0)),"")&lt;&gt;""),IFERROR(INDEX(Einstellungen!$I$3:$I$22,MATCH($K231,Einstellungen!$H$3:$H$22,0)),"")&amp;" / "&amp;IFERROR(INDEX(Einstellungen!$B$20:$B$119,MATCH($K231,Einstellungen!$A$20:$A$119,0)),""),IF(IFERROR(INDEX(Einstellungen!$I$3:$I$22,MATCH($K231,Einstellungen!$H$3:$H$22,0)),"")&lt;&gt;"",IFERROR(INDEX(Einstellungen!$I$3:$I$22,MATCH($K231,Einstellungen!$H$3:$H$22,0)),""),IFERROR(INDEX(Einstellungen!$B$20:$B$119,MATCH($K231,Einstellungen!$A$20:$A$119,0)),""))))</x:f>
      </x:c>
      <x:c r="E231" s="24">
        <x:f>IF($K231="","",SUM(F231:J231))</x:f>
        <x:v>7</x:v>
      </x:c>
      <x:c r="F231" s="25" t="n">
        <x:v>1.5</x:v>
      </x:c>
      <x:c r="G231" s="25" t="n">
        <x:v>2</x:v>
      </x:c>
      <x:c r="H231" s="25" t="n">
        <x:v>1.5</x:v>
      </x:c>
      <x:c r="I231" s="25" t="n">
        <x:v>1.5</x:v>
      </x:c>
      <x:c r="J231" s="25" t="n">
        <x:v>0.5</x:v>
      </x:c>
      <x:c r="K231">
        <x:f>IF(19&lt;=DAY(EOMONTH($K211,0)),$K211+18,"")</x:f>
        <x:v>46100</x:v>
      </x:c>
    </x:row>
    <x:row r="232">
      <x:c r="A232" s="21">
        <x:f>IF($K232="","",DAY($K232))</x:f>
        <x:v>20</x:v>
      </x:c>
      <x:c r="B232" s="22" t="str">
        <x:f>IF($K232="","",CHOOSE(WEEKDAY($K232,2),"Mo","Di","Mi","Do","Fr","Sa","So"))</x:f>
        <x:v>Fr</x:v>
      </x:c>
      <x:c r="C232" s="22">
        <x:f>IF($K232="","",ISOWEEKNUM($K232))</x:f>
        <x:v>12</x:v>
      </x:c>
      <x:c r="D232" s="23">
        <x:f>IF($K232="","",IF(AND(IFERROR(INDEX(Einstellungen!$I$3:$I$22,MATCH($K232,Einstellungen!$H$3:$H$22,0)),"")&lt;&gt;"",IFERROR(INDEX(Einstellungen!$B$20:$B$119,MATCH($K232,Einstellungen!$A$20:$A$119,0)),"")&lt;&gt;""),IFERROR(INDEX(Einstellungen!$I$3:$I$22,MATCH($K232,Einstellungen!$H$3:$H$22,0)),"")&amp;" / "&amp;IFERROR(INDEX(Einstellungen!$B$20:$B$119,MATCH($K232,Einstellungen!$A$20:$A$119,0)),""),IF(IFERROR(INDEX(Einstellungen!$I$3:$I$22,MATCH($K232,Einstellungen!$H$3:$H$22,0)),"")&lt;&gt;"",IFERROR(INDEX(Einstellungen!$I$3:$I$22,MATCH($K232,Einstellungen!$H$3:$H$22,0)),""),IFERROR(INDEX(Einstellungen!$B$20:$B$119,MATCH($K232,Einstellungen!$A$20:$A$119,0)),""))))</x:f>
      </x:c>
      <x:c r="E232" s="24">
        <x:f>IF($K232="","",SUM(F232:J232))</x:f>
        <x:v>5.5</x:v>
      </x:c>
      <x:c r="F232" s="25" t="n">
        <x:v>2</x:v>
      </x:c>
      <x:c r="G232" s="25" t="n">
        <x:v>1</x:v>
      </x:c>
      <x:c r="H232" s="25" t="n">
        <x:v>1</x:v>
      </x:c>
      <x:c r="I232" s="25" t="n">
        <x:v>1</x:v>
      </x:c>
      <x:c r="J232" s="25" t="n">
        <x:v>0.5</x:v>
      </x:c>
      <x:c r="K232">
        <x:f>IF(20&lt;=DAY(EOMONTH($K211,0)),$K211+19,"")</x:f>
        <x:v>46101</x:v>
      </x:c>
    </x:row>
    <x:row r="233">
      <x:c r="A233" s="21">
        <x:f>IF($K233="","",DAY($K233))</x:f>
        <x:v>21</x:v>
      </x:c>
      <x:c r="B233" s="22" t="str">
        <x:f>IF($K233="","",CHOOSE(WEEKDAY($K233,2),"Mo","Di","Mi","Do","Fr","Sa","So"))</x:f>
        <x:v>Sa</x:v>
      </x:c>
      <x:c r="C233" s="22">
        <x:f>IF($K233="","",ISOWEEKNUM($K233))</x:f>
        <x:v>12</x:v>
      </x:c>
      <x:c r="D233" s="23">
        <x:f>IF($K233="","",IF(AND(IFERROR(INDEX(Einstellungen!$I$3:$I$22,MATCH($K233,Einstellungen!$H$3:$H$22,0)),"")&lt;&gt;"",IFERROR(INDEX(Einstellungen!$B$20:$B$119,MATCH($K233,Einstellungen!$A$20:$A$119,0)),"")&lt;&gt;""),IFERROR(INDEX(Einstellungen!$I$3:$I$22,MATCH($K233,Einstellungen!$H$3:$H$22,0)),"")&amp;" / "&amp;IFERROR(INDEX(Einstellungen!$B$20:$B$119,MATCH($K233,Einstellungen!$A$20:$A$119,0)),""),IF(IFERROR(INDEX(Einstellungen!$I$3:$I$22,MATCH($K233,Einstellungen!$H$3:$H$22,0)),"")&lt;&gt;"",IFERROR(INDEX(Einstellungen!$I$3:$I$22,MATCH($K233,Einstellungen!$H$3:$H$22,0)),""),IFERROR(INDEX(Einstellungen!$B$20:$B$119,MATCH($K233,Einstellungen!$A$20:$A$119,0)),""))))</x:f>
      </x:c>
      <x:c r="E233" s="24">
        <x:f>IF($K233="","",SUM(F233:J233))</x:f>
        <x:v>0</x:v>
      </x:c>
      <x:c r="F233" s="25" t="n"/>
      <x:c r="G233" s="25" t="n"/>
      <x:c r="H233" s="25" t="n"/>
      <x:c r="I233" s="25" t="n"/>
      <x:c r="J233" s="25" t="n"/>
      <x:c r="K233">
        <x:f>IF(21&lt;=DAY(EOMONTH($K211,0)),$K211+20,"")</x:f>
        <x:v>46102</x:v>
      </x:c>
    </x:row>
    <x:row r="234">
      <x:c r="A234" s="21">
        <x:f>IF($K234="","",DAY($K234))</x:f>
        <x:v>22</x:v>
      </x:c>
      <x:c r="B234" s="22" t="str">
        <x:f>IF($K234="","",CHOOSE(WEEKDAY($K234,2),"Mo","Di","Mi","Do","Fr","Sa","So"))</x:f>
        <x:v>So</x:v>
      </x:c>
      <x:c r="C234" s="22">
        <x:f>IF($K234="","",ISOWEEKNUM($K234))</x:f>
        <x:v>12</x:v>
      </x:c>
      <x:c r="D234" s="23">
        <x:f>IF($K234="","",IF(AND(IFERROR(INDEX(Einstellungen!$I$3:$I$22,MATCH($K234,Einstellungen!$H$3:$H$22,0)),"")&lt;&gt;"",IFERROR(INDEX(Einstellungen!$B$20:$B$119,MATCH($K234,Einstellungen!$A$20:$A$119,0)),"")&lt;&gt;""),IFERROR(INDEX(Einstellungen!$I$3:$I$22,MATCH($K234,Einstellungen!$H$3:$H$22,0)),"")&amp;" / "&amp;IFERROR(INDEX(Einstellungen!$B$20:$B$119,MATCH($K234,Einstellungen!$A$20:$A$119,0)),""),IF(IFERROR(INDEX(Einstellungen!$I$3:$I$22,MATCH($K234,Einstellungen!$H$3:$H$22,0)),"")&lt;&gt;"",IFERROR(INDEX(Einstellungen!$I$3:$I$22,MATCH($K234,Einstellungen!$H$3:$H$22,0)),""),IFERROR(INDEX(Einstellungen!$B$20:$B$119,MATCH($K234,Einstellungen!$A$20:$A$119,0)),""))))</x:f>
      </x:c>
      <x:c r="E234" s="24">
        <x:f>IF($K234="","",SUM(F234:J234))</x:f>
        <x:v>0</x:v>
      </x:c>
      <x:c r="F234" s="25" t="n"/>
      <x:c r="G234" s="25" t="n"/>
      <x:c r="H234" s="25" t="n"/>
      <x:c r="I234" s="25" t="n"/>
      <x:c r="J234" s="25" t="n"/>
      <x:c r="K234">
        <x:f>IF(22&lt;=DAY(EOMONTH($K211,0)),$K211+21,"")</x:f>
        <x:v>46103</x:v>
      </x:c>
    </x:row>
    <x:row r="235">
      <x:c r="A235" s="21">
        <x:f>IF($K235="","",DAY($K235))</x:f>
        <x:v>23</x:v>
      </x:c>
      <x:c r="B235" s="22" t="str">
        <x:f>IF($K235="","",CHOOSE(WEEKDAY($K235,2),"Mo","Di","Mi","Do","Fr","Sa","So"))</x:f>
        <x:v>Mo</x:v>
      </x:c>
      <x:c r="C235" s="22">
        <x:f>IF($K235="","",ISOWEEKNUM($K235))</x:f>
        <x:v>13</x:v>
      </x:c>
      <x:c r="D235" s="23">
        <x:f>IF($K235="","",IF(AND(IFERROR(INDEX(Einstellungen!$I$3:$I$22,MATCH($K235,Einstellungen!$H$3:$H$22,0)),"")&lt;&gt;"",IFERROR(INDEX(Einstellungen!$B$20:$B$119,MATCH($K235,Einstellungen!$A$20:$A$119,0)),"")&lt;&gt;""),IFERROR(INDEX(Einstellungen!$I$3:$I$22,MATCH($K235,Einstellungen!$H$3:$H$22,0)),"")&amp;" / "&amp;IFERROR(INDEX(Einstellungen!$B$20:$B$119,MATCH($K235,Einstellungen!$A$20:$A$119,0)),""),IF(IFERROR(INDEX(Einstellungen!$I$3:$I$22,MATCH($K235,Einstellungen!$H$3:$H$22,0)),"")&lt;&gt;"",IFERROR(INDEX(Einstellungen!$I$3:$I$22,MATCH($K235,Einstellungen!$H$3:$H$22,0)),""),IFERROR(INDEX(Einstellungen!$B$20:$B$119,MATCH($K235,Einstellungen!$A$20:$A$119,0)),""))))</x:f>
      </x:c>
      <x:c r="E235" s="24">
        <x:f>IF($K235="","",SUM(F235:J235))</x:f>
        <x:v>6.5</x:v>
      </x:c>
      <x:c r="F235" s="25" t="n">
        <x:v>1</x:v>
      </x:c>
      <x:c r="G235" s="25" t="n">
        <x:v>2</x:v>
      </x:c>
      <x:c r="H235" s="25" t="n">
        <x:v>1</x:v>
      </x:c>
      <x:c r="I235" s="25" t="n">
        <x:v>2</x:v>
      </x:c>
      <x:c r="J235" s="25" t="n">
        <x:v>0.5</x:v>
      </x:c>
      <x:c r="K235">
        <x:f>IF(23&lt;=DAY(EOMONTH($K211,0)),$K211+22,"")</x:f>
        <x:v>46104</x:v>
      </x:c>
    </x:row>
    <x:row r="236">
      <x:c r="A236" s="21">
        <x:f>IF($K236="","",DAY($K236))</x:f>
        <x:v>24</x:v>
      </x:c>
      <x:c r="B236" s="22" t="str">
        <x:f>IF($K236="","",CHOOSE(WEEKDAY($K236,2),"Mo","Di","Mi","Do","Fr","Sa","So"))</x:f>
        <x:v>Di</x:v>
      </x:c>
      <x:c r="C236" s="22">
        <x:f>IF($K236="","",ISOWEEKNUM($K236))</x:f>
        <x:v>13</x:v>
      </x:c>
      <x:c r="D236" s="23">
        <x:f>IF($K236="","",IF(AND(IFERROR(INDEX(Einstellungen!$I$3:$I$22,MATCH($K236,Einstellungen!$H$3:$H$22,0)),"")&lt;&gt;"",IFERROR(INDEX(Einstellungen!$B$20:$B$119,MATCH($K236,Einstellungen!$A$20:$A$119,0)),"")&lt;&gt;""),IFERROR(INDEX(Einstellungen!$I$3:$I$22,MATCH($K236,Einstellungen!$H$3:$H$22,0)),"")&amp;" / "&amp;IFERROR(INDEX(Einstellungen!$B$20:$B$119,MATCH($K236,Einstellungen!$A$20:$A$119,0)),""),IF(IFERROR(INDEX(Einstellungen!$I$3:$I$22,MATCH($K236,Einstellungen!$H$3:$H$22,0)),"")&lt;&gt;"",IFERROR(INDEX(Einstellungen!$I$3:$I$22,MATCH($K236,Einstellungen!$H$3:$H$22,0)),""),IFERROR(INDEX(Einstellungen!$B$20:$B$119,MATCH($K236,Einstellungen!$A$20:$A$119,0)),""))))</x:f>
      </x:c>
      <x:c r="E236" s="24">
        <x:f>IF($K236="","",SUM(F236:J236))</x:f>
        <x:v>6.5</x:v>
      </x:c>
      <x:c r="F236" s="25" t="n">
        <x:v>1.5</x:v>
      </x:c>
      <x:c r="G236" s="25" t="n">
        <x:v>1.5</x:v>
      </x:c>
      <x:c r="H236" s="25" t="n">
        <x:v>1</x:v>
      </x:c>
      <x:c r="I236" s="25" t="n">
        <x:v>2</x:v>
      </x:c>
      <x:c r="J236" s="25" t="n">
        <x:v>0.5</x:v>
      </x:c>
      <x:c r="K236">
        <x:f>IF(24&lt;=DAY(EOMONTH($K211,0)),$K211+23,"")</x:f>
        <x:v>46105</x:v>
      </x:c>
    </x:row>
    <x:row r="237">
      <x:c r="A237" s="21">
        <x:f>IF($K237="","",DAY($K237))</x:f>
        <x:v>25</x:v>
      </x:c>
      <x:c r="B237" s="22" t="str">
        <x:f>IF($K237="","",CHOOSE(WEEKDAY($K237,2),"Mo","Di","Mi","Do","Fr","Sa","So"))</x:f>
        <x:v>Mi</x:v>
      </x:c>
      <x:c r="C237" s="22">
        <x:f>IF($K237="","",ISOWEEKNUM($K237))</x:f>
        <x:v>13</x:v>
      </x:c>
      <x:c r="D237" s="23">
        <x:f>IF($K237="","",IF(AND(IFERROR(INDEX(Einstellungen!$I$3:$I$22,MATCH($K237,Einstellungen!$H$3:$H$22,0)),"")&lt;&gt;"",IFERROR(INDEX(Einstellungen!$B$20:$B$119,MATCH($K237,Einstellungen!$A$20:$A$119,0)),"")&lt;&gt;""),IFERROR(INDEX(Einstellungen!$I$3:$I$22,MATCH($K237,Einstellungen!$H$3:$H$22,0)),"")&amp;" / "&amp;IFERROR(INDEX(Einstellungen!$B$20:$B$119,MATCH($K237,Einstellungen!$A$20:$A$119,0)),""),IF(IFERROR(INDEX(Einstellungen!$I$3:$I$22,MATCH($K237,Einstellungen!$H$3:$H$22,0)),"")&lt;&gt;"",IFERROR(INDEX(Einstellungen!$I$3:$I$22,MATCH($K237,Einstellungen!$H$3:$H$22,0)),""),IFERROR(INDEX(Einstellungen!$B$20:$B$119,MATCH($K237,Einstellungen!$A$20:$A$119,0)),""))))</x:f>
      </x:c>
      <x:c r="E237" s="24">
        <x:f>IF($K237="","",SUM(F237:J237))</x:f>
        <x:v>6.5</x:v>
      </x:c>
      <x:c r="F237" s="25" t="n">
        <x:v>1</x:v>
      </x:c>
      <x:c r="G237" s="25" t="n">
        <x:v>2.5</x:v>
      </x:c>
      <x:c r="H237" s="25" t="n">
        <x:v>1</x:v>
      </x:c>
      <x:c r="I237" s="25" t="n">
        <x:v>1.5</x:v>
      </x:c>
      <x:c r="J237" s="25" t="n">
        <x:v>0.5</x:v>
      </x:c>
      <x:c r="K237">
        <x:f>IF(25&lt;=DAY(EOMONTH($K211,0)),$K211+24,"")</x:f>
        <x:v>46106</x:v>
      </x:c>
    </x:row>
    <x:row r="238">
      <x:c r="A238" s="21">
        <x:f>IF($K238="","",DAY($K238))</x:f>
        <x:v>26</x:v>
      </x:c>
      <x:c r="B238" s="22" t="str">
        <x:f>IF($K238="","",CHOOSE(WEEKDAY($K238,2),"Mo","Di","Mi","Do","Fr","Sa","So"))</x:f>
        <x:v>Do</x:v>
      </x:c>
      <x:c r="C238" s="22">
        <x:f>IF($K238="","",ISOWEEKNUM($K238))</x:f>
        <x:v>13</x:v>
      </x:c>
      <x:c r="D238" s="23">
        <x:f>IF($K238="","",IF(AND(IFERROR(INDEX(Einstellungen!$I$3:$I$22,MATCH($K238,Einstellungen!$H$3:$H$22,0)),"")&lt;&gt;"",IFERROR(INDEX(Einstellungen!$B$20:$B$119,MATCH($K238,Einstellungen!$A$20:$A$119,0)),"")&lt;&gt;""),IFERROR(INDEX(Einstellungen!$I$3:$I$22,MATCH($K238,Einstellungen!$H$3:$H$22,0)),"")&amp;" / "&amp;IFERROR(INDEX(Einstellungen!$B$20:$B$119,MATCH($K238,Einstellungen!$A$20:$A$119,0)),""),IF(IFERROR(INDEX(Einstellungen!$I$3:$I$22,MATCH($K238,Einstellungen!$H$3:$H$22,0)),"")&lt;&gt;"",IFERROR(INDEX(Einstellungen!$I$3:$I$22,MATCH($K238,Einstellungen!$H$3:$H$22,0)),""),IFERROR(INDEX(Einstellungen!$B$20:$B$119,MATCH($K238,Einstellungen!$A$20:$A$119,0)),""))))</x:f>
      </x:c>
      <x:c r="E238" s="24">
        <x:f>IF($K238="","",SUM(F238:J238))</x:f>
        <x:v>7</x:v>
      </x:c>
      <x:c r="F238" s="25" t="n">
        <x:v>1.5</x:v>
      </x:c>
      <x:c r="G238" s="25" t="n">
        <x:v>2</x:v>
      </x:c>
      <x:c r="H238" s="25" t="n">
        <x:v>1.5</x:v>
      </x:c>
      <x:c r="I238" s="25" t="n">
        <x:v>1.5</x:v>
      </x:c>
      <x:c r="J238" s="25" t="n">
        <x:v>0.5</x:v>
      </x:c>
      <x:c r="K238">
        <x:f>IF(26&lt;=DAY(EOMONTH($K211,0)),$K211+25,"")</x:f>
        <x:v>46107</x:v>
      </x:c>
    </x:row>
    <x:row r="239">
      <x:c r="A239" s="21">
        <x:f>IF($K239="","",DAY($K239))</x:f>
        <x:v>27</x:v>
      </x:c>
      <x:c r="B239" s="22" t="str">
        <x:f>IF($K239="","",CHOOSE(WEEKDAY($K239,2),"Mo","Di","Mi","Do","Fr","Sa","So"))</x:f>
        <x:v>Fr</x:v>
      </x:c>
      <x:c r="C239" s="22">
        <x:f>IF($K239="","",ISOWEEKNUM($K239))</x:f>
        <x:v>13</x:v>
      </x:c>
      <x:c r="D239" s="23">
        <x:f>IF($K239="","",IF(AND(IFERROR(INDEX(Einstellungen!$I$3:$I$22,MATCH($K239,Einstellungen!$H$3:$H$22,0)),"")&lt;&gt;"",IFERROR(INDEX(Einstellungen!$B$20:$B$119,MATCH($K239,Einstellungen!$A$20:$A$119,0)),"")&lt;&gt;""),IFERROR(INDEX(Einstellungen!$I$3:$I$22,MATCH($K239,Einstellungen!$H$3:$H$22,0)),"")&amp;" / "&amp;IFERROR(INDEX(Einstellungen!$B$20:$B$119,MATCH($K239,Einstellungen!$A$20:$A$119,0)),""),IF(IFERROR(INDEX(Einstellungen!$I$3:$I$22,MATCH($K239,Einstellungen!$H$3:$H$22,0)),"")&lt;&gt;"",IFERROR(INDEX(Einstellungen!$I$3:$I$22,MATCH($K239,Einstellungen!$H$3:$H$22,0)),""),IFERROR(INDEX(Einstellungen!$B$20:$B$119,MATCH($K239,Einstellungen!$A$20:$A$119,0)),""))))</x:f>
      </x:c>
      <x:c r="E239" s="24">
        <x:f>IF($K239="","",SUM(F239:J239))</x:f>
        <x:v>3</x:v>
      </x:c>
      <x:c r="F239" s="25" t="n">
        <x:v>1</x:v>
      </x:c>
      <x:c r="G239" s="25" t="n">
        <x:v>0.5</x:v>
      </x:c>
      <x:c r="H239" s="25" t="n">
        <x:v>0.5</x:v>
      </x:c>
      <x:c r="I239" s="25" t="n">
        <x:v>1</x:v>
      </x:c>
      <x:c r="J239" s="25" t="n"/>
      <x:c r="K239">
        <x:f>IF(27&lt;=DAY(EOMONTH($K211,0)),$K211+26,"")</x:f>
        <x:v>46108</x:v>
      </x:c>
    </x:row>
    <x:row r="240">
      <x:c r="A240" s="21">
        <x:f>IF($K240="","",DAY($K240))</x:f>
        <x:v>28</x:v>
      </x:c>
      <x:c r="B240" s="22" t="str">
        <x:f>IF($K240="","",CHOOSE(WEEKDAY($K240,2),"Mo","Di","Mi","Do","Fr","Sa","So"))</x:f>
        <x:v>Sa</x:v>
      </x:c>
      <x:c r="C240" s="22">
        <x:f>IF($K240="","",ISOWEEKNUM($K240))</x:f>
        <x:v>13</x:v>
      </x:c>
      <x:c r="D240" s="23">
        <x:f>IF($K240="","",IF(AND(IFERROR(INDEX(Einstellungen!$I$3:$I$22,MATCH($K240,Einstellungen!$H$3:$H$22,0)),"")&lt;&gt;"",IFERROR(INDEX(Einstellungen!$B$20:$B$119,MATCH($K240,Einstellungen!$A$20:$A$119,0)),"")&lt;&gt;""),IFERROR(INDEX(Einstellungen!$I$3:$I$22,MATCH($K240,Einstellungen!$H$3:$H$22,0)),"")&amp;" / "&amp;IFERROR(INDEX(Einstellungen!$B$20:$B$119,MATCH($K240,Einstellungen!$A$20:$A$119,0)),""),IF(IFERROR(INDEX(Einstellungen!$I$3:$I$22,MATCH($K240,Einstellungen!$H$3:$H$22,0)),"")&lt;&gt;"",IFERROR(INDEX(Einstellungen!$I$3:$I$22,MATCH($K240,Einstellungen!$H$3:$H$22,0)),""),IFERROR(INDEX(Einstellungen!$B$20:$B$119,MATCH($K240,Einstellungen!$A$20:$A$119,0)),""))))</x:f>
      </x:c>
      <x:c r="E240" s="24">
        <x:f>IF($K240="","",SUM(F240:J240))</x:f>
        <x:v>0</x:v>
      </x:c>
      <x:c r="F240" s="25" t="n"/>
      <x:c r="G240" s="25" t="n"/>
      <x:c r="H240" s="25" t="n"/>
      <x:c r="I240" s="25" t="n"/>
      <x:c r="J240" s="25" t="n"/>
      <x:c r="K240">
        <x:f>IF(28&lt;=DAY(EOMONTH($K211,0)),$K211+27,"")</x:f>
        <x:v>46109</x:v>
      </x:c>
    </x:row>
    <x:row r="241">
      <x:c r="A241" s="21">
        <x:f>IF($K241="","",DAY($K241))</x:f>
        <x:v>29</x:v>
      </x:c>
      <x:c r="B241" s="22" t="str">
        <x:f>IF($K241="","",CHOOSE(WEEKDAY($K241,2),"Mo","Di","Mi","Do","Fr","Sa","So"))</x:f>
        <x:v>So</x:v>
      </x:c>
      <x:c r="C241" s="22">
        <x:f>IF($K241="","",ISOWEEKNUM($K241))</x:f>
        <x:v>13</x:v>
      </x:c>
      <x:c r="D241" s="23">
        <x:f>IF($K241="","",IF(AND(IFERROR(INDEX(Einstellungen!$I$3:$I$22,MATCH($K241,Einstellungen!$H$3:$H$22,0)),"")&lt;&gt;"",IFERROR(INDEX(Einstellungen!$B$20:$B$119,MATCH($K241,Einstellungen!$A$20:$A$119,0)),"")&lt;&gt;""),IFERROR(INDEX(Einstellungen!$I$3:$I$22,MATCH($K241,Einstellungen!$H$3:$H$22,0)),"")&amp;" / "&amp;IFERROR(INDEX(Einstellungen!$B$20:$B$119,MATCH($K241,Einstellungen!$A$20:$A$119,0)),""),IF(IFERROR(INDEX(Einstellungen!$I$3:$I$22,MATCH($K241,Einstellungen!$H$3:$H$22,0)),"")&lt;&gt;"",IFERROR(INDEX(Einstellungen!$I$3:$I$22,MATCH($K241,Einstellungen!$H$3:$H$22,0)),""),IFERROR(INDEX(Einstellungen!$B$20:$B$119,MATCH($K241,Einstellungen!$A$20:$A$119,0)),""))))</x:f>
      </x:c>
      <x:c r="E241" s="24">
        <x:f>IF($K241="","",SUM(F241:J241))</x:f>
        <x:v>0</x:v>
      </x:c>
      <x:c r="F241" s="25" t="n"/>
      <x:c r="G241" s="25" t="n"/>
      <x:c r="H241" s="25" t="n"/>
      <x:c r="I241" s="25" t="n"/>
      <x:c r="J241" s="25" t="n"/>
      <x:c r="K241">
        <x:f>IF(29&lt;=DAY(EOMONTH($K211,0)),$K211+28,"")</x:f>
        <x:v>46110</x:v>
      </x:c>
    </x:row>
    <x:row r="242">
      <x:c r="A242" s="21">
        <x:f>IF($K242="","",DAY($K242))</x:f>
        <x:v>30</x:v>
      </x:c>
      <x:c r="B242" s="22" t="str">
        <x:f>IF($K242="","",CHOOSE(WEEKDAY($K242,2),"Mo","Di","Mi","Do","Fr","Sa","So"))</x:f>
        <x:v>Mo</x:v>
      </x:c>
      <x:c r="C242" s="22">
        <x:f>IF($K242="","",ISOWEEKNUM($K242))</x:f>
        <x:v>14</x:v>
      </x:c>
      <x:c r="D242" s="23">
        <x:f>IF($K242="","",IF(AND(IFERROR(INDEX(Einstellungen!$I$3:$I$22,MATCH($K242,Einstellungen!$H$3:$H$22,0)),"")&lt;&gt;"",IFERROR(INDEX(Einstellungen!$B$20:$B$119,MATCH($K242,Einstellungen!$A$20:$A$119,0)),"")&lt;&gt;""),IFERROR(INDEX(Einstellungen!$I$3:$I$22,MATCH($K242,Einstellungen!$H$3:$H$22,0)),"")&amp;" / "&amp;IFERROR(INDEX(Einstellungen!$B$20:$B$119,MATCH($K242,Einstellungen!$A$20:$A$119,0)),""),IF(IFERROR(INDEX(Einstellungen!$I$3:$I$22,MATCH($K242,Einstellungen!$H$3:$H$22,0)),"")&lt;&gt;"",IFERROR(INDEX(Einstellungen!$I$3:$I$22,MATCH($K242,Einstellungen!$H$3:$H$22,0)),""),IFERROR(INDEX(Einstellungen!$B$20:$B$119,MATCH($K242,Einstellungen!$A$20:$A$119,0)),""))))</x:f>
      </x:c>
      <x:c r="E242" s="24">
        <x:f>IF($K242="","",SUM(F242:J242))</x:f>
        <x:v>6.5</x:v>
      </x:c>
      <x:c r="F242" s="25" t="n">
        <x:v>1</x:v>
      </x:c>
      <x:c r="G242" s="25" t="n">
        <x:v>2</x:v>
      </x:c>
      <x:c r="H242" s="25" t="n">
        <x:v>1</x:v>
      </x:c>
      <x:c r="I242" s="25" t="n">
        <x:v>2</x:v>
      </x:c>
      <x:c r="J242" s="25" t="n">
        <x:v>0.5</x:v>
      </x:c>
      <x:c r="K242">
        <x:f>IF(30&lt;=DAY(EOMONTH($K211,0)),$K211+29,"")</x:f>
        <x:v>46111</x:v>
      </x:c>
    </x:row>
    <x:row r="243">
      <x:c r="A243" s="21">
        <x:f>IF($K243="","",DAY($K243))</x:f>
        <x:v>31</x:v>
      </x:c>
      <x:c r="B243" s="22" t="str">
        <x:f>IF($K243="","",CHOOSE(WEEKDAY($K243,2),"Mo","Di","Mi","Do","Fr","Sa","So"))</x:f>
        <x:v>Di</x:v>
      </x:c>
      <x:c r="C243" s="22">
        <x:f>IF($K243="","",ISOWEEKNUM($K243))</x:f>
        <x:v>14</x:v>
      </x:c>
      <x:c r="D243" s="23">
        <x:f>IF($K243="","",IF(AND(IFERROR(INDEX(Einstellungen!$I$3:$I$22,MATCH($K243,Einstellungen!$H$3:$H$22,0)),"")&lt;&gt;"",IFERROR(INDEX(Einstellungen!$B$20:$B$119,MATCH($K243,Einstellungen!$A$20:$A$119,0)),"")&lt;&gt;""),IFERROR(INDEX(Einstellungen!$I$3:$I$22,MATCH($K243,Einstellungen!$H$3:$H$22,0)),"")&amp;" / "&amp;IFERROR(INDEX(Einstellungen!$B$20:$B$119,MATCH($K243,Einstellungen!$A$20:$A$119,0)),""),IF(IFERROR(INDEX(Einstellungen!$I$3:$I$22,MATCH($K243,Einstellungen!$H$3:$H$22,0)),"")&lt;&gt;"",IFERROR(INDEX(Einstellungen!$I$3:$I$22,MATCH($K243,Einstellungen!$H$3:$H$22,0)),""),IFERROR(INDEX(Einstellungen!$B$20:$B$119,MATCH($K243,Einstellungen!$A$20:$A$119,0)),""))))</x:f>
      </x:c>
      <x:c r="E243" s="24">
        <x:f>IF($K243="","",SUM(F243:J243))</x:f>
        <x:v>6.5</x:v>
      </x:c>
      <x:c r="F243" s="25" t="n">
        <x:v>1.5</x:v>
      </x:c>
      <x:c r="G243" s="25" t="n">
        <x:v>1.5</x:v>
      </x:c>
      <x:c r="H243" s="25" t="n">
        <x:v>1</x:v>
      </x:c>
      <x:c r="I243" s="25" t="n">
        <x:v>2</x:v>
      </x:c>
      <x:c r="J243" s="25" t="n">
        <x:v>0.5</x:v>
      </x:c>
      <x:c r="K243">
        <x:f>IF(31&lt;=DAY(EOMONTH($K211,0)),$K211+30,"")</x:f>
        <x:v>46112</x:v>
      </x:c>
    </x:row>
    <x:row r="244">
      <x:c r="A244" s="26" t="n"/>
      <x:c r="B244" s="26" t="n"/>
      <x:c r="C244" s="26" t="n"/>
      <x:c r="D244" s="26" t="n"/>
      <x:c r="E244" s="26" t="n"/>
      <x:c r="F244" s="26" t="n"/>
      <x:c r="G244" s="26" t="n"/>
      <x:c r="H244" s="26" t="n"/>
      <x:c r="I244" s="26" t="n"/>
      <x:c r="J244" s="26" t="n"/>
    </x:row>
    <x:row r="245">
      <x:c r="A245" s="18" t="str">
        <x:f>INDEX(Einstellungen!$F$2:$F$13,MONTH($K245))&amp;" "&amp;YEAR($K245)</x:f>
        <x:v>April 2026</x:v>
      </x:c>
      <x:c r="B245" s="36" t="n"/>
      <x:c r="C245" s="36" t="n"/>
      <x:c r="D245" s="36" t="n"/>
      <x:c r="E245" s="36" t="n"/>
      <x:c r="F245" s="36" t="n"/>
      <x:c r="G245" s="36" t="n"/>
      <x:c r="H245" s="36" t="n"/>
      <x:c r="I245" s="36" t="n"/>
      <x:c r="J245" s="37" t="n"/>
      <x:c r="K245">
        <x:f>EDATE(Einstellungen!$B$5,7)</x:f>
        <x:v>46113</x:v>
      </x:c>
    </x:row>
    <x:row r="246">
      <x:c r="A246" s="20" t="inlineStr">
        <x:is>
          <x:t xml:space="preserve">Datum</x:t>
        </x:is>
      </x:c>
      <x:c r="B246" s="20" t="inlineStr">
        <x:is>
          <x:t xml:space="preserve">Tag</x:t>
        </x:is>
      </x:c>
      <x:c r="C246" s="20" t="inlineStr">
        <x:is>
          <x:t xml:space="preserve">KW</x:t>
        </x:is>
      </x:c>
      <x:c r="D246" s="20" t="inlineStr">
        <x:is>
          <x:t xml:space="preserve">Feiertag</x:t>
        </x:is>
      </x:c>
      <x:c r="E246" s="20" t="inlineStr">
        <x:is>
          <x:t xml:space="preserve">Arbeitszeit</x:t>
        </x:is>
      </x:c>
      <x:c r="F246" s="20" t="str">
        <x:f>Einstellungen!$B$11</x:f>
        <x:v>E-Mail</x:v>
      </x:c>
      <x:c r="G246" s="20" t="str">
        <x:f>Einstellungen!$B$12</x:f>
        <x:v>Meetings</x:v>
      </x:c>
      <x:c r="H246" s="20" t="str">
        <x:f>Einstellungen!$B$13</x:f>
        <x:v>Telefonate</x:v>
      </x:c>
      <x:c r="I246" s="20" t="str">
        <x:f>Einstellungen!$B$14</x:f>
        <x:v>Dokumentation</x:v>
      </x:c>
      <x:c r="J246" s="20" t="str">
        <x:f>Einstellungen!$B$15</x:f>
        <x:v>Sonstiges</x:v>
      </x:c>
    </x:row>
    <x:row r="247">
      <x:c r="A247" s="21">
        <x:f>IF($K247="","",DAY($K247))</x:f>
        <x:v>1</x:v>
      </x:c>
      <x:c r="B247" s="22" t="str">
        <x:f>IF($K247="","",CHOOSE(WEEKDAY($K247,2),"Mo","Di","Mi","Do","Fr","Sa","So"))</x:f>
        <x:v>Mi</x:v>
      </x:c>
      <x:c r="C247" s="22">
        <x:f>IF($K247="","",ISOWEEKNUM($K247))</x:f>
        <x:v>14</x:v>
      </x:c>
      <x:c r="D247" s="23">
        <x:f>IF($K247="","",IF(AND(IFERROR(INDEX(Einstellungen!$I$3:$I$22,MATCH($K247,Einstellungen!$H$3:$H$22,0)),"")&lt;&gt;"",IFERROR(INDEX(Einstellungen!$B$20:$B$119,MATCH($K247,Einstellungen!$A$20:$A$119,0)),"")&lt;&gt;""),IFERROR(INDEX(Einstellungen!$I$3:$I$22,MATCH($K247,Einstellungen!$H$3:$H$22,0)),"")&amp;" / "&amp;IFERROR(INDEX(Einstellungen!$B$20:$B$119,MATCH($K247,Einstellungen!$A$20:$A$119,0)),""),IF(IFERROR(INDEX(Einstellungen!$I$3:$I$22,MATCH($K247,Einstellungen!$H$3:$H$22,0)),"")&lt;&gt;"",IFERROR(INDEX(Einstellungen!$I$3:$I$22,MATCH($K247,Einstellungen!$H$3:$H$22,0)),""),IFERROR(INDEX(Einstellungen!$B$20:$B$119,MATCH($K247,Einstellungen!$A$20:$A$119,0)),""))))</x:f>
      </x:c>
      <x:c r="E247" s="24">
        <x:f>IF($K247="","",SUM(F247:J247))</x:f>
        <x:v>7</x:v>
      </x:c>
      <x:c r="F247" s="25" t="n">
        <x:v>1</x:v>
      </x:c>
      <x:c r="G247" s="25" t="n">
        <x:v>2.5</x:v>
      </x:c>
      <x:c r="H247" s="25" t="n">
        <x:v>1.5</x:v>
      </x:c>
      <x:c r="I247" s="25" t="n">
        <x:v>1.5</x:v>
      </x:c>
      <x:c r="J247" s="25" t="n">
        <x:v>0.5</x:v>
      </x:c>
      <x:c r="K247">
        <x:f>IF(1&lt;=DAY(EOMONTH($K245,0)),$K245+0,"")</x:f>
        <x:v>46113</x:v>
      </x:c>
    </x:row>
    <x:row r="248">
      <x:c r="A248" s="21">
        <x:f>IF($K248="","",DAY($K248))</x:f>
        <x:v>2</x:v>
      </x:c>
      <x:c r="B248" s="22" t="str">
        <x:f>IF($K248="","",CHOOSE(WEEKDAY($K248,2),"Mo","Di","Mi","Do","Fr","Sa","So"))</x:f>
        <x:v>Do</x:v>
      </x:c>
      <x:c r="C248" s="22">
        <x:f>IF($K248="","",ISOWEEKNUM($K248))</x:f>
        <x:v>14</x:v>
      </x:c>
      <x:c r="D248" s="23">
        <x:f>IF($K248="","",IF(AND(IFERROR(INDEX(Einstellungen!$I$3:$I$22,MATCH($K248,Einstellungen!$H$3:$H$22,0)),"")&lt;&gt;"",IFERROR(INDEX(Einstellungen!$B$20:$B$119,MATCH($K248,Einstellungen!$A$20:$A$119,0)),"")&lt;&gt;""),IFERROR(INDEX(Einstellungen!$I$3:$I$22,MATCH($K248,Einstellungen!$H$3:$H$22,0)),"")&amp;" / "&amp;IFERROR(INDEX(Einstellungen!$B$20:$B$119,MATCH($K248,Einstellungen!$A$20:$A$119,0)),""),IF(IFERROR(INDEX(Einstellungen!$I$3:$I$22,MATCH($K248,Einstellungen!$H$3:$H$22,0)),"")&lt;&gt;"",IFERROR(INDEX(Einstellungen!$I$3:$I$22,MATCH($K248,Einstellungen!$H$3:$H$22,0)),""),IFERROR(INDEX(Einstellungen!$B$20:$B$119,MATCH($K248,Einstellungen!$A$20:$A$119,0)),""))))</x:f>
      </x:c>
      <x:c r="E248" s="24">
        <x:f>IF($K248="","",SUM(F248:J248))</x:f>
        <x:v>8</x:v>
      </x:c>
      <x:c r="F248" s="25" t="n">
        <x:v>1.5</x:v>
      </x:c>
      <x:c r="G248" s="25" t="n">
        <x:v>2</x:v>
      </x:c>
      <x:c r="H248" s="25" t="n">
        <x:v>1.5</x:v>
      </x:c>
      <x:c r="I248" s="25" t="n">
        <x:v>2.5</x:v>
      </x:c>
      <x:c r="J248" s="25" t="n">
        <x:v>0.5</x:v>
      </x:c>
      <x:c r="K248">
        <x:f>IF(2&lt;=DAY(EOMONTH($K245,0)),$K245+1,"")</x:f>
        <x:v>46114</x:v>
      </x:c>
    </x:row>
    <x:row r="249">
      <x:c r="A249" s="21">
        <x:f>IF($K249="","",DAY($K249))</x:f>
        <x:v>3</x:v>
      </x:c>
      <x:c r="B249" s="22" t="str">
        <x:f>IF($K249="","",CHOOSE(WEEKDAY($K249,2),"Mo","Di","Mi","Do","Fr","Sa","So"))</x:f>
        <x:v>Fr</x:v>
      </x:c>
      <x:c r="C249" s="22">
        <x:f>IF($K249="","",ISOWEEKNUM($K249))</x:f>
        <x:v>14</x:v>
      </x:c>
      <x:c r="D249" s="23" t="str">
        <x:f>IF($K249="","",IF(AND(IFERROR(INDEX(Einstellungen!$I$3:$I$22,MATCH($K249,Einstellungen!$H$3:$H$22,0)),"")&lt;&gt;"",IFERROR(INDEX(Einstellungen!$B$20:$B$119,MATCH($K249,Einstellungen!$A$20:$A$119,0)),"")&lt;&gt;""),IFERROR(INDEX(Einstellungen!$I$3:$I$22,MATCH($K249,Einstellungen!$H$3:$H$22,0)),"")&amp;" / "&amp;IFERROR(INDEX(Einstellungen!$B$20:$B$119,MATCH($K249,Einstellungen!$A$20:$A$119,0)),""),IF(IFERROR(INDEX(Einstellungen!$I$3:$I$22,MATCH($K249,Einstellungen!$H$3:$H$22,0)),"")&lt;&gt;"",IFERROR(INDEX(Einstellungen!$I$3:$I$22,MATCH($K249,Einstellungen!$H$3:$H$22,0)),""),IFERROR(INDEX(Einstellungen!$B$20:$B$119,MATCH($K249,Einstellungen!$A$20:$A$119,0)),""))))</x:f>
        <x:v>Karfreitag</x:v>
      </x:c>
      <x:c r="E249" s="24">
        <x:f>IF($K249="","",SUM(F249:J249))</x:f>
        <x:v>0</x:v>
      </x:c>
      <x:c r="F249" s="25" t="n"/>
      <x:c r="G249" s="25" t="n"/>
      <x:c r="H249" s="25" t="n"/>
      <x:c r="I249" s="25" t="n"/>
      <x:c r="J249" s="25" t="n"/>
      <x:c r="K249">
        <x:f>IF(3&lt;=DAY(EOMONTH($K245,0)),$K245+2,"")</x:f>
        <x:v>46115</x:v>
      </x:c>
    </x:row>
    <x:row r="250">
      <x:c r="A250" s="21">
        <x:f>IF($K250="","",DAY($K250))</x:f>
        <x:v>4</x:v>
      </x:c>
      <x:c r="B250" s="22" t="str">
        <x:f>IF($K250="","",CHOOSE(WEEKDAY($K250,2),"Mo","Di","Mi","Do","Fr","Sa","So"))</x:f>
        <x:v>Sa</x:v>
      </x:c>
      <x:c r="C250" s="22">
        <x:f>IF($K250="","",ISOWEEKNUM($K250))</x:f>
        <x:v>14</x:v>
      </x:c>
      <x:c r="D250" s="23">
        <x:f>IF($K250="","",IF(AND(IFERROR(INDEX(Einstellungen!$I$3:$I$22,MATCH($K250,Einstellungen!$H$3:$H$22,0)),"")&lt;&gt;"",IFERROR(INDEX(Einstellungen!$B$20:$B$119,MATCH($K250,Einstellungen!$A$20:$A$119,0)),"")&lt;&gt;""),IFERROR(INDEX(Einstellungen!$I$3:$I$22,MATCH($K250,Einstellungen!$H$3:$H$22,0)),"")&amp;" / "&amp;IFERROR(INDEX(Einstellungen!$B$20:$B$119,MATCH($K250,Einstellungen!$A$20:$A$119,0)),""),IF(IFERROR(INDEX(Einstellungen!$I$3:$I$22,MATCH($K250,Einstellungen!$H$3:$H$22,0)),"")&lt;&gt;"",IFERROR(INDEX(Einstellungen!$I$3:$I$22,MATCH($K250,Einstellungen!$H$3:$H$22,0)),""),IFERROR(INDEX(Einstellungen!$B$20:$B$119,MATCH($K250,Einstellungen!$A$20:$A$119,0)),""))))</x:f>
      </x:c>
      <x:c r="E250" s="24">
        <x:f>IF($K250="","",SUM(F250:J250))</x:f>
        <x:v>0</x:v>
      </x:c>
      <x:c r="F250" s="25" t="n"/>
      <x:c r="G250" s="25" t="n"/>
      <x:c r="H250" s="25" t="n"/>
      <x:c r="I250" s="25" t="n"/>
      <x:c r="J250" s="25" t="n"/>
      <x:c r="K250">
        <x:f>IF(4&lt;=DAY(EOMONTH($K245,0)),$K245+3,"")</x:f>
        <x:v>46116</x:v>
      </x:c>
    </x:row>
    <x:row r="251">
      <x:c r="A251" s="21">
        <x:f>IF($K251="","",DAY($K251))</x:f>
        <x:v>5</x:v>
      </x:c>
      <x:c r="B251" s="22" t="str">
        <x:f>IF($K251="","",CHOOSE(WEEKDAY($K251,2),"Mo","Di","Mi","Do","Fr","Sa","So"))</x:f>
        <x:v>So</x:v>
      </x:c>
      <x:c r="C251" s="22">
        <x:f>IF($K251="","",ISOWEEKNUM($K251))</x:f>
        <x:v>14</x:v>
      </x:c>
      <x:c r="D251" s="23">
        <x:f>IF($K251="","",IF(AND(IFERROR(INDEX(Einstellungen!$I$3:$I$22,MATCH($K251,Einstellungen!$H$3:$H$22,0)),"")&lt;&gt;"",IFERROR(INDEX(Einstellungen!$B$20:$B$119,MATCH($K251,Einstellungen!$A$20:$A$119,0)),"")&lt;&gt;""),IFERROR(INDEX(Einstellungen!$I$3:$I$22,MATCH($K251,Einstellungen!$H$3:$H$22,0)),"")&amp;" / "&amp;IFERROR(INDEX(Einstellungen!$B$20:$B$119,MATCH($K251,Einstellungen!$A$20:$A$119,0)),""),IF(IFERROR(INDEX(Einstellungen!$I$3:$I$22,MATCH($K251,Einstellungen!$H$3:$H$22,0)),"")&lt;&gt;"",IFERROR(INDEX(Einstellungen!$I$3:$I$22,MATCH($K251,Einstellungen!$H$3:$H$22,0)),""),IFERROR(INDEX(Einstellungen!$B$20:$B$119,MATCH($K251,Einstellungen!$A$20:$A$119,0)),""))))</x:f>
      </x:c>
      <x:c r="E251" s="24">
        <x:f>IF($K251="","",SUM(F251:J251))</x:f>
        <x:v>0</x:v>
      </x:c>
      <x:c r="F251" s="25" t="n"/>
      <x:c r="G251" s="25" t="n"/>
      <x:c r="H251" s="25" t="n"/>
      <x:c r="I251" s="25" t="n"/>
      <x:c r="J251" s="25" t="n"/>
      <x:c r="K251">
        <x:f>IF(5&lt;=DAY(EOMONTH($K245,0)),$K245+4,"")</x:f>
        <x:v>46117</x:v>
      </x:c>
    </x:row>
    <x:row r="252">
      <x:c r="A252" s="21">
        <x:f>IF($K252="","",DAY($K252))</x:f>
        <x:v>6</x:v>
      </x:c>
      <x:c r="B252" s="22" t="str">
        <x:f>IF($K252="","",CHOOSE(WEEKDAY($K252,2),"Mo","Di","Mi","Do","Fr","Sa","So"))</x:f>
        <x:v>Mo</x:v>
      </x:c>
      <x:c r="C252" s="22">
        <x:f>IF($K252="","",ISOWEEKNUM($K252))</x:f>
        <x:v>15</x:v>
      </x:c>
      <x:c r="D252" s="23" t="str">
        <x:f>IF($K252="","",IF(AND(IFERROR(INDEX(Einstellungen!$I$3:$I$22,MATCH($K252,Einstellungen!$H$3:$H$22,0)),"")&lt;&gt;"",IFERROR(INDEX(Einstellungen!$B$20:$B$119,MATCH($K252,Einstellungen!$A$20:$A$119,0)),"")&lt;&gt;""),IFERROR(INDEX(Einstellungen!$I$3:$I$22,MATCH($K252,Einstellungen!$H$3:$H$22,0)),"")&amp;" / "&amp;IFERROR(INDEX(Einstellungen!$B$20:$B$119,MATCH($K252,Einstellungen!$A$20:$A$119,0)),""),IF(IFERROR(INDEX(Einstellungen!$I$3:$I$22,MATCH($K252,Einstellungen!$H$3:$H$22,0)),"")&lt;&gt;"",IFERROR(INDEX(Einstellungen!$I$3:$I$22,MATCH($K252,Einstellungen!$H$3:$H$22,0)),""),IFERROR(INDEX(Einstellungen!$B$20:$B$119,MATCH($K252,Einstellungen!$A$20:$A$119,0)),""))))</x:f>
        <x:v>Ostermontag</x:v>
      </x:c>
      <x:c r="E252" s="24">
        <x:f>IF($K252="","",SUM(F252:J252))</x:f>
        <x:v>0</x:v>
      </x:c>
      <x:c r="F252" s="25" t="n"/>
      <x:c r="G252" s="25" t="n"/>
      <x:c r="H252" s="25" t="n"/>
      <x:c r="I252" s="25" t="n"/>
      <x:c r="J252" s="25" t="n"/>
      <x:c r="K252">
        <x:f>IF(6&lt;=DAY(EOMONTH($K245,0)),$K245+5,"")</x:f>
        <x:v>46118</x:v>
      </x:c>
    </x:row>
    <x:row r="253">
      <x:c r="A253" s="21">
        <x:f>IF($K253="","",DAY($K253))</x:f>
        <x:v>7</x:v>
      </x:c>
      <x:c r="B253" s="22" t="str">
        <x:f>IF($K253="","",CHOOSE(WEEKDAY($K253,2),"Mo","Di","Mi","Do","Fr","Sa","So"))</x:f>
        <x:v>Di</x:v>
      </x:c>
      <x:c r="C253" s="22">
        <x:f>IF($K253="","",ISOWEEKNUM($K253))</x:f>
        <x:v>15</x:v>
      </x:c>
      <x:c r="D253" s="23">
        <x:f>IF($K253="","",IF(AND(IFERROR(INDEX(Einstellungen!$I$3:$I$22,MATCH($K253,Einstellungen!$H$3:$H$22,0)),"")&lt;&gt;"",IFERROR(INDEX(Einstellungen!$B$20:$B$119,MATCH($K253,Einstellungen!$A$20:$A$119,0)),"")&lt;&gt;""),IFERROR(INDEX(Einstellungen!$I$3:$I$22,MATCH($K253,Einstellungen!$H$3:$H$22,0)),"")&amp;" / "&amp;IFERROR(INDEX(Einstellungen!$B$20:$B$119,MATCH($K253,Einstellungen!$A$20:$A$119,0)),""),IF(IFERROR(INDEX(Einstellungen!$I$3:$I$22,MATCH($K253,Einstellungen!$H$3:$H$22,0)),"")&lt;&gt;"",IFERROR(INDEX(Einstellungen!$I$3:$I$22,MATCH($K253,Einstellungen!$H$3:$H$22,0)),""),IFERROR(INDEX(Einstellungen!$B$20:$B$119,MATCH($K253,Einstellungen!$A$20:$A$119,0)),""))))</x:f>
      </x:c>
      <x:c r="E253" s="24">
        <x:f>IF($K253="","",SUM(F253:J253))</x:f>
        <x:v>6.5</x:v>
      </x:c>
      <x:c r="F253" s="25" t="n">
        <x:v>1.5</x:v>
      </x:c>
      <x:c r="G253" s="25" t="n">
        <x:v>2</x:v>
      </x:c>
      <x:c r="H253" s="25" t="n">
        <x:v>1</x:v>
      </x:c>
      <x:c r="I253" s="25" t="n">
        <x:v>2</x:v>
      </x:c>
      <x:c r="J253" s="25" t="n"/>
      <x:c r="K253">
        <x:f>IF(7&lt;=DAY(EOMONTH($K245,0)),$K245+6,"")</x:f>
        <x:v>46119</x:v>
      </x:c>
    </x:row>
    <x:row r="254">
      <x:c r="A254" s="21">
        <x:f>IF($K254="","",DAY($K254))</x:f>
        <x:v>8</x:v>
      </x:c>
      <x:c r="B254" s="22" t="str">
        <x:f>IF($K254="","",CHOOSE(WEEKDAY($K254,2),"Mo","Di","Mi","Do","Fr","Sa","So"))</x:f>
        <x:v>Mi</x:v>
      </x:c>
      <x:c r="C254" s="22">
        <x:f>IF($K254="","",ISOWEEKNUM($K254))</x:f>
        <x:v>15</x:v>
      </x:c>
      <x:c r="D254" s="23">
        <x:f>IF($K254="","",IF(AND(IFERROR(INDEX(Einstellungen!$I$3:$I$22,MATCH($K254,Einstellungen!$H$3:$H$22,0)),"")&lt;&gt;"",IFERROR(INDEX(Einstellungen!$B$20:$B$119,MATCH($K254,Einstellungen!$A$20:$A$119,0)),"")&lt;&gt;""),IFERROR(INDEX(Einstellungen!$I$3:$I$22,MATCH($K254,Einstellungen!$H$3:$H$22,0)),"")&amp;" / "&amp;IFERROR(INDEX(Einstellungen!$B$20:$B$119,MATCH($K254,Einstellungen!$A$20:$A$119,0)),""),IF(IFERROR(INDEX(Einstellungen!$I$3:$I$22,MATCH($K254,Einstellungen!$H$3:$H$22,0)),"")&lt;&gt;"",IFERROR(INDEX(Einstellungen!$I$3:$I$22,MATCH($K254,Einstellungen!$H$3:$H$22,0)),""),IFERROR(INDEX(Einstellungen!$B$20:$B$119,MATCH($K254,Einstellungen!$A$20:$A$119,0)),""))))</x:f>
      </x:c>
      <x:c r="E254" s="24">
        <x:f>IF($K254="","",SUM(F254:J254))</x:f>
        <x:v>7.5</x:v>
      </x:c>
      <x:c r="F254" s="25" t="n">
        <x:v>1</x:v>
      </x:c>
      <x:c r="G254" s="25" t="n">
        <x:v>2.5</x:v>
      </x:c>
      <x:c r="H254" s="25" t="n">
        <x:v>2</x:v>
      </x:c>
      <x:c r="I254" s="25" t="n">
        <x:v>1.5</x:v>
      </x:c>
      <x:c r="J254" s="25" t="n">
        <x:v>0.5</x:v>
      </x:c>
      <x:c r="K254">
        <x:f>IF(8&lt;=DAY(EOMONTH($K245,0)),$K245+7,"")</x:f>
        <x:v>46120</x:v>
      </x:c>
    </x:row>
    <x:row r="255">
      <x:c r="A255" s="21">
        <x:f>IF($K255="","",DAY($K255))</x:f>
        <x:v>9</x:v>
      </x:c>
      <x:c r="B255" s="22" t="str">
        <x:f>IF($K255="","",CHOOSE(WEEKDAY($K255,2),"Mo","Di","Mi","Do","Fr","Sa","So"))</x:f>
        <x:v>Do</x:v>
      </x:c>
      <x:c r="C255" s="22">
        <x:f>IF($K255="","",ISOWEEKNUM($K255))</x:f>
        <x:v>15</x:v>
      </x:c>
      <x:c r="D255" s="23">
        <x:f>IF($K255="","",IF(AND(IFERROR(INDEX(Einstellungen!$I$3:$I$22,MATCH($K255,Einstellungen!$H$3:$H$22,0)),"")&lt;&gt;"",IFERROR(INDEX(Einstellungen!$B$20:$B$119,MATCH($K255,Einstellungen!$A$20:$A$119,0)),"")&lt;&gt;""),IFERROR(INDEX(Einstellungen!$I$3:$I$22,MATCH($K255,Einstellungen!$H$3:$H$22,0)),"")&amp;" / "&amp;IFERROR(INDEX(Einstellungen!$B$20:$B$119,MATCH($K255,Einstellungen!$A$20:$A$119,0)),""),IF(IFERROR(INDEX(Einstellungen!$I$3:$I$22,MATCH($K255,Einstellungen!$H$3:$H$22,0)),"")&lt;&gt;"",IFERROR(INDEX(Einstellungen!$I$3:$I$22,MATCH($K255,Einstellungen!$H$3:$H$22,0)),""),IFERROR(INDEX(Einstellungen!$B$20:$B$119,MATCH($K255,Einstellungen!$A$20:$A$119,0)),""))))</x:f>
      </x:c>
      <x:c r="E255" s="24">
        <x:f>IF($K255="","",SUM(F255:J255))</x:f>
        <x:v>7</x:v>
      </x:c>
      <x:c r="F255" s="25" t="n">
        <x:v>1.5</x:v>
      </x:c>
      <x:c r="G255" s="25" t="n">
        <x:v>2</x:v>
      </x:c>
      <x:c r="H255" s="25" t="n">
        <x:v>1.5</x:v>
      </x:c>
      <x:c r="I255" s="25" t="n">
        <x:v>1.5</x:v>
      </x:c>
      <x:c r="J255" s="25" t="n">
        <x:v>0.5</x:v>
      </x:c>
      <x:c r="K255">
        <x:f>IF(9&lt;=DAY(EOMONTH($K245,0)),$K245+8,"")</x:f>
        <x:v>46121</x:v>
      </x:c>
    </x:row>
    <x:row r="256">
      <x:c r="A256" s="21">
        <x:f>IF($K256="","",DAY($K256))</x:f>
        <x:v>10</x:v>
      </x:c>
      <x:c r="B256" s="22" t="str">
        <x:f>IF($K256="","",CHOOSE(WEEKDAY($K256,2),"Mo","Di","Mi","Do","Fr","Sa","So"))</x:f>
        <x:v>Fr</x:v>
      </x:c>
      <x:c r="C256" s="22">
        <x:f>IF($K256="","",ISOWEEKNUM($K256))</x:f>
        <x:v>15</x:v>
      </x:c>
      <x:c r="D256" s="23">
        <x:f>IF($K256="","",IF(AND(IFERROR(INDEX(Einstellungen!$I$3:$I$22,MATCH($K256,Einstellungen!$H$3:$H$22,0)),"")&lt;&gt;"",IFERROR(INDEX(Einstellungen!$B$20:$B$119,MATCH($K256,Einstellungen!$A$20:$A$119,0)),"")&lt;&gt;""),IFERROR(INDEX(Einstellungen!$I$3:$I$22,MATCH($K256,Einstellungen!$H$3:$H$22,0)),"")&amp;" / "&amp;IFERROR(INDEX(Einstellungen!$B$20:$B$119,MATCH($K256,Einstellungen!$A$20:$A$119,0)),""),IF(IFERROR(INDEX(Einstellungen!$I$3:$I$22,MATCH($K256,Einstellungen!$H$3:$H$22,0)),"")&lt;&gt;"",IFERROR(INDEX(Einstellungen!$I$3:$I$22,MATCH($K256,Einstellungen!$H$3:$H$22,0)),""),IFERROR(INDEX(Einstellungen!$B$20:$B$119,MATCH($K256,Einstellungen!$A$20:$A$119,0)),""))))</x:f>
      </x:c>
      <x:c r="E256" s="24">
        <x:f>IF($K256="","",SUM(F256:J256))</x:f>
        <x:v>6</x:v>
      </x:c>
      <x:c r="F256" s="25" t="n">
        <x:v>2</x:v>
      </x:c>
      <x:c r="G256" s="25" t="n">
        <x:v>1</x:v>
      </x:c>
      <x:c r="H256" s="25" t="n">
        <x:v>1</x:v>
      </x:c>
      <x:c r="I256" s="25" t="n">
        <x:v>1</x:v>
      </x:c>
      <x:c r="J256" s="25" t="n">
        <x:v>1</x:v>
      </x:c>
      <x:c r="K256">
        <x:f>IF(10&lt;=DAY(EOMONTH($K245,0)),$K245+9,"")</x:f>
        <x:v>46122</x:v>
      </x:c>
    </x:row>
    <x:row r="257">
      <x:c r="A257" s="21">
        <x:f>IF($K257="","",DAY($K257))</x:f>
        <x:v>11</x:v>
      </x:c>
      <x:c r="B257" s="22" t="str">
        <x:f>IF($K257="","",CHOOSE(WEEKDAY($K257,2),"Mo","Di","Mi","Do","Fr","Sa","So"))</x:f>
        <x:v>Sa</x:v>
      </x:c>
      <x:c r="C257" s="22">
        <x:f>IF($K257="","",ISOWEEKNUM($K257))</x:f>
        <x:v>15</x:v>
      </x:c>
      <x:c r="D257" s="23">
        <x:f>IF($K257="","",IF(AND(IFERROR(INDEX(Einstellungen!$I$3:$I$22,MATCH($K257,Einstellungen!$H$3:$H$22,0)),"")&lt;&gt;"",IFERROR(INDEX(Einstellungen!$B$20:$B$119,MATCH($K257,Einstellungen!$A$20:$A$119,0)),"")&lt;&gt;""),IFERROR(INDEX(Einstellungen!$I$3:$I$22,MATCH($K257,Einstellungen!$H$3:$H$22,0)),"")&amp;" / "&amp;IFERROR(INDEX(Einstellungen!$B$20:$B$119,MATCH($K257,Einstellungen!$A$20:$A$119,0)),""),IF(IFERROR(INDEX(Einstellungen!$I$3:$I$22,MATCH($K257,Einstellungen!$H$3:$H$22,0)),"")&lt;&gt;"",IFERROR(INDEX(Einstellungen!$I$3:$I$22,MATCH($K257,Einstellungen!$H$3:$H$22,0)),""),IFERROR(INDEX(Einstellungen!$B$20:$B$119,MATCH($K257,Einstellungen!$A$20:$A$119,0)),""))))</x:f>
      </x:c>
      <x:c r="E257" s="24">
        <x:f>IF($K257="","",SUM(F257:J257))</x:f>
        <x:v>0</x:v>
      </x:c>
      <x:c r="F257" s="25" t="n"/>
      <x:c r="G257" s="25" t="n"/>
      <x:c r="H257" s="25" t="n"/>
      <x:c r="I257" s="25" t="n"/>
      <x:c r="J257" s="25" t="n"/>
      <x:c r="K257">
        <x:f>IF(11&lt;=DAY(EOMONTH($K245,0)),$K245+10,"")</x:f>
        <x:v>46123</x:v>
      </x:c>
    </x:row>
    <x:row r="258">
      <x:c r="A258" s="21">
        <x:f>IF($K258="","",DAY($K258))</x:f>
        <x:v>12</x:v>
      </x:c>
      <x:c r="B258" s="22" t="str">
        <x:f>IF($K258="","",CHOOSE(WEEKDAY($K258,2),"Mo","Di","Mi","Do","Fr","Sa","So"))</x:f>
        <x:v>So</x:v>
      </x:c>
      <x:c r="C258" s="22">
        <x:f>IF($K258="","",ISOWEEKNUM($K258))</x:f>
        <x:v>15</x:v>
      </x:c>
      <x:c r="D258" s="23">
        <x:f>IF($K258="","",IF(AND(IFERROR(INDEX(Einstellungen!$I$3:$I$22,MATCH($K258,Einstellungen!$H$3:$H$22,0)),"")&lt;&gt;"",IFERROR(INDEX(Einstellungen!$B$20:$B$119,MATCH($K258,Einstellungen!$A$20:$A$119,0)),"")&lt;&gt;""),IFERROR(INDEX(Einstellungen!$I$3:$I$22,MATCH($K258,Einstellungen!$H$3:$H$22,0)),"")&amp;" / "&amp;IFERROR(INDEX(Einstellungen!$B$20:$B$119,MATCH($K258,Einstellungen!$A$20:$A$119,0)),""),IF(IFERROR(INDEX(Einstellungen!$I$3:$I$22,MATCH($K258,Einstellungen!$H$3:$H$22,0)),"")&lt;&gt;"",IFERROR(INDEX(Einstellungen!$I$3:$I$22,MATCH($K258,Einstellungen!$H$3:$H$22,0)),""),IFERROR(INDEX(Einstellungen!$B$20:$B$119,MATCH($K258,Einstellungen!$A$20:$A$119,0)),""))))</x:f>
      </x:c>
      <x:c r="E258" s="24">
        <x:f>IF($K258="","",SUM(F258:J258))</x:f>
        <x:v>0</x:v>
      </x:c>
      <x:c r="F258" s="25" t="n"/>
      <x:c r="G258" s="25" t="n"/>
      <x:c r="H258" s="25" t="n"/>
      <x:c r="I258" s="25" t="n"/>
      <x:c r="J258" s="25" t="n"/>
      <x:c r="K258">
        <x:f>IF(12&lt;=DAY(EOMONTH($K245,0)),$K245+11,"")</x:f>
        <x:v>46124</x:v>
      </x:c>
    </x:row>
    <x:row r="259">
      <x:c r="A259" s="21">
        <x:f>IF($K259="","",DAY($K259))</x:f>
        <x:v>13</x:v>
      </x:c>
      <x:c r="B259" s="22" t="str">
        <x:f>IF($K259="","",CHOOSE(WEEKDAY($K259,2),"Mo","Di","Mi","Do","Fr","Sa","So"))</x:f>
        <x:v>Mo</x:v>
      </x:c>
      <x:c r="C259" s="22">
        <x:f>IF($K259="","",ISOWEEKNUM($K259))</x:f>
        <x:v>16</x:v>
      </x:c>
      <x:c r="D259" s="23">
        <x:f>IF($K259="","",IF(AND(IFERROR(INDEX(Einstellungen!$I$3:$I$22,MATCH($K259,Einstellungen!$H$3:$H$22,0)),"")&lt;&gt;"",IFERROR(INDEX(Einstellungen!$B$20:$B$119,MATCH($K259,Einstellungen!$A$20:$A$119,0)),"")&lt;&gt;""),IFERROR(INDEX(Einstellungen!$I$3:$I$22,MATCH($K259,Einstellungen!$H$3:$H$22,0)),"")&amp;" / "&amp;IFERROR(INDEX(Einstellungen!$B$20:$B$119,MATCH($K259,Einstellungen!$A$20:$A$119,0)),""),IF(IFERROR(INDEX(Einstellungen!$I$3:$I$22,MATCH($K259,Einstellungen!$H$3:$H$22,0)),"")&lt;&gt;"",IFERROR(INDEX(Einstellungen!$I$3:$I$22,MATCH($K259,Einstellungen!$H$3:$H$22,0)),""),IFERROR(INDEX(Einstellungen!$B$20:$B$119,MATCH($K259,Einstellungen!$A$20:$A$119,0)),""))))</x:f>
      </x:c>
      <x:c r="E259" s="24">
        <x:f>IF($K259="","",SUM(F259:J259))</x:f>
        <x:v>7</x:v>
      </x:c>
      <x:c r="F259" s="25" t="n">
        <x:v>1.5</x:v>
      </x:c>
      <x:c r="G259" s="25" t="n">
        <x:v>2</x:v>
      </x:c>
      <x:c r="H259" s="25" t="n">
        <x:v>1</x:v>
      </x:c>
      <x:c r="I259" s="25" t="n">
        <x:v>2</x:v>
      </x:c>
      <x:c r="J259" s="25" t="n">
        <x:v>0.5</x:v>
      </x:c>
      <x:c r="K259">
        <x:f>IF(13&lt;=DAY(EOMONTH($K245,0)),$K245+12,"")</x:f>
        <x:v>46125</x:v>
      </x:c>
    </x:row>
    <x:row r="260">
      <x:c r="A260" s="21">
        <x:f>IF($K260="","",DAY($K260))</x:f>
        <x:v>14</x:v>
      </x:c>
      <x:c r="B260" s="22" t="str">
        <x:f>IF($K260="","",CHOOSE(WEEKDAY($K260,2),"Mo","Di","Mi","Do","Fr","Sa","So"))</x:f>
        <x:v>Di</x:v>
      </x:c>
      <x:c r="C260" s="22">
        <x:f>IF($K260="","",ISOWEEKNUM($K260))</x:f>
        <x:v>16</x:v>
      </x:c>
      <x:c r="D260" s="23">
        <x:f>IF($K260="","",IF(AND(IFERROR(INDEX(Einstellungen!$I$3:$I$22,MATCH($K260,Einstellungen!$H$3:$H$22,0)),"")&lt;&gt;"",IFERROR(INDEX(Einstellungen!$B$20:$B$119,MATCH($K260,Einstellungen!$A$20:$A$119,0)),"")&lt;&gt;""),IFERROR(INDEX(Einstellungen!$I$3:$I$22,MATCH($K260,Einstellungen!$H$3:$H$22,0)),"")&amp;" / "&amp;IFERROR(INDEX(Einstellungen!$B$20:$B$119,MATCH($K260,Einstellungen!$A$20:$A$119,0)),""),IF(IFERROR(INDEX(Einstellungen!$I$3:$I$22,MATCH($K260,Einstellungen!$H$3:$H$22,0)),"")&lt;&gt;"",IFERROR(INDEX(Einstellungen!$I$3:$I$22,MATCH($K260,Einstellungen!$H$3:$H$22,0)),""),IFERROR(INDEX(Einstellungen!$B$20:$B$119,MATCH($K260,Einstellungen!$A$20:$A$119,0)),""))))</x:f>
      </x:c>
      <x:c r="E260" s="24">
        <x:f>IF($K260="","",SUM(F260:J260))</x:f>
        <x:v>7</x:v>
      </x:c>
      <x:c r="F260" s="25" t="n">
        <x:v>1.5</x:v>
      </x:c>
      <x:c r="G260" s="25" t="n">
        <x:v>2.5</x:v>
      </x:c>
      <x:c r="H260" s="25" t="n">
        <x:v>1</x:v>
      </x:c>
      <x:c r="I260" s="25" t="n">
        <x:v>2</x:v>
      </x:c>
      <x:c r="J260" s="25" t="n"/>
      <x:c r="K260">
        <x:f>IF(14&lt;=DAY(EOMONTH($K245,0)),$K245+13,"")</x:f>
        <x:v>46126</x:v>
      </x:c>
    </x:row>
    <x:row r="261">
      <x:c r="A261" s="21">
        <x:f>IF($K261="","",DAY($K261))</x:f>
        <x:v>15</x:v>
      </x:c>
      <x:c r="B261" s="22" t="str">
        <x:f>IF($K261="","",CHOOSE(WEEKDAY($K261,2),"Mo","Di","Mi","Do","Fr","Sa","So"))</x:f>
        <x:v>Mi</x:v>
      </x:c>
      <x:c r="C261" s="22">
        <x:f>IF($K261="","",ISOWEEKNUM($K261))</x:f>
        <x:v>16</x:v>
      </x:c>
      <x:c r="D261" s="23">
        <x:f>IF($K261="","",IF(AND(IFERROR(INDEX(Einstellungen!$I$3:$I$22,MATCH($K261,Einstellungen!$H$3:$H$22,0)),"")&lt;&gt;"",IFERROR(INDEX(Einstellungen!$B$20:$B$119,MATCH($K261,Einstellungen!$A$20:$A$119,0)),"")&lt;&gt;""),IFERROR(INDEX(Einstellungen!$I$3:$I$22,MATCH($K261,Einstellungen!$H$3:$H$22,0)),"")&amp;" / "&amp;IFERROR(INDEX(Einstellungen!$B$20:$B$119,MATCH($K261,Einstellungen!$A$20:$A$119,0)),""),IF(IFERROR(INDEX(Einstellungen!$I$3:$I$22,MATCH($K261,Einstellungen!$H$3:$H$22,0)),"")&lt;&gt;"",IFERROR(INDEX(Einstellungen!$I$3:$I$22,MATCH($K261,Einstellungen!$H$3:$H$22,0)),""),IFERROR(INDEX(Einstellungen!$B$20:$B$119,MATCH($K261,Einstellungen!$A$20:$A$119,0)),""))))</x:f>
      </x:c>
      <x:c r="E261" s="24">
        <x:f>IF($K261="","",SUM(F261:J261))</x:f>
        <x:v>6.5</x:v>
      </x:c>
      <x:c r="F261" s="25" t="n">
        <x:v>1</x:v>
      </x:c>
      <x:c r="G261" s="25" t="n">
        <x:v>2.5</x:v>
      </x:c>
      <x:c r="H261" s="25" t="n">
        <x:v>1</x:v>
      </x:c>
      <x:c r="I261" s="25" t="n">
        <x:v>1.5</x:v>
      </x:c>
      <x:c r="J261" s="25" t="n">
        <x:v>0.5</x:v>
      </x:c>
      <x:c r="K261">
        <x:f>IF(15&lt;=DAY(EOMONTH($K245,0)),$K245+14,"")</x:f>
        <x:v>46127</x:v>
      </x:c>
    </x:row>
    <x:row r="262">
      <x:c r="A262" s="21">
        <x:f>IF($K262="","",DAY($K262))</x:f>
        <x:v>16</x:v>
      </x:c>
      <x:c r="B262" s="22" t="str">
        <x:f>IF($K262="","",CHOOSE(WEEKDAY($K262,2),"Mo","Di","Mi","Do","Fr","Sa","So"))</x:f>
        <x:v>Do</x:v>
      </x:c>
      <x:c r="C262" s="22">
        <x:f>IF($K262="","",ISOWEEKNUM($K262))</x:f>
        <x:v>16</x:v>
      </x:c>
      <x:c r="D262" s="23">
        <x:f>IF($K262="","",IF(AND(IFERROR(INDEX(Einstellungen!$I$3:$I$22,MATCH($K262,Einstellungen!$H$3:$H$22,0)),"")&lt;&gt;"",IFERROR(INDEX(Einstellungen!$B$20:$B$119,MATCH($K262,Einstellungen!$A$20:$A$119,0)),"")&lt;&gt;""),IFERROR(INDEX(Einstellungen!$I$3:$I$22,MATCH($K262,Einstellungen!$H$3:$H$22,0)),"")&amp;" / "&amp;IFERROR(INDEX(Einstellungen!$B$20:$B$119,MATCH($K262,Einstellungen!$A$20:$A$119,0)),""),IF(IFERROR(INDEX(Einstellungen!$I$3:$I$22,MATCH($K262,Einstellungen!$H$3:$H$22,0)),"")&lt;&gt;"",IFERROR(INDEX(Einstellungen!$I$3:$I$22,MATCH($K262,Einstellungen!$H$3:$H$22,0)),""),IFERROR(INDEX(Einstellungen!$B$20:$B$119,MATCH($K262,Einstellungen!$A$20:$A$119,0)),""))))</x:f>
      </x:c>
      <x:c r="E262" s="24">
        <x:f>IF($K262="","",SUM(F262:J262))</x:f>
        <x:v>7.5</x:v>
      </x:c>
      <x:c r="F262" s="25" t="n">
        <x:v>1.5</x:v>
      </x:c>
      <x:c r="G262" s="25" t="n">
        <x:v>2</x:v>
      </x:c>
      <x:c r="H262" s="25" t="n">
        <x:v>1.5</x:v>
      </x:c>
      <x:c r="I262" s="25" t="n">
        <x:v>2</x:v>
      </x:c>
      <x:c r="J262" s="25" t="n">
        <x:v>0.5</x:v>
      </x:c>
      <x:c r="K262">
        <x:f>IF(16&lt;=DAY(EOMONTH($K245,0)),$K245+15,"")</x:f>
        <x:v>46128</x:v>
      </x:c>
    </x:row>
    <x:row r="263">
      <x:c r="A263" s="21">
        <x:f>IF($K263="","",DAY($K263))</x:f>
        <x:v>17</x:v>
      </x:c>
      <x:c r="B263" s="22" t="str">
        <x:f>IF($K263="","",CHOOSE(WEEKDAY($K263,2),"Mo","Di","Mi","Do","Fr","Sa","So"))</x:f>
        <x:v>Fr</x:v>
      </x:c>
      <x:c r="C263" s="22">
        <x:f>IF($K263="","",ISOWEEKNUM($K263))</x:f>
        <x:v>16</x:v>
      </x:c>
      <x:c r="D263" s="23">
        <x:f>IF($K263="","",IF(AND(IFERROR(INDEX(Einstellungen!$I$3:$I$22,MATCH($K263,Einstellungen!$H$3:$H$22,0)),"")&lt;&gt;"",IFERROR(INDEX(Einstellungen!$B$20:$B$119,MATCH($K263,Einstellungen!$A$20:$A$119,0)),"")&lt;&gt;""),IFERROR(INDEX(Einstellungen!$I$3:$I$22,MATCH($K263,Einstellungen!$H$3:$H$22,0)),"")&amp;" / "&amp;IFERROR(INDEX(Einstellungen!$B$20:$B$119,MATCH($K263,Einstellungen!$A$20:$A$119,0)),""),IF(IFERROR(INDEX(Einstellungen!$I$3:$I$22,MATCH($K263,Einstellungen!$H$3:$H$22,0)),"")&lt;&gt;"",IFERROR(INDEX(Einstellungen!$I$3:$I$22,MATCH($K263,Einstellungen!$H$3:$H$22,0)),""),IFERROR(INDEX(Einstellungen!$B$20:$B$119,MATCH($K263,Einstellungen!$A$20:$A$119,0)),""))))</x:f>
      </x:c>
      <x:c r="E263" s="24">
        <x:f>IF($K263="","",SUM(F263:J263))</x:f>
        <x:v>6.5</x:v>
      </x:c>
      <x:c r="F263" s="25" t="n">
        <x:v>2</x:v>
      </x:c>
      <x:c r="G263" s="25" t="n">
        <x:v>1</x:v>
      </x:c>
      <x:c r="H263" s="25" t="n">
        <x:v>1</x:v>
      </x:c>
      <x:c r="I263" s="25" t="n">
        <x:v>1</x:v>
      </x:c>
      <x:c r="J263" s="25" t="n">
        <x:v>1.5</x:v>
      </x:c>
      <x:c r="K263">
        <x:f>IF(17&lt;=DAY(EOMONTH($K245,0)),$K245+16,"")</x:f>
        <x:v>46129</x:v>
      </x:c>
    </x:row>
    <x:row r="264">
      <x:c r="A264" s="21">
        <x:f>IF($K264="","",DAY($K264))</x:f>
        <x:v>18</x:v>
      </x:c>
      <x:c r="B264" s="22" t="str">
        <x:f>IF($K264="","",CHOOSE(WEEKDAY($K264,2),"Mo","Di","Mi","Do","Fr","Sa","So"))</x:f>
        <x:v>Sa</x:v>
      </x:c>
      <x:c r="C264" s="22">
        <x:f>IF($K264="","",ISOWEEKNUM($K264))</x:f>
        <x:v>16</x:v>
      </x:c>
      <x:c r="D264" s="23">
        <x:f>IF($K264="","",IF(AND(IFERROR(INDEX(Einstellungen!$I$3:$I$22,MATCH($K264,Einstellungen!$H$3:$H$22,0)),"")&lt;&gt;"",IFERROR(INDEX(Einstellungen!$B$20:$B$119,MATCH($K264,Einstellungen!$A$20:$A$119,0)),"")&lt;&gt;""),IFERROR(INDEX(Einstellungen!$I$3:$I$22,MATCH($K264,Einstellungen!$H$3:$H$22,0)),"")&amp;" / "&amp;IFERROR(INDEX(Einstellungen!$B$20:$B$119,MATCH($K264,Einstellungen!$A$20:$A$119,0)),""),IF(IFERROR(INDEX(Einstellungen!$I$3:$I$22,MATCH($K264,Einstellungen!$H$3:$H$22,0)),"")&lt;&gt;"",IFERROR(INDEX(Einstellungen!$I$3:$I$22,MATCH($K264,Einstellungen!$H$3:$H$22,0)),""),IFERROR(INDEX(Einstellungen!$B$20:$B$119,MATCH($K264,Einstellungen!$A$20:$A$119,0)),""))))</x:f>
      </x:c>
      <x:c r="E264" s="24">
        <x:f>IF($K264="","",SUM(F264:J264))</x:f>
        <x:v>0</x:v>
      </x:c>
      <x:c r="F264" s="25" t="n"/>
      <x:c r="G264" s="25" t="n"/>
      <x:c r="H264" s="25" t="n"/>
      <x:c r="I264" s="25" t="n"/>
      <x:c r="J264" s="25" t="n"/>
      <x:c r="K264">
        <x:f>IF(18&lt;=DAY(EOMONTH($K245,0)),$K245+17,"")</x:f>
        <x:v>46130</x:v>
      </x:c>
    </x:row>
    <x:row r="265">
      <x:c r="A265" s="21">
        <x:f>IF($K265="","",DAY($K265))</x:f>
        <x:v>19</x:v>
      </x:c>
      <x:c r="B265" s="22" t="str">
        <x:f>IF($K265="","",CHOOSE(WEEKDAY($K265,2),"Mo","Di","Mi","Do","Fr","Sa","So"))</x:f>
        <x:v>So</x:v>
      </x:c>
      <x:c r="C265" s="22">
        <x:f>IF($K265="","",ISOWEEKNUM($K265))</x:f>
        <x:v>16</x:v>
      </x:c>
      <x:c r="D265" s="23">
        <x:f>IF($K265="","",IF(AND(IFERROR(INDEX(Einstellungen!$I$3:$I$22,MATCH($K265,Einstellungen!$H$3:$H$22,0)),"")&lt;&gt;"",IFERROR(INDEX(Einstellungen!$B$20:$B$119,MATCH($K265,Einstellungen!$A$20:$A$119,0)),"")&lt;&gt;""),IFERROR(INDEX(Einstellungen!$I$3:$I$22,MATCH($K265,Einstellungen!$H$3:$H$22,0)),"")&amp;" / "&amp;IFERROR(INDEX(Einstellungen!$B$20:$B$119,MATCH($K265,Einstellungen!$A$20:$A$119,0)),""),IF(IFERROR(INDEX(Einstellungen!$I$3:$I$22,MATCH($K265,Einstellungen!$H$3:$H$22,0)),"")&lt;&gt;"",IFERROR(INDEX(Einstellungen!$I$3:$I$22,MATCH($K265,Einstellungen!$H$3:$H$22,0)),""),IFERROR(INDEX(Einstellungen!$B$20:$B$119,MATCH($K265,Einstellungen!$A$20:$A$119,0)),""))))</x:f>
      </x:c>
      <x:c r="E265" s="24">
        <x:f>IF($K265="","",SUM(F265:J265))</x:f>
        <x:v>0</x:v>
      </x:c>
      <x:c r="F265" s="25" t="n"/>
      <x:c r="G265" s="25" t="n"/>
      <x:c r="H265" s="25" t="n"/>
      <x:c r="I265" s="25" t="n"/>
      <x:c r="J265" s="25" t="n"/>
      <x:c r="K265">
        <x:f>IF(19&lt;=DAY(EOMONTH($K245,0)),$K245+18,"")</x:f>
        <x:v>46131</x:v>
      </x:c>
    </x:row>
    <x:row r="266">
      <x:c r="A266" s="21">
        <x:f>IF($K266="","",DAY($K266))</x:f>
        <x:v>20</x:v>
      </x:c>
      <x:c r="B266" s="22" t="str">
        <x:f>IF($K266="","",CHOOSE(WEEKDAY($K266,2),"Mo","Di","Mi","Do","Fr","Sa","So"))</x:f>
        <x:v>Mo</x:v>
      </x:c>
      <x:c r="C266" s="22">
        <x:f>IF($K266="","",ISOWEEKNUM($K266))</x:f>
        <x:v>17</x:v>
      </x:c>
      <x:c r="D266" s="23">
        <x:f>IF($K266="","",IF(AND(IFERROR(INDEX(Einstellungen!$I$3:$I$22,MATCH($K266,Einstellungen!$H$3:$H$22,0)),"")&lt;&gt;"",IFERROR(INDEX(Einstellungen!$B$20:$B$119,MATCH($K266,Einstellungen!$A$20:$A$119,0)),"")&lt;&gt;""),IFERROR(INDEX(Einstellungen!$I$3:$I$22,MATCH($K266,Einstellungen!$H$3:$H$22,0)),"")&amp;" / "&amp;IFERROR(INDEX(Einstellungen!$B$20:$B$119,MATCH($K266,Einstellungen!$A$20:$A$119,0)),""),IF(IFERROR(INDEX(Einstellungen!$I$3:$I$22,MATCH($K266,Einstellungen!$H$3:$H$22,0)),"")&lt;&gt;"",IFERROR(INDEX(Einstellungen!$I$3:$I$22,MATCH($K266,Einstellungen!$H$3:$H$22,0)),""),IFERROR(INDEX(Einstellungen!$B$20:$B$119,MATCH($K266,Einstellungen!$A$20:$A$119,0)),""))))</x:f>
      </x:c>
      <x:c r="E266" s="24">
        <x:f>IF($K266="","",SUM(F266:J266))</x:f>
        <x:v>7.5</x:v>
      </x:c>
      <x:c r="F266" s="25" t="n">
        <x:v>2</x:v>
      </x:c>
      <x:c r="G266" s="25" t="n">
        <x:v>2</x:v>
      </x:c>
      <x:c r="H266" s="25" t="n">
        <x:v>1</x:v>
      </x:c>
      <x:c r="I266" s="25" t="n">
        <x:v>2</x:v>
      </x:c>
      <x:c r="J266" s="25" t="n">
        <x:v>0.5</x:v>
      </x:c>
      <x:c r="K266">
        <x:f>IF(20&lt;=DAY(EOMONTH($K245,0)),$K245+19,"")</x:f>
        <x:v>46132</x:v>
      </x:c>
    </x:row>
    <x:row r="267">
      <x:c r="A267" s="21">
        <x:f>IF($K267="","",DAY($K267))</x:f>
        <x:v>21</x:v>
      </x:c>
      <x:c r="B267" s="22" t="str">
        <x:f>IF($K267="","",CHOOSE(WEEKDAY($K267,2),"Mo","Di","Mi","Do","Fr","Sa","So"))</x:f>
        <x:v>Di</x:v>
      </x:c>
      <x:c r="C267" s="22">
        <x:f>IF($K267="","",ISOWEEKNUM($K267))</x:f>
        <x:v>17</x:v>
      </x:c>
      <x:c r="D267" s="23">
        <x:f>IF($K267="","",IF(AND(IFERROR(INDEX(Einstellungen!$I$3:$I$22,MATCH($K267,Einstellungen!$H$3:$H$22,0)),"")&lt;&gt;"",IFERROR(INDEX(Einstellungen!$B$20:$B$119,MATCH($K267,Einstellungen!$A$20:$A$119,0)),"")&lt;&gt;""),IFERROR(INDEX(Einstellungen!$I$3:$I$22,MATCH($K267,Einstellungen!$H$3:$H$22,0)),"")&amp;" / "&amp;IFERROR(INDEX(Einstellungen!$B$20:$B$119,MATCH($K267,Einstellungen!$A$20:$A$119,0)),""),IF(IFERROR(INDEX(Einstellungen!$I$3:$I$22,MATCH($K267,Einstellungen!$H$3:$H$22,0)),"")&lt;&gt;"",IFERROR(INDEX(Einstellungen!$I$3:$I$22,MATCH($K267,Einstellungen!$H$3:$H$22,0)),""),IFERROR(INDEX(Einstellungen!$B$20:$B$119,MATCH($K267,Einstellungen!$A$20:$A$119,0)),""))))</x:f>
      </x:c>
      <x:c r="E267" s="24">
        <x:f>IF($K267="","",SUM(F267:J267))</x:f>
        <x:v>6</x:v>
      </x:c>
      <x:c r="F267" s="25" t="n">
        <x:v>1.5</x:v>
      </x:c>
      <x:c r="G267" s="25" t="n">
        <x:v>1.5</x:v>
      </x:c>
      <x:c r="H267" s="25" t="n">
        <x:v>1</x:v>
      </x:c>
      <x:c r="I267" s="25" t="n">
        <x:v>2</x:v>
      </x:c>
      <x:c r="J267" s="25" t="n"/>
      <x:c r="K267">
        <x:f>IF(21&lt;=DAY(EOMONTH($K245,0)),$K245+20,"")</x:f>
        <x:v>46133</x:v>
      </x:c>
    </x:row>
    <x:row r="268">
      <x:c r="A268" s="21">
        <x:f>IF($K268="","",DAY($K268))</x:f>
        <x:v>22</x:v>
      </x:c>
      <x:c r="B268" s="22" t="str">
        <x:f>IF($K268="","",CHOOSE(WEEKDAY($K268,2),"Mo","Di","Mi","Do","Fr","Sa","So"))</x:f>
        <x:v>Mi</x:v>
      </x:c>
      <x:c r="C268" s="22">
        <x:f>IF($K268="","",ISOWEEKNUM($K268))</x:f>
        <x:v>17</x:v>
      </x:c>
      <x:c r="D268" s="23">
        <x:f>IF($K268="","",IF(AND(IFERROR(INDEX(Einstellungen!$I$3:$I$22,MATCH($K268,Einstellungen!$H$3:$H$22,0)),"")&lt;&gt;"",IFERROR(INDEX(Einstellungen!$B$20:$B$119,MATCH($K268,Einstellungen!$A$20:$A$119,0)),"")&lt;&gt;""),IFERROR(INDEX(Einstellungen!$I$3:$I$22,MATCH($K268,Einstellungen!$H$3:$H$22,0)),"")&amp;" / "&amp;IFERROR(INDEX(Einstellungen!$B$20:$B$119,MATCH($K268,Einstellungen!$A$20:$A$119,0)),""),IF(IFERROR(INDEX(Einstellungen!$I$3:$I$22,MATCH($K268,Einstellungen!$H$3:$H$22,0)),"")&lt;&gt;"",IFERROR(INDEX(Einstellungen!$I$3:$I$22,MATCH($K268,Einstellungen!$H$3:$H$22,0)),""),IFERROR(INDEX(Einstellungen!$B$20:$B$119,MATCH($K268,Einstellungen!$A$20:$A$119,0)),""))))</x:f>
      </x:c>
      <x:c r="E268" s="24">
        <x:f>IF($K268="","",SUM(F268:J268))</x:f>
        <x:v>7</x:v>
      </x:c>
      <x:c r="F268" s="25" t="n">
        <x:v>1</x:v>
      </x:c>
      <x:c r="G268" s="25" t="n">
        <x:v>2.5</x:v>
      </x:c>
      <x:c r="H268" s="25" t="n">
        <x:v>1.5</x:v>
      </x:c>
      <x:c r="I268" s="25" t="n">
        <x:v>1.5</x:v>
      </x:c>
      <x:c r="J268" s="25" t="n">
        <x:v>0.5</x:v>
      </x:c>
      <x:c r="K268">
        <x:f>IF(22&lt;=DAY(EOMONTH($K245,0)),$K245+21,"")</x:f>
        <x:v>46134</x:v>
      </x:c>
    </x:row>
    <x:row r="269">
      <x:c r="A269" s="21">
        <x:f>IF($K269="","",DAY($K269))</x:f>
        <x:v>23</x:v>
      </x:c>
      <x:c r="B269" s="22" t="str">
        <x:f>IF($K269="","",CHOOSE(WEEKDAY($K269,2),"Mo","Di","Mi","Do","Fr","Sa","So"))</x:f>
        <x:v>Do</x:v>
      </x:c>
      <x:c r="C269" s="22">
        <x:f>IF($K269="","",ISOWEEKNUM($K269))</x:f>
        <x:v>17</x:v>
      </x:c>
      <x:c r="D269" s="23" t="str">
        <x:f>IF($K269="","",IF(AND(IFERROR(INDEX(Einstellungen!$I$3:$I$22,MATCH($K269,Einstellungen!$H$3:$H$22,0)),"")&lt;&gt;"",IFERROR(INDEX(Einstellungen!$B$20:$B$119,MATCH($K269,Einstellungen!$A$20:$A$119,0)),"")&lt;&gt;""),IFERROR(INDEX(Einstellungen!$I$3:$I$22,MATCH($K269,Einstellungen!$H$3:$H$22,0)),"")&amp;" / "&amp;IFERROR(INDEX(Einstellungen!$B$20:$B$119,MATCH($K269,Einstellungen!$A$20:$A$119,0)),""),IF(IFERROR(INDEX(Einstellungen!$I$3:$I$22,MATCH($K269,Einstellungen!$H$3:$H$22,0)),"")&lt;&gt;"",IFERROR(INDEX(Einstellungen!$I$3:$I$22,MATCH($K269,Einstellungen!$H$3:$H$22,0)),""),IFERROR(INDEX(Einstellungen!$B$20:$B$119,MATCH($K269,Einstellungen!$A$20:$A$119,0)),""))))</x:f>
        <x:v>Abgabe Bericht</x:v>
      </x:c>
      <x:c r="E269" s="24">
        <x:f>IF($K269="","",SUM(F269:J269))</x:f>
        <x:v>8</x:v>
      </x:c>
      <x:c r="F269" s="25" t="n">
        <x:v>1.5</x:v>
      </x:c>
      <x:c r="G269" s="25" t="n">
        <x:v>2</x:v>
      </x:c>
      <x:c r="H269" s="25" t="n">
        <x:v>1.5</x:v>
      </x:c>
      <x:c r="I269" s="25" t="n">
        <x:v>2.5</x:v>
      </x:c>
      <x:c r="J269" s="25" t="n">
        <x:v>0.5</x:v>
      </x:c>
      <x:c r="K269">
        <x:f>IF(23&lt;=DAY(EOMONTH($K245,0)),$K245+22,"")</x:f>
        <x:v>46135</x:v>
      </x:c>
    </x:row>
    <x:row r="270">
      <x:c r="A270" s="21">
        <x:f>IF($K270="","",DAY($K270))</x:f>
        <x:v>24</x:v>
      </x:c>
      <x:c r="B270" s="22" t="str">
        <x:f>IF($K270="","",CHOOSE(WEEKDAY($K270,2),"Mo","Di","Mi","Do","Fr","Sa","So"))</x:f>
        <x:v>Fr</x:v>
      </x:c>
      <x:c r="C270" s="22">
        <x:f>IF($K270="","",ISOWEEKNUM($K270))</x:f>
        <x:v>17</x:v>
      </x:c>
      <x:c r="D270" s="23">
        <x:f>IF($K270="","",IF(AND(IFERROR(INDEX(Einstellungen!$I$3:$I$22,MATCH($K270,Einstellungen!$H$3:$H$22,0)),"")&lt;&gt;"",IFERROR(INDEX(Einstellungen!$B$20:$B$119,MATCH($K270,Einstellungen!$A$20:$A$119,0)),"")&lt;&gt;""),IFERROR(INDEX(Einstellungen!$I$3:$I$22,MATCH($K270,Einstellungen!$H$3:$H$22,0)),"")&amp;" / "&amp;IFERROR(INDEX(Einstellungen!$B$20:$B$119,MATCH($K270,Einstellungen!$A$20:$A$119,0)),""),IF(IFERROR(INDEX(Einstellungen!$I$3:$I$22,MATCH($K270,Einstellungen!$H$3:$H$22,0)),"")&lt;&gt;"",IFERROR(INDEX(Einstellungen!$I$3:$I$22,MATCH($K270,Einstellungen!$H$3:$H$22,0)),""),IFERROR(INDEX(Einstellungen!$B$20:$B$119,MATCH($K270,Einstellungen!$A$20:$A$119,0)),""))))</x:f>
      </x:c>
      <x:c r="E270" s="24">
        <x:f>IF($K270="","",SUM(F270:J270))</x:f>
        <x:v>3</x:v>
      </x:c>
      <x:c r="F270" s="25" t="n">
        <x:v>1</x:v>
      </x:c>
      <x:c r="G270" s="25" t="n">
        <x:v>0.5</x:v>
      </x:c>
      <x:c r="H270" s="25" t="n">
        <x:v>0.5</x:v>
      </x:c>
      <x:c r="I270" s="25" t="n">
        <x:v>1</x:v>
      </x:c>
      <x:c r="J270" s="25" t="n"/>
      <x:c r="K270">
        <x:f>IF(24&lt;=DAY(EOMONTH($K245,0)),$K245+23,"")</x:f>
        <x:v>46136</x:v>
      </x:c>
    </x:row>
    <x:row r="271">
      <x:c r="A271" s="21">
        <x:f>IF($K271="","",DAY($K271))</x:f>
        <x:v>25</x:v>
      </x:c>
      <x:c r="B271" s="22" t="str">
        <x:f>IF($K271="","",CHOOSE(WEEKDAY($K271,2),"Mo","Di","Mi","Do","Fr","Sa","So"))</x:f>
        <x:v>Sa</x:v>
      </x:c>
      <x:c r="C271" s="22">
        <x:f>IF($K271="","",ISOWEEKNUM($K271))</x:f>
        <x:v>17</x:v>
      </x:c>
      <x:c r="D271" s="23">
        <x:f>IF($K271="","",IF(AND(IFERROR(INDEX(Einstellungen!$I$3:$I$22,MATCH($K271,Einstellungen!$H$3:$H$22,0)),"")&lt;&gt;"",IFERROR(INDEX(Einstellungen!$B$20:$B$119,MATCH($K271,Einstellungen!$A$20:$A$119,0)),"")&lt;&gt;""),IFERROR(INDEX(Einstellungen!$I$3:$I$22,MATCH($K271,Einstellungen!$H$3:$H$22,0)),"")&amp;" / "&amp;IFERROR(INDEX(Einstellungen!$B$20:$B$119,MATCH($K271,Einstellungen!$A$20:$A$119,0)),""),IF(IFERROR(INDEX(Einstellungen!$I$3:$I$22,MATCH($K271,Einstellungen!$H$3:$H$22,0)),"")&lt;&gt;"",IFERROR(INDEX(Einstellungen!$I$3:$I$22,MATCH($K271,Einstellungen!$H$3:$H$22,0)),""),IFERROR(INDEX(Einstellungen!$B$20:$B$119,MATCH($K271,Einstellungen!$A$20:$A$119,0)),""))))</x:f>
      </x:c>
      <x:c r="E271" s="24">
        <x:f>IF($K271="","",SUM(F271:J271))</x:f>
        <x:v>0</x:v>
      </x:c>
      <x:c r="F271" s="25" t="n"/>
      <x:c r="G271" s="25" t="n"/>
      <x:c r="H271" s="25" t="n"/>
      <x:c r="I271" s="25" t="n"/>
      <x:c r="J271" s="25" t="n"/>
      <x:c r="K271">
        <x:f>IF(25&lt;=DAY(EOMONTH($K245,0)),$K245+24,"")</x:f>
        <x:v>46137</x:v>
      </x:c>
    </x:row>
    <x:row r="272">
      <x:c r="A272" s="21">
        <x:f>IF($K272="","",DAY($K272))</x:f>
        <x:v>26</x:v>
      </x:c>
      <x:c r="B272" s="22" t="str">
        <x:f>IF($K272="","",CHOOSE(WEEKDAY($K272,2),"Mo","Di","Mi","Do","Fr","Sa","So"))</x:f>
        <x:v>So</x:v>
      </x:c>
      <x:c r="C272" s="22">
        <x:f>IF($K272="","",ISOWEEKNUM($K272))</x:f>
        <x:v>17</x:v>
      </x:c>
      <x:c r="D272" s="23">
        <x:f>IF($K272="","",IF(AND(IFERROR(INDEX(Einstellungen!$I$3:$I$22,MATCH($K272,Einstellungen!$H$3:$H$22,0)),"")&lt;&gt;"",IFERROR(INDEX(Einstellungen!$B$20:$B$119,MATCH($K272,Einstellungen!$A$20:$A$119,0)),"")&lt;&gt;""),IFERROR(INDEX(Einstellungen!$I$3:$I$22,MATCH($K272,Einstellungen!$H$3:$H$22,0)),"")&amp;" / "&amp;IFERROR(INDEX(Einstellungen!$B$20:$B$119,MATCH($K272,Einstellungen!$A$20:$A$119,0)),""),IF(IFERROR(INDEX(Einstellungen!$I$3:$I$22,MATCH($K272,Einstellungen!$H$3:$H$22,0)),"")&lt;&gt;"",IFERROR(INDEX(Einstellungen!$I$3:$I$22,MATCH($K272,Einstellungen!$H$3:$H$22,0)),""),IFERROR(INDEX(Einstellungen!$B$20:$B$119,MATCH($K272,Einstellungen!$A$20:$A$119,0)),""))))</x:f>
      </x:c>
      <x:c r="E272" s="24">
        <x:f>IF($K272="","",SUM(F272:J272))</x:f>
        <x:v>0</x:v>
      </x:c>
      <x:c r="F272" s="25" t="n"/>
      <x:c r="G272" s="25" t="n"/>
      <x:c r="H272" s="25" t="n"/>
      <x:c r="I272" s="25" t="n"/>
      <x:c r="J272" s="25" t="n"/>
      <x:c r="K272">
        <x:f>IF(26&lt;=DAY(EOMONTH($K245,0)),$K245+25,"")</x:f>
        <x:v>46138</x:v>
      </x:c>
    </x:row>
    <x:row r="273">
      <x:c r="A273" s="21">
        <x:f>IF($K273="","",DAY($K273))</x:f>
        <x:v>27</x:v>
      </x:c>
      <x:c r="B273" s="22" t="str">
        <x:f>IF($K273="","",CHOOSE(WEEKDAY($K273,2),"Mo","Di","Mi","Do","Fr","Sa","So"))</x:f>
        <x:v>Mo</x:v>
      </x:c>
      <x:c r="C273" s="22">
        <x:f>IF($K273="","",ISOWEEKNUM($K273))</x:f>
        <x:v>18</x:v>
      </x:c>
      <x:c r="D273" s="23">
        <x:f>IF($K273="","",IF(AND(IFERROR(INDEX(Einstellungen!$I$3:$I$22,MATCH($K273,Einstellungen!$H$3:$H$22,0)),"")&lt;&gt;"",IFERROR(INDEX(Einstellungen!$B$20:$B$119,MATCH($K273,Einstellungen!$A$20:$A$119,0)),"")&lt;&gt;""),IFERROR(INDEX(Einstellungen!$I$3:$I$22,MATCH($K273,Einstellungen!$H$3:$H$22,0)),"")&amp;" / "&amp;IFERROR(INDEX(Einstellungen!$B$20:$B$119,MATCH($K273,Einstellungen!$A$20:$A$119,0)),""),IF(IFERROR(INDEX(Einstellungen!$I$3:$I$22,MATCH($K273,Einstellungen!$H$3:$H$22,0)),"")&lt;&gt;"",IFERROR(INDEX(Einstellungen!$I$3:$I$22,MATCH($K273,Einstellungen!$H$3:$H$22,0)),""),IFERROR(INDEX(Einstellungen!$B$20:$B$119,MATCH($K273,Einstellungen!$A$20:$A$119,0)),""))))</x:f>
      </x:c>
      <x:c r="E273" s="24">
        <x:f>IF($K273="","",SUM(F273:J273))</x:f>
        <x:v>6.5</x:v>
      </x:c>
      <x:c r="F273" s="25" t="n">
        <x:v>1</x:v>
      </x:c>
      <x:c r="G273" s="25" t="n">
        <x:v>2</x:v>
      </x:c>
      <x:c r="H273" s="25" t="n">
        <x:v>1</x:v>
      </x:c>
      <x:c r="I273" s="25" t="n">
        <x:v>2</x:v>
      </x:c>
      <x:c r="J273" s="25" t="n">
        <x:v>0.5</x:v>
      </x:c>
      <x:c r="K273">
        <x:f>IF(27&lt;=DAY(EOMONTH($K245,0)),$K245+26,"")</x:f>
        <x:v>46139</x:v>
      </x:c>
    </x:row>
    <x:row r="274">
      <x:c r="A274" s="21">
        <x:f>IF($K274="","",DAY($K274))</x:f>
        <x:v>28</x:v>
      </x:c>
      <x:c r="B274" s="22" t="str">
        <x:f>IF($K274="","",CHOOSE(WEEKDAY($K274,2),"Mo","Di","Mi","Do","Fr","Sa","So"))</x:f>
        <x:v>Di</x:v>
      </x:c>
      <x:c r="C274" s="22">
        <x:f>IF($K274="","",ISOWEEKNUM($K274))</x:f>
        <x:v>18</x:v>
      </x:c>
      <x:c r="D274" s="23">
        <x:f>IF($K274="","",IF(AND(IFERROR(INDEX(Einstellungen!$I$3:$I$22,MATCH($K274,Einstellungen!$H$3:$H$22,0)),"")&lt;&gt;"",IFERROR(INDEX(Einstellungen!$B$20:$B$119,MATCH($K274,Einstellungen!$A$20:$A$119,0)),"")&lt;&gt;""),IFERROR(INDEX(Einstellungen!$I$3:$I$22,MATCH($K274,Einstellungen!$H$3:$H$22,0)),"")&amp;" / "&amp;IFERROR(INDEX(Einstellungen!$B$20:$B$119,MATCH($K274,Einstellungen!$A$20:$A$119,0)),""),IF(IFERROR(INDEX(Einstellungen!$I$3:$I$22,MATCH($K274,Einstellungen!$H$3:$H$22,0)),"")&lt;&gt;"",IFERROR(INDEX(Einstellungen!$I$3:$I$22,MATCH($K274,Einstellungen!$H$3:$H$22,0)),""),IFERROR(INDEX(Einstellungen!$B$20:$B$119,MATCH($K274,Einstellungen!$A$20:$A$119,0)),""))))</x:f>
      </x:c>
      <x:c r="E274" s="24">
        <x:f>IF($K274="","",SUM(F274:J274))</x:f>
        <x:v>6.5</x:v>
      </x:c>
      <x:c r="F274" s="25" t="n">
        <x:v>1.5</x:v>
      </x:c>
      <x:c r="G274" s="25" t="n">
        <x:v>2</x:v>
      </x:c>
      <x:c r="H274" s="25" t="n">
        <x:v>1</x:v>
      </x:c>
      <x:c r="I274" s="25" t="n">
        <x:v>2</x:v>
      </x:c>
      <x:c r="J274" s="25" t="n"/>
      <x:c r="K274">
        <x:f>IF(28&lt;=DAY(EOMONTH($K245,0)),$K245+27,"")</x:f>
        <x:v>46140</x:v>
      </x:c>
    </x:row>
    <x:row r="275">
      <x:c r="A275" s="21">
        <x:f>IF($K275="","",DAY($K275))</x:f>
        <x:v>29</x:v>
      </x:c>
      <x:c r="B275" s="22" t="str">
        <x:f>IF($K275="","",CHOOSE(WEEKDAY($K275,2),"Mo","Di","Mi","Do","Fr","Sa","So"))</x:f>
        <x:v>Mi</x:v>
      </x:c>
      <x:c r="C275" s="22">
        <x:f>IF($K275="","",ISOWEEKNUM($K275))</x:f>
        <x:v>18</x:v>
      </x:c>
      <x:c r="D275" s="23">
        <x:f>IF($K275="","",IF(AND(IFERROR(INDEX(Einstellungen!$I$3:$I$22,MATCH($K275,Einstellungen!$H$3:$H$22,0)),"")&lt;&gt;"",IFERROR(INDEX(Einstellungen!$B$20:$B$119,MATCH($K275,Einstellungen!$A$20:$A$119,0)),"")&lt;&gt;""),IFERROR(INDEX(Einstellungen!$I$3:$I$22,MATCH($K275,Einstellungen!$H$3:$H$22,0)),"")&amp;" / "&amp;IFERROR(INDEX(Einstellungen!$B$20:$B$119,MATCH($K275,Einstellungen!$A$20:$A$119,0)),""),IF(IFERROR(INDEX(Einstellungen!$I$3:$I$22,MATCH($K275,Einstellungen!$H$3:$H$22,0)),"")&lt;&gt;"",IFERROR(INDEX(Einstellungen!$I$3:$I$22,MATCH($K275,Einstellungen!$H$3:$H$22,0)),""),IFERROR(INDEX(Einstellungen!$B$20:$B$119,MATCH($K275,Einstellungen!$A$20:$A$119,0)),""))))</x:f>
      </x:c>
      <x:c r="E275" s="24">
        <x:f>IF($K275="","",SUM(F275:J275))</x:f>
        <x:v>7.5</x:v>
      </x:c>
      <x:c r="F275" s="25" t="n">
        <x:v>1</x:v>
      </x:c>
      <x:c r="G275" s="25" t="n">
        <x:v>2.5</x:v>
      </x:c>
      <x:c r="H275" s="25" t="n">
        <x:v>2</x:v>
      </x:c>
      <x:c r="I275" s="25" t="n">
        <x:v>1.5</x:v>
      </x:c>
      <x:c r="J275" s="25" t="n">
        <x:v>0.5</x:v>
      </x:c>
      <x:c r="K275">
        <x:f>IF(29&lt;=DAY(EOMONTH($K245,0)),$K245+28,"")</x:f>
        <x:v>46141</x:v>
      </x:c>
    </x:row>
    <x:row r="276">
      <x:c r="A276" s="21">
        <x:f>IF($K276="","",DAY($K276))</x:f>
        <x:v>30</x:v>
      </x:c>
      <x:c r="B276" s="22" t="str">
        <x:f>IF($K276="","",CHOOSE(WEEKDAY($K276,2),"Mo","Di","Mi","Do","Fr","Sa","So"))</x:f>
        <x:v>Do</x:v>
      </x:c>
      <x:c r="C276" s="22">
        <x:f>IF($K276="","",ISOWEEKNUM($K276))</x:f>
        <x:v>18</x:v>
      </x:c>
      <x:c r="D276" s="23">
        <x:f>IF($K276="","",IF(AND(IFERROR(INDEX(Einstellungen!$I$3:$I$22,MATCH($K276,Einstellungen!$H$3:$H$22,0)),"")&lt;&gt;"",IFERROR(INDEX(Einstellungen!$B$20:$B$119,MATCH($K276,Einstellungen!$A$20:$A$119,0)),"")&lt;&gt;""),IFERROR(INDEX(Einstellungen!$I$3:$I$22,MATCH($K276,Einstellungen!$H$3:$H$22,0)),"")&amp;" / "&amp;IFERROR(INDEX(Einstellungen!$B$20:$B$119,MATCH($K276,Einstellungen!$A$20:$A$119,0)),""),IF(IFERROR(INDEX(Einstellungen!$I$3:$I$22,MATCH($K276,Einstellungen!$H$3:$H$22,0)),"")&lt;&gt;"",IFERROR(INDEX(Einstellungen!$I$3:$I$22,MATCH($K276,Einstellungen!$H$3:$H$22,0)),""),IFERROR(INDEX(Einstellungen!$B$20:$B$119,MATCH($K276,Einstellungen!$A$20:$A$119,0)),""))))</x:f>
      </x:c>
      <x:c r="E276" s="24">
        <x:f>IF($K276="","",SUM(F276:J276))</x:f>
        <x:v>7</x:v>
      </x:c>
      <x:c r="F276" s="25" t="n">
        <x:v>1.5</x:v>
      </x:c>
      <x:c r="G276" s="25" t="n">
        <x:v>2</x:v>
      </x:c>
      <x:c r="H276" s="25" t="n">
        <x:v>1.5</x:v>
      </x:c>
      <x:c r="I276" s="25" t="n">
        <x:v>1.5</x:v>
      </x:c>
      <x:c r="J276" s="25" t="n">
        <x:v>0.5</x:v>
      </x:c>
      <x:c r="K276">
        <x:f>IF(30&lt;=DAY(EOMONTH($K245,0)),$K245+29,"")</x:f>
        <x:v>46142</x:v>
      </x:c>
    </x:row>
    <x:row r="277">
      <x:c r="A277" s="21">
        <x:f>IF($K277="","",DAY($K277))</x:f>
      </x:c>
      <x:c r="B277" s="22">
        <x:f>IF($K277="","",CHOOSE(WEEKDAY($K277,2),"Mo","Di","Mi","Do","Fr","Sa","So"))</x:f>
      </x:c>
      <x:c r="C277" s="22">
        <x:f>IF($K277="","",ISOWEEKNUM($K277))</x:f>
      </x:c>
      <x:c r="D277" s="23">
        <x:f>IF($K277="","",IF(AND(IFERROR(INDEX(Einstellungen!$I$3:$I$22,MATCH($K277,Einstellungen!$H$3:$H$22,0)),"")&lt;&gt;"",IFERROR(INDEX(Einstellungen!$B$20:$B$119,MATCH($K277,Einstellungen!$A$20:$A$119,0)),"")&lt;&gt;""),IFERROR(INDEX(Einstellungen!$I$3:$I$22,MATCH($K277,Einstellungen!$H$3:$H$22,0)),"")&amp;" / "&amp;IFERROR(INDEX(Einstellungen!$B$20:$B$119,MATCH($K277,Einstellungen!$A$20:$A$119,0)),""),IF(IFERROR(INDEX(Einstellungen!$I$3:$I$22,MATCH($K277,Einstellungen!$H$3:$H$22,0)),"")&lt;&gt;"",IFERROR(INDEX(Einstellungen!$I$3:$I$22,MATCH($K277,Einstellungen!$H$3:$H$22,0)),""),IFERROR(INDEX(Einstellungen!$B$20:$B$119,MATCH($K277,Einstellungen!$A$20:$A$119,0)),""))))</x:f>
      </x:c>
      <x:c r="E277" s="24">
        <x:f>IF($K277="","",SUM(F277:J277))</x:f>
      </x:c>
      <x:c r="F277" s="25" t="n"/>
      <x:c r="G277" s="25" t="n"/>
      <x:c r="H277" s="25" t="n"/>
      <x:c r="I277" s="25" t="n"/>
      <x:c r="J277" s="25" t="n"/>
      <x:c r="K277">
        <x:f>IF(31&lt;=DAY(EOMONTH($K245,0)),$K245+30,"")</x:f>
      </x:c>
    </x:row>
    <x:row r="278">
      <x:c r="A278" s="26" t="n"/>
      <x:c r="B278" s="26" t="n"/>
      <x:c r="C278" s="26" t="n"/>
      <x:c r="D278" s="26" t="n"/>
      <x:c r="E278" s="26" t="n"/>
      <x:c r="F278" s="26" t="n"/>
      <x:c r="G278" s="26" t="n"/>
      <x:c r="H278" s="26" t="n"/>
      <x:c r="I278" s="26" t="n"/>
      <x:c r="J278" s="26" t="n"/>
    </x:row>
    <x:row r="279">
      <x:c r="A279" s="18" t="str">
        <x:f>INDEX(Einstellungen!$F$2:$F$13,MONTH($K279))&amp;" "&amp;YEAR($K279)</x:f>
        <x:v>Mai 2026</x:v>
      </x:c>
      <x:c r="B279" s="36" t="n"/>
      <x:c r="C279" s="36" t="n"/>
      <x:c r="D279" s="36" t="n"/>
      <x:c r="E279" s="36" t="n"/>
      <x:c r="F279" s="36" t="n"/>
      <x:c r="G279" s="36" t="n"/>
      <x:c r="H279" s="36" t="n"/>
      <x:c r="I279" s="36" t="n"/>
      <x:c r="J279" s="37" t="n"/>
      <x:c r="K279">
        <x:f>EDATE(Einstellungen!$B$5,8)</x:f>
        <x:v>46143</x:v>
      </x:c>
    </x:row>
    <x:row r="280">
      <x:c r="A280" s="20" t="inlineStr">
        <x:is>
          <x:t xml:space="preserve">Datum</x:t>
        </x:is>
      </x:c>
      <x:c r="B280" s="20" t="inlineStr">
        <x:is>
          <x:t xml:space="preserve">Tag</x:t>
        </x:is>
      </x:c>
      <x:c r="C280" s="20" t="inlineStr">
        <x:is>
          <x:t xml:space="preserve">KW</x:t>
        </x:is>
      </x:c>
      <x:c r="D280" s="20" t="inlineStr">
        <x:is>
          <x:t xml:space="preserve">Feiertag</x:t>
        </x:is>
      </x:c>
      <x:c r="E280" s="20" t="inlineStr">
        <x:is>
          <x:t xml:space="preserve">Arbeitszeit</x:t>
        </x:is>
      </x:c>
      <x:c r="F280" s="20" t="str">
        <x:f>Einstellungen!$B$11</x:f>
        <x:v>E-Mail</x:v>
      </x:c>
      <x:c r="G280" s="20" t="str">
        <x:f>Einstellungen!$B$12</x:f>
        <x:v>Meetings</x:v>
      </x:c>
      <x:c r="H280" s="20" t="str">
        <x:f>Einstellungen!$B$13</x:f>
        <x:v>Telefonate</x:v>
      </x:c>
      <x:c r="I280" s="20" t="str">
        <x:f>Einstellungen!$B$14</x:f>
        <x:v>Dokumentation</x:v>
      </x:c>
      <x:c r="J280" s="20" t="str">
        <x:f>Einstellungen!$B$15</x:f>
        <x:v>Sonstiges</x:v>
      </x:c>
    </x:row>
    <x:row r="281">
      <x:c r="A281" s="21">
        <x:f>IF($K281="","",DAY($K281))</x:f>
        <x:v>1</x:v>
      </x:c>
      <x:c r="B281" s="22" t="str">
        <x:f>IF($K281="","",CHOOSE(WEEKDAY($K281,2),"Mo","Di","Mi","Do","Fr","Sa","So"))</x:f>
        <x:v>Fr</x:v>
      </x:c>
      <x:c r="C281" s="22">
        <x:f>IF($K281="","",ISOWEEKNUM($K281))</x:f>
        <x:v>18</x:v>
      </x:c>
      <x:c r="D281" s="23" t="str">
        <x:f>IF($K281="","",IF(AND(IFERROR(INDEX(Einstellungen!$I$3:$I$22,MATCH($K281,Einstellungen!$H$3:$H$22,0)),"")&lt;&gt;"",IFERROR(INDEX(Einstellungen!$B$20:$B$119,MATCH($K281,Einstellungen!$A$20:$A$119,0)),"")&lt;&gt;""),IFERROR(INDEX(Einstellungen!$I$3:$I$22,MATCH($K281,Einstellungen!$H$3:$H$22,0)),"")&amp;" / "&amp;IFERROR(INDEX(Einstellungen!$B$20:$B$119,MATCH($K281,Einstellungen!$A$20:$A$119,0)),""),IF(IFERROR(INDEX(Einstellungen!$I$3:$I$22,MATCH($K281,Einstellungen!$H$3:$H$22,0)),"")&lt;&gt;"",IFERROR(INDEX(Einstellungen!$I$3:$I$22,MATCH($K281,Einstellungen!$H$3:$H$22,0)),""),IFERROR(INDEX(Einstellungen!$B$20:$B$119,MATCH($K281,Einstellungen!$A$20:$A$119,0)),""))))</x:f>
        <x:v>Tag der Arbeit</x:v>
      </x:c>
      <x:c r="E281" s="24">
        <x:f>IF($K281="","",SUM(F281:J281))</x:f>
        <x:v>0</x:v>
      </x:c>
      <x:c r="F281" s="25" t="n"/>
      <x:c r="G281" s="25" t="n"/>
      <x:c r="H281" s="25" t="n"/>
      <x:c r="I281" s="25" t="n"/>
      <x:c r="J281" s="25" t="n"/>
      <x:c r="K281">
        <x:f>IF(1&lt;=DAY(EOMONTH($K279,0)),$K279+0,"")</x:f>
        <x:v>46143</x:v>
      </x:c>
    </x:row>
    <x:row r="282">
      <x:c r="A282" s="21">
        <x:f>IF($K282="","",DAY($K282))</x:f>
        <x:v>2</x:v>
      </x:c>
      <x:c r="B282" s="22" t="str">
        <x:f>IF($K282="","",CHOOSE(WEEKDAY($K282,2),"Mo","Di","Mi","Do","Fr","Sa","So"))</x:f>
        <x:v>Sa</x:v>
      </x:c>
      <x:c r="C282" s="22">
        <x:f>IF($K282="","",ISOWEEKNUM($K282))</x:f>
        <x:v>18</x:v>
      </x:c>
      <x:c r="D282" s="23">
        <x:f>IF($K282="","",IF(AND(IFERROR(INDEX(Einstellungen!$I$3:$I$22,MATCH($K282,Einstellungen!$H$3:$H$22,0)),"")&lt;&gt;"",IFERROR(INDEX(Einstellungen!$B$20:$B$119,MATCH($K282,Einstellungen!$A$20:$A$119,0)),"")&lt;&gt;""),IFERROR(INDEX(Einstellungen!$I$3:$I$22,MATCH($K282,Einstellungen!$H$3:$H$22,0)),"")&amp;" / "&amp;IFERROR(INDEX(Einstellungen!$B$20:$B$119,MATCH($K282,Einstellungen!$A$20:$A$119,0)),""),IF(IFERROR(INDEX(Einstellungen!$I$3:$I$22,MATCH($K282,Einstellungen!$H$3:$H$22,0)),"")&lt;&gt;"",IFERROR(INDEX(Einstellungen!$I$3:$I$22,MATCH($K282,Einstellungen!$H$3:$H$22,0)),""),IFERROR(INDEX(Einstellungen!$B$20:$B$119,MATCH($K282,Einstellungen!$A$20:$A$119,0)),""))))</x:f>
      </x:c>
      <x:c r="E282" s="24">
        <x:f>IF($K282="","",SUM(F282:J282))</x:f>
        <x:v>0</x:v>
      </x:c>
      <x:c r="F282" s="25" t="n"/>
      <x:c r="G282" s="25" t="n"/>
      <x:c r="H282" s="25" t="n"/>
      <x:c r="I282" s="25" t="n"/>
      <x:c r="J282" s="25" t="n"/>
      <x:c r="K282">
        <x:f>IF(2&lt;=DAY(EOMONTH($K279,0)),$K279+1,"")</x:f>
        <x:v>46144</x:v>
      </x:c>
    </x:row>
    <x:row r="283">
      <x:c r="A283" s="21">
        <x:f>IF($K283="","",DAY($K283))</x:f>
        <x:v>3</x:v>
      </x:c>
      <x:c r="B283" s="22" t="str">
        <x:f>IF($K283="","",CHOOSE(WEEKDAY($K283,2),"Mo","Di","Mi","Do","Fr","Sa","So"))</x:f>
        <x:v>So</x:v>
      </x:c>
      <x:c r="C283" s="22">
        <x:f>IF($K283="","",ISOWEEKNUM($K283))</x:f>
        <x:v>18</x:v>
      </x:c>
      <x:c r="D283" s="23">
        <x:f>IF($K283="","",IF(AND(IFERROR(INDEX(Einstellungen!$I$3:$I$22,MATCH($K283,Einstellungen!$H$3:$H$22,0)),"")&lt;&gt;"",IFERROR(INDEX(Einstellungen!$B$20:$B$119,MATCH($K283,Einstellungen!$A$20:$A$119,0)),"")&lt;&gt;""),IFERROR(INDEX(Einstellungen!$I$3:$I$22,MATCH($K283,Einstellungen!$H$3:$H$22,0)),"")&amp;" / "&amp;IFERROR(INDEX(Einstellungen!$B$20:$B$119,MATCH($K283,Einstellungen!$A$20:$A$119,0)),""),IF(IFERROR(INDEX(Einstellungen!$I$3:$I$22,MATCH($K283,Einstellungen!$H$3:$H$22,0)),"")&lt;&gt;"",IFERROR(INDEX(Einstellungen!$I$3:$I$22,MATCH($K283,Einstellungen!$H$3:$H$22,0)),""),IFERROR(INDEX(Einstellungen!$B$20:$B$119,MATCH($K283,Einstellungen!$A$20:$A$119,0)),""))))</x:f>
      </x:c>
      <x:c r="E283" s="24">
        <x:f>IF($K283="","",SUM(F283:J283))</x:f>
        <x:v>0</x:v>
      </x:c>
      <x:c r="F283" s="25" t="n"/>
      <x:c r="G283" s="25" t="n"/>
      <x:c r="H283" s="25" t="n"/>
      <x:c r="I283" s="25" t="n"/>
      <x:c r="J283" s="25" t="n"/>
      <x:c r="K283">
        <x:f>IF(3&lt;=DAY(EOMONTH($K279,0)),$K279+2,"")</x:f>
        <x:v>46145</x:v>
      </x:c>
    </x:row>
    <x:row r="284">
      <x:c r="A284" s="21">
        <x:f>IF($K284="","",DAY($K284))</x:f>
        <x:v>4</x:v>
      </x:c>
      <x:c r="B284" s="22" t="str">
        <x:f>IF($K284="","",CHOOSE(WEEKDAY($K284,2),"Mo","Di","Mi","Do","Fr","Sa","So"))</x:f>
        <x:v>Mo</x:v>
      </x:c>
      <x:c r="C284" s="22">
        <x:f>IF($K284="","",ISOWEEKNUM($K284))</x:f>
        <x:v>19</x:v>
      </x:c>
      <x:c r="D284" s="23">
        <x:f>IF($K284="","",IF(AND(IFERROR(INDEX(Einstellungen!$I$3:$I$22,MATCH($K284,Einstellungen!$H$3:$H$22,0)),"")&lt;&gt;"",IFERROR(INDEX(Einstellungen!$B$20:$B$119,MATCH($K284,Einstellungen!$A$20:$A$119,0)),"")&lt;&gt;""),IFERROR(INDEX(Einstellungen!$I$3:$I$22,MATCH($K284,Einstellungen!$H$3:$H$22,0)),"")&amp;" / "&amp;IFERROR(INDEX(Einstellungen!$B$20:$B$119,MATCH($K284,Einstellungen!$A$20:$A$119,0)),""),IF(IFERROR(INDEX(Einstellungen!$I$3:$I$22,MATCH($K284,Einstellungen!$H$3:$H$22,0)),"")&lt;&gt;"",IFERROR(INDEX(Einstellungen!$I$3:$I$22,MATCH($K284,Einstellungen!$H$3:$H$22,0)),""),IFERROR(INDEX(Einstellungen!$B$20:$B$119,MATCH($K284,Einstellungen!$A$20:$A$119,0)),""))))</x:f>
      </x:c>
      <x:c r="E284" s="24">
        <x:f>IF($K284="","",SUM(F284:J284))</x:f>
        <x:v>7.5</x:v>
      </x:c>
      <x:c r="F284" s="25" t="n">
        <x:v>2</x:v>
      </x:c>
      <x:c r="G284" s="25" t="n">
        <x:v>2</x:v>
      </x:c>
      <x:c r="H284" s="25" t="n">
        <x:v>1</x:v>
      </x:c>
      <x:c r="I284" s="25" t="n">
        <x:v>2</x:v>
      </x:c>
      <x:c r="J284" s="25" t="n">
        <x:v>0.5</x:v>
      </x:c>
      <x:c r="K284">
        <x:f>IF(4&lt;=DAY(EOMONTH($K279,0)),$K279+3,"")</x:f>
        <x:v>46146</x:v>
      </x:c>
    </x:row>
    <x:row r="285">
      <x:c r="A285" s="21">
        <x:f>IF($K285="","",DAY($K285))</x:f>
        <x:v>5</x:v>
      </x:c>
      <x:c r="B285" s="22" t="str">
        <x:f>IF($K285="","",CHOOSE(WEEKDAY($K285,2),"Mo","Di","Mi","Do","Fr","Sa","So"))</x:f>
        <x:v>Di</x:v>
      </x:c>
      <x:c r="C285" s="22">
        <x:f>IF($K285="","",ISOWEEKNUM($K285))</x:f>
        <x:v>19</x:v>
      </x:c>
      <x:c r="D285" s="23">
        <x:f>IF($K285="","",IF(AND(IFERROR(INDEX(Einstellungen!$I$3:$I$22,MATCH($K285,Einstellungen!$H$3:$H$22,0)),"")&lt;&gt;"",IFERROR(INDEX(Einstellungen!$B$20:$B$119,MATCH($K285,Einstellungen!$A$20:$A$119,0)),"")&lt;&gt;""),IFERROR(INDEX(Einstellungen!$I$3:$I$22,MATCH($K285,Einstellungen!$H$3:$H$22,0)),"")&amp;" / "&amp;IFERROR(INDEX(Einstellungen!$B$20:$B$119,MATCH($K285,Einstellungen!$A$20:$A$119,0)),""),IF(IFERROR(INDEX(Einstellungen!$I$3:$I$22,MATCH($K285,Einstellungen!$H$3:$H$22,0)),"")&lt;&gt;"",IFERROR(INDEX(Einstellungen!$I$3:$I$22,MATCH($K285,Einstellungen!$H$3:$H$22,0)),""),IFERROR(INDEX(Einstellungen!$B$20:$B$119,MATCH($K285,Einstellungen!$A$20:$A$119,0)),""))))</x:f>
      </x:c>
      <x:c r="E285" s="24">
        <x:f>IF($K285="","",SUM(F285:J285))</x:f>
        <x:v>7</x:v>
      </x:c>
      <x:c r="F285" s="25" t="n">
        <x:v>1.5</x:v>
      </x:c>
      <x:c r="G285" s="25" t="n">
        <x:v>2</x:v>
      </x:c>
      <x:c r="H285" s="25" t="n">
        <x:v>1</x:v>
      </x:c>
      <x:c r="I285" s="25" t="n">
        <x:v>2</x:v>
      </x:c>
      <x:c r="J285" s="25" t="n">
        <x:v>0.5</x:v>
      </x:c>
      <x:c r="K285">
        <x:f>IF(5&lt;=DAY(EOMONTH($K279,0)),$K279+4,"")</x:f>
        <x:v>46147</x:v>
      </x:c>
    </x:row>
    <x:row r="286">
      <x:c r="A286" s="21">
        <x:f>IF($K286="","",DAY($K286))</x:f>
        <x:v>6</x:v>
      </x:c>
      <x:c r="B286" s="22" t="str">
        <x:f>IF($K286="","",CHOOSE(WEEKDAY($K286,2),"Mo","Di","Mi","Do","Fr","Sa","So"))</x:f>
        <x:v>Mi</x:v>
      </x:c>
      <x:c r="C286" s="22">
        <x:f>IF($K286="","",ISOWEEKNUM($K286))</x:f>
        <x:v>19</x:v>
      </x:c>
      <x:c r="D286" s="23">
        <x:f>IF($K286="","",IF(AND(IFERROR(INDEX(Einstellungen!$I$3:$I$22,MATCH($K286,Einstellungen!$H$3:$H$22,0)),"")&lt;&gt;"",IFERROR(INDEX(Einstellungen!$B$20:$B$119,MATCH($K286,Einstellungen!$A$20:$A$119,0)),"")&lt;&gt;""),IFERROR(INDEX(Einstellungen!$I$3:$I$22,MATCH($K286,Einstellungen!$H$3:$H$22,0)),"")&amp;" / "&amp;IFERROR(INDEX(Einstellungen!$B$20:$B$119,MATCH($K286,Einstellungen!$A$20:$A$119,0)),""),IF(IFERROR(INDEX(Einstellungen!$I$3:$I$22,MATCH($K286,Einstellungen!$H$3:$H$22,0)),"")&lt;&gt;"",IFERROR(INDEX(Einstellungen!$I$3:$I$22,MATCH($K286,Einstellungen!$H$3:$H$22,0)),""),IFERROR(INDEX(Einstellungen!$B$20:$B$119,MATCH($K286,Einstellungen!$A$20:$A$119,0)),""))))</x:f>
      </x:c>
      <x:c r="E286" s="24">
        <x:f>IF($K286="","",SUM(F286:J286))</x:f>
        <x:v>6.5</x:v>
      </x:c>
      <x:c r="F286" s="25" t="n">
        <x:v>1</x:v>
      </x:c>
      <x:c r="G286" s="25" t="n">
        <x:v>2.5</x:v>
      </x:c>
      <x:c r="H286" s="25" t="n">
        <x:v>1</x:v>
      </x:c>
      <x:c r="I286" s="25" t="n">
        <x:v>1.5</x:v>
      </x:c>
      <x:c r="J286" s="25" t="n">
        <x:v>0.5</x:v>
      </x:c>
      <x:c r="K286">
        <x:f>IF(6&lt;=DAY(EOMONTH($K279,0)),$K279+5,"")</x:f>
        <x:v>46148</x:v>
      </x:c>
    </x:row>
    <x:row r="287">
      <x:c r="A287" s="21">
        <x:f>IF($K287="","",DAY($K287))</x:f>
        <x:v>7</x:v>
      </x:c>
      <x:c r="B287" s="22" t="str">
        <x:f>IF($K287="","",CHOOSE(WEEKDAY($K287,2),"Mo","Di","Mi","Do","Fr","Sa","So"))</x:f>
        <x:v>Do</x:v>
      </x:c>
      <x:c r="C287" s="22">
        <x:f>IF($K287="","",ISOWEEKNUM($K287))</x:f>
        <x:v>19</x:v>
      </x:c>
      <x:c r="D287" s="23">
        <x:f>IF($K287="","",IF(AND(IFERROR(INDEX(Einstellungen!$I$3:$I$22,MATCH($K287,Einstellungen!$H$3:$H$22,0)),"")&lt;&gt;"",IFERROR(INDEX(Einstellungen!$B$20:$B$119,MATCH($K287,Einstellungen!$A$20:$A$119,0)),"")&lt;&gt;""),IFERROR(INDEX(Einstellungen!$I$3:$I$22,MATCH($K287,Einstellungen!$H$3:$H$22,0)),"")&amp;" / "&amp;IFERROR(INDEX(Einstellungen!$B$20:$B$119,MATCH($K287,Einstellungen!$A$20:$A$119,0)),""),IF(IFERROR(INDEX(Einstellungen!$I$3:$I$22,MATCH($K287,Einstellungen!$H$3:$H$22,0)),"")&lt;&gt;"",IFERROR(INDEX(Einstellungen!$I$3:$I$22,MATCH($K287,Einstellungen!$H$3:$H$22,0)),""),IFERROR(INDEX(Einstellungen!$B$20:$B$119,MATCH($K287,Einstellungen!$A$20:$A$119,0)),""))))</x:f>
      </x:c>
      <x:c r="E287" s="24">
        <x:f>IF($K287="","",SUM(F287:J287))</x:f>
        <x:v>7.5</x:v>
      </x:c>
      <x:c r="F287" s="25" t="n">
        <x:v>1.5</x:v>
      </x:c>
      <x:c r="G287" s="25" t="n">
        <x:v>2</x:v>
      </x:c>
      <x:c r="H287" s="25" t="n">
        <x:v>1.5</x:v>
      </x:c>
      <x:c r="I287" s="25" t="n">
        <x:v>2.5</x:v>
      </x:c>
      <x:c r="J287" s="25" t="n"/>
      <x:c r="K287">
        <x:f>IF(7&lt;=DAY(EOMONTH($K279,0)),$K279+6,"")</x:f>
        <x:v>46149</x:v>
      </x:c>
    </x:row>
    <x:row r="288">
      <x:c r="A288" s="21">
        <x:f>IF($K288="","",DAY($K288))</x:f>
        <x:v>8</x:v>
      </x:c>
      <x:c r="B288" s="22" t="str">
        <x:f>IF($K288="","",CHOOSE(WEEKDAY($K288,2),"Mo","Di","Mi","Do","Fr","Sa","So"))</x:f>
        <x:v>Fr</x:v>
      </x:c>
      <x:c r="C288" s="22">
        <x:f>IF($K288="","",ISOWEEKNUM($K288))</x:f>
        <x:v>19</x:v>
      </x:c>
      <x:c r="D288" s="23">
        <x:f>IF($K288="","",IF(AND(IFERROR(INDEX(Einstellungen!$I$3:$I$22,MATCH($K288,Einstellungen!$H$3:$H$22,0)),"")&lt;&gt;"",IFERROR(INDEX(Einstellungen!$B$20:$B$119,MATCH($K288,Einstellungen!$A$20:$A$119,0)),"")&lt;&gt;""),IFERROR(INDEX(Einstellungen!$I$3:$I$22,MATCH($K288,Einstellungen!$H$3:$H$22,0)),"")&amp;" / "&amp;IFERROR(INDEX(Einstellungen!$B$20:$B$119,MATCH($K288,Einstellungen!$A$20:$A$119,0)),""),IF(IFERROR(INDEX(Einstellungen!$I$3:$I$22,MATCH($K288,Einstellungen!$H$3:$H$22,0)),"")&lt;&gt;"",IFERROR(INDEX(Einstellungen!$I$3:$I$22,MATCH($K288,Einstellungen!$H$3:$H$22,0)),""),IFERROR(INDEX(Einstellungen!$B$20:$B$119,MATCH($K288,Einstellungen!$A$20:$A$119,0)),""))))</x:f>
      </x:c>
      <x:c r="E288" s="24">
        <x:f>IF($K288="","",SUM(F288:J288))</x:f>
        <x:v>6</x:v>
      </x:c>
      <x:c r="F288" s="25" t="n">
        <x:v>2</x:v>
      </x:c>
      <x:c r="G288" s="25" t="n">
        <x:v>1</x:v>
      </x:c>
      <x:c r="H288" s="25" t="n">
        <x:v>1</x:v>
      </x:c>
      <x:c r="I288" s="25" t="n">
        <x:v>1</x:v>
      </x:c>
      <x:c r="J288" s="25" t="n">
        <x:v>1</x:v>
      </x:c>
      <x:c r="K288">
        <x:f>IF(8&lt;=DAY(EOMONTH($K279,0)),$K279+7,"")</x:f>
        <x:v>46150</x:v>
      </x:c>
    </x:row>
    <x:row r="289">
      <x:c r="A289" s="21">
        <x:f>IF($K289="","",DAY($K289))</x:f>
        <x:v>9</x:v>
      </x:c>
      <x:c r="B289" s="22" t="str">
        <x:f>IF($K289="","",CHOOSE(WEEKDAY($K289,2),"Mo","Di","Mi","Do","Fr","Sa","So"))</x:f>
        <x:v>Sa</x:v>
      </x:c>
      <x:c r="C289" s="22">
        <x:f>IF($K289="","",ISOWEEKNUM($K289))</x:f>
        <x:v>19</x:v>
      </x:c>
      <x:c r="D289" s="23">
        <x:f>IF($K289="","",IF(AND(IFERROR(INDEX(Einstellungen!$I$3:$I$22,MATCH($K289,Einstellungen!$H$3:$H$22,0)),"")&lt;&gt;"",IFERROR(INDEX(Einstellungen!$B$20:$B$119,MATCH($K289,Einstellungen!$A$20:$A$119,0)),"")&lt;&gt;""),IFERROR(INDEX(Einstellungen!$I$3:$I$22,MATCH($K289,Einstellungen!$H$3:$H$22,0)),"")&amp;" / "&amp;IFERROR(INDEX(Einstellungen!$B$20:$B$119,MATCH($K289,Einstellungen!$A$20:$A$119,0)),""),IF(IFERROR(INDEX(Einstellungen!$I$3:$I$22,MATCH($K289,Einstellungen!$H$3:$H$22,0)),"")&lt;&gt;"",IFERROR(INDEX(Einstellungen!$I$3:$I$22,MATCH($K289,Einstellungen!$H$3:$H$22,0)),""),IFERROR(INDEX(Einstellungen!$B$20:$B$119,MATCH($K289,Einstellungen!$A$20:$A$119,0)),""))))</x:f>
      </x:c>
      <x:c r="E289" s="24">
        <x:f>IF($K289="","",SUM(F289:J289))</x:f>
        <x:v>0</x:v>
      </x:c>
      <x:c r="F289" s="25" t="n"/>
      <x:c r="G289" s="25" t="n"/>
      <x:c r="H289" s="25" t="n"/>
      <x:c r="I289" s="25" t="n"/>
      <x:c r="J289" s="25" t="n"/>
      <x:c r="K289">
        <x:f>IF(9&lt;=DAY(EOMONTH($K279,0)),$K279+8,"")</x:f>
        <x:v>46151</x:v>
      </x:c>
    </x:row>
    <x:row r="290">
      <x:c r="A290" s="21">
        <x:f>IF($K290="","",DAY($K290))</x:f>
        <x:v>10</x:v>
      </x:c>
      <x:c r="B290" s="22" t="str">
        <x:f>IF($K290="","",CHOOSE(WEEKDAY($K290,2),"Mo","Di","Mi","Do","Fr","Sa","So"))</x:f>
        <x:v>So</x:v>
      </x:c>
      <x:c r="C290" s="22">
        <x:f>IF($K290="","",ISOWEEKNUM($K290))</x:f>
        <x:v>19</x:v>
      </x:c>
      <x:c r="D290" s="23">
        <x:f>IF($K290="","",IF(AND(IFERROR(INDEX(Einstellungen!$I$3:$I$22,MATCH($K290,Einstellungen!$H$3:$H$22,0)),"")&lt;&gt;"",IFERROR(INDEX(Einstellungen!$B$20:$B$119,MATCH($K290,Einstellungen!$A$20:$A$119,0)),"")&lt;&gt;""),IFERROR(INDEX(Einstellungen!$I$3:$I$22,MATCH($K290,Einstellungen!$H$3:$H$22,0)),"")&amp;" / "&amp;IFERROR(INDEX(Einstellungen!$B$20:$B$119,MATCH($K290,Einstellungen!$A$20:$A$119,0)),""),IF(IFERROR(INDEX(Einstellungen!$I$3:$I$22,MATCH($K290,Einstellungen!$H$3:$H$22,0)),"")&lt;&gt;"",IFERROR(INDEX(Einstellungen!$I$3:$I$22,MATCH($K290,Einstellungen!$H$3:$H$22,0)),""),IFERROR(INDEX(Einstellungen!$B$20:$B$119,MATCH($K290,Einstellungen!$A$20:$A$119,0)),""))))</x:f>
      </x:c>
      <x:c r="E290" s="24">
        <x:f>IF($K290="","",SUM(F290:J290))</x:f>
        <x:v>0</x:v>
      </x:c>
      <x:c r="F290" s="25" t="n"/>
      <x:c r="G290" s="25" t="n"/>
      <x:c r="H290" s="25" t="n"/>
      <x:c r="I290" s="25" t="n"/>
      <x:c r="J290" s="25" t="n"/>
      <x:c r="K290">
        <x:f>IF(10&lt;=DAY(EOMONTH($K279,0)),$K279+9,"")</x:f>
        <x:v>46152</x:v>
      </x:c>
    </x:row>
    <x:row r="291">
      <x:c r="A291" s="21">
        <x:f>IF($K291="","",DAY($K291))</x:f>
        <x:v>11</x:v>
      </x:c>
      <x:c r="B291" s="22" t="str">
        <x:f>IF($K291="","",CHOOSE(WEEKDAY($K291,2),"Mo","Di","Mi","Do","Fr","Sa","So"))</x:f>
        <x:v>Mo</x:v>
      </x:c>
      <x:c r="C291" s="22">
        <x:f>IF($K291="","",ISOWEEKNUM($K291))</x:f>
        <x:v>20</x:v>
      </x:c>
      <x:c r="D291" s="23" t="str">
        <x:f>IF($K291="","",IF(AND(IFERROR(INDEX(Einstellungen!$I$3:$I$22,MATCH($K291,Einstellungen!$H$3:$H$22,0)),"")&lt;&gt;"",IFERROR(INDEX(Einstellungen!$B$20:$B$119,MATCH($K291,Einstellungen!$A$20:$A$119,0)),"")&lt;&gt;""),IFERROR(INDEX(Einstellungen!$I$3:$I$22,MATCH($K291,Einstellungen!$H$3:$H$22,0)),"")&amp;" / "&amp;IFERROR(INDEX(Einstellungen!$B$20:$B$119,MATCH($K291,Einstellungen!$A$20:$A$119,0)),""),IF(IFERROR(INDEX(Einstellungen!$I$3:$I$22,MATCH($K291,Einstellungen!$H$3:$H$22,0)),"")&lt;&gt;"",IFERROR(INDEX(Einstellungen!$I$3:$I$22,MATCH($K291,Einstellungen!$H$3:$H$22,0)),""),IFERROR(INDEX(Einstellungen!$B$20:$B$119,MATCH($K291,Einstellungen!$A$20:$A$119,0)),""))))</x:f>
        <x:v>Workshop</x:v>
      </x:c>
      <x:c r="E291" s="24">
        <x:f>IF($K291="","",SUM(F291:J291))</x:f>
        <x:v>7</x:v>
      </x:c>
      <x:c r="F291" s="25" t="n">
        <x:v>0.5</x:v>
      </x:c>
      <x:c r="G291" s="25" t="n">
        <x:v>4</x:v>
      </x:c>
      <x:c r="H291" s="25" t="n">
        <x:v>0.5</x:v>
      </x:c>
      <x:c r="I291" s="25" t="n">
        <x:v>1.5</x:v>
      </x:c>
      <x:c r="J291" s="25" t="n">
        <x:v>0.5</x:v>
      </x:c>
      <x:c r="K291">
        <x:f>IF(11&lt;=DAY(EOMONTH($K279,0)),$K279+10,"")</x:f>
        <x:v>46153</x:v>
      </x:c>
    </x:row>
    <x:row r="292">
      <x:c r="A292" s="21">
        <x:f>IF($K292="","",DAY($K292))</x:f>
        <x:v>12</x:v>
      </x:c>
      <x:c r="B292" s="22" t="str">
        <x:f>IF($K292="","",CHOOSE(WEEKDAY($K292,2),"Mo","Di","Mi","Do","Fr","Sa","So"))</x:f>
        <x:v>Di</x:v>
      </x:c>
      <x:c r="C292" s="22">
        <x:f>IF($K292="","",ISOWEEKNUM($K292))</x:f>
        <x:v>20</x:v>
      </x:c>
      <x:c r="D292" s="23">
        <x:f>IF($K292="","",IF(AND(IFERROR(INDEX(Einstellungen!$I$3:$I$22,MATCH($K292,Einstellungen!$H$3:$H$22,0)),"")&lt;&gt;"",IFERROR(INDEX(Einstellungen!$B$20:$B$119,MATCH($K292,Einstellungen!$A$20:$A$119,0)),"")&lt;&gt;""),IFERROR(INDEX(Einstellungen!$I$3:$I$22,MATCH($K292,Einstellungen!$H$3:$H$22,0)),"")&amp;" / "&amp;IFERROR(INDEX(Einstellungen!$B$20:$B$119,MATCH($K292,Einstellungen!$A$20:$A$119,0)),""),IF(IFERROR(INDEX(Einstellungen!$I$3:$I$22,MATCH($K292,Einstellungen!$H$3:$H$22,0)),"")&lt;&gt;"",IFERROR(INDEX(Einstellungen!$I$3:$I$22,MATCH($K292,Einstellungen!$H$3:$H$22,0)),""),IFERROR(INDEX(Einstellungen!$B$20:$B$119,MATCH($K292,Einstellungen!$A$20:$A$119,0)),""))))</x:f>
      </x:c>
      <x:c r="E292" s="24">
        <x:f>IF($K292="","",SUM(F292:J292))</x:f>
        <x:v>6.5</x:v>
      </x:c>
      <x:c r="F292" s="25" t="n">
        <x:v>1.5</x:v>
      </x:c>
      <x:c r="G292" s="25" t="n">
        <x:v>1.5</x:v>
      </x:c>
      <x:c r="H292" s="25" t="n">
        <x:v>1</x:v>
      </x:c>
      <x:c r="I292" s="25" t="n">
        <x:v>2</x:v>
      </x:c>
      <x:c r="J292" s="25" t="n">
        <x:v>0.5</x:v>
      </x:c>
      <x:c r="K292">
        <x:f>IF(12&lt;=DAY(EOMONTH($K279,0)),$K279+11,"")</x:f>
        <x:v>46154</x:v>
      </x:c>
    </x:row>
    <x:row r="293">
      <x:c r="A293" s="21">
        <x:f>IF($K293="","",DAY($K293))</x:f>
        <x:v>13</x:v>
      </x:c>
      <x:c r="B293" s="22" t="str">
        <x:f>IF($K293="","",CHOOSE(WEEKDAY($K293,2),"Mo","Di","Mi","Do","Fr","Sa","So"))</x:f>
        <x:v>Mi</x:v>
      </x:c>
      <x:c r="C293" s="22">
        <x:f>IF($K293="","",ISOWEEKNUM($K293))</x:f>
        <x:v>20</x:v>
      </x:c>
      <x:c r="D293" s="23">
        <x:f>IF($K293="","",IF(AND(IFERROR(INDEX(Einstellungen!$I$3:$I$22,MATCH($K293,Einstellungen!$H$3:$H$22,0)),"")&lt;&gt;"",IFERROR(INDEX(Einstellungen!$B$20:$B$119,MATCH($K293,Einstellungen!$A$20:$A$119,0)),"")&lt;&gt;""),IFERROR(INDEX(Einstellungen!$I$3:$I$22,MATCH($K293,Einstellungen!$H$3:$H$22,0)),"")&amp;" / "&amp;IFERROR(INDEX(Einstellungen!$B$20:$B$119,MATCH($K293,Einstellungen!$A$20:$A$119,0)),""),IF(IFERROR(INDEX(Einstellungen!$I$3:$I$22,MATCH($K293,Einstellungen!$H$3:$H$22,0)),"")&lt;&gt;"",IFERROR(INDEX(Einstellungen!$I$3:$I$22,MATCH($K293,Einstellungen!$H$3:$H$22,0)),""),IFERROR(INDEX(Einstellungen!$B$20:$B$119,MATCH($K293,Einstellungen!$A$20:$A$119,0)),""))))</x:f>
      </x:c>
      <x:c r="E293" s="24">
        <x:f>IF($K293="","",SUM(F293:J293))</x:f>
        <x:v>7.5</x:v>
      </x:c>
      <x:c r="F293" s="25" t="n">
        <x:v>1</x:v>
      </x:c>
      <x:c r="G293" s="25" t="n">
        <x:v>2.5</x:v>
      </x:c>
      <x:c r="H293" s="25" t="n">
        <x:v>2</x:v>
      </x:c>
      <x:c r="I293" s="25" t="n">
        <x:v>1.5</x:v>
      </x:c>
      <x:c r="J293" s="25" t="n">
        <x:v>0.5</x:v>
      </x:c>
      <x:c r="K293">
        <x:f>IF(13&lt;=DAY(EOMONTH($K279,0)),$K279+12,"")</x:f>
        <x:v>46155</x:v>
      </x:c>
    </x:row>
    <x:row r="294">
      <x:c r="A294" s="21">
        <x:f>IF($K294="","",DAY($K294))</x:f>
        <x:v>14</x:v>
      </x:c>
      <x:c r="B294" s="22" t="str">
        <x:f>IF($K294="","",CHOOSE(WEEKDAY($K294,2),"Mo","Di","Mi","Do","Fr","Sa","So"))</x:f>
        <x:v>Do</x:v>
      </x:c>
      <x:c r="C294" s="22">
        <x:f>IF($K294="","",ISOWEEKNUM($K294))</x:f>
        <x:v>20</x:v>
      </x:c>
      <x:c r="D294" s="23" t="str">
        <x:f>IF($K294="","",IF(AND(IFERROR(INDEX(Einstellungen!$I$3:$I$22,MATCH($K294,Einstellungen!$H$3:$H$22,0)),"")&lt;&gt;"",IFERROR(INDEX(Einstellungen!$B$20:$B$119,MATCH($K294,Einstellungen!$A$20:$A$119,0)),"")&lt;&gt;""),IFERROR(INDEX(Einstellungen!$I$3:$I$22,MATCH($K294,Einstellungen!$H$3:$H$22,0)),"")&amp;" / "&amp;IFERROR(INDEX(Einstellungen!$B$20:$B$119,MATCH($K294,Einstellungen!$A$20:$A$119,0)),""),IF(IFERROR(INDEX(Einstellungen!$I$3:$I$22,MATCH($K294,Einstellungen!$H$3:$H$22,0)),"")&lt;&gt;"",IFERROR(INDEX(Einstellungen!$I$3:$I$22,MATCH($K294,Einstellungen!$H$3:$H$22,0)),""),IFERROR(INDEX(Einstellungen!$B$20:$B$119,MATCH($K294,Einstellungen!$A$20:$A$119,0)),""))))</x:f>
        <x:v>Christi Himmelfahrt</x:v>
      </x:c>
      <x:c r="E294" s="24">
        <x:f>IF($K294="","",SUM(F294:J294))</x:f>
        <x:v>0</x:v>
      </x:c>
      <x:c r="F294" s="25" t="n"/>
      <x:c r="G294" s="25" t="n"/>
      <x:c r="H294" s="25" t="n"/>
      <x:c r="I294" s="25" t="n"/>
      <x:c r="J294" s="25" t="n"/>
      <x:c r="K294">
        <x:f>IF(14&lt;=DAY(EOMONTH($K279,0)),$K279+13,"")</x:f>
        <x:v>46156</x:v>
      </x:c>
    </x:row>
    <x:row r="295">
      <x:c r="A295" s="21">
        <x:f>IF($K295="","",DAY($K295))</x:f>
        <x:v>15</x:v>
      </x:c>
      <x:c r="B295" s="22" t="str">
        <x:f>IF($K295="","",CHOOSE(WEEKDAY($K295,2),"Mo","Di","Mi","Do","Fr","Sa","So"))</x:f>
        <x:v>Fr</x:v>
      </x:c>
      <x:c r="C295" s="22">
        <x:f>IF($K295="","",ISOWEEKNUM($K295))</x:f>
        <x:v>20</x:v>
      </x:c>
      <x:c r="D295" s="23">
        <x:f>IF($K295="","",IF(AND(IFERROR(INDEX(Einstellungen!$I$3:$I$22,MATCH($K295,Einstellungen!$H$3:$H$22,0)),"")&lt;&gt;"",IFERROR(INDEX(Einstellungen!$B$20:$B$119,MATCH($K295,Einstellungen!$A$20:$A$119,0)),"")&lt;&gt;""),IFERROR(INDEX(Einstellungen!$I$3:$I$22,MATCH($K295,Einstellungen!$H$3:$H$22,0)),"")&amp;" / "&amp;IFERROR(INDEX(Einstellungen!$B$20:$B$119,MATCH($K295,Einstellungen!$A$20:$A$119,0)),""),IF(IFERROR(INDEX(Einstellungen!$I$3:$I$22,MATCH($K295,Einstellungen!$H$3:$H$22,0)),"")&lt;&gt;"",IFERROR(INDEX(Einstellungen!$I$3:$I$22,MATCH($K295,Einstellungen!$H$3:$H$22,0)),""),IFERROR(INDEX(Einstellungen!$B$20:$B$119,MATCH($K295,Einstellungen!$A$20:$A$119,0)),""))))</x:f>
      </x:c>
      <x:c r="E295" s="24">
        <x:f>IF($K295="","",SUM(F295:J295))</x:f>
        <x:v>5.5</x:v>
      </x:c>
      <x:c r="F295" s="25" t="n">
        <x:v>2</x:v>
      </x:c>
      <x:c r="G295" s="25" t="n">
        <x:v>1</x:v>
      </x:c>
      <x:c r="H295" s="25" t="n">
        <x:v>1</x:v>
      </x:c>
      <x:c r="I295" s="25" t="n">
        <x:v>1</x:v>
      </x:c>
      <x:c r="J295" s="25" t="n">
        <x:v>0.5</x:v>
      </x:c>
      <x:c r="K295">
        <x:f>IF(15&lt;=DAY(EOMONTH($K279,0)),$K279+14,"")</x:f>
        <x:v>46157</x:v>
      </x:c>
    </x:row>
    <x:row r="296">
      <x:c r="A296" s="21">
        <x:f>IF($K296="","",DAY($K296))</x:f>
        <x:v>16</x:v>
      </x:c>
      <x:c r="B296" s="22" t="str">
        <x:f>IF($K296="","",CHOOSE(WEEKDAY($K296,2),"Mo","Di","Mi","Do","Fr","Sa","So"))</x:f>
        <x:v>Sa</x:v>
      </x:c>
      <x:c r="C296" s="22">
        <x:f>IF($K296="","",ISOWEEKNUM($K296))</x:f>
        <x:v>20</x:v>
      </x:c>
      <x:c r="D296" s="23">
        <x:f>IF($K296="","",IF(AND(IFERROR(INDEX(Einstellungen!$I$3:$I$22,MATCH($K296,Einstellungen!$H$3:$H$22,0)),"")&lt;&gt;"",IFERROR(INDEX(Einstellungen!$B$20:$B$119,MATCH($K296,Einstellungen!$A$20:$A$119,0)),"")&lt;&gt;""),IFERROR(INDEX(Einstellungen!$I$3:$I$22,MATCH($K296,Einstellungen!$H$3:$H$22,0)),"")&amp;" / "&amp;IFERROR(INDEX(Einstellungen!$B$20:$B$119,MATCH($K296,Einstellungen!$A$20:$A$119,0)),""),IF(IFERROR(INDEX(Einstellungen!$I$3:$I$22,MATCH($K296,Einstellungen!$H$3:$H$22,0)),"")&lt;&gt;"",IFERROR(INDEX(Einstellungen!$I$3:$I$22,MATCH($K296,Einstellungen!$H$3:$H$22,0)),""),IFERROR(INDEX(Einstellungen!$B$20:$B$119,MATCH($K296,Einstellungen!$A$20:$A$119,0)),""))))</x:f>
      </x:c>
      <x:c r="E296" s="24">
        <x:f>IF($K296="","",SUM(F296:J296))</x:f>
        <x:v>0</x:v>
      </x:c>
      <x:c r="F296" s="25" t="n"/>
      <x:c r="G296" s="25" t="n"/>
      <x:c r="H296" s="25" t="n"/>
      <x:c r="I296" s="25" t="n"/>
      <x:c r="J296" s="25" t="n"/>
      <x:c r="K296">
        <x:f>IF(16&lt;=DAY(EOMONTH($K279,0)),$K279+15,"")</x:f>
        <x:v>46158</x:v>
      </x:c>
    </x:row>
    <x:row r="297">
      <x:c r="A297" s="21">
        <x:f>IF($K297="","",DAY($K297))</x:f>
        <x:v>17</x:v>
      </x:c>
      <x:c r="B297" s="22" t="str">
        <x:f>IF($K297="","",CHOOSE(WEEKDAY($K297,2),"Mo","Di","Mi","Do","Fr","Sa","So"))</x:f>
        <x:v>So</x:v>
      </x:c>
      <x:c r="C297" s="22">
        <x:f>IF($K297="","",ISOWEEKNUM($K297))</x:f>
        <x:v>20</x:v>
      </x:c>
      <x:c r="D297" s="23">
        <x:f>IF($K297="","",IF(AND(IFERROR(INDEX(Einstellungen!$I$3:$I$22,MATCH($K297,Einstellungen!$H$3:$H$22,0)),"")&lt;&gt;"",IFERROR(INDEX(Einstellungen!$B$20:$B$119,MATCH($K297,Einstellungen!$A$20:$A$119,0)),"")&lt;&gt;""),IFERROR(INDEX(Einstellungen!$I$3:$I$22,MATCH($K297,Einstellungen!$H$3:$H$22,0)),"")&amp;" / "&amp;IFERROR(INDEX(Einstellungen!$B$20:$B$119,MATCH($K297,Einstellungen!$A$20:$A$119,0)),""),IF(IFERROR(INDEX(Einstellungen!$I$3:$I$22,MATCH($K297,Einstellungen!$H$3:$H$22,0)),"")&lt;&gt;"",IFERROR(INDEX(Einstellungen!$I$3:$I$22,MATCH($K297,Einstellungen!$H$3:$H$22,0)),""),IFERROR(INDEX(Einstellungen!$B$20:$B$119,MATCH($K297,Einstellungen!$A$20:$A$119,0)),""))))</x:f>
      </x:c>
      <x:c r="E297" s="24">
        <x:f>IF($K297="","",SUM(F297:J297))</x:f>
        <x:v>0</x:v>
      </x:c>
      <x:c r="F297" s="25" t="n"/>
      <x:c r="G297" s="25" t="n"/>
      <x:c r="H297" s="25" t="n"/>
      <x:c r="I297" s="25" t="n"/>
      <x:c r="J297" s="25" t="n"/>
      <x:c r="K297">
        <x:f>IF(17&lt;=DAY(EOMONTH($K279,0)),$K279+16,"")</x:f>
        <x:v>46159</x:v>
      </x:c>
    </x:row>
    <x:row r="298">
      <x:c r="A298" s="21">
        <x:f>IF($K298="","",DAY($K298))</x:f>
        <x:v>18</x:v>
      </x:c>
      <x:c r="B298" s="22" t="str">
        <x:f>IF($K298="","",CHOOSE(WEEKDAY($K298,2),"Mo","Di","Mi","Do","Fr","Sa","So"))</x:f>
        <x:v>Mo</x:v>
      </x:c>
      <x:c r="C298" s="22">
        <x:f>IF($K298="","",ISOWEEKNUM($K298))</x:f>
        <x:v>21</x:v>
      </x:c>
      <x:c r="D298" s="23">
        <x:f>IF($K298="","",IF(AND(IFERROR(INDEX(Einstellungen!$I$3:$I$22,MATCH($K298,Einstellungen!$H$3:$H$22,0)),"")&lt;&gt;"",IFERROR(INDEX(Einstellungen!$B$20:$B$119,MATCH($K298,Einstellungen!$A$20:$A$119,0)),"")&lt;&gt;""),IFERROR(INDEX(Einstellungen!$I$3:$I$22,MATCH($K298,Einstellungen!$H$3:$H$22,0)),"")&amp;" / "&amp;IFERROR(INDEX(Einstellungen!$B$20:$B$119,MATCH($K298,Einstellungen!$A$20:$A$119,0)),""),IF(IFERROR(INDEX(Einstellungen!$I$3:$I$22,MATCH($K298,Einstellungen!$H$3:$H$22,0)),"")&lt;&gt;"",IFERROR(INDEX(Einstellungen!$I$3:$I$22,MATCH($K298,Einstellungen!$H$3:$H$22,0)),""),IFERROR(INDEX(Einstellungen!$B$20:$B$119,MATCH($K298,Einstellungen!$A$20:$A$119,0)),""))))</x:f>
      </x:c>
      <x:c r="E298" s="24">
        <x:f>IF($K298="","",SUM(F298:J298))</x:f>
        <x:v>6.5</x:v>
      </x:c>
      <x:c r="F298" s="25" t="n">
        <x:v>1</x:v>
      </x:c>
      <x:c r="G298" s="25" t="n">
        <x:v>2</x:v>
      </x:c>
      <x:c r="H298" s="25" t="n">
        <x:v>1</x:v>
      </x:c>
      <x:c r="I298" s="25" t="n">
        <x:v>2</x:v>
      </x:c>
      <x:c r="J298" s="25" t="n">
        <x:v>0.5</x:v>
      </x:c>
      <x:c r="K298">
        <x:f>IF(18&lt;=DAY(EOMONTH($K279,0)),$K279+17,"")</x:f>
        <x:v>46160</x:v>
      </x:c>
    </x:row>
    <x:row r="299">
      <x:c r="A299" s="21">
        <x:f>IF($K299="","",DAY($K299))</x:f>
        <x:v>19</x:v>
      </x:c>
      <x:c r="B299" s="22" t="str">
        <x:f>IF($K299="","",CHOOSE(WEEKDAY($K299,2),"Mo","Di","Mi","Do","Fr","Sa","So"))</x:f>
        <x:v>Di</x:v>
      </x:c>
      <x:c r="C299" s="22">
        <x:f>IF($K299="","",ISOWEEKNUM($K299))</x:f>
        <x:v>21</x:v>
      </x:c>
      <x:c r="D299" s="23">
        <x:f>IF($K299="","",IF(AND(IFERROR(INDEX(Einstellungen!$I$3:$I$22,MATCH($K299,Einstellungen!$H$3:$H$22,0)),"")&lt;&gt;"",IFERROR(INDEX(Einstellungen!$B$20:$B$119,MATCH($K299,Einstellungen!$A$20:$A$119,0)),"")&lt;&gt;""),IFERROR(INDEX(Einstellungen!$I$3:$I$22,MATCH($K299,Einstellungen!$H$3:$H$22,0)),"")&amp;" / "&amp;IFERROR(INDEX(Einstellungen!$B$20:$B$119,MATCH($K299,Einstellungen!$A$20:$A$119,0)),""),IF(IFERROR(INDEX(Einstellungen!$I$3:$I$22,MATCH($K299,Einstellungen!$H$3:$H$22,0)),"")&lt;&gt;"",IFERROR(INDEX(Einstellungen!$I$3:$I$22,MATCH($K299,Einstellungen!$H$3:$H$22,0)),""),IFERROR(INDEX(Einstellungen!$B$20:$B$119,MATCH($K299,Einstellungen!$A$20:$A$119,0)),""))))</x:f>
      </x:c>
      <x:c r="E299" s="24">
        <x:f>IF($K299="","",SUM(F299:J299))</x:f>
        <x:v>7.5</x:v>
      </x:c>
      <x:c r="F299" s="25" t="n">
        <x:v>1.5</x:v>
      </x:c>
      <x:c r="G299" s="25" t="n">
        <x:v>2.5</x:v>
      </x:c>
      <x:c r="H299" s="25" t="n">
        <x:v>1</x:v>
      </x:c>
      <x:c r="I299" s="25" t="n">
        <x:v>2</x:v>
      </x:c>
      <x:c r="J299" s="25" t="n">
        <x:v>0.5</x:v>
      </x:c>
      <x:c r="K299">
        <x:f>IF(19&lt;=DAY(EOMONTH($K279,0)),$K279+18,"")</x:f>
        <x:v>46161</x:v>
      </x:c>
    </x:row>
    <x:row r="300">
      <x:c r="A300" s="21">
        <x:f>IF($K300="","",DAY($K300))</x:f>
        <x:v>20</x:v>
      </x:c>
      <x:c r="B300" s="22" t="str">
        <x:f>IF($K300="","",CHOOSE(WEEKDAY($K300,2),"Mo","Di","Mi","Do","Fr","Sa","So"))</x:f>
        <x:v>Mi</x:v>
      </x:c>
      <x:c r="C300" s="22">
        <x:f>IF($K300="","",ISOWEEKNUM($K300))</x:f>
        <x:v>21</x:v>
      </x:c>
      <x:c r="D300" s="23">
        <x:f>IF($K300="","",IF(AND(IFERROR(INDEX(Einstellungen!$I$3:$I$22,MATCH($K300,Einstellungen!$H$3:$H$22,0)),"")&lt;&gt;"",IFERROR(INDEX(Einstellungen!$B$20:$B$119,MATCH($K300,Einstellungen!$A$20:$A$119,0)),"")&lt;&gt;""),IFERROR(INDEX(Einstellungen!$I$3:$I$22,MATCH($K300,Einstellungen!$H$3:$H$22,0)),"")&amp;" / "&amp;IFERROR(INDEX(Einstellungen!$B$20:$B$119,MATCH($K300,Einstellungen!$A$20:$A$119,0)),""),IF(IFERROR(INDEX(Einstellungen!$I$3:$I$22,MATCH($K300,Einstellungen!$H$3:$H$22,0)),"")&lt;&gt;"",IFERROR(INDEX(Einstellungen!$I$3:$I$22,MATCH($K300,Einstellungen!$H$3:$H$22,0)),""),IFERROR(INDEX(Einstellungen!$B$20:$B$119,MATCH($K300,Einstellungen!$A$20:$A$119,0)),""))))</x:f>
      </x:c>
      <x:c r="E300" s="24">
        <x:f>IF($K300="","",SUM(F300:J300))</x:f>
        <x:v>7</x:v>
      </x:c>
      <x:c r="F300" s="25" t="n">
        <x:v>1</x:v>
      </x:c>
      <x:c r="G300" s="25" t="n">
        <x:v>2.5</x:v>
      </x:c>
      <x:c r="H300" s="25" t="n">
        <x:v>1.5</x:v>
      </x:c>
      <x:c r="I300" s="25" t="n">
        <x:v>1.5</x:v>
      </x:c>
      <x:c r="J300" s="25" t="n">
        <x:v>0.5</x:v>
      </x:c>
      <x:c r="K300">
        <x:f>IF(20&lt;=DAY(EOMONTH($K279,0)),$K279+19,"")</x:f>
        <x:v>46162</x:v>
      </x:c>
    </x:row>
    <x:row r="301">
      <x:c r="A301" s="21">
        <x:f>IF($K301="","",DAY($K301))</x:f>
        <x:v>21</x:v>
      </x:c>
      <x:c r="B301" s="22" t="str">
        <x:f>IF($K301="","",CHOOSE(WEEKDAY($K301,2),"Mo","Di","Mi","Do","Fr","Sa","So"))</x:f>
        <x:v>Do</x:v>
      </x:c>
      <x:c r="C301" s="22">
        <x:f>IF($K301="","",ISOWEEKNUM($K301))</x:f>
        <x:v>21</x:v>
      </x:c>
      <x:c r="D301" s="23">
        <x:f>IF($K301="","",IF(AND(IFERROR(INDEX(Einstellungen!$I$3:$I$22,MATCH($K301,Einstellungen!$H$3:$H$22,0)),"")&lt;&gt;"",IFERROR(INDEX(Einstellungen!$B$20:$B$119,MATCH($K301,Einstellungen!$A$20:$A$119,0)),"")&lt;&gt;""),IFERROR(INDEX(Einstellungen!$I$3:$I$22,MATCH($K301,Einstellungen!$H$3:$H$22,0)),"")&amp;" / "&amp;IFERROR(INDEX(Einstellungen!$B$20:$B$119,MATCH($K301,Einstellungen!$A$20:$A$119,0)),""),IF(IFERROR(INDEX(Einstellungen!$I$3:$I$22,MATCH($K301,Einstellungen!$H$3:$H$22,0)),"")&lt;&gt;"",IFERROR(INDEX(Einstellungen!$I$3:$I$22,MATCH($K301,Einstellungen!$H$3:$H$22,0)),""),IFERROR(INDEX(Einstellungen!$B$20:$B$119,MATCH($K301,Einstellungen!$A$20:$A$119,0)),""))))</x:f>
      </x:c>
      <x:c r="E301" s="24">
        <x:f>IF($K301="","",SUM(F301:J301))</x:f>
        <x:v>6.5</x:v>
      </x:c>
      <x:c r="F301" s="25" t="n">
        <x:v>1.5</x:v>
      </x:c>
      <x:c r="G301" s="25" t="n">
        <x:v>2</x:v>
      </x:c>
      <x:c r="H301" s="25" t="n">
        <x:v>1.5</x:v>
      </x:c>
      <x:c r="I301" s="25" t="n">
        <x:v>1.5</x:v>
      </x:c>
      <x:c r="J301" s="25" t="n"/>
      <x:c r="K301">
        <x:f>IF(21&lt;=DAY(EOMONTH($K279,0)),$K279+20,"")</x:f>
        <x:v>46163</x:v>
      </x:c>
    </x:row>
    <x:row r="302">
      <x:c r="A302" s="21">
        <x:f>IF($K302="","",DAY($K302))</x:f>
        <x:v>22</x:v>
      </x:c>
      <x:c r="B302" s="22" t="str">
        <x:f>IF($K302="","",CHOOSE(WEEKDAY($K302,2),"Mo","Di","Mi","Do","Fr","Sa","So"))</x:f>
        <x:v>Fr</x:v>
      </x:c>
      <x:c r="C302" s="22">
        <x:f>IF($K302="","",ISOWEEKNUM($K302))</x:f>
        <x:v>21</x:v>
      </x:c>
      <x:c r="D302" s="23">
        <x:f>IF($K302="","",IF(AND(IFERROR(INDEX(Einstellungen!$I$3:$I$22,MATCH($K302,Einstellungen!$H$3:$H$22,0)),"")&lt;&gt;"",IFERROR(INDEX(Einstellungen!$B$20:$B$119,MATCH($K302,Einstellungen!$A$20:$A$119,0)),"")&lt;&gt;""),IFERROR(INDEX(Einstellungen!$I$3:$I$22,MATCH($K302,Einstellungen!$H$3:$H$22,0)),"")&amp;" / "&amp;IFERROR(INDEX(Einstellungen!$B$20:$B$119,MATCH($K302,Einstellungen!$A$20:$A$119,0)),""),IF(IFERROR(INDEX(Einstellungen!$I$3:$I$22,MATCH($K302,Einstellungen!$H$3:$H$22,0)),"")&lt;&gt;"",IFERROR(INDEX(Einstellungen!$I$3:$I$22,MATCH($K302,Einstellungen!$H$3:$H$22,0)),""),IFERROR(INDEX(Einstellungen!$B$20:$B$119,MATCH($K302,Einstellungen!$A$20:$A$119,0)),""))))</x:f>
      </x:c>
      <x:c r="E302" s="24">
        <x:f>IF($K302="","",SUM(F302:J302))</x:f>
        <x:v>3</x:v>
      </x:c>
      <x:c r="F302" s="25" t="n">
        <x:v>1</x:v>
      </x:c>
      <x:c r="G302" s="25" t="n">
        <x:v>0.5</x:v>
      </x:c>
      <x:c r="H302" s="25" t="n">
        <x:v>0.5</x:v>
      </x:c>
      <x:c r="I302" s="25" t="n">
        <x:v>1</x:v>
      </x:c>
      <x:c r="J302" s="25" t="n"/>
      <x:c r="K302">
        <x:f>IF(22&lt;=DAY(EOMONTH($K279,0)),$K279+21,"")</x:f>
        <x:v>46164</x:v>
      </x:c>
    </x:row>
    <x:row r="303">
      <x:c r="A303" s="21">
        <x:f>IF($K303="","",DAY($K303))</x:f>
        <x:v>23</x:v>
      </x:c>
      <x:c r="B303" s="22" t="str">
        <x:f>IF($K303="","",CHOOSE(WEEKDAY($K303,2),"Mo","Di","Mi","Do","Fr","Sa","So"))</x:f>
        <x:v>Sa</x:v>
      </x:c>
      <x:c r="C303" s="22">
        <x:f>IF($K303="","",ISOWEEKNUM($K303))</x:f>
        <x:v>21</x:v>
      </x:c>
      <x:c r="D303" s="23">
        <x:f>IF($K303="","",IF(AND(IFERROR(INDEX(Einstellungen!$I$3:$I$22,MATCH($K303,Einstellungen!$H$3:$H$22,0)),"")&lt;&gt;"",IFERROR(INDEX(Einstellungen!$B$20:$B$119,MATCH($K303,Einstellungen!$A$20:$A$119,0)),"")&lt;&gt;""),IFERROR(INDEX(Einstellungen!$I$3:$I$22,MATCH($K303,Einstellungen!$H$3:$H$22,0)),"")&amp;" / "&amp;IFERROR(INDEX(Einstellungen!$B$20:$B$119,MATCH($K303,Einstellungen!$A$20:$A$119,0)),""),IF(IFERROR(INDEX(Einstellungen!$I$3:$I$22,MATCH($K303,Einstellungen!$H$3:$H$22,0)),"")&lt;&gt;"",IFERROR(INDEX(Einstellungen!$I$3:$I$22,MATCH($K303,Einstellungen!$H$3:$H$22,0)),""),IFERROR(INDEX(Einstellungen!$B$20:$B$119,MATCH($K303,Einstellungen!$A$20:$A$119,0)),""))))</x:f>
      </x:c>
      <x:c r="E303" s="24">
        <x:f>IF($K303="","",SUM(F303:J303))</x:f>
        <x:v>0</x:v>
      </x:c>
      <x:c r="F303" s="25" t="n"/>
      <x:c r="G303" s="25" t="n"/>
      <x:c r="H303" s="25" t="n"/>
      <x:c r="I303" s="25" t="n"/>
      <x:c r="J303" s="25" t="n"/>
      <x:c r="K303">
        <x:f>IF(23&lt;=DAY(EOMONTH($K279,0)),$K279+22,"")</x:f>
        <x:v>46165</x:v>
      </x:c>
    </x:row>
    <x:row r="304">
      <x:c r="A304" s="21">
        <x:f>IF($K304="","",DAY($K304))</x:f>
        <x:v>24</x:v>
      </x:c>
      <x:c r="B304" s="22" t="str">
        <x:f>IF($K304="","",CHOOSE(WEEKDAY($K304,2),"Mo","Di","Mi","Do","Fr","Sa","So"))</x:f>
        <x:v>So</x:v>
      </x:c>
      <x:c r="C304" s="22">
        <x:f>IF($K304="","",ISOWEEKNUM($K304))</x:f>
        <x:v>21</x:v>
      </x:c>
      <x:c r="D304" s="23">
        <x:f>IF($K304="","",IF(AND(IFERROR(INDEX(Einstellungen!$I$3:$I$22,MATCH($K304,Einstellungen!$H$3:$H$22,0)),"")&lt;&gt;"",IFERROR(INDEX(Einstellungen!$B$20:$B$119,MATCH($K304,Einstellungen!$A$20:$A$119,0)),"")&lt;&gt;""),IFERROR(INDEX(Einstellungen!$I$3:$I$22,MATCH($K304,Einstellungen!$H$3:$H$22,0)),"")&amp;" / "&amp;IFERROR(INDEX(Einstellungen!$B$20:$B$119,MATCH($K304,Einstellungen!$A$20:$A$119,0)),""),IF(IFERROR(INDEX(Einstellungen!$I$3:$I$22,MATCH($K304,Einstellungen!$H$3:$H$22,0)),"")&lt;&gt;"",IFERROR(INDEX(Einstellungen!$I$3:$I$22,MATCH($K304,Einstellungen!$H$3:$H$22,0)),""),IFERROR(INDEX(Einstellungen!$B$20:$B$119,MATCH($K304,Einstellungen!$A$20:$A$119,0)),""))))</x:f>
      </x:c>
      <x:c r="E304" s="24">
        <x:f>IF($K304="","",SUM(F304:J304))</x:f>
        <x:v>0</x:v>
      </x:c>
      <x:c r="F304" s="25" t="n"/>
      <x:c r="G304" s="25" t="n"/>
      <x:c r="H304" s="25" t="n"/>
      <x:c r="I304" s="25" t="n"/>
      <x:c r="J304" s="25" t="n"/>
      <x:c r="K304">
        <x:f>IF(24&lt;=DAY(EOMONTH($K279,0)),$K279+23,"")</x:f>
        <x:v>46166</x:v>
      </x:c>
    </x:row>
    <x:row r="305">
      <x:c r="A305" s="21">
        <x:f>IF($K305="","",DAY($K305))</x:f>
        <x:v>25</x:v>
      </x:c>
      <x:c r="B305" s="22" t="str">
        <x:f>IF($K305="","",CHOOSE(WEEKDAY($K305,2),"Mo","Di","Mi","Do","Fr","Sa","So"))</x:f>
        <x:v>Mo</x:v>
      </x:c>
      <x:c r="C305" s="22">
        <x:f>IF($K305="","",ISOWEEKNUM($K305))</x:f>
        <x:v>22</x:v>
      </x:c>
      <x:c r="D305" s="23" t="str">
        <x:f>IF($K305="","",IF(AND(IFERROR(INDEX(Einstellungen!$I$3:$I$22,MATCH($K305,Einstellungen!$H$3:$H$22,0)),"")&lt;&gt;"",IFERROR(INDEX(Einstellungen!$B$20:$B$119,MATCH($K305,Einstellungen!$A$20:$A$119,0)),"")&lt;&gt;""),IFERROR(INDEX(Einstellungen!$I$3:$I$22,MATCH($K305,Einstellungen!$H$3:$H$22,0)),"")&amp;" / "&amp;IFERROR(INDEX(Einstellungen!$B$20:$B$119,MATCH($K305,Einstellungen!$A$20:$A$119,0)),""),IF(IFERROR(INDEX(Einstellungen!$I$3:$I$22,MATCH($K305,Einstellungen!$H$3:$H$22,0)),"")&lt;&gt;"",IFERROR(INDEX(Einstellungen!$I$3:$I$22,MATCH($K305,Einstellungen!$H$3:$H$22,0)),""),IFERROR(INDEX(Einstellungen!$B$20:$B$119,MATCH($K305,Einstellungen!$A$20:$A$119,0)),""))))</x:f>
        <x:v>Pfingstmontag</x:v>
      </x:c>
      <x:c r="E305" s="24">
        <x:f>IF($K305="","",SUM(F305:J305))</x:f>
        <x:v>0</x:v>
      </x:c>
      <x:c r="F305" s="25" t="n"/>
      <x:c r="G305" s="25" t="n"/>
      <x:c r="H305" s="25" t="n"/>
      <x:c r="I305" s="25" t="n"/>
      <x:c r="J305" s="25" t="n"/>
      <x:c r="K305">
        <x:f>IF(25&lt;=DAY(EOMONTH($K279,0)),$K279+24,"")</x:f>
        <x:v>46167</x:v>
      </x:c>
    </x:row>
    <x:row r="306">
      <x:c r="A306" s="21">
        <x:f>IF($K306="","",DAY($K306))</x:f>
        <x:v>26</x:v>
      </x:c>
      <x:c r="B306" s="22" t="str">
        <x:f>IF($K306="","",CHOOSE(WEEKDAY($K306,2),"Mo","Di","Mi","Do","Fr","Sa","So"))</x:f>
        <x:v>Di</x:v>
      </x:c>
      <x:c r="C306" s="22">
        <x:f>IF($K306="","",ISOWEEKNUM($K306))</x:f>
        <x:v>22</x:v>
      </x:c>
      <x:c r="D306" s="23">
        <x:f>IF($K306="","",IF(AND(IFERROR(INDEX(Einstellungen!$I$3:$I$22,MATCH($K306,Einstellungen!$H$3:$H$22,0)),"")&lt;&gt;"",IFERROR(INDEX(Einstellungen!$B$20:$B$119,MATCH($K306,Einstellungen!$A$20:$A$119,0)),"")&lt;&gt;""),IFERROR(INDEX(Einstellungen!$I$3:$I$22,MATCH($K306,Einstellungen!$H$3:$H$22,0)),"")&amp;" / "&amp;IFERROR(INDEX(Einstellungen!$B$20:$B$119,MATCH($K306,Einstellungen!$A$20:$A$119,0)),""),IF(IFERROR(INDEX(Einstellungen!$I$3:$I$22,MATCH($K306,Einstellungen!$H$3:$H$22,0)),"")&lt;&gt;"",IFERROR(INDEX(Einstellungen!$I$3:$I$22,MATCH($K306,Einstellungen!$H$3:$H$22,0)),""),IFERROR(INDEX(Einstellungen!$B$20:$B$119,MATCH($K306,Einstellungen!$A$20:$A$119,0)),""))))</x:f>
      </x:c>
      <x:c r="E306" s="24">
        <x:f>IF($K306="","",SUM(F306:J306))</x:f>
        <x:v>7</x:v>
      </x:c>
      <x:c r="F306" s="25" t="n">
        <x:v>1.5</x:v>
      </x:c>
      <x:c r="G306" s="25" t="n">
        <x:v>2</x:v>
      </x:c>
      <x:c r="H306" s="25" t="n">
        <x:v>1</x:v>
      </x:c>
      <x:c r="I306" s="25" t="n">
        <x:v>2</x:v>
      </x:c>
      <x:c r="J306" s="25" t="n">
        <x:v>0.5</x:v>
      </x:c>
      <x:c r="K306">
        <x:f>IF(26&lt;=DAY(EOMONTH($K279,0)),$K279+25,"")</x:f>
        <x:v>46168</x:v>
      </x:c>
    </x:row>
    <x:row r="307">
      <x:c r="A307" s="21">
        <x:f>IF($K307="","",DAY($K307))</x:f>
        <x:v>27</x:v>
      </x:c>
      <x:c r="B307" s="22" t="str">
        <x:f>IF($K307="","",CHOOSE(WEEKDAY($K307,2),"Mo","Di","Mi","Do","Fr","Sa","So"))</x:f>
        <x:v>Mi</x:v>
      </x:c>
      <x:c r="C307" s="22">
        <x:f>IF($K307="","",ISOWEEKNUM($K307))</x:f>
        <x:v>22</x:v>
      </x:c>
      <x:c r="D307" s="23">
        <x:f>IF($K307="","",IF(AND(IFERROR(INDEX(Einstellungen!$I$3:$I$22,MATCH($K307,Einstellungen!$H$3:$H$22,0)),"")&lt;&gt;"",IFERROR(INDEX(Einstellungen!$B$20:$B$119,MATCH($K307,Einstellungen!$A$20:$A$119,0)),"")&lt;&gt;""),IFERROR(INDEX(Einstellungen!$I$3:$I$22,MATCH($K307,Einstellungen!$H$3:$H$22,0)),"")&amp;" / "&amp;IFERROR(INDEX(Einstellungen!$B$20:$B$119,MATCH($K307,Einstellungen!$A$20:$A$119,0)),""),IF(IFERROR(INDEX(Einstellungen!$I$3:$I$22,MATCH($K307,Einstellungen!$H$3:$H$22,0)),"")&lt;&gt;"",IFERROR(INDEX(Einstellungen!$I$3:$I$22,MATCH($K307,Einstellungen!$H$3:$H$22,0)),""),IFERROR(INDEX(Einstellungen!$B$20:$B$119,MATCH($K307,Einstellungen!$A$20:$A$119,0)),""))))</x:f>
      </x:c>
      <x:c r="E307" s="24">
        <x:f>IF($K307="","",SUM(F307:J307))</x:f>
        <x:v>6.5</x:v>
      </x:c>
      <x:c r="F307" s="25" t="n">
        <x:v>1</x:v>
      </x:c>
      <x:c r="G307" s="25" t="n">
        <x:v>2.5</x:v>
      </x:c>
      <x:c r="H307" s="25" t="n">
        <x:v>1</x:v>
      </x:c>
      <x:c r="I307" s="25" t="n">
        <x:v>1.5</x:v>
      </x:c>
      <x:c r="J307" s="25" t="n">
        <x:v>0.5</x:v>
      </x:c>
      <x:c r="K307">
        <x:f>IF(27&lt;=DAY(EOMONTH($K279,0)),$K279+26,"")</x:f>
        <x:v>46169</x:v>
      </x:c>
    </x:row>
    <x:row r="308">
      <x:c r="A308" s="21">
        <x:f>IF($K308="","",DAY($K308))</x:f>
        <x:v>28</x:v>
      </x:c>
      <x:c r="B308" s="22" t="str">
        <x:f>IF($K308="","",CHOOSE(WEEKDAY($K308,2),"Mo","Di","Mi","Do","Fr","Sa","So"))</x:f>
        <x:v>Do</x:v>
      </x:c>
      <x:c r="C308" s="22">
        <x:f>IF($K308="","",ISOWEEKNUM($K308))</x:f>
        <x:v>22</x:v>
      </x:c>
      <x:c r="D308" s="23">
        <x:f>IF($K308="","",IF(AND(IFERROR(INDEX(Einstellungen!$I$3:$I$22,MATCH($K308,Einstellungen!$H$3:$H$22,0)),"")&lt;&gt;"",IFERROR(INDEX(Einstellungen!$B$20:$B$119,MATCH($K308,Einstellungen!$A$20:$A$119,0)),"")&lt;&gt;""),IFERROR(INDEX(Einstellungen!$I$3:$I$22,MATCH($K308,Einstellungen!$H$3:$H$22,0)),"")&amp;" / "&amp;IFERROR(INDEX(Einstellungen!$B$20:$B$119,MATCH($K308,Einstellungen!$A$20:$A$119,0)),""),IF(IFERROR(INDEX(Einstellungen!$I$3:$I$22,MATCH($K308,Einstellungen!$H$3:$H$22,0)),"")&lt;&gt;"",IFERROR(INDEX(Einstellungen!$I$3:$I$22,MATCH($K308,Einstellungen!$H$3:$H$22,0)),""),IFERROR(INDEX(Einstellungen!$B$20:$B$119,MATCH($K308,Einstellungen!$A$20:$A$119,0)),""))))</x:f>
      </x:c>
      <x:c r="E308" s="24">
        <x:f>IF($K308="","",SUM(F308:J308))</x:f>
        <x:v>7.5</x:v>
      </x:c>
      <x:c r="F308" s="25" t="n">
        <x:v>1.5</x:v>
      </x:c>
      <x:c r="G308" s="25" t="n">
        <x:v>2</x:v>
      </x:c>
      <x:c r="H308" s="25" t="n">
        <x:v>1.5</x:v>
      </x:c>
      <x:c r="I308" s="25" t="n">
        <x:v>2.5</x:v>
      </x:c>
      <x:c r="J308" s="25" t="n"/>
      <x:c r="K308">
        <x:f>IF(28&lt;=DAY(EOMONTH($K279,0)),$K279+27,"")</x:f>
        <x:v>46170</x:v>
      </x:c>
    </x:row>
    <x:row r="309">
      <x:c r="A309" s="21">
        <x:f>IF($K309="","",DAY($K309))</x:f>
        <x:v>29</x:v>
      </x:c>
      <x:c r="B309" s="22" t="str">
        <x:f>IF($K309="","",CHOOSE(WEEKDAY($K309,2),"Mo","Di","Mi","Do","Fr","Sa","So"))</x:f>
        <x:v>Fr</x:v>
      </x:c>
      <x:c r="C309" s="22">
        <x:f>IF($K309="","",ISOWEEKNUM($K309))</x:f>
        <x:v>22</x:v>
      </x:c>
      <x:c r="D309" s="23">
        <x:f>IF($K309="","",IF(AND(IFERROR(INDEX(Einstellungen!$I$3:$I$22,MATCH($K309,Einstellungen!$H$3:$H$22,0)),"")&lt;&gt;"",IFERROR(INDEX(Einstellungen!$B$20:$B$119,MATCH($K309,Einstellungen!$A$20:$A$119,0)),"")&lt;&gt;""),IFERROR(INDEX(Einstellungen!$I$3:$I$22,MATCH($K309,Einstellungen!$H$3:$H$22,0)),"")&amp;" / "&amp;IFERROR(INDEX(Einstellungen!$B$20:$B$119,MATCH($K309,Einstellungen!$A$20:$A$119,0)),""),IF(IFERROR(INDEX(Einstellungen!$I$3:$I$22,MATCH($K309,Einstellungen!$H$3:$H$22,0)),"")&lt;&gt;"",IFERROR(INDEX(Einstellungen!$I$3:$I$22,MATCH($K309,Einstellungen!$H$3:$H$22,0)),""),IFERROR(INDEX(Einstellungen!$B$20:$B$119,MATCH($K309,Einstellungen!$A$20:$A$119,0)),""))))</x:f>
      </x:c>
      <x:c r="E309" s="24">
        <x:f>IF($K309="","",SUM(F309:J309))</x:f>
        <x:v>3</x:v>
      </x:c>
      <x:c r="F309" s="25" t="n">
        <x:v>1</x:v>
      </x:c>
      <x:c r="G309" s="25" t="n">
        <x:v>0.5</x:v>
      </x:c>
      <x:c r="H309" s="25" t="n">
        <x:v>0.5</x:v>
      </x:c>
      <x:c r="I309" s="25" t="n">
        <x:v>1</x:v>
      </x:c>
      <x:c r="J309" s="25" t="n"/>
      <x:c r="K309">
        <x:f>IF(29&lt;=DAY(EOMONTH($K279,0)),$K279+28,"")</x:f>
        <x:v>46171</x:v>
      </x:c>
    </x:row>
    <x:row r="310">
      <x:c r="A310" s="21">
        <x:f>IF($K310="","",DAY($K310))</x:f>
        <x:v>30</x:v>
      </x:c>
      <x:c r="B310" s="22" t="str">
        <x:f>IF($K310="","",CHOOSE(WEEKDAY($K310,2),"Mo","Di","Mi","Do","Fr","Sa","So"))</x:f>
        <x:v>Sa</x:v>
      </x:c>
      <x:c r="C310" s="22">
        <x:f>IF($K310="","",ISOWEEKNUM($K310))</x:f>
        <x:v>22</x:v>
      </x:c>
      <x:c r="D310" s="23">
        <x:f>IF($K310="","",IF(AND(IFERROR(INDEX(Einstellungen!$I$3:$I$22,MATCH($K310,Einstellungen!$H$3:$H$22,0)),"")&lt;&gt;"",IFERROR(INDEX(Einstellungen!$B$20:$B$119,MATCH($K310,Einstellungen!$A$20:$A$119,0)),"")&lt;&gt;""),IFERROR(INDEX(Einstellungen!$I$3:$I$22,MATCH($K310,Einstellungen!$H$3:$H$22,0)),"")&amp;" / "&amp;IFERROR(INDEX(Einstellungen!$B$20:$B$119,MATCH($K310,Einstellungen!$A$20:$A$119,0)),""),IF(IFERROR(INDEX(Einstellungen!$I$3:$I$22,MATCH($K310,Einstellungen!$H$3:$H$22,0)),"")&lt;&gt;"",IFERROR(INDEX(Einstellungen!$I$3:$I$22,MATCH($K310,Einstellungen!$H$3:$H$22,0)),""),IFERROR(INDEX(Einstellungen!$B$20:$B$119,MATCH($K310,Einstellungen!$A$20:$A$119,0)),""))))</x:f>
      </x:c>
      <x:c r="E310" s="24">
        <x:f>IF($K310="","",SUM(F310:J310))</x:f>
        <x:v>0</x:v>
      </x:c>
      <x:c r="F310" s="25" t="n"/>
      <x:c r="G310" s="25" t="n"/>
      <x:c r="H310" s="25" t="n"/>
      <x:c r="I310" s="25" t="n"/>
      <x:c r="J310" s="25" t="n"/>
      <x:c r="K310">
        <x:f>IF(30&lt;=DAY(EOMONTH($K279,0)),$K279+29,"")</x:f>
        <x:v>46172</x:v>
      </x:c>
    </x:row>
    <x:row r="311">
      <x:c r="A311" s="21">
        <x:f>IF($K311="","",DAY($K311))</x:f>
        <x:v>31</x:v>
      </x:c>
      <x:c r="B311" s="22" t="str">
        <x:f>IF($K311="","",CHOOSE(WEEKDAY($K311,2),"Mo","Di","Mi","Do","Fr","Sa","So"))</x:f>
        <x:v>So</x:v>
      </x:c>
      <x:c r="C311" s="22">
        <x:f>IF($K311="","",ISOWEEKNUM($K311))</x:f>
        <x:v>22</x:v>
      </x:c>
      <x:c r="D311" s="23">
        <x:f>IF($K311="","",IF(AND(IFERROR(INDEX(Einstellungen!$I$3:$I$22,MATCH($K311,Einstellungen!$H$3:$H$22,0)),"")&lt;&gt;"",IFERROR(INDEX(Einstellungen!$B$20:$B$119,MATCH($K311,Einstellungen!$A$20:$A$119,0)),"")&lt;&gt;""),IFERROR(INDEX(Einstellungen!$I$3:$I$22,MATCH($K311,Einstellungen!$H$3:$H$22,0)),"")&amp;" / "&amp;IFERROR(INDEX(Einstellungen!$B$20:$B$119,MATCH($K311,Einstellungen!$A$20:$A$119,0)),""),IF(IFERROR(INDEX(Einstellungen!$I$3:$I$22,MATCH($K311,Einstellungen!$H$3:$H$22,0)),"")&lt;&gt;"",IFERROR(INDEX(Einstellungen!$I$3:$I$22,MATCH($K311,Einstellungen!$H$3:$H$22,0)),""),IFERROR(INDEX(Einstellungen!$B$20:$B$119,MATCH($K311,Einstellungen!$A$20:$A$119,0)),""))))</x:f>
      </x:c>
      <x:c r="E311" s="24">
        <x:f>IF($K311="","",SUM(F311:J311))</x:f>
        <x:v>0</x:v>
      </x:c>
      <x:c r="F311" s="25" t="n"/>
      <x:c r="G311" s="25" t="n"/>
      <x:c r="H311" s="25" t="n"/>
      <x:c r="I311" s="25" t="n"/>
      <x:c r="J311" s="25" t="n"/>
      <x:c r="K311">
        <x:f>IF(31&lt;=DAY(EOMONTH($K279,0)),$K279+30,"")</x:f>
        <x:v>46173</x:v>
      </x:c>
    </x:row>
    <x:row r="312">
      <x:c r="A312" s="26" t="n"/>
      <x:c r="B312" s="26" t="n"/>
      <x:c r="C312" s="26" t="n"/>
      <x:c r="D312" s="26" t="n"/>
      <x:c r="E312" s="26" t="n"/>
      <x:c r="F312" s="26" t="n"/>
      <x:c r="G312" s="26" t="n"/>
      <x:c r="H312" s="26" t="n"/>
      <x:c r="I312" s="26" t="n"/>
      <x:c r="J312" s="26" t="n"/>
    </x:row>
    <x:row r="313">
      <x:c r="A313" s="18" t="str">
        <x:f>INDEX(Einstellungen!$F$2:$F$13,MONTH($K313))&amp;" "&amp;YEAR($K313)</x:f>
        <x:v>Juni 2026</x:v>
      </x:c>
      <x:c r="B313" s="36" t="n"/>
      <x:c r="C313" s="36" t="n"/>
      <x:c r="D313" s="36" t="n"/>
      <x:c r="E313" s="36" t="n"/>
      <x:c r="F313" s="36" t="n"/>
      <x:c r="G313" s="36" t="n"/>
      <x:c r="H313" s="36" t="n"/>
      <x:c r="I313" s="36" t="n"/>
      <x:c r="J313" s="37" t="n"/>
      <x:c r="K313">
        <x:f>EDATE(Einstellungen!$B$5,9)</x:f>
        <x:v>46174</x:v>
      </x:c>
    </x:row>
    <x:row r="314">
      <x:c r="A314" s="20" t="inlineStr">
        <x:is>
          <x:t xml:space="preserve">Datum</x:t>
        </x:is>
      </x:c>
      <x:c r="B314" s="20" t="inlineStr">
        <x:is>
          <x:t xml:space="preserve">Tag</x:t>
        </x:is>
      </x:c>
      <x:c r="C314" s="20" t="inlineStr">
        <x:is>
          <x:t xml:space="preserve">KW</x:t>
        </x:is>
      </x:c>
      <x:c r="D314" s="20" t="inlineStr">
        <x:is>
          <x:t xml:space="preserve">Feiertag</x:t>
        </x:is>
      </x:c>
      <x:c r="E314" s="20" t="inlineStr">
        <x:is>
          <x:t xml:space="preserve">Arbeitszeit</x:t>
        </x:is>
      </x:c>
      <x:c r="F314" s="20" t="str">
        <x:f>Einstellungen!$B$11</x:f>
        <x:v>E-Mail</x:v>
      </x:c>
      <x:c r="G314" s="20" t="str">
        <x:f>Einstellungen!$B$12</x:f>
        <x:v>Meetings</x:v>
      </x:c>
      <x:c r="H314" s="20" t="str">
        <x:f>Einstellungen!$B$13</x:f>
        <x:v>Telefonate</x:v>
      </x:c>
      <x:c r="I314" s="20" t="str">
        <x:f>Einstellungen!$B$14</x:f>
        <x:v>Dokumentation</x:v>
      </x:c>
      <x:c r="J314" s="20" t="str">
        <x:f>Einstellungen!$B$15</x:f>
        <x:v>Sonstiges</x:v>
      </x:c>
    </x:row>
    <x:row r="315">
      <x:c r="A315" s="21">
        <x:f>IF($K315="","",DAY($K315))</x:f>
        <x:v>1</x:v>
      </x:c>
      <x:c r="B315" s="22" t="str">
        <x:f>IF($K315="","",CHOOSE(WEEKDAY($K315,2),"Mo","Di","Mi","Do","Fr","Sa","So"))</x:f>
        <x:v>Mo</x:v>
      </x:c>
      <x:c r="C315" s="22">
        <x:f>IF($K315="","",ISOWEEKNUM($K315))</x:f>
        <x:v>23</x:v>
      </x:c>
      <x:c r="D315" s="23">
        <x:f>IF($K315="","",IF(AND(IFERROR(INDEX(Einstellungen!$I$3:$I$22,MATCH($K315,Einstellungen!$H$3:$H$22,0)),"")&lt;&gt;"",IFERROR(INDEX(Einstellungen!$B$20:$B$119,MATCH($K315,Einstellungen!$A$20:$A$119,0)),"")&lt;&gt;""),IFERROR(INDEX(Einstellungen!$I$3:$I$22,MATCH($K315,Einstellungen!$H$3:$H$22,0)),"")&amp;" / "&amp;IFERROR(INDEX(Einstellungen!$B$20:$B$119,MATCH($K315,Einstellungen!$A$20:$A$119,0)),""),IF(IFERROR(INDEX(Einstellungen!$I$3:$I$22,MATCH($K315,Einstellungen!$H$3:$H$22,0)),"")&lt;&gt;"",IFERROR(INDEX(Einstellungen!$I$3:$I$22,MATCH($K315,Einstellungen!$H$3:$H$22,0)),""),IFERROR(INDEX(Einstellungen!$B$20:$B$119,MATCH($K315,Einstellungen!$A$20:$A$119,0)),""))))</x:f>
      </x:c>
      <x:c r="E315" s="24">
        <x:f>IF($K315="","",SUM(F315:J315))</x:f>
        <x:v>6.5</x:v>
      </x:c>
      <x:c r="F315" s="25" t="n">
        <x:v>1</x:v>
      </x:c>
      <x:c r="G315" s="25" t="n">
        <x:v>2</x:v>
      </x:c>
      <x:c r="H315" s="25" t="n">
        <x:v>1</x:v>
      </x:c>
      <x:c r="I315" s="25" t="n">
        <x:v>2</x:v>
      </x:c>
      <x:c r="J315" s="25" t="n">
        <x:v>0.5</x:v>
      </x:c>
      <x:c r="K315">
        <x:f>IF(1&lt;=DAY(EOMONTH($K313,0)),$K313+0,"")</x:f>
        <x:v>46174</x:v>
      </x:c>
    </x:row>
    <x:row r="316">
      <x:c r="A316" s="21">
        <x:f>IF($K316="","",DAY($K316))</x:f>
        <x:v>2</x:v>
      </x:c>
      <x:c r="B316" s="22" t="str">
        <x:f>IF($K316="","",CHOOSE(WEEKDAY($K316,2),"Mo","Di","Mi","Do","Fr","Sa","So"))</x:f>
        <x:v>Di</x:v>
      </x:c>
      <x:c r="C316" s="22">
        <x:f>IF($K316="","",ISOWEEKNUM($K316))</x:f>
        <x:v>23</x:v>
      </x:c>
      <x:c r="D316" s="23">
        <x:f>IF($K316="","",IF(AND(IFERROR(INDEX(Einstellungen!$I$3:$I$22,MATCH($K316,Einstellungen!$H$3:$H$22,0)),"")&lt;&gt;"",IFERROR(INDEX(Einstellungen!$B$20:$B$119,MATCH($K316,Einstellungen!$A$20:$A$119,0)),"")&lt;&gt;""),IFERROR(INDEX(Einstellungen!$I$3:$I$22,MATCH($K316,Einstellungen!$H$3:$H$22,0)),"")&amp;" / "&amp;IFERROR(INDEX(Einstellungen!$B$20:$B$119,MATCH($K316,Einstellungen!$A$20:$A$119,0)),""),IF(IFERROR(INDEX(Einstellungen!$I$3:$I$22,MATCH($K316,Einstellungen!$H$3:$H$22,0)),"")&lt;&gt;"",IFERROR(INDEX(Einstellungen!$I$3:$I$22,MATCH($K316,Einstellungen!$H$3:$H$22,0)),""),IFERROR(INDEX(Einstellungen!$B$20:$B$119,MATCH($K316,Einstellungen!$A$20:$A$119,0)),""))))</x:f>
      </x:c>
      <x:c r="E316" s="24">
        <x:f>IF($K316="","",SUM(F316:J316))</x:f>
        <x:v>6.5</x:v>
      </x:c>
      <x:c r="F316" s="25" t="n">
        <x:v>1.5</x:v>
      </x:c>
      <x:c r="G316" s="25" t="n">
        <x:v>1.5</x:v>
      </x:c>
      <x:c r="H316" s="25" t="n">
        <x:v>1</x:v>
      </x:c>
      <x:c r="I316" s="25" t="n">
        <x:v>2</x:v>
      </x:c>
      <x:c r="J316" s="25" t="n">
        <x:v>0.5</x:v>
      </x:c>
      <x:c r="K316">
        <x:f>IF(2&lt;=DAY(EOMONTH($K313,0)),$K313+1,"")</x:f>
        <x:v>46175</x:v>
      </x:c>
    </x:row>
    <x:row r="317">
      <x:c r="A317" s="21">
        <x:f>IF($K317="","",DAY($K317))</x:f>
        <x:v>3</x:v>
      </x:c>
      <x:c r="B317" s="22" t="str">
        <x:f>IF($K317="","",CHOOSE(WEEKDAY($K317,2),"Mo","Di","Mi","Do","Fr","Sa","So"))</x:f>
        <x:v>Mi</x:v>
      </x:c>
      <x:c r="C317" s="22">
        <x:f>IF($K317="","",ISOWEEKNUM($K317))</x:f>
        <x:v>23</x:v>
      </x:c>
      <x:c r="D317" s="23">
        <x:f>IF($K317="","",IF(AND(IFERROR(INDEX(Einstellungen!$I$3:$I$22,MATCH($K317,Einstellungen!$H$3:$H$22,0)),"")&lt;&gt;"",IFERROR(INDEX(Einstellungen!$B$20:$B$119,MATCH($K317,Einstellungen!$A$20:$A$119,0)),"")&lt;&gt;""),IFERROR(INDEX(Einstellungen!$I$3:$I$22,MATCH($K317,Einstellungen!$H$3:$H$22,0)),"")&amp;" / "&amp;IFERROR(INDEX(Einstellungen!$B$20:$B$119,MATCH($K317,Einstellungen!$A$20:$A$119,0)),""),IF(IFERROR(INDEX(Einstellungen!$I$3:$I$22,MATCH($K317,Einstellungen!$H$3:$H$22,0)),"")&lt;&gt;"",IFERROR(INDEX(Einstellungen!$I$3:$I$22,MATCH($K317,Einstellungen!$H$3:$H$22,0)),""),IFERROR(INDEX(Einstellungen!$B$20:$B$119,MATCH($K317,Einstellungen!$A$20:$A$119,0)),""))))</x:f>
      </x:c>
      <x:c r="E317" s="24">
        <x:f>IF($K317="","",SUM(F317:J317))</x:f>
        <x:v>6.5</x:v>
      </x:c>
      <x:c r="F317" s="25" t="n">
        <x:v>1</x:v>
      </x:c>
      <x:c r="G317" s="25" t="n">
        <x:v>2.5</x:v>
      </x:c>
      <x:c r="H317" s="25" t="n">
        <x:v>1</x:v>
      </x:c>
      <x:c r="I317" s="25" t="n">
        <x:v>1.5</x:v>
      </x:c>
      <x:c r="J317" s="25" t="n">
        <x:v>0.5</x:v>
      </x:c>
      <x:c r="K317">
        <x:f>IF(3&lt;=DAY(EOMONTH($K313,0)),$K313+2,"")</x:f>
        <x:v>46176</x:v>
      </x:c>
    </x:row>
    <x:row r="318">
      <x:c r="A318" s="21">
        <x:f>IF($K318="","",DAY($K318))</x:f>
        <x:v>4</x:v>
      </x:c>
      <x:c r="B318" s="22" t="str">
        <x:f>IF($K318="","",CHOOSE(WEEKDAY($K318,2),"Mo","Di","Mi","Do","Fr","Sa","So"))</x:f>
        <x:v>Do</x:v>
      </x:c>
      <x:c r="C318" s="22">
        <x:f>IF($K318="","",ISOWEEKNUM($K318))</x:f>
        <x:v>23</x:v>
      </x:c>
      <x:c r="D318" s="23">
        <x:f>IF($K318="","",IF(AND(IFERROR(INDEX(Einstellungen!$I$3:$I$22,MATCH($K318,Einstellungen!$H$3:$H$22,0)),"")&lt;&gt;"",IFERROR(INDEX(Einstellungen!$B$20:$B$119,MATCH($K318,Einstellungen!$A$20:$A$119,0)),"")&lt;&gt;""),IFERROR(INDEX(Einstellungen!$I$3:$I$22,MATCH($K318,Einstellungen!$H$3:$H$22,0)),"")&amp;" / "&amp;IFERROR(INDEX(Einstellungen!$B$20:$B$119,MATCH($K318,Einstellungen!$A$20:$A$119,0)),""),IF(IFERROR(INDEX(Einstellungen!$I$3:$I$22,MATCH($K318,Einstellungen!$H$3:$H$22,0)),"")&lt;&gt;"",IFERROR(INDEX(Einstellungen!$I$3:$I$22,MATCH($K318,Einstellungen!$H$3:$H$22,0)),""),IFERROR(INDEX(Einstellungen!$B$20:$B$119,MATCH($K318,Einstellungen!$A$20:$A$119,0)),""))))</x:f>
      </x:c>
      <x:c r="E318" s="24">
        <x:f>IF($K318="","",SUM(F318:J318))</x:f>
        <x:v>7</x:v>
      </x:c>
      <x:c r="F318" s="25" t="n">
        <x:v>1.5</x:v>
      </x:c>
      <x:c r="G318" s="25" t="n">
        <x:v>2</x:v>
      </x:c>
      <x:c r="H318" s="25" t="n">
        <x:v>1.5</x:v>
      </x:c>
      <x:c r="I318" s="25" t="n">
        <x:v>1.5</x:v>
      </x:c>
      <x:c r="J318" s="25" t="n">
        <x:v>0.5</x:v>
      </x:c>
      <x:c r="K318">
        <x:f>IF(4&lt;=DAY(EOMONTH($K313,0)),$K313+3,"")</x:f>
        <x:v>46177</x:v>
      </x:c>
    </x:row>
    <x:row r="319">
      <x:c r="A319" s="21">
        <x:f>IF($K319="","",DAY($K319))</x:f>
        <x:v>5</x:v>
      </x:c>
      <x:c r="B319" s="22" t="str">
        <x:f>IF($K319="","",CHOOSE(WEEKDAY($K319,2),"Mo","Di","Mi","Do","Fr","Sa","So"))</x:f>
        <x:v>Fr</x:v>
      </x:c>
      <x:c r="C319" s="22">
        <x:f>IF($K319="","",ISOWEEKNUM($K319))</x:f>
        <x:v>23</x:v>
      </x:c>
      <x:c r="D319" s="23">
        <x:f>IF($K319="","",IF(AND(IFERROR(INDEX(Einstellungen!$I$3:$I$22,MATCH($K319,Einstellungen!$H$3:$H$22,0)),"")&lt;&gt;"",IFERROR(INDEX(Einstellungen!$B$20:$B$119,MATCH($K319,Einstellungen!$A$20:$A$119,0)),"")&lt;&gt;""),IFERROR(INDEX(Einstellungen!$I$3:$I$22,MATCH($K319,Einstellungen!$H$3:$H$22,0)),"")&amp;" / "&amp;IFERROR(INDEX(Einstellungen!$B$20:$B$119,MATCH($K319,Einstellungen!$A$20:$A$119,0)),""),IF(IFERROR(INDEX(Einstellungen!$I$3:$I$22,MATCH($K319,Einstellungen!$H$3:$H$22,0)),"")&lt;&gt;"",IFERROR(INDEX(Einstellungen!$I$3:$I$22,MATCH($K319,Einstellungen!$H$3:$H$22,0)),""),IFERROR(INDEX(Einstellungen!$B$20:$B$119,MATCH($K319,Einstellungen!$A$20:$A$119,0)),""))))</x:f>
      </x:c>
      <x:c r="E319" s="24">
        <x:f>IF($K319="","",SUM(F319:J319))</x:f>
        <x:v>5.5</x:v>
      </x:c>
      <x:c r="F319" s="25" t="n">
        <x:v>2</x:v>
      </x:c>
      <x:c r="G319" s="25" t="n">
        <x:v>1</x:v>
      </x:c>
      <x:c r="H319" s="25" t="n">
        <x:v>1</x:v>
      </x:c>
      <x:c r="I319" s="25" t="n">
        <x:v>1</x:v>
      </x:c>
      <x:c r="J319" s="25" t="n">
        <x:v>0.5</x:v>
      </x:c>
      <x:c r="K319">
        <x:f>IF(5&lt;=DAY(EOMONTH($K313,0)),$K313+4,"")</x:f>
        <x:v>46178</x:v>
      </x:c>
    </x:row>
    <x:row r="320">
      <x:c r="A320" s="21">
        <x:f>IF($K320="","",DAY($K320))</x:f>
        <x:v>6</x:v>
      </x:c>
      <x:c r="B320" s="22" t="str">
        <x:f>IF($K320="","",CHOOSE(WEEKDAY($K320,2),"Mo","Di","Mi","Do","Fr","Sa","So"))</x:f>
        <x:v>Sa</x:v>
      </x:c>
      <x:c r="C320" s="22">
        <x:f>IF($K320="","",ISOWEEKNUM($K320))</x:f>
        <x:v>23</x:v>
      </x:c>
      <x:c r="D320" s="23">
        <x:f>IF($K320="","",IF(AND(IFERROR(INDEX(Einstellungen!$I$3:$I$22,MATCH($K320,Einstellungen!$H$3:$H$22,0)),"")&lt;&gt;"",IFERROR(INDEX(Einstellungen!$B$20:$B$119,MATCH($K320,Einstellungen!$A$20:$A$119,0)),"")&lt;&gt;""),IFERROR(INDEX(Einstellungen!$I$3:$I$22,MATCH($K320,Einstellungen!$H$3:$H$22,0)),"")&amp;" / "&amp;IFERROR(INDEX(Einstellungen!$B$20:$B$119,MATCH($K320,Einstellungen!$A$20:$A$119,0)),""),IF(IFERROR(INDEX(Einstellungen!$I$3:$I$22,MATCH($K320,Einstellungen!$H$3:$H$22,0)),"")&lt;&gt;"",IFERROR(INDEX(Einstellungen!$I$3:$I$22,MATCH($K320,Einstellungen!$H$3:$H$22,0)),""),IFERROR(INDEX(Einstellungen!$B$20:$B$119,MATCH($K320,Einstellungen!$A$20:$A$119,0)),""))))</x:f>
      </x:c>
      <x:c r="E320" s="24">
        <x:f>IF($K320="","",SUM(F320:J320))</x:f>
        <x:v>0</x:v>
      </x:c>
      <x:c r="F320" s="25" t="n"/>
      <x:c r="G320" s="25" t="n"/>
      <x:c r="H320" s="25" t="n"/>
      <x:c r="I320" s="25" t="n"/>
      <x:c r="J320" s="25" t="n"/>
      <x:c r="K320">
        <x:f>IF(6&lt;=DAY(EOMONTH($K313,0)),$K313+5,"")</x:f>
        <x:v>46179</x:v>
      </x:c>
    </x:row>
    <x:row r="321">
      <x:c r="A321" s="21">
        <x:f>IF($K321="","",DAY($K321))</x:f>
        <x:v>7</x:v>
      </x:c>
      <x:c r="B321" s="22" t="str">
        <x:f>IF($K321="","",CHOOSE(WEEKDAY($K321,2),"Mo","Di","Mi","Do","Fr","Sa","So"))</x:f>
        <x:v>So</x:v>
      </x:c>
      <x:c r="C321" s="22">
        <x:f>IF($K321="","",ISOWEEKNUM($K321))</x:f>
        <x:v>23</x:v>
      </x:c>
      <x:c r="D321" s="23">
        <x:f>IF($K321="","",IF(AND(IFERROR(INDEX(Einstellungen!$I$3:$I$22,MATCH($K321,Einstellungen!$H$3:$H$22,0)),"")&lt;&gt;"",IFERROR(INDEX(Einstellungen!$B$20:$B$119,MATCH($K321,Einstellungen!$A$20:$A$119,0)),"")&lt;&gt;""),IFERROR(INDEX(Einstellungen!$I$3:$I$22,MATCH($K321,Einstellungen!$H$3:$H$22,0)),"")&amp;" / "&amp;IFERROR(INDEX(Einstellungen!$B$20:$B$119,MATCH($K321,Einstellungen!$A$20:$A$119,0)),""),IF(IFERROR(INDEX(Einstellungen!$I$3:$I$22,MATCH($K321,Einstellungen!$H$3:$H$22,0)),"")&lt;&gt;"",IFERROR(INDEX(Einstellungen!$I$3:$I$22,MATCH($K321,Einstellungen!$H$3:$H$22,0)),""),IFERROR(INDEX(Einstellungen!$B$20:$B$119,MATCH($K321,Einstellungen!$A$20:$A$119,0)),""))))</x:f>
      </x:c>
      <x:c r="E321" s="24">
        <x:f>IF($K321="","",SUM(F321:J321))</x:f>
        <x:v>0</x:v>
      </x:c>
      <x:c r="F321" s="25" t="n"/>
      <x:c r="G321" s="25" t="n"/>
      <x:c r="H321" s="25" t="n"/>
      <x:c r="I321" s="25" t="n"/>
      <x:c r="J321" s="25" t="n"/>
      <x:c r="K321">
        <x:f>IF(7&lt;=DAY(EOMONTH($K313,0)),$K313+6,"")</x:f>
        <x:v>46180</x:v>
      </x:c>
    </x:row>
    <x:row r="322">
      <x:c r="A322" s="21">
        <x:f>IF($K322="","",DAY($K322))</x:f>
        <x:v>8</x:v>
      </x:c>
      <x:c r="B322" s="22" t="str">
        <x:f>IF($K322="","",CHOOSE(WEEKDAY($K322,2),"Mo","Di","Mi","Do","Fr","Sa","So"))</x:f>
        <x:v>Mo</x:v>
      </x:c>
      <x:c r="C322" s="22">
        <x:f>IF($K322="","",ISOWEEKNUM($K322))</x:f>
        <x:v>24</x:v>
      </x:c>
      <x:c r="D322" s="23">
        <x:f>IF($K322="","",IF(AND(IFERROR(INDEX(Einstellungen!$I$3:$I$22,MATCH($K322,Einstellungen!$H$3:$H$22,0)),"")&lt;&gt;"",IFERROR(INDEX(Einstellungen!$B$20:$B$119,MATCH($K322,Einstellungen!$A$20:$A$119,0)),"")&lt;&gt;""),IFERROR(INDEX(Einstellungen!$I$3:$I$22,MATCH($K322,Einstellungen!$H$3:$H$22,0)),"")&amp;" / "&amp;IFERROR(INDEX(Einstellungen!$B$20:$B$119,MATCH($K322,Einstellungen!$A$20:$A$119,0)),""),IF(IFERROR(INDEX(Einstellungen!$I$3:$I$22,MATCH($K322,Einstellungen!$H$3:$H$22,0)),"")&lt;&gt;"",IFERROR(INDEX(Einstellungen!$I$3:$I$22,MATCH($K322,Einstellungen!$H$3:$H$22,0)),""),IFERROR(INDEX(Einstellungen!$B$20:$B$119,MATCH($K322,Einstellungen!$A$20:$A$119,0)),""))))</x:f>
      </x:c>
      <x:c r="E322" s="24">
        <x:f>IF($K322="","",SUM(F322:J322))</x:f>
        <x:v>6.5</x:v>
      </x:c>
      <x:c r="F322" s="25" t="n">
        <x:v>1</x:v>
      </x:c>
      <x:c r="G322" s="25" t="n">
        <x:v>2</x:v>
      </x:c>
      <x:c r="H322" s="25" t="n">
        <x:v>1</x:v>
      </x:c>
      <x:c r="I322" s="25" t="n">
        <x:v>2</x:v>
      </x:c>
      <x:c r="J322" s="25" t="n">
        <x:v>0.5</x:v>
      </x:c>
      <x:c r="K322">
        <x:f>IF(8&lt;=DAY(EOMONTH($K313,0)),$K313+7,"")</x:f>
        <x:v>46181</x:v>
      </x:c>
    </x:row>
    <x:row r="323">
      <x:c r="A323" s="21">
        <x:f>IF($K323="","",DAY($K323))</x:f>
        <x:v>9</x:v>
      </x:c>
      <x:c r="B323" s="22" t="str">
        <x:f>IF($K323="","",CHOOSE(WEEKDAY($K323,2),"Mo","Di","Mi","Do","Fr","Sa","So"))</x:f>
        <x:v>Di</x:v>
      </x:c>
      <x:c r="C323" s="22">
        <x:f>IF($K323="","",ISOWEEKNUM($K323))</x:f>
        <x:v>24</x:v>
      </x:c>
      <x:c r="D323" s="23">
        <x:f>IF($K323="","",IF(AND(IFERROR(INDEX(Einstellungen!$I$3:$I$22,MATCH($K323,Einstellungen!$H$3:$H$22,0)),"")&lt;&gt;"",IFERROR(INDEX(Einstellungen!$B$20:$B$119,MATCH($K323,Einstellungen!$A$20:$A$119,0)),"")&lt;&gt;""),IFERROR(INDEX(Einstellungen!$I$3:$I$22,MATCH($K323,Einstellungen!$H$3:$H$22,0)),"")&amp;" / "&amp;IFERROR(INDEX(Einstellungen!$B$20:$B$119,MATCH($K323,Einstellungen!$A$20:$A$119,0)),""),IF(IFERROR(INDEX(Einstellungen!$I$3:$I$22,MATCH($K323,Einstellungen!$H$3:$H$22,0)),"")&lt;&gt;"",IFERROR(INDEX(Einstellungen!$I$3:$I$22,MATCH($K323,Einstellungen!$H$3:$H$22,0)),""),IFERROR(INDEX(Einstellungen!$B$20:$B$119,MATCH($K323,Einstellungen!$A$20:$A$119,0)),""))))</x:f>
      </x:c>
      <x:c r="E323" s="24">
        <x:f>IF($K323="","",SUM(F323:J323))</x:f>
        <x:v>6.5</x:v>
      </x:c>
      <x:c r="F323" s="25" t="n">
        <x:v>1.5</x:v>
      </x:c>
      <x:c r="G323" s="25" t="n">
        <x:v>1.5</x:v>
      </x:c>
      <x:c r="H323" s="25" t="n">
        <x:v>1</x:v>
      </x:c>
      <x:c r="I323" s="25" t="n">
        <x:v>2</x:v>
      </x:c>
      <x:c r="J323" s="25" t="n">
        <x:v>0.5</x:v>
      </x:c>
      <x:c r="K323">
        <x:f>IF(9&lt;=DAY(EOMONTH($K313,0)),$K313+8,"")</x:f>
        <x:v>46182</x:v>
      </x:c>
    </x:row>
    <x:row r="324">
      <x:c r="A324" s="21">
        <x:f>IF($K324="","",DAY($K324))</x:f>
        <x:v>10</x:v>
      </x:c>
      <x:c r="B324" s="22" t="str">
        <x:f>IF($K324="","",CHOOSE(WEEKDAY($K324,2),"Mo","Di","Mi","Do","Fr","Sa","So"))</x:f>
        <x:v>Mi</x:v>
      </x:c>
      <x:c r="C324" s="22">
        <x:f>IF($K324="","",ISOWEEKNUM($K324))</x:f>
        <x:v>24</x:v>
      </x:c>
      <x:c r="D324" s="23">
        <x:f>IF($K324="","",IF(AND(IFERROR(INDEX(Einstellungen!$I$3:$I$22,MATCH($K324,Einstellungen!$H$3:$H$22,0)),"")&lt;&gt;"",IFERROR(INDEX(Einstellungen!$B$20:$B$119,MATCH($K324,Einstellungen!$A$20:$A$119,0)),"")&lt;&gt;""),IFERROR(INDEX(Einstellungen!$I$3:$I$22,MATCH($K324,Einstellungen!$H$3:$H$22,0)),"")&amp;" / "&amp;IFERROR(INDEX(Einstellungen!$B$20:$B$119,MATCH($K324,Einstellungen!$A$20:$A$119,0)),""),IF(IFERROR(INDEX(Einstellungen!$I$3:$I$22,MATCH($K324,Einstellungen!$H$3:$H$22,0)),"")&lt;&gt;"",IFERROR(INDEX(Einstellungen!$I$3:$I$22,MATCH($K324,Einstellungen!$H$3:$H$22,0)),""),IFERROR(INDEX(Einstellungen!$B$20:$B$119,MATCH($K324,Einstellungen!$A$20:$A$119,0)),""))))</x:f>
      </x:c>
      <x:c r="E324" s="24">
        <x:f>IF($K324="","",SUM(F324:J324))</x:f>
        <x:v>6.5</x:v>
      </x:c>
      <x:c r="F324" s="25" t="n">
        <x:v>1</x:v>
      </x:c>
      <x:c r="G324" s="25" t="n">
        <x:v>2.5</x:v>
      </x:c>
      <x:c r="H324" s="25" t="n">
        <x:v>1</x:v>
      </x:c>
      <x:c r="I324" s="25" t="n">
        <x:v>1.5</x:v>
      </x:c>
      <x:c r="J324" s="25" t="n">
        <x:v>0.5</x:v>
      </x:c>
      <x:c r="K324">
        <x:f>IF(10&lt;=DAY(EOMONTH($K313,0)),$K313+9,"")</x:f>
        <x:v>46183</x:v>
      </x:c>
    </x:row>
    <x:row r="325">
      <x:c r="A325" s="21">
        <x:f>IF($K325="","",DAY($K325))</x:f>
        <x:v>11</x:v>
      </x:c>
      <x:c r="B325" s="22" t="str">
        <x:f>IF($K325="","",CHOOSE(WEEKDAY($K325,2),"Mo","Di","Mi","Do","Fr","Sa","So"))</x:f>
        <x:v>Do</x:v>
      </x:c>
      <x:c r="C325" s="22">
        <x:f>IF($K325="","",ISOWEEKNUM($K325))</x:f>
        <x:v>24</x:v>
      </x:c>
      <x:c r="D325" s="23">
        <x:f>IF($K325="","",IF(AND(IFERROR(INDEX(Einstellungen!$I$3:$I$22,MATCH($K325,Einstellungen!$H$3:$H$22,0)),"")&lt;&gt;"",IFERROR(INDEX(Einstellungen!$B$20:$B$119,MATCH($K325,Einstellungen!$A$20:$A$119,0)),"")&lt;&gt;""),IFERROR(INDEX(Einstellungen!$I$3:$I$22,MATCH($K325,Einstellungen!$H$3:$H$22,0)),"")&amp;" / "&amp;IFERROR(INDEX(Einstellungen!$B$20:$B$119,MATCH($K325,Einstellungen!$A$20:$A$119,0)),""),IF(IFERROR(INDEX(Einstellungen!$I$3:$I$22,MATCH($K325,Einstellungen!$H$3:$H$22,0)),"")&lt;&gt;"",IFERROR(INDEX(Einstellungen!$I$3:$I$22,MATCH($K325,Einstellungen!$H$3:$H$22,0)),""),IFERROR(INDEX(Einstellungen!$B$20:$B$119,MATCH($K325,Einstellungen!$A$20:$A$119,0)),""))))</x:f>
      </x:c>
      <x:c r="E325" s="24">
        <x:f>IF($K325="","",SUM(F325:J325))</x:f>
        <x:v>7</x:v>
      </x:c>
      <x:c r="F325" s="25" t="n">
        <x:v>1.5</x:v>
      </x:c>
      <x:c r="G325" s="25" t="n">
        <x:v>2</x:v>
      </x:c>
      <x:c r="H325" s="25" t="n">
        <x:v>1.5</x:v>
      </x:c>
      <x:c r="I325" s="25" t="n">
        <x:v>1.5</x:v>
      </x:c>
      <x:c r="J325" s="25" t="n">
        <x:v>0.5</x:v>
      </x:c>
      <x:c r="K325">
        <x:f>IF(11&lt;=DAY(EOMONTH($K313,0)),$K313+10,"")</x:f>
        <x:v>46184</x:v>
      </x:c>
    </x:row>
    <x:row r="326">
      <x:c r="A326" s="21">
        <x:f>IF($K326="","",DAY($K326))</x:f>
        <x:v>12</x:v>
      </x:c>
      <x:c r="B326" s="22" t="str">
        <x:f>IF($K326="","",CHOOSE(WEEKDAY($K326,2),"Mo","Di","Mi","Do","Fr","Sa","So"))</x:f>
        <x:v>Fr</x:v>
      </x:c>
      <x:c r="C326" s="22">
        <x:f>IF($K326="","",ISOWEEKNUM($K326))</x:f>
        <x:v>24</x:v>
      </x:c>
      <x:c r="D326" s="23">
        <x:f>IF($K326="","",IF(AND(IFERROR(INDEX(Einstellungen!$I$3:$I$22,MATCH($K326,Einstellungen!$H$3:$H$22,0)),"")&lt;&gt;"",IFERROR(INDEX(Einstellungen!$B$20:$B$119,MATCH($K326,Einstellungen!$A$20:$A$119,0)),"")&lt;&gt;""),IFERROR(INDEX(Einstellungen!$I$3:$I$22,MATCH($K326,Einstellungen!$H$3:$H$22,0)),"")&amp;" / "&amp;IFERROR(INDEX(Einstellungen!$B$20:$B$119,MATCH($K326,Einstellungen!$A$20:$A$119,0)),""),IF(IFERROR(INDEX(Einstellungen!$I$3:$I$22,MATCH($K326,Einstellungen!$H$3:$H$22,0)),"")&lt;&gt;"",IFERROR(INDEX(Einstellungen!$I$3:$I$22,MATCH($K326,Einstellungen!$H$3:$H$22,0)),""),IFERROR(INDEX(Einstellungen!$B$20:$B$119,MATCH($K326,Einstellungen!$A$20:$A$119,0)),""))))</x:f>
      </x:c>
      <x:c r="E326" s="24">
        <x:f>IF($K326="","",SUM(F326:J326))</x:f>
        <x:v>5.5</x:v>
      </x:c>
      <x:c r="F326" s="25" t="n">
        <x:v>2</x:v>
      </x:c>
      <x:c r="G326" s="25" t="n">
        <x:v>1</x:v>
      </x:c>
      <x:c r="H326" s="25" t="n">
        <x:v>1</x:v>
      </x:c>
      <x:c r="I326" s="25" t="n">
        <x:v>1</x:v>
      </x:c>
      <x:c r="J326" s="25" t="n">
        <x:v>0.5</x:v>
      </x:c>
      <x:c r="K326">
        <x:f>IF(12&lt;=DAY(EOMONTH($K313,0)),$K313+11,"")</x:f>
        <x:v>46185</x:v>
      </x:c>
    </x:row>
    <x:row r="327">
      <x:c r="A327" s="21">
        <x:f>IF($K327="","",DAY($K327))</x:f>
        <x:v>13</x:v>
      </x:c>
      <x:c r="B327" s="22" t="str">
        <x:f>IF($K327="","",CHOOSE(WEEKDAY($K327,2),"Mo","Di","Mi","Do","Fr","Sa","So"))</x:f>
        <x:v>Sa</x:v>
      </x:c>
      <x:c r="C327" s="22">
        <x:f>IF($K327="","",ISOWEEKNUM($K327))</x:f>
        <x:v>24</x:v>
      </x:c>
      <x:c r="D327" s="23">
        <x:f>IF($K327="","",IF(AND(IFERROR(INDEX(Einstellungen!$I$3:$I$22,MATCH($K327,Einstellungen!$H$3:$H$22,0)),"")&lt;&gt;"",IFERROR(INDEX(Einstellungen!$B$20:$B$119,MATCH($K327,Einstellungen!$A$20:$A$119,0)),"")&lt;&gt;""),IFERROR(INDEX(Einstellungen!$I$3:$I$22,MATCH($K327,Einstellungen!$H$3:$H$22,0)),"")&amp;" / "&amp;IFERROR(INDEX(Einstellungen!$B$20:$B$119,MATCH($K327,Einstellungen!$A$20:$A$119,0)),""),IF(IFERROR(INDEX(Einstellungen!$I$3:$I$22,MATCH($K327,Einstellungen!$H$3:$H$22,0)),"")&lt;&gt;"",IFERROR(INDEX(Einstellungen!$I$3:$I$22,MATCH($K327,Einstellungen!$H$3:$H$22,0)),""),IFERROR(INDEX(Einstellungen!$B$20:$B$119,MATCH($K327,Einstellungen!$A$20:$A$119,0)),""))))</x:f>
      </x:c>
      <x:c r="E327" s="24">
        <x:f>IF($K327="","",SUM(F327:J327))</x:f>
        <x:v>0</x:v>
      </x:c>
      <x:c r="F327" s="25" t="n"/>
      <x:c r="G327" s="25" t="n"/>
      <x:c r="H327" s="25" t="n"/>
      <x:c r="I327" s="25" t="n"/>
      <x:c r="J327" s="25" t="n"/>
      <x:c r="K327">
        <x:f>IF(13&lt;=DAY(EOMONTH($K313,0)),$K313+12,"")</x:f>
        <x:v>46186</x:v>
      </x:c>
    </x:row>
    <x:row r="328">
      <x:c r="A328" s="21">
        <x:f>IF($K328="","",DAY($K328))</x:f>
        <x:v>14</x:v>
      </x:c>
      <x:c r="B328" s="22" t="str">
        <x:f>IF($K328="","",CHOOSE(WEEKDAY($K328,2),"Mo","Di","Mi","Do","Fr","Sa","So"))</x:f>
        <x:v>So</x:v>
      </x:c>
      <x:c r="C328" s="22">
        <x:f>IF($K328="","",ISOWEEKNUM($K328))</x:f>
        <x:v>24</x:v>
      </x:c>
      <x:c r="D328" s="23">
        <x:f>IF($K328="","",IF(AND(IFERROR(INDEX(Einstellungen!$I$3:$I$22,MATCH($K328,Einstellungen!$H$3:$H$22,0)),"")&lt;&gt;"",IFERROR(INDEX(Einstellungen!$B$20:$B$119,MATCH($K328,Einstellungen!$A$20:$A$119,0)),"")&lt;&gt;""),IFERROR(INDEX(Einstellungen!$I$3:$I$22,MATCH($K328,Einstellungen!$H$3:$H$22,0)),"")&amp;" / "&amp;IFERROR(INDEX(Einstellungen!$B$20:$B$119,MATCH($K328,Einstellungen!$A$20:$A$119,0)),""),IF(IFERROR(INDEX(Einstellungen!$I$3:$I$22,MATCH($K328,Einstellungen!$H$3:$H$22,0)),"")&lt;&gt;"",IFERROR(INDEX(Einstellungen!$I$3:$I$22,MATCH($K328,Einstellungen!$H$3:$H$22,0)),""),IFERROR(INDEX(Einstellungen!$B$20:$B$119,MATCH($K328,Einstellungen!$A$20:$A$119,0)),""))))</x:f>
      </x:c>
      <x:c r="E328" s="24">
        <x:f>IF($K328="","",SUM(F328:J328))</x:f>
        <x:v>0</x:v>
      </x:c>
      <x:c r="F328" s="25" t="n"/>
      <x:c r="G328" s="25" t="n"/>
      <x:c r="H328" s="25" t="n"/>
      <x:c r="I328" s="25" t="n"/>
      <x:c r="J328" s="25" t="n"/>
      <x:c r="K328">
        <x:f>IF(14&lt;=DAY(EOMONTH($K313,0)),$K313+13,"")</x:f>
        <x:v>46187</x:v>
      </x:c>
    </x:row>
    <x:row r="329">
      <x:c r="A329" s="21">
        <x:f>IF($K329="","",DAY($K329))</x:f>
        <x:v>15</x:v>
      </x:c>
      <x:c r="B329" s="22" t="str">
        <x:f>IF($K329="","",CHOOSE(WEEKDAY($K329,2),"Mo","Di","Mi","Do","Fr","Sa","So"))</x:f>
        <x:v>Mo</x:v>
      </x:c>
      <x:c r="C329" s="22">
        <x:f>IF($K329="","",ISOWEEKNUM($K329))</x:f>
        <x:v>25</x:v>
      </x:c>
      <x:c r="D329" s="23">
        <x:f>IF($K329="","",IF(AND(IFERROR(INDEX(Einstellungen!$I$3:$I$22,MATCH($K329,Einstellungen!$H$3:$H$22,0)),"")&lt;&gt;"",IFERROR(INDEX(Einstellungen!$B$20:$B$119,MATCH($K329,Einstellungen!$A$20:$A$119,0)),"")&lt;&gt;""),IFERROR(INDEX(Einstellungen!$I$3:$I$22,MATCH($K329,Einstellungen!$H$3:$H$22,0)),"")&amp;" / "&amp;IFERROR(INDEX(Einstellungen!$B$20:$B$119,MATCH($K329,Einstellungen!$A$20:$A$119,0)),""),IF(IFERROR(INDEX(Einstellungen!$I$3:$I$22,MATCH($K329,Einstellungen!$H$3:$H$22,0)),"")&lt;&gt;"",IFERROR(INDEX(Einstellungen!$I$3:$I$22,MATCH($K329,Einstellungen!$H$3:$H$22,0)),""),IFERROR(INDEX(Einstellungen!$B$20:$B$119,MATCH($K329,Einstellungen!$A$20:$A$119,0)),""))))</x:f>
      </x:c>
      <x:c r="E329" s="24">
        <x:f>IF($K329="","",SUM(F329:J329))</x:f>
        <x:v>6.5</x:v>
      </x:c>
      <x:c r="F329" s="25" t="n">
        <x:v>1</x:v>
      </x:c>
      <x:c r="G329" s="25" t="n">
        <x:v>2</x:v>
      </x:c>
      <x:c r="H329" s="25" t="n">
        <x:v>1</x:v>
      </x:c>
      <x:c r="I329" s="25" t="n">
        <x:v>2</x:v>
      </x:c>
      <x:c r="J329" s="25" t="n">
        <x:v>0.5</x:v>
      </x:c>
      <x:c r="K329">
        <x:f>IF(15&lt;=DAY(EOMONTH($K313,0)),$K313+14,"")</x:f>
        <x:v>46188</x:v>
      </x:c>
    </x:row>
    <x:row r="330">
      <x:c r="A330" s="21">
        <x:f>IF($K330="","",DAY($K330))</x:f>
        <x:v>16</x:v>
      </x:c>
      <x:c r="B330" s="22" t="str">
        <x:f>IF($K330="","",CHOOSE(WEEKDAY($K330,2),"Mo","Di","Mi","Do","Fr","Sa","So"))</x:f>
        <x:v>Di</x:v>
      </x:c>
      <x:c r="C330" s="22">
        <x:f>IF($K330="","",ISOWEEKNUM($K330))</x:f>
        <x:v>25</x:v>
      </x:c>
      <x:c r="D330" s="23">
        <x:f>IF($K330="","",IF(AND(IFERROR(INDEX(Einstellungen!$I$3:$I$22,MATCH($K330,Einstellungen!$H$3:$H$22,0)),"")&lt;&gt;"",IFERROR(INDEX(Einstellungen!$B$20:$B$119,MATCH($K330,Einstellungen!$A$20:$A$119,0)),"")&lt;&gt;""),IFERROR(INDEX(Einstellungen!$I$3:$I$22,MATCH($K330,Einstellungen!$H$3:$H$22,0)),"")&amp;" / "&amp;IFERROR(INDEX(Einstellungen!$B$20:$B$119,MATCH($K330,Einstellungen!$A$20:$A$119,0)),""),IF(IFERROR(INDEX(Einstellungen!$I$3:$I$22,MATCH($K330,Einstellungen!$H$3:$H$22,0)),"")&lt;&gt;"",IFERROR(INDEX(Einstellungen!$I$3:$I$22,MATCH($K330,Einstellungen!$H$3:$H$22,0)),""),IFERROR(INDEX(Einstellungen!$B$20:$B$119,MATCH($K330,Einstellungen!$A$20:$A$119,0)),""))))</x:f>
      </x:c>
      <x:c r="E330" s="24">
        <x:f>IF($K330="","",SUM(F330:J330))</x:f>
        <x:v>6.5</x:v>
      </x:c>
      <x:c r="F330" s="25" t="n">
        <x:v>1.5</x:v>
      </x:c>
      <x:c r="G330" s="25" t="n">
        <x:v>1.5</x:v>
      </x:c>
      <x:c r="H330" s="25" t="n">
        <x:v>1</x:v>
      </x:c>
      <x:c r="I330" s="25" t="n">
        <x:v>2</x:v>
      </x:c>
      <x:c r="J330" s="25" t="n">
        <x:v>0.5</x:v>
      </x:c>
      <x:c r="K330">
        <x:f>IF(16&lt;=DAY(EOMONTH($K313,0)),$K313+15,"")</x:f>
        <x:v>46189</x:v>
      </x:c>
    </x:row>
    <x:row r="331">
      <x:c r="A331" s="21">
        <x:f>IF($K331="","",DAY($K331))</x:f>
        <x:v>17</x:v>
      </x:c>
      <x:c r="B331" s="22" t="str">
        <x:f>IF($K331="","",CHOOSE(WEEKDAY($K331,2),"Mo","Di","Mi","Do","Fr","Sa","So"))</x:f>
        <x:v>Mi</x:v>
      </x:c>
      <x:c r="C331" s="22">
        <x:f>IF($K331="","",ISOWEEKNUM($K331))</x:f>
        <x:v>25</x:v>
      </x:c>
      <x:c r="D331" s="23">
        <x:f>IF($K331="","",IF(AND(IFERROR(INDEX(Einstellungen!$I$3:$I$22,MATCH($K331,Einstellungen!$H$3:$H$22,0)),"")&lt;&gt;"",IFERROR(INDEX(Einstellungen!$B$20:$B$119,MATCH($K331,Einstellungen!$A$20:$A$119,0)),"")&lt;&gt;""),IFERROR(INDEX(Einstellungen!$I$3:$I$22,MATCH($K331,Einstellungen!$H$3:$H$22,0)),"")&amp;" / "&amp;IFERROR(INDEX(Einstellungen!$B$20:$B$119,MATCH($K331,Einstellungen!$A$20:$A$119,0)),""),IF(IFERROR(INDEX(Einstellungen!$I$3:$I$22,MATCH($K331,Einstellungen!$H$3:$H$22,0)),"")&lt;&gt;"",IFERROR(INDEX(Einstellungen!$I$3:$I$22,MATCH($K331,Einstellungen!$H$3:$H$22,0)),""),IFERROR(INDEX(Einstellungen!$B$20:$B$119,MATCH($K331,Einstellungen!$A$20:$A$119,0)),""))))</x:f>
      </x:c>
      <x:c r="E331" s="24">
        <x:f>IF($K331="","",SUM(F331:J331))</x:f>
        <x:v>6.5</x:v>
      </x:c>
      <x:c r="F331" s="25" t="n">
        <x:v>1</x:v>
      </x:c>
      <x:c r="G331" s="25" t="n">
        <x:v>2.5</x:v>
      </x:c>
      <x:c r="H331" s="25" t="n">
        <x:v>1</x:v>
      </x:c>
      <x:c r="I331" s="25" t="n">
        <x:v>1.5</x:v>
      </x:c>
      <x:c r="J331" s="25" t="n">
        <x:v>0.5</x:v>
      </x:c>
      <x:c r="K331">
        <x:f>IF(17&lt;=DAY(EOMONTH($K313,0)),$K313+16,"")</x:f>
        <x:v>46190</x:v>
      </x:c>
    </x:row>
    <x:row r="332">
      <x:c r="A332" s="21">
        <x:f>IF($K332="","",DAY($K332))</x:f>
        <x:v>18</x:v>
      </x:c>
      <x:c r="B332" s="22" t="str">
        <x:f>IF($K332="","",CHOOSE(WEEKDAY($K332,2),"Mo","Di","Mi","Do","Fr","Sa","So"))</x:f>
        <x:v>Do</x:v>
      </x:c>
      <x:c r="C332" s="22">
        <x:f>IF($K332="","",ISOWEEKNUM($K332))</x:f>
        <x:v>25</x:v>
      </x:c>
      <x:c r="D332" s="23" t="str">
        <x:f>IF($K332="","",IF(AND(IFERROR(INDEX(Einstellungen!$I$3:$I$22,MATCH($K332,Einstellungen!$H$3:$H$22,0)),"")&lt;&gt;"",IFERROR(INDEX(Einstellungen!$B$20:$B$119,MATCH($K332,Einstellungen!$A$20:$A$119,0)),"")&lt;&gt;""),IFERROR(INDEX(Einstellungen!$I$3:$I$22,MATCH($K332,Einstellungen!$H$3:$H$22,0)),"")&amp;" / "&amp;IFERROR(INDEX(Einstellungen!$B$20:$B$119,MATCH($K332,Einstellungen!$A$20:$A$119,0)),""),IF(IFERROR(INDEX(Einstellungen!$I$3:$I$22,MATCH($K332,Einstellungen!$H$3:$H$22,0)),"")&lt;&gt;"",IFERROR(INDEX(Einstellungen!$I$3:$I$22,MATCH($K332,Einstellungen!$H$3:$H$22,0)),""),IFERROR(INDEX(Einstellungen!$B$20:$B$119,MATCH($K332,Einstellungen!$A$20:$A$119,0)),""))))</x:f>
        <x:v>Sommerfest</x:v>
      </x:c>
      <x:c r="E332" s="24">
        <x:f>IF($K332="","",SUM(F332:J332))</x:f>
        <x:v>5.5</x:v>
      </x:c>
      <x:c r="F332" s="25" t="n">
        <x:v>0.5</x:v>
      </x:c>
      <x:c r="G332" s="25" t="n">
        <x:v>3</x:v>
      </x:c>
      <x:c r="H332" s="25" t="n">
        <x:v>0.5</x:v>
      </x:c>
      <x:c r="I332" s="25" t="n">
        <x:v>0.5</x:v>
      </x:c>
      <x:c r="J332" s="25" t="n">
        <x:v>1</x:v>
      </x:c>
      <x:c r="K332">
        <x:f>IF(18&lt;=DAY(EOMONTH($K313,0)),$K313+17,"")</x:f>
        <x:v>46191</x:v>
      </x:c>
    </x:row>
    <x:row r="333">
      <x:c r="A333" s="21">
        <x:f>IF($K333="","",DAY($K333))</x:f>
        <x:v>19</x:v>
      </x:c>
      <x:c r="B333" s="22" t="str">
        <x:f>IF($K333="","",CHOOSE(WEEKDAY($K333,2),"Mo","Di","Mi","Do","Fr","Sa","So"))</x:f>
        <x:v>Fr</x:v>
      </x:c>
      <x:c r="C333" s="22">
        <x:f>IF($K333="","",ISOWEEKNUM($K333))</x:f>
        <x:v>25</x:v>
      </x:c>
      <x:c r="D333" s="23">
        <x:f>IF($K333="","",IF(AND(IFERROR(INDEX(Einstellungen!$I$3:$I$22,MATCH($K333,Einstellungen!$H$3:$H$22,0)),"")&lt;&gt;"",IFERROR(INDEX(Einstellungen!$B$20:$B$119,MATCH($K333,Einstellungen!$A$20:$A$119,0)),"")&lt;&gt;""),IFERROR(INDEX(Einstellungen!$I$3:$I$22,MATCH($K333,Einstellungen!$H$3:$H$22,0)),"")&amp;" / "&amp;IFERROR(INDEX(Einstellungen!$B$20:$B$119,MATCH($K333,Einstellungen!$A$20:$A$119,0)),""),IF(IFERROR(INDEX(Einstellungen!$I$3:$I$22,MATCH($K333,Einstellungen!$H$3:$H$22,0)),"")&lt;&gt;"",IFERROR(INDEX(Einstellungen!$I$3:$I$22,MATCH($K333,Einstellungen!$H$3:$H$22,0)),""),IFERROR(INDEX(Einstellungen!$B$20:$B$119,MATCH($K333,Einstellungen!$A$20:$A$119,0)),""))))</x:f>
      </x:c>
      <x:c r="E333" s="24">
        <x:f>IF($K333="","",SUM(F333:J333))</x:f>
        <x:v>5.5</x:v>
      </x:c>
      <x:c r="F333" s="25" t="n">
        <x:v>2</x:v>
      </x:c>
      <x:c r="G333" s="25" t="n">
        <x:v>1</x:v>
      </x:c>
      <x:c r="H333" s="25" t="n">
        <x:v>1</x:v>
      </x:c>
      <x:c r="I333" s="25" t="n">
        <x:v>1</x:v>
      </x:c>
      <x:c r="J333" s="25" t="n">
        <x:v>0.5</x:v>
      </x:c>
      <x:c r="K333">
        <x:f>IF(19&lt;=DAY(EOMONTH($K313,0)),$K313+18,"")</x:f>
        <x:v>46192</x:v>
      </x:c>
    </x:row>
    <x:row r="334">
      <x:c r="A334" s="21">
        <x:f>IF($K334="","",DAY($K334))</x:f>
        <x:v>20</x:v>
      </x:c>
      <x:c r="B334" s="22" t="str">
        <x:f>IF($K334="","",CHOOSE(WEEKDAY($K334,2),"Mo","Di","Mi","Do","Fr","Sa","So"))</x:f>
        <x:v>Sa</x:v>
      </x:c>
      <x:c r="C334" s="22">
        <x:f>IF($K334="","",ISOWEEKNUM($K334))</x:f>
        <x:v>25</x:v>
      </x:c>
      <x:c r="D334" s="23">
        <x:f>IF($K334="","",IF(AND(IFERROR(INDEX(Einstellungen!$I$3:$I$22,MATCH($K334,Einstellungen!$H$3:$H$22,0)),"")&lt;&gt;"",IFERROR(INDEX(Einstellungen!$B$20:$B$119,MATCH($K334,Einstellungen!$A$20:$A$119,0)),"")&lt;&gt;""),IFERROR(INDEX(Einstellungen!$I$3:$I$22,MATCH($K334,Einstellungen!$H$3:$H$22,0)),"")&amp;" / "&amp;IFERROR(INDEX(Einstellungen!$B$20:$B$119,MATCH($K334,Einstellungen!$A$20:$A$119,0)),""),IF(IFERROR(INDEX(Einstellungen!$I$3:$I$22,MATCH($K334,Einstellungen!$H$3:$H$22,0)),"")&lt;&gt;"",IFERROR(INDEX(Einstellungen!$I$3:$I$22,MATCH($K334,Einstellungen!$H$3:$H$22,0)),""),IFERROR(INDEX(Einstellungen!$B$20:$B$119,MATCH($K334,Einstellungen!$A$20:$A$119,0)),""))))</x:f>
      </x:c>
      <x:c r="E334" s="24">
        <x:f>IF($K334="","",SUM(F334:J334))</x:f>
        <x:v>0</x:v>
      </x:c>
      <x:c r="F334" s="25" t="n"/>
      <x:c r="G334" s="25" t="n"/>
      <x:c r="H334" s="25" t="n"/>
      <x:c r="I334" s="25" t="n"/>
      <x:c r="J334" s="25" t="n"/>
      <x:c r="K334">
        <x:f>IF(20&lt;=DAY(EOMONTH($K313,0)),$K313+19,"")</x:f>
        <x:v>46193</x:v>
      </x:c>
    </x:row>
    <x:row r="335">
      <x:c r="A335" s="21">
        <x:f>IF($K335="","",DAY($K335))</x:f>
        <x:v>21</x:v>
      </x:c>
      <x:c r="B335" s="22" t="str">
        <x:f>IF($K335="","",CHOOSE(WEEKDAY($K335,2),"Mo","Di","Mi","Do","Fr","Sa","So"))</x:f>
        <x:v>So</x:v>
      </x:c>
      <x:c r="C335" s="22">
        <x:f>IF($K335="","",ISOWEEKNUM($K335))</x:f>
        <x:v>25</x:v>
      </x:c>
      <x:c r="D335" s="23">
        <x:f>IF($K335="","",IF(AND(IFERROR(INDEX(Einstellungen!$I$3:$I$22,MATCH($K335,Einstellungen!$H$3:$H$22,0)),"")&lt;&gt;"",IFERROR(INDEX(Einstellungen!$B$20:$B$119,MATCH($K335,Einstellungen!$A$20:$A$119,0)),"")&lt;&gt;""),IFERROR(INDEX(Einstellungen!$I$3:$I$22,MATCH($K335,Einstellungen!$H$3:$H$22,0)),"")&amp;" / "&amp;IFERROR(INDEX(Einstellungen!$B$20:$B$119,MATCH($K335,Einstellungen!$A$20:$A$119,0)),""),IF(IFERROR(INDEX(Einstellungen!$I$3:$I$22,MATCH($K335,Einstellungen!$H$3:$H$22,0)),"")&lt;&gt;"",IFERROR(INDEX(Einstellungen!$I$3:$I$22,MATCH($K335,Einstellungen!$H$3:$H$22,0)),""),IFERROR(INDEX(Einstellungen!$B$20:$B$119,MATCH($K335,Einstellungen!$A$20:$A$119,0)),""))))</x:f>
      </x:c>
      <x:c r="E335" s="24">
        <x:f>IF($K335="","",SUM(F335:J335))</x:f>
        <x:v>0</x:v>
      </x:c>
      <x:c r="F335" s="25" t="n"/>
      <x:c r="G335" s="25" t="n"/>
      <x:c r="H335" s="25" t="n"/>
      <x:c r="I335" s="25" t="n"/>
      <x:c r="J335" s="25" t="n"/>
      <x:c r="K335">
        <x:f>IF(21&lt;=DAY(EOMONTH($K313,0)),$K313+20,"")</x:f>
        <x:v>46194</x:v>
      </x:c>
    </x:row>
    <x:row r="336">
      <x:c r="A336" s="21">
        <x:f>IF($K336="","",DAY($K336))</x:f>
        <x:v>22</x:v>
      </x:c>
      <x:c r="B336" s="22" t="str">
        <x:f>IF($K336="","",CHOOSE(WEEKDAY($K336,2),"Mo","Di","Mi","Do","Fr","Sa","So"))</x:f>
        <x:v>Mo</x:v>
      </x:c>
      <x:c r="C336" s="22">
        <x:f>IF($K336="","",ISOWEEKNUM($K336))</x:f>
        <x:v>26</x:v>
      </x:c>
      <x:c r="D336" s="23">
        <x:f>IF($K336="","",IF(AND(IFERROR(INDEX(Einstellungen!$I$3:$I$22,MATCH($K336,Einstellungen!$H$3:$H$22,0)),"")&lt;&gt;"",IFERROR(INDEX(Einstellungen!$B$20:$B$119,MATCH($K336,Einstellungen!$A$20:$A$119,0)),"")&lt;&gt;""),IFERROR(INDEX(Einstellungen!$I$3:$I$22,MATCH($K336,Einstellungen!$H$3:$H$22,0)),"")&amp;" / "&amp;IFERROR(INDEX(Einstellungen!$B$20:$B$119,MATCH($K336,Einstellungen!$A$20:$A$119,0)),""),IF(IFERROR(INDEX(Einstellungen!$I$3:$I$22,MATCH($K336,Einstellungen!$H$3:$H$22,0)),"")&lt;&gt;"",IFERROR(INDEX(Einstellungen!$I$3:$I$22,MATCH($K336,Einstellungen!$H$3:$H$22,0)),""),IFERROR(INDEX(Einstellungen!$B$20:$B$119,MATCH($K336,Einstellungen!$A$20:$A$119,0)),""))))</x:f>
      </x:c>
      <x:c r="E336" s="24">
        <x:f>IF($K336="","",SUM(F336:J336))</x:f>
        <x:v>6.5</x:v>
      </x:c>
      <x:c r="F336" s="25" t="n">
        <x:v>1</x:v>
      </x:c>
      <x:c r="G336" s="25" t="n">
        <x:v>2</x:v>
      </x:c>
      <x:c r="H336" s="25" t="n">
        <x:v>1</x:v>
      </x:c>
      <x:c r="I336" s="25" t="n">
        <x:v>2</x:v>
      </x:c>
      <x:c r="J336" s="25" t="n">
        <x:v>0.5</x:v>
      </x:c>
      <x:c r="K336">
        <x:f>IF(22&lt;=DAY(EOMONTH($K313,0)),$K313+21,"")</x:f>
        <x:v>46195</x:v>
      </x:c>
    </x:row>
    <x:row r="337">
      <x:c r="A337" s="21">
        <x:f>IF($K337="","",DAY($K337))</x:f>
        <x:v>23</x:v>
      </x:c>
      <x:c r="B337" s="22" t="str">
        <x:f>IF($K337="","",CHOOSE(WEEKDAY($K337,2),"Mo","Di","Mi","Do","Fr","Sa","So"))</x:f>
        <x:v>Di</x:v>
      </x:c>
      <x:c r="C337" s="22">
        <x:f>IF($K337="","",ISOWEEKNUM($K337))</x:f>
        <x:v>26</x:v>
      </x:c>
      <x:c r="D337" s="23">
        <x:f>IF($K337="","",IF(AND(IFERROR(INDEX(Einstellungen!$I$3:$I$22,MATCH($K337,Einstellungen!$H$3:$H$22,0)),"")&lt;&gt;"",IFERROR(INDEX(Einstellungen!$B$20:$B$119,MATCH($K337,Einstellungen!$A$20:$A$119,0)),"")&lt;&gt;""),IFERROR(INDEX(Einstellungen!$I$3:$I$22,MATCH($K337,Einstellungen!$H$3:$H$22,0)),"")&amp;" / "&amp;IFERROR(INDEX(Einstellungen!$B$20:$B$119,MATCH($K337,Einstellungen!$A$20:$A$119,0)),""),IF(IFERROR(INDEX(Einstellungen!$I$3:$I$22,MATCH($K337,Einstellungen!$H$3:$H$22,0)),"")&lt;&gt;"",IFERROR(INDEX(Einstellungen!$I$3:$I$22,MATCH($K337,Einstellungen!$H$3:$H$22,0)),""),IFERROR(INDEX(Einstellungen!$B$20:$B$119,MATCH($K337,Einstellungen!$A$20:$A$119,0)),""))))</x:f>
      </x:c>
      <x:c r="E337" s="24">
        <x:f>IF($K337="","",SUM(F337:J337))</x:f>
        <x:v>6.5</x:v>
      </x:c>
      <x:c r="F337" s="25" t="n">
        <x:v>1.5</x:v>
      </x:c>
      <x:c r="G337" s="25" t="n">
        <x:v>1.5</x:v>
      </x:c>
      <x:c r="H337" s="25" t="n">
        <x:v>1</x:v>
      </x:c>
      <x:c r="I337" s="25" t="n">
        <x:v>2</x:v>
      </x:c>
      <x:c r="J337" s="25" t="n">
        <x:v>0.5</x:v>
      </x:c>
      <x:c r="K337">
        <x:f>IF(23&lt;=DAY(EOMONTH($K313,0)),$K313+22,"")</x:f>
        <x:v>46196</x:v>
      </x:c>
    </x:row>
    <x:row r="338">
      <x:c r="A338" s="21">
        <x:f>IF($K338="","",DAY($K338))</x:f>
        <x:v>24</x:v>
      </x:c>
      <x:c r="B338" s="22" t="str">
        <x:f>IF($K338="","",CHOOSE(WEEKDAY($K338,2),"Mo","Di","Mi","Do","Fr","Sa","So"))</x:f>
        <x:v>Mi</x:v>
      </x:c>
      <x:c r="C338" s="22">
        <x:f>IF($K338="","",ISOWEEKNUM($K338))</x:f>
        <x:v>26</x:v>
      </x:c>
      <x:c r="D338" s="23">
        <x:f>IF($K338="","",IF(AND(IFERROR(INDEX(Einstellungen!$I$3:$I$22,MATCH($K338,Einstellungen!$H$3:$H$22,0)),"")&lt;&gt;"",IFERROR(INDEX(Einstellungen!$B$20:$B$119,MATCH($K338,Einstellungen!$A$20:$A$119,0)),"")&lt;&gt;""),IFERROR(INDEX(Einstellungen!$I$3:$I$22,MATCH($K338,Einstellungen!$H$3:$H$22,0)),"")&amp;" / "&amp;IFERROR(INDEX(Einstellungen!$B$20:$B$119,MATCH($K338,Einstellungen!$A$20:$A$119,0)),""),IF(IFERROR(INDEX(Einstellungen!$I$3:$I$22,MATCH($K338,Einstellungen!$H$3:$H$22,0)),"")&lt;&gt;"",IFERROR(INDEX(Einstellungen!$I$3:$I$22,MATCH($K338,Einstellungen!$H$3:$H$22,0)),""),IFERROR(INDEX(Einstellungen!$B$20:$B$119,MATCH($K338,Einstellungen!$A$20:$A$119,0)),""))))</x:f>
      </x:c>
      <x:c r="E338" s="24">
        <x:f>IF($K338="","",SUM(F338:J338))</x:f>
        <x:v>6.5</x:v>
      </x:c>
      <x:c r="F338" s="25" t="n">
        <x:v>1</x:v>
      </x:c>
      <x:c r="G338" s="25" t="n">
        <x:v>2.5</x:v>
      </x:c>
      <x:c r="H338" s="25" t="n">
        <x:v>1</x:v>
      </x:c>
      <x:c r="I338" s="25" t="n">
        <x:v>1.5</x:v>
      </x:c>
      <x:c r="J338" s="25" t="n">
        <x:v>0.5</x:v>
      </x:c>
      <x:c r="K338">
        <x:f>IF(24&lt;=DAY(EOMONTH($K313,0)),$K313+23,"")</x:f>
        <x:v>46197</x:v>
      </x:c>
    </x:row>
    <x:row r="339">
      <x:c r="A339" s="21">
        <x:f>IF($K339="","",DAY($K339))</x:f>
        <x:v>25</x:v>
      </x:c>
      <x:c r="B339" s="22" t="str">
        <x:f>IF($K339="","",CHOOSE(WEEKDAY($K339,2),"Mo","Di","Mi","Do","Fr","Sa","So"))</x:f>
        <x:v>Do</x:v>
      </x:c>
      <x:c r="C339" s="22">
        <x:f>IF($K339="","",ISOWEEKNUM($K339))</x:f>
        <x:v>26</x:v>
      </x:c>
      <x:c r="D339" s="23">
        <x:f>IF($K339="","",IF(AND(IFERROR(INDEX(Einstellungen!$I$3:$I$22,MATCH($K339,Einstellungen!$H$3:$H$22,0)),"")&lt;&gt;"",IFERROR(INDEX(Einstellungen!$B$20:$B$119,MATCH($K339,Einstellungen!$A$20:$A$119,0)),"")&lt;&gt;""),IFERROR(INDEX(Einstellungen!$I$3:$I$22,MATCH($K339,Einstellungen!$H$3:$H$22,0)),"")&amp;" / "&amp;IFERROR(INDEX(Einstellungen!$B$20:$B$119,MATCH($K339,Einstellungen!$A$20:$A$119,0)),""),IF(IFERROR(INDEX(Einstellungen!$I$3:$I$22,MATCH($K339,Einstellungen!$H$3:$H$22,0)),"")&lt;&gt;"",IFERROR(INDEX(Einstellungen!$I$3:$I$22,MATCH($K339,Einstellungen!$H$3:$H$22,0)),""),IFERROR(INDEX(Einstellungen!$B$20:$B$119,MATCH($K339,Einstellungen!$A$20:$A$119,0)),""))))</x:f>
      </x:c>
      <x:c r="E339" s="24">
        <x:f>IF($K339="","",SUM(F339:J339))</x:f>
        <x:v>7</x:v>
      </x:c>
      <x:c r="F339" s="25" t="n">
        <x:v>1.5</x:v>
      </x:c>
      <x:c r="G339" s="25" t="n">
        <x:v>2</x:v>
      </x:c>
      <x:c r="H339" s="25" t="n">
        <x:v>1.5</x:v>
      </x:c>
      <x:c r="I339" s="25" t="n">
        <x:v>1.5</x:v>
      </x:c>
      <x:c r="J339" s="25" t="n">
        <x:v>0.5</x:v>
      </x:c>
      <x:c r="K339">
        <x:f>IF(25&lt;=DAY(EOMONTH($K313,0)),$K313+24,"")</x:f>
        <x:v>46198</x:v>
      </x:c>
    </x:row>
    <x:row r="340">
      <x:c r="A340" s="21">
        <x:f>IF($K340="","",DAY($K340))</x:f>
        <x:v>26</x:v>
      </x:c>
      <x:c r="B340" s="22" t="str">
        <x:f>IF($K340="","",CHOOSE(WEEKDAY($K340,2),"Mo","Di","Mi","Do","Fr","Sa","So"))</x:f>
        <x:v>Fr</x:v>
      </x:c>
      <x:c r="C340" s="22">
        <x:f>IF($K340="","",ISOWEEKNUM($K340))</x:f>
        <x:v>26</x:v>
      </x:c>
      <x:c r="D340" s="23">
        <x:f>IF($K340="","",IF(AND(IFERROR(INDEX(Einstellungen!$I$3:$I$22,MATCH($K340,Einstellungen!$H$3:$H$22,0)),"")&lt;&gt;"",IFERROR(INDEX(Einstellungen!$B$20:$B$119,MATCH($K340,Einstellungen!$A$20:$A$119,0)),"")&lt;&gt;""),IFERROR(INDEX(Einstellungen!$I$3:$I$22,MATCH($K340,Einstellungen!$H$3:$H$22,0)),"")&amp;" / "&amp;IFERROR(INDEX(Einstellungen!$B$20:$B$119,MATCH($K340,Einstellungen!$A$20:$A$119,0)),""),IF(IFERROR(INDEX(Einstellungen!$I$3:$I$22,MATCH($K340,Einstellungen!$H$3:$H$22,0)),"")&lt;&gt;"",IFERROR(INDEX(Einstellungen!$I$3:$I$22,MATCH($K340,Einstellungen!$H$3:$H$22,0)),""),IFERROR(INDEX(Einstellungen!$B$20:$B$119,MATCH($K340,Einstellungen!$A$20:$A$119,0)),""))))</x:f>
      </x:c>
      <x:c r="E340" s="24">
        <x:f>IF($K340="","",SUM(F340:J340))</x:f>
        <x:v>3</x:v>
      </x:c>
      <x:c r="F340" s="25" t="n">
        <x:v>1</x:v>
      </x:c>
      <x:c r="G340" s="25" t="n">
        <x:v>0.5</x:v>
      </x:c>
      <x:c r="H340" s="25" t="n">
        <x:v>0.5</x:v>
      </x:c>
      <x:c r="I340" s="25" t="n">
        <x:v>1</x:v>
      </x:c>
      <x:c r="J340" s="25" t="n"/>
      <x:c r="K340">
        <x:f>IF(26&lt;=DAY(EOMONTH($K313,0)),$K313+25,"")</x:f>
        <x:v>46199</x:v>
      </x:c>
    </x:row>
    <x:row r="341">
      <x:c r="A341" s="21">
        <x:f>IF($K341="","",DAY($K341))</x:f>
        <x:v>27</x:v>
      </x:c>
      <x:c r="B341" s="22" t="str">
        <x:f>IF($K341="","",CHOOSE(WEEKDAY($K341,2),"Mo","Di","Mi","Do","Fr","Sa","So"))</x:f>
        <x:v>Sa</x:v>
      </x:c>
      <x:c r="C341" s="22">
        <x:f>IF($K341="","",ISOWEEKNUM($K341))</x:f>
        <x:v>26</x:v>
      </x:c>
      <x:c r="D341" s="23">
        <x:f>IF($K341="","",IF(AND(IFERROR(INDEX(Einstellungen!$I$3:$I$22,MATCH($K341,Einstellungen!$H$3:$H$22,0)),"")&lt;&gt;"",IFERROR(INDEX(Einstellungen!$B$20:$B$119,MATCH($K341,Einstellungen!$A$20:$A$119,0)),"")&lt;&gt;""),IFERROR(INDEX(Einstellungen!$I$3:$I$22,MATCH($K341,Einstellungen!$H$3:$H$22,0)),"")&amp;" / "&amp;IFERROR(INDEX(Einstellungen!$B$20:$B$119,MATCH($K341,Einstellungen!$A$20:$A$119,0)),""),IF(IFERROR(INDEX(Einstellungen!$I$3:$I$22,MATCH($K341,Einstellungen!$H$3:$H$22,0)),"")&lt;&gt;"",IFERROR(INDEX(Einstellungen!$I$3:$I$22,MATCH($K341,Einstellungen!$H$3:$H$22,0)),""),IFERROR(INDEX(Einstellungen!$B$20:$B$119,MATCH($K341,Einstellungen!$A$20:$A$119,0)),""))))</x:f>
      </x:c>
      <x:c r="E341" s="24">
        <x:f>IF($K341="","",SUM(F341:J341))</x:f>
        <x:v>0</x:v>
      </x:c>
      <x:c r="F341" s="25" t="n"/>
      <x:c r="G341" s="25" t="n"/>
      <x:c r="H341" s="25" t="n"/>
      <x:c r="I341" s="25" t="n"/>
      <x:c r="J341" s="25" t="n"/>
      <x:c r="K341">
        <x:f>IF(27&lt;=DAY(EOMONTH($K313,0)),$K313+26,"")</x:f>
        <x:v>46200</x:v>
      </x:c>
    </x:row>
    <x:row r="342">
      <x:c r="A342" s="21">
        <x:f>IF($K342="","",DAY($K342))</x:f>
        <x:v>28</x:v>
      </x:c>
      <x:c r="B342" s="22" t="str">
        <x:f>IF($K342="","",CHOOSE(WEEKDAY($K342,2),"Mo","Di","Mi","Do","Fr","Sa","So"))</x:f>
        <x:v>So</x:v>
      </x:c>
      <x:c r="C342" s="22">
        <x:f>IF($K342="","",ISOWEEKNUM($K342))</x:f>
        <x:v>26</x:v>
      </x:c>
      <x:c r="D342" s="23">
        <x:f>IF($K342="","",IF(AND(IFERROR(INDEX(Einstellungen!$I$3:$I$22,MATCH($K342,Einstellungen!$H$3:$H$22,0)),"")&lt;&gt;"",IFERROR(INDEX(Einstellungen!$B$20:$B$119,MATCH($K342,Einstellungen!$A$20:$A$119,0)),"")&lt;&gt;""),IFERROR(INDEX(Einstellungen!$I$3:$I$22,MATCH($K342,Einstellungen!$H$3:$H$22,0)),"")&amp;" / "&amp;IFERROR(INDEX(Einstellungen!$B$20:$B$119,MATCH($K342,Einstellungen!$A$20:$A$119,0)),""),IF(IFERROR(INDEX(Einstellungen!$I$3:$I$22,MATCH($K342,Einstellungen!$H$3:$H$22,0)),"")&lt;&gt;"",IFERROR(INDEX(Einstellungen!$I$3:$I$22,MATCH($K342,Einstellungen!$H$3:$H$22,0)),""),IFERROR(INDEX(Einstellungen!$B$20:$B$119,MATCH($K342,Einstellungen!$A$20:$A$119,0)),""))))</x:f>
      </x:c>
      <x:c r="E342" s="24">
        <x:f>IF($K342="","",SUM(F342:J342))</x:f>
        <x:v>0</x:v>
      </x:c>
      <x:c r="F342" s="25" t="n"/>
      <x:c r="G342" s="25" t="n"/>
      <x:c r="H342" s="25" t="n"/>
      <x:c r="I342" s="25" t="n"/>
      <x:c r="J342" s="25" t="n"/>
      <x:c r="K342">
        <x:f>IF(28&lt;=DAY(EOMONTH($K313,0)),$K313+27,"")</x:f>
        <x:v>46201</x:v>
      </x:c>
    </x:row>
    <x:row r="343">
      <x:c r="A343" s="21">
        <x:f>IF($K343="","",DAY($K343))</x:f>
        <x:v>29</x:v>
      </x:c>
      <x:c r="B343" s="22" t="str">
        <x:f>IF($K343="","",CHOOSE(WEEKDAY($K343,2),"Mo","Di","Mi","Do","Fr","Sa","So"))</x:f>
        <x:v>Mo</x:v>
      </x:c>
      <x:c r="C343" s="22">
        <x:f>IF($K343="","",ISOWEEKNUM($K343))</x:f>
        <x:v>27</x:v>
      </x:c>
      <x:c r="D343" s="23">
        <x:f>IF($K343="","",IF(AND(IFERROR(INDEX(Einstellungen!$I$3:$I$22,MATCH($K343,Einstellungen!$H$3:$H$22,0)),"")&lt;&gt;"",IFERROR(INDEX(Einstellungen!$B$20:$B$119,MATCH($K343,Einstellungen!$A$20:$A$119,0)),"")&lt;&gt;""),IFERROR(INDEX(Einstellungen!$I$3:$I$22,MATCH($K343,Einstellungen!$H$3:$H$22,0)),"")&amp;" / "&amp;IFERROR(INDEX(Einstellungen!$B$20:$B$119,MATCH($K343,Einstellungen!$A$20:$A$119,0)),""),IF(IFERROR(INDEX(Einstellungen!$I$3:$I$22,MATCH($K343,Einstellungen!$H$3:$H$22,0)),"")&lt;&gt;"",IFERROR(INDEX(Einstellungen!$I$3:$I$22,MATCH($K343,Einstellungen!$H$3:$H$22,0)),""),IFERROR(INDEX(Einstellungen!$B$20:$B$119,MATCH($K343,Einstellungen!$A$20:$A$119,0)),""))))</x:f>
      </x:c>
      <x:c r="E343" s="24">
        <x:f>IF($K343="","",SUM(F343:J343))</x:f>
        <x:v>6.5</x:v>
      </x:c>
      <x:c r="F343" s="25" t="n">
        <x:v>1</x:v>
      </x:c>
      <x:c r="G343" s="25" t="n">
        <x:v>2</x:v>
      </x:c>
      <x:c r="H343" s="25" t="n">
        <x:v>1</x:v>
      </x:c>
      <x:c r="I343" s="25" t="n">
        <x:v>2</x:v>
      </x:c>
      <x:c r="J343" s="25" t="n">
        <x:v>0.5</x:v>
      </x:c>
      <x:c r="K343">
        <x:f>IF(29&lt;=DAY(EOMONTH($K313,0)),$K313+28,"")</x:f>
        <x:v>46202</x:v>
      </x:c>
    </x:row>
    <x:row r="344">
      <x:c r="A344" s="21">
        <x:f>IF($K344="","",DAY($K344))</x:f>
        <x:v>30</x:v>
      </x:c>
      <x:c r="B344" s="22" t="str">
        <x:f>IF($K344="","",CHOOSE(WEEKDAY($K344,2),"Mo","Di","Mi","Do","Fr","Sa","So"))</x:f>
        <x:v>Di</x:v>
      </x:c>
      <x:c r="C344" s="22">
        <x:f>IF($K344="","",ISOWEEKNUM($K344))</x:f>
        <x:v>27</x:v>
      </x:c>
      <x:c r="D344" s="23">
        <x:f>IF($K344="","",IF(AND(IFERROR(INDEX(Einstellungen!$I$3:$I$22,MATCH($K344,Einstellungen!$H$3:$H$22,0)),"")&lt;&gt;"",IFERROR(INDEX(Einstellungen!$B$20:$B$119,MATCH($K344,Einstellungen!$A$20:$A$119,0)),"")&lt;&gt;""),IFERROR(INDEX(Einstellungen!$I$3:$I$22,MATCH($K344,Einstellungen!$H$3:$H$22,0)),"")&amp;" / "&amp;IFERROR(INDEX(Einstellungen!$B$20:$B$119,MATCH($K344,Einstellungen!$A$20:$A$119,0)),""),IF(IFERROR(INDEX(Einstellungen!$I$3:$I$22,MATCH($K344,Einstellungen!$H$3:$H$22,0)),"")&lt;&gt;"",IFERROR(INDEX(Einstellungen!$I$3:$I$22,MATCH($K344,Einstellungen!$H$3:$H$22,0)),""),IFERROR(INDEX(Einstellungen!$B$20:$B$119,MATCH($K344,Einstellungen!$A$20:$A$119,0)),""))))</x:f>
      </x:c>
      <x:c r="E344" s="24">
        <x:f>IF($K344="","",SUM(F344:J344))</x:f>
        <x:v>6.5</x:v>
      </x:c>
      <x:c r="F344" s="25" t="n">
        <x:v>1.5</x:v>
      </x:c>
      <x:c r="G344" s="25" t="n">
        <x:v>1.5</x:v>
      </x:c>
      <x:c r="H344" s="25" t="n">
        <x:v>1</x:v>
      </x:c>
      <x:c r="I344" s="25" t="n">
        <x:v>2</x:v>
      </x:c>
      <x:c r="J344" s="25" t="n">
        <x:v>0.5</x:v>
      </x:c>
      <x:c r="K344">
        <x:f>IF(30&lt;=DAY(EOMONTH($K313,0)),$K313+29,"")</x:f>
        <x:v>46203</x:v>
      </x:c>
    </x:row>
    <x:row r="345">
      <x:c r="A345" s="21">
        <x:f>IF($K345="","",DAY($K345))</x:f>
      </x:c>
      <x:c r="B345" s="22">
        <x:f>IF($K345="","",CHOOSE(WEEKDAY($K345,2),"Mo","Di","Mi","Do","Fr","Sa","So"))</x:f>
      </x:c>
      <x:c r="C345" s="22">
        <x:f>IF($K345="","",ISOWEEKNUM($K345))</x:f>
      </x:c>
      <x:c r="D345" s="23">
        <x:f>IF($K345="","",IF(AND(IFERROR(INDEX(Einstellungen!$I$3:$I$22,MATCH($K345,Einstellungen!$H$3:$H$22,0)),"")&lt;&gt;"",IFERROR(INDEX(Einstellungen!$B$20:$B$119,MATCH($K345,Einstellungen!$A$20:$A$119,0)),"")&lt;&gt;""),IFERROR(INDEX(Einstellungen!$I$3:$I$22,MATCH($K345,Einstellungen!$H$3:$H$22,0)),"")&amp;" / "&amp;IFERROR(INDEX(Einstellungen!$B$20:$B$119,MATCH($K345,Einstellungen!$A$20:$A$119,0)),""),IF(IFERROR(INDEX(Einstellungen!$I$3:$I$22,MATCH($K345,Einstellungen!$H$3:$H$22,0)),"")&lt;&gt;"",IFERROR(INDEX(Einstellungen!$I$3:$I$22,MATCH($K345,Einstellungen!$H$3:$H$22,0)),""),IFERROR(INDEX(Einstellungen!$B$20:$B$119,MATCH($K345,Einstellungen!$A$20:$A$119,0)),""))))</x:f>
      </x:c>
      <x:c r="E345" s="24">
        <x:f>IF($K345="","",SUM(F345:J345))</x:f>
      </x:c>
      <x:c r="F345" s="25" t="n"/>
      <x:c r="G345" s="25" t="n"/>
      <x:c r="H345" s="25" t="n"/>
      <x:c r="I345" s="25" t="n"/>
      <x:c r="J345" s="25" t="n"/>
      <x:c r="K345">
        <x:f>IF(31&lt;=DAY(EOMONTH($K313,0)),$K313+30,"")</x:f>
      </x:c>
    </x:row>
    <x:row r="346">
      <x:c r="A346" s="26" t="n"/>
      <x:c r="B346" s="26" t="n"/>
      <x:c r="C346" s="26" t="n"/>
      <x:c r="D346" s="26" t="n"/>
      <x:c r="E346" s="26" t="n"/>
      <x:c r="F346" s="26" t="n"/>
      <x:c r="G346" s="26" t="n"/>
      <x:c r="H346" s="26" t="n"/>
      <x:c r="I346" s="26" t="n"/>
      <x:c r="J346" s="26" t="n"/>
    </x:row>
    <x:row r="347">
      <x:c r="A347" s="18" t="str">
        <x:f>INDEX(Einstellungen!$F$2:$F$13,MONTH($K347))&amp;" "&amp;YEAR($K347)</x:f>
        <x:v>Juli 2026</x:v>
      </x:c>
      <x:c r="B347" s="36" t="n"/>
      <x:c r="C347" s="36" t="n"/>
      <x:c r="D347" s="36" t="n"/>
      <x:c r="E347" s="36" t="n"/>
      <x:c r="F347" s="36" t="n"/>
      <x:c r="G347" s="36" t="n"/>
      <x:c r="H347" s="36" t="n"/>
      <x:c r="I347" s="36" t="n"/>
      <x:c r="J347" s="37" t="n"/>
      <x:c r="K347">
        <x:f>EDATE(Einstellungen!$B$5,10)</x:f>
        <x:v>46204</x:v>
      </x:c>
    </x:row>
    <x:row r="348">
      <x:c r="A348" s="20" t="inlineStr">
        <x:is>
          <x:t xml:space="preserve">Datum</x:t>
        </x:is>
      </x:c>
      <x:c r="B348" s="20" t="inlineStr">
        <x:is>
          <x:t xml:space="preserve">Tag</x:t>
        </x:is>
      </x:c>
      <x:c r="C348" s="20" t="inlineStr">
        <x:is>
          <x:t xml:space="preserve">KW</x:t>
        </x:is>
      </x:c>
      <x:c r="D348" s="20" t="inlineStr">
        <x:is>
          <x:t xml:space="preserve">Feiertag</x:t>
        </x:is>
      </x:c>
      <x:c r="E348" s="20" t="inlineStr">
        <x:is>
          <x:t xml:space="preserve">Arbeitszeit</x:t>
        </x:is>
      </x:c>
      <x:c r="F348" s="20" t="str">
        <x:f>Einstellungen!$B$11</x:f>
        <x:v>E-Mail</x:v>
      </x:c>
      <x:c r="G348" s="20" t="str">
        <x:f>Einstellungen!$B$12</x:f>
        <x:v>Meetings</x:v>
      </x:c>
      <x:c r="H348" s="20" t="str">
        <x:f>Einstellungen!$B$13</x:f>
        <x:v>Telefonate</x:v>
      </x:c>
      <x:c r="I348" s="20" t="str">
        <x:f>Einstellungen!$B$14</x:f>
        <x:v>Dokumentation</x:v>
      </x:c>
      <x:c r="J348" s="20" t="str">
        <x:f>Einstellungen!$B$15</x:f>
        <x:v>Sonstiges</x:v>
      </x:c>
    </x:row>
    <x:row r="349">
      <x:c r="A349" s="21">
        <x:f>IF($K349="","",DAY($K349))</x:f>
        <x:v>1</x:v>
      </x:c>
      <x:c r="B349" s="22" t="str">
        <x:f>IF($K349="","",CHOOSE(WEEKDAY($K349,2),"Mo","Di","Mi","Do","Fr","Sa","So"))</x:f>
        <x:v>Mi</x:v>
      </x:c>
      <x:c r="C349" s="22">
        <x:f>IF($K349="","",ISOWEEKNUM($K349))</x:f>
        <x:v>27</x:v>
      </x:c>
      <x:c r="D349" s="23">
        <x:f>IF($K349="","",IF(AND(IFERROR(INDEX(Einstellungen!$I$3:$I$22,MATCH($K349,Einstellungen!$H$3:$H$22,0)),"")&lt;&gt;"",IFERROR(INDEX(Einstellungen!$B$20:$B$119,MATCH($K349,Einstellungen!$A$20:$A$119,0)),"")&lt;&gt;""),IFERROR(INDEX(Einstellungen!$I$3:$I$22,MATCH($K349,Einstellungen!$H$3:$H$22,0)),"")&amp;" / "&amp;IFERROR(INDEX(Einstellungen!$B$20:$B$119,MATCH($K349,Einstellungen!$A$20:$A$119,0)),""),IF(IFERROR(INDEX(Einstellungen!$I$3:$I$22,MATCH($K349,Einstellungen!$H$3:$H$22,0)),"")&lt;&gt;"",IFERROR(INDEX(Einstellungen!$I$3:$I$22,MATCH($K349,Einstellungen!$H$3:$H$22,0)),""),IFERROR(INDEX(Einstellungen!$B$20:$B$119,MATCH($K349,Einstellungen!$A$20:$A$119,0)),""))))</x:f>
      </x:c>
      <x:c r="E349" s="24">
        <x:f>IF($K349="","",SUM(F349:J349))</x:f>
        <x:v>7</x:v>
      </x:c>
      <x:c r="F349" s="25" t="n">
        <x:v>1</x:v>
      </x:c>
      <x:c r="G349" s="25" t="n">
        <x:v>2.5</x:v>
      </x:c>
      <x:c r="H349" s="25" t="n">
        <x:v>1.5</x:v>
      </x:c>
      <x:c r="I349" s="25" t="n">
        <x:v>1.5</x:v>
      </x:c>
      <x:c r="J349" s="25" t="n">
        <x:v>0.5</x:v>
      </x:c>
      <x:c r="K349">
        <x:f>IF(1&lt;=DAY(EOMONTH($K347,0)),$K347+0,"")</x:f>
        <x:v>46204</x:v>
      </x:c>
    </x:row>
    <x:row r="350">
      <x:c r="A350" s="21">
        <x:f>IF($K350="","",DAY($K350))</x:f>
        <x:v>2</x:v>
      </x:c>
      <x:c r="B350" s="22" t="str">
        <x:f>IF($K350="","",CHOOSE(WEEKDAY($K350,2),"Mo","Di","Mi","Do","Fr","Sa","So"))</x:f>
        <x:v>Do</x:v>
      </x:c>
      <x:c r="C350" s="22">
        <x:f>IF($K350="","",ISOWEEKNUM($K350))</x:f>
        <x:v>27</x:v>
      </x:c>
      <x:c r="D350" s="23">
        <x:f>IF($K350="","",IF(AND(IFERROR(INDEX(Einstellungen!$I$3:$I$22,MATCH($K350,Einstellungen!$H$3:$H$22,0)),"")&lt;&gt;"",IFERROR(INDEX(Einstellungen!$B$20:$B$119,MATCH($K350,Einstellungen!$A$20:$A$119,0)),"")&lt;&gt;""),IFERROR(INDEX(Einstellungen!$I$3:$I$22,MATCH($K350,Einstellungen!$H$3:$H$22,0)),"")&amp;" / "&amp;IFERROR(INDEX(Einstellungen!$B$20:$B$119,MATCH($K350,Einstellungen!$A$20:$A$119,0)),""),IF(IFERROR(INDEX(Einstellungen!$I$3:$I$22,MATCH($K350,Einstellungen!$H$3:$H$22,0)),"")&lt;&gt;"",IFERROR(INDEX(Einstellungen!$I$3:$I$22,MATCH($K350,Einstellungen!$H$3:$H$22,0)),""),IFERROR(INDEX(Einstellungen!$B$20:$B$119,MATCH($K350,Einstellungen!$A$20:$A$119,0)),""))))</x:f>
      </x:c>
      <x:c r="E350" s="24">
        <x:f>IF($K350="","",SUM(F350:J350))</x:f>
        <x:v>8</x:v>
      </x:c>
      <x:c r="F350" s="25" t="n">
        <x:v>1.5</x:v>
      </x:c>
      <x:c r="G350" s="25" t="n">
        <x:v>2</x:v>
      </x:c>
      <x:c r="H350" s="25" t="n">
        <x:v>1.5</x:v>
      </x:c>
      <x:c r="I350" s="25" t="n">
        <x:v>2.5</x:v>
      </x:c>
      <x:c r="J350" s="25" t="n">
        <x:v>0.5</x:v>
      </x:c>
      <x:c r="K350">
        <x:f>IF(2&lt;=DAY(EOMONTH($K347,0)),$K347+1,"")</x:f>
        <x:v>46205</x:v>
      </x:c>
    </x:row>
    <x:row r="351">
      <x:c r="A351" s="21">
        <x:f>IF($K351="","",DAY($K351))</x:f>
        <x:v>3</x:v>
      </x:c>
      <x:c r="B351" s="22" t="str">
        <x:f>IF($K351="","",CHOOSE(WEEKDAY($K351,2),"Mo","Di","Mi","Do","Fr","Sa","So"))</x:f>
        <x:v>Fr</x:v>
      </x:c>
      <x:c r="C351" s="22">
        <x:f>IF($K351="","",ISOWEEKNUM($K351))</x:f>
        <x:v>27</x:v>
      </x:c>
      <x:c r="D351" s="23">
        <x:f>IF($K351="","",IF(AND(IFERROR(INDEX(Einstellungen!$I$3:$I$22,MATCH($K351,Einstellungen!$H$3:$H$22,0)),"")&lt;&gt;"",IFERROR(INDEX(Einstellungen!$B$20:$B$119,MATCH($K351,Einstellungen!$A$20:$A$119,0)),"")&lt;&gt;""),IFERROR(INDEX(Einstellungen!$I$3:$I$22,MATCH($K351,Einstellungen!$H$3:$H$22,0)),"")&amp;" / "&amp;IFERROR(INDEX(Einstellungen!$B$20:$B$119,MATCH($K351,Einstellungen!$A$20:$A$119,0)),""),IF(IFERROR(INDEX(Einstellungen!$I$3:$I$22,MATCH($K351,Einstellungen!$H$3:$H$22,0)),"")&lt;&gt;"",IFERROR(INDEX(Einstellungen!$I$3:$I$22,MATCH($K351,Einstellungen!$H$3:$H$22,0)),""),IFERROR(INDEX(Einstellungen!$B$20:$B$119,MATCH($K351,Einstellungen!$A$20:$A$119,0)),""))))</x:f>
      </x:c>
      <x:c r="E351" s="24">
        <x:f>IF($K351="","",SUM(F351:J351))</x:f>
        <x:v>5.5</x:v>
      </x:c>
      <x:c r="F351" s="25" t="n">
        <x:v>2</x:v>
      </x:c>
      <x:c r="G351" s="25" t="n">
        <x:v>1</x:v>
      </x:c>
      <x:c r="H351" s="25" t="n">
        <x:v>1</x:v>
      </x:c>
      <x:c r="I351" s="25" t="n">
        <x:v>1</x:v>
      </x:c>
      <x:c r="J351" s="25" t="n">
        <x:v>0.5</x:v>
      </x:c>
      <x:c r="K351">
        <x:f>IF(3&lt;=DAY(EOMONTH($K347,0)),$K347+2,"")</x:f>
        <x:v>46206</x:v>
      </x:c>
    </x:row>
    <x:row r="352">
      <x:c r="A352" s="21">
        <x:f>IF($K352="","",DAY($K352))</x:f>
        <x:v>4</x:v>
      </x:c>
      <x:c r="B352" s="22" t="str">
        <x:f>IF($K352="","",CHOOSE(WEEKDAY($K352,2),"Mo","Di","Mi","Do","Fr","Sa","So"))</x:f>
        <x:v>Sa</x:v>
      </x:c>
      <x:c r="C352" s="22">
        <x:f>IF($K352="","",ISOWEEKNUM($K352))</x:f>
        <x:v>27</x:v>
      </x:c>
      <x:c r="D352" s="23">
        <x:f>IF($K352="","",IF(AND(IFERROR(INDEX(Einstellungen!$I$3:$I$22,MATCH($K352,Einstellungen!$H$3:$H$22,0)),"")&lt;&gt;"",IFERROR(INDEX(Einstellungen!$B$20:$B$119,MATCH($K352,Einstellungen!$A$20:$A$119,0)),"")&lt;&gt;""),IFERROR(INDEX(Einstellungen!$I$3:$I$22,MATCH($K352,Einstellungen!$H$3:$H$22,0)),"")&amp;" / "&amp;IFERROR(INDEX(Einstellungen!$B$20:$B$119,MATCH($K352,Einstellungen!$A$20:$A$119,0)),""),IF(IFERROR(INDEX(Einstellungen!$I$3:$I$22,MATCH($K352,Einstellungen!$H$3:$H$22,0)),"")&lt;&gt;"",IFERROR(INDEX(Einstellungen!$I$3:$I$22,MATCH($K352,Einstellungen!$H$3:$H$22,0)),""),IFERROR(INDEX(Einstellungen!$B$20:$B$119,MATCH($K352,Einstellungen!$A$20:$A$119,0)),""))))</x:f>
      </x:c>
      <x:c r="E352" s="24">
        <x:f>IF($K352="","",SUM(F352:J352))</x:f>
        <x:v>0</x:v>
      </x:c>
      <x:c r="F352" s="25" t="n"/>
      <x:c r="G352" s="25" t="n"/>
      <x:c r="H352" s="25" t="n"/>
      <x:c r="I352" s="25" t="n"/>
      <x:c r="J352" s="25" t="n"/>
      <x:c r="K352">
        <x:f>IF(4&lt;=DAY(EOMONTH($K347,0)),$K347+3,"")</x:f>
        <x:v>46207</x:v>
      </x:c>
    </x:row>
    <x:row r="353">
      <x:c r="A353" s="21">
        <x:f>IF($K353="","",DAY($K353))</x:f>
        <x:v>5</x:v>
      </x:c>
      <x:c r="B353" s="22" t="str">
        <x:f>IF($K353="","",CHOOSE(WEEKDAY($K353,2),"Mo","Di","Mi","Do","Fr","Sa","So"))</x:f>
        <x:v>So</x:v>
      </x:c>
      <x:c r="C353" s="22">
        <x:f>IF($K353="","",ISOWEEKNUM($K353))</x:f>
        <x:v>27</x:v>
      </x:c>
      <x:c r="D353" s="23">
        <x:f>IF($K353="","",IF(AND(IFERROR(INDEX(Einstellungen!$I$3:$I$22,MATCH($K353,Einstellungen!$H$3:$H$22,0)),"")&lt;&gt;"",IFERROR(INDEX(Einstellungen!$B$20:$B$119,MATCH($K353,Einstellungen!$A$20:$A$119,0)),"")&lt;&gt;""),IFERROR(INDEX(Einstellungen!$I$3:$I$22,MATCH($K353,Einstellungen!$H$3:$H$22,0)),"")&amp;" / "&amp;IFERROR(INDEX(Einstellungen!$B$20:$B$119,MATCH($K353,Einstellungen!$A$20:$A$119,0)),""),IF(IFERROR(INDEX(Einstellungen!$I$3:$I$22,MATCH($K353,Einstellungen!$H$3:$H$22,0)),"")&lt;&gt;"",IFERROR(INDEX(Einstellungen!$I$3:$I$22,MATCH($K353,Einstellungen!$H$3:$H$22,0)),""),IFERROR(INDEX(Einstellungen!$B$20:$B$119,MATCH($K353,Einstellungen!$A$20:$A$119,0)),""))))</x:f>
      </x:c>
      <x:c r="E353" s="24">
        <x:f>IF($K353="","",SUM(F353:J353))</x:f>
        <x:v>0</x:v>
      </x:c>
      <x:c r="F353" s="25" t="n"/>
      <x:c r="G353" s="25" t="n"/>
      <x:c r="H353" s="25" t="n"/>
      <x:c r="I353" s="25" t="n"/>
      <x:c r="J353" s="25" t="n"/>
      <x:c r="K353">
        <x:f>IF(5&lt;=DAY(EOMONTH($K347,0)),$K347+4,"")</x:f>
        <x:v>46208</x:v>
      </x:c>
    </x:row>
    <x:row r="354">
      <x:c r="A354" s="21">
        <x:f>IF($K354="","",DAY($K354))</x:f>
        <x:v>6</x:v>
      </x:c>
      <x:c r="B354" s="22" t="str">
        <x:f>IF($K354="","",CHOOSE(WEEKDAY($K354,2),"Mo","Di","Mi","Do","Fr","Sa","So"))</x:f>
        <x:v>Mo</x:v>
      </x:c>
      <x:c r="C354" s="22">
        <x:f>IF($K354="","",ISOWEEKNUM($K354))</x:f>
        <x:v>28</x:v>
      </x:c>
      <x:c r="D354" s="23">
        <x:f>IF($K354="","",IF(AND(IFERROR(INDEX(Einstellungen!$I$3:$I$22,MATCH($K354,Einstellungen!$H$3:$H$22,0)),"")&lt;&gt;"",IFERROR(INDEX(Einstellungen!$B$20:$B$119,MATCH($K354,Einstellungen!$A$20:$A$119,0)),"")&lt;&gt;""),IFERROR(INDEX(Einstellungen!$I$3:$I$22,MATCH($K354,Einstellungen!$H$3:$H$22,0)),"")&amp;" / "&amp;IFERROR(INDEX(Einstellungen!$B$20:$B$119,MATCH($K354,Einstellungen!$A$20:$A$119,0)),""),IF(IFERROR(INDEX(Einstellungen!$I$3:$I$22,MATCH($K354,Einstellungen!$H$3:$H$22,0)),"")&lt;&gt;"",IFERROR(INDEX(Einstellungen!$I$3:$I$22,MATCH($K354,Einstellungen!$H$3:$H$22,0)),""),IFERROR(INDEX(Einstellungen!$B$20:$B$119,MATCH($K354,Einstellungen!$A$20:$A$119,0)),""))))</x:f>
      </x:c>
      <x:c r="E354" s="24">
        <x:f>IF($K354="","",SUM(F354:J354))</x:f>
        <x:v>6.5</x:v>
      </x:c>
      <x:c r="F354" s="25" t="n">
        <x:v>1</x:v>
      </x:c>
      <x:c r="G354" s="25" t="n">
        <x:v>2</x:v>
      </x:c>
      <x:c r="H354" s="25" t="n">
        <x:v>1</x:v>
      </x:c>
      <x:c r="I354" s="25" t="n">
        <x:v>2</x:v>
      </x:c>
      <x:c r="J354" s="25" t="n">
        <x:v>0.5</x:v>
      </x:c>
      <x:c r="K354">
        <x:f>IF(6&lt;=DAY(EOMONTH($K347,0)),$K347+5,"")</x:f>
        <x:v>46209</x:v>
      </x:c>
    </x:row>
    <x:row r="355">
      <x:c r="A355" s="21">
        <x:f>IF($K355="","",DAY($K355))</x:f>
        <x:v>7</x:v>
      </x:c>
      <x:c r="B355" s="22" t="str">
        <x:f>IF($K355="","",CHOOSE(WEEKDAY($K355,2),"Mo","Di","Mi","Do","Fr","Sa","So"))</x:f>
        <x:v>Di</x:v>
      </x:c>
      <x:c r="C355" s="22">
        <x:f>IF($K355="","",ISOWEEKNUM($K355))</x:f>
        <x:v>28</x:v>
      </x:c>
      <x:c r="D355" s="23" t="str">
        <x:f>IF($K355="","",IF(AND(IFERROR(INDEX(Einstellungen!$I$3:$I$22,MATCH($K355,Einstellungen!$H$3:$H$22,0)),"")&lt;&gt;"",IFERROR(INDEX(Einstellungen!$B$20:$B$119,MATCH($K355,Einstellungen!$A$20:$A$119,0)),"")&lt;&gt;""),IFERROR(INDEX(Einstellungen!$I$3:$I$22,MATCH($K355,Einstellungen!$H$3:$H$22,0)),"")&amp;" / "&amp;IFERROR(INDEX(Einstellungen!$B$20:$B$119,MATCH($K355,Einstellungen!$A$20:$A$119,0)),""),IF(IFERROR(INDEX(Einstellungen!$I$3:$I$22,MATCH($K355,Einstellungen!$H$3:$H$22,0)),"")&lt;&gt;"",IFERROR(INDEX(Einstellungen!$I$3:$I$22,MATCH($K355,Einstellungen!$H$3:$H$22,0)),""),IFERROR(INDEX(Einstellungen!$B$20:$B$119,MATCH($K355,Einstellungen!$A$20:$A$119,0)),""))))</x:f>
        <x:v>Urlaub geplant</x:v>
      </x:c>
      <x:c r="E355" s="24">
        <x:f>IF($K355="","",SUM(F355:J355))</x:f>
        <x:v>0</x:v>
      </x:c>
      <x:c r="F355" s="25" t="n"/>
      <x:c r="G355" s="25" t="n"/>
      <x:c r="H355" s="25" t="n"/>
      <x:c r="I355" s="25" t="n"/>
      <x:c r="J355" s="25" t="n"/>
      <x:c r="K355">
        <x:f>IF(7&lt;=DAY(EOMONTH($K347,0)),$K347+6,"")</x:f>
        <x:v>46210</x:v>
      </x:c>
    </x:row>
    <x:row r="356">
      <x:c r="A356" s="21">
        <x:f>IF($K356="","",DAY($K356))</x:f>
        <x:v>8</x:v>
      </x:c>
      <x:c r="B356" s="22" t="str">
        <x:f>IF($K356="","",CHOOSE(WEEKDAY($K356,2),"Mo","Di","Mi","Do","Fr","Sa","So"))</x:f>
        <x:v>Mi</x:v>
      </x:c>
      <x:c r="C356" s="22">
        <x:f>IF($K356="","",ISOWEEKNUM($K356))</x:f>
        <x:v>28</x:v>
      </x:c>
      <x:c r="D356" s="23">
        <x:f>IF($K356="","",IF(AND(IFERROR(INDEX(Einstellungen!$I$3:$I$22,MATCH($K356,Einstellungen!$H$3:$H$22,0)),"")&lt;&gt;"",IFERROR(INDEX(Einstellungen!$B$20:$B$119,MATCH($K356,Einstellungen!$A$20:$A$119,0)),"")&lt;&gt;""),IFERROR(INDEX(Einstellungen!$I$3:$I$22,MATCH($K356,Einstellungen!$H$3:$H$22,0)),"")&amp;" / "&amp;IFERROR(INDEX(Einstellungen!$B$20:$B$119,MATCH($K356,Einstellungen!$A$20:$A$119,0)),""),IF(IFERROR(INDEX(Einstellungen!$I$3:$I$22,MATCH($K356,Einstellungen!$H$3:$H$22,0)),"")&lt;&gt;"",IFERROR(INDEX(Einstellungen!$I$3:$I$22,MATCH($K356,Einstellungen!$H$3:$H$22,0)),""),IFERROR(INDEX(Einstellungen!$B$20:$B$119,MATCH($K356,Einstellungen!$A$20:$A$119,0)),""))))</x:f>
      </x:c>
      <x:c r="E356" s="24">
        <x:f>IF($K356="","",SUM(F356:J356))</x:f>
        <x:v>7.5</x:v>
      </x:c>
      <x:c r="F356" s="25" t="n">
        <x:v>1</x:v>
      </x:c>
      <x:c r="G356" s="25" t="n">
        <x:v>2.5</x:v>
      </x:c>
      <x:c r="H356" s="25" t="n">
        <x:v>2</x:v>
      </x:c>
      <x:c r="I356" s="25" t="n">
        <x:v>1.5</x:v>
      </x:c>
      <x:c r="J356" s="25" t="n">
        <x:v>0.5</x:v>
      </x:c>
      <x:c r="K356">
        <x:f>IF(8&lt;=DAY(EOMONTH($K347,0)),$K347+7,"")</x:f>
        <x:v>46211</x:v>
      </x:c>
    </x:row>
    <x:row r="357">
      <x:c r="A357" s="21">
        <x:f>IF($K357="","",DAY($K357))</x:f>
        <x:v>9</x:v>
      </x:c>
      <x:c r="B357" s="22" t="str">
        <x:f>IF($K357="","",CHOOSE(WEEKDAY($K357,2),"Mo","Di","Mi","Do","Fr","Sa","So"))</x:f>
        <x:v>Do</x:v>
      </x:c>
      <x:c r="C357" s="22">
        <x:f>IF($K357="","",ISOWEEKNUM($K357))</x:f>
        <x:v>28</x:v>
      </x:c>
      <x:c r="D357" s="23">
        <x:f>IF($K357="","",IF(AND(IFERROR(INDEX(Einstellungen!$I$3:$I$22,MATCH($K357,Einstellungen!$H$3:$H$22,0)),"")&lt;&gt;"",IFERROR(INDEX(Einstellungen!$B$20:$B$119,MATCH($K357,Einstellungen!$A$20:$A$119,0)),"")&lt;&gt;""),IFERROR(INDEX(Einstellungen!$I$3:$I$22,MATCH($K357,Einstellungen!$H$3:$H$22,0)),"")&amp;" / "&amp;IFERROR(INDEX(Einstellungen!$B$20:$B$119,MATCH($K357,Einstellungen!$A$20:$A$119,0)),""),IF(IFERROR(INDEX(Einstellungen!$I$3:$I$22,MATCH($K357,Einstellungen!$H$3:$H$22,0)),"")&lt;&gt;"",IFERROR(INDEX(Einstellungen!$I$3:$I$22,MATCH($K357,Einstellungen!$H$3:$H$22,0)),""),IFERROR(INDEX(Einstellungen!$B$20:$B$119,MATCH($K357,Einstellungen!$A$20:$A$119,0)),""))))</x:f>
      </x:c>
      <x:c r="E357" s="24">
        <x:f>IF($K357="","",SUM(F357:J357))</x:f>
        <x:v>7</x:v>
      </x:c>
      <x:c r="F357" s="25" t="n">
        <x:v>1.5</x:v>
      </x:c>
      <x:c r="G357" s="25" t="n">
        <x:v>2</x:v>
      </x:c>
      <x:c r="H357" s="25" t="n">
        <x:v>1.5</x:v>
      </x:c>
      <x:c r="I357" s="25" t="n">
        <x:v>1.5</x:v>
      </x:c>
      <x:c r="J357" s="25" t="n">
        <x:v>0.5</x:v>
      </x:c>
      <x:c r="K357">
        <x:f>IF(9&lt;=DAY(EOMONTH($K347,0)),$K347+8,"")</x:f>
        <x:v>46212</x:v>
      </x:c>
    </x:row>
    <x:row r="358">
      <x:c r="A358" s="21">
        <x:f>IF($K358="","",DAY($K358))</x:f>
        <x:v>10</x:v>
      </x:c>
      <x:c r="B358" s="22" t="str">
        <x:f>IF($K358="","",CHOOSE(WEEKDAY($K358,2),"Mo","Di","Mi","Do","Fr","Sa","So"))</x:f>
        <x:v>Fr</x:v>
      </x:c>
      <x:c r="C358" s="22">
        <x:f>IF($K358="","",ISOWEEKNUM($K358))</x:f>
        <x:v>28</x:v>
      </x:c>
      <x:c r="D358" s="23">
        <x:f>IF($K358="","",IF(AND(IFERROR(INDEX(Einstellungen!$I$3:$I$22,MATCH($K358,Einstellungen!$H$3:$H$22,0)),"")&lt;&gt;"",IFERROR(INDEX(Einstellungen!$B$20:$B$119,MATCH($K358,Einstellungen!$A$20:$A$119,0)),"")&lt;&gt;""),IFERROR(INDEX(Einstellungen!$I$3:$I$22,MATCH($K358,Einstellungen!$H$3:$H$22,0)),"")&amp;" / "&amp;IFERROR(INDEX(Einstellungen!$B$20:$B$119,MATCH($K358,Einstellungen!$A$20:$A$119,0)),""),IF(IFERROR(INDEX(Einstellungen!$I$3:$I$22,MATCH($K358,Einstellungen!$H$3:$H$22,0)),"")&lt;&gt;"",IFERROR(INDEX(Einstellungen!$I$3:$I$22,MATCH($K358,Einstellungen!$H$3:$H$22,0)),""),IFERROR(INDEX(Einstellungen!$B$20:$B$119,MATCH($K358,Einstellungen!$A$20:$A$119,0)),""))))</x:f>
      </x:c>
      <x:c r="E358" s="24">
        <x:f>IF($K358="","",SUM(F358:J358))</x:f>
        <x:v>6</x:v>
      </x:c>
      <x:c r="F358" s="25" t="n">
        <x:v>2</x:v>
      </x:c>
      <x:c r="G358" s="25" t="n">
        <x:v>1</x:v>
      </x:c>
      <x:c r="H358" s="25" t="n">
        <x:v>1</x:v>
      </x:c>
      <x:c r="I358" s="25" t="n">
        <x:v>1</x:v>
      </x:c>
      <x:c r="J358" s="25" t="n">
        <x:v>1</x:v>
      </x:c>
      <x:c r="K358">
        <x:f>IF(10&lt;=DAY(EOMONTH($K347,0)),$K347+9,"")</x:f>
        <x:v>46213</x:v>
      </x:c>
    </x:row>
    <x:row r="359">
      <x:c r="A359" s="21">
        <x:f>IF($K359="","",DAY($K359))</x:f>
        <x:v>11</x:v>
      </x:c>
      <x:c r="B359" s="22" t="str">
        <x:f>IF($K359="","",CHOOSE(WEEKDAY($K359,2),"Mo","Di","Mi","Do","Fr","Sa","So"))</x:f>
        <x:v>Sa</x:v>
      </x:c>
      <x:c r="C359" s="22">
        <x:f>IF($K359="","",ISOWEEKNUM($K359))</x:f>
        <x:v>28</x:v>
      </x:c>
      <x:c r="D359" s="23">
        <x:f>IF($K359="","",IF(AND(IFERROR(INDEX(Einstellungen!$I$3:$I$22,MATCH($K359,Einstellungen!$H$3:$H$22,0)),"")&lt;&gt;"",IFERROR(INDEX(Einstellungen!$B$20:$B$119,MATCH($K359,Einstellungen!$A$20:$A$119,0)),"")&lt;&gt;""),IFERROR(INDEX(Einstellungen!$I$3:$I$22,MATCH($K359,Einstellungen!$H$3:$H$22,0)),"")&amp;" / "&amp;IFERROR(INDEX(Einstellungen!$B$20:$B$119,MATCH($K359,Einstellungen!$A$20:$A$119,0)),""),IF(IFERROR(INDEX(Einstellungen!$I$3:$I$22,MATCH($K359,Einstellungen!$H$3:$H$22,0)),"")&lt;&gt;"",IFERROR(INDEX(Einstellungen!$I$3:$I$22,MATCH($K359,Einstellungen!$H$3:$H$22,0)),""),IFERROR(INDEX(Einstellungen!$B$20:$B$119,MATCH($K359,Einstellungen!$A$20:$A$119,0)),""))))</x:f>
      </x:c>
      <x:c r="E359" s="24">
        <x:f>IF($K359="","",SUM(F359:J359))</x:f>
        <x:v>0</x:v>
      </x:c>
      <x:c r="F359" s="25" t="n"/>
      <x:c r="G359" s="25" t="n"/>
      <x:c r="H359" s="25" t="n"/>
      <x:c r="I359" s="25" t="n"/>
      <x:c r="J359" s="25" t="n"/>
      <x:c r="K359">
        <x:f>IF(11&lt;=DAY(EOMONTH($K347,0)),$K347+10,"")</x:f>
        <x:v>46214</x:v>
      </x:c>
    </x:row>
    <x:row r="360">
      <x:c r="A360" s="21">
        <x:f>IF($K360="","",DAY($K360))</x:f>
        <x:v>12</x:v>
      </x:c>
      <x:c r="B360" s="22" t="str">
        <x:f>IF($K360="","",CHOOSE(WEEKDAY($K360,2),"Mo","Di","Mi","Do","Fr","Sa","So"))</x:f>
        <x:v>So</x:v>
      </x:c>
      <x:c r="C360" s="22">
        <x:f>IF($K360="","",ISOWEEKNUM($K360))</x:f>
        <x:v>28</x:v>
      </x:c>
      <x:c r="D360" s="23">
        <x:f>IF($K360="","",IF(AND(IFERROR(INDEX(Einstellungen!$I$3:$I$22,MATCH($K360,Einstellungen!$H$3:$H$22,0)),"")&lt;&gt;"",IFERROR(INDEX(Einstellungen!$B$20:$B$119,MATCH($K360,Einstellungen!$A$20:$A$119,0)),"")&lt;&gt;""),IFERROR(INDEX(Einstellungen!$I$3:$I$22,MATCH($K360,Einstellungen!$H$3:$H$22,0)),"")&amp;" / "&amp;IFERROR(INDEX(Einstellungen!$B$20:$B$119,MATCH($K360,Einstellungen!$A$20:$A$119,0)),""),IF(IFERROR(INDEX(Einstellungen!$I$3:$I$22,MATCH($K360,Einstellungen!$H$3:$H$22,0)),"")&lt;&gt;"",IFERROR(INDEX(Einstellungen!$I$3:$I$22,MATCH($K360,Einstellungen!$H$3:$H$22,0)),""),IFERROR(INDEX(Einstellungen!$B$20:$B$119,MATCH($K360,Einstellungen!$A$20:$A$119,0)),""))))</x:f>
      </x:c>
      <x:c r="E360" s="24">
        <x:f>IF($K360="","",SUM(F360:J360))</x:f>
        <x:v>0</x:v>
      </x:c>
      <x:c r="F360" s="25" t="n"/>
      <x:c r="G360" s="25" t="n"/>
      <x:c r="H360" s="25" t="n"/>
      <x:c r="I360" s="25" t="n"/>
      <x:c r="J360" s="25" t="n"/>
      <x:c r="K360">
        <x:f>IF(12&lt;=DAY(EOMONTH($K347,0)),$K347+11,"")</x:f>
        <x:v>46215</x:v>
      </x:c>
    </x:row>
    <x:row r="361">
      <x:c r="A361" s="21">
        <x:f>IF($K361="","",DAY($K361))</x:f>
        <x:v>13</x:v>
      </x:c>
      <x:c r="B361" s="22" t="str">
        <x:f>IF($K361="","",CHOOSE(WEEKDAY($K361,2),"Mo","Di","Mi","Do","Fr","Sa","So"))</x:f>
        <x:v>Mo</x:v>
      </x:c>
      <x:c r="C361" s="22">
        <x:f>IF($K361="","",ISOWEEKNUM($K361))</x:f>
        <x:v>29</x:v>
      </x:c>
      <x:c r="D361" s="23">
        <x:f>IF($K361="","",IF(AND(IFERROR(INDEX(Einstellungen!$I$3:$I$22,MATCH($K361,Einstellungen!$H$3:$H$22,0)),"")&lt;&gt;"",IFERROR(INDEX(Einstellungen!$B$20:$B$119,MATCH($K361,Einstellungen!$A$20:$A$119,0)),"")&lt;&gt;""),IFERROR(INDEX(Einstellungen!$I$3:$I$22,MATCH($K361,Einstellungen!$H$3:$H$22,0)),"")&amp;" / "&amp;IFERROR(INDEX(Einstellungen!$B$20:$B$119,MATCH($K361,Einstellungen!$A$20:$A$119,0)),""),IF(IFERROR(INDEX(Einstellungen!$I$3:$I$22,MATCH($K361,Einstellungen!$H$3:$H$22,0)),"")&lt;&gt;"",IFERROR(INDEX(Einstellungen!$I$3:$I$22,MATCH($K361,Einstellungen!$H$3:$H$22,0)),""),IFERROR(INDEX(Einstellungen!$B$20:$B$119,MATCH($K361,Einstellungen!$A$20:$A$119,0)),""))))</x:f>
      </x:c>
      <x:c r="E361" s="24">
        <x:f>IF($K361="","",SUM(F361:J361))</x:f>
        <x:v>7</x:v>
      </x:c>
      <x:c r="F361" s="25" t="n">
        <x:v>1.5</x:v>
      </x:c>
      <x:c r="G361" s="25" t="n">
        <x:v>2</x:v>
      </x:c>
      <x:c r="H361" s="25" t="n">
        <x:v>1</x:v>
      </x:c>
      <x:c r="I361" s="25" t="n">
        <x:v>2</x:v>
      </x:c>
      <x:c r="J361" s="25" t="n">
        <x:v>0.5</x:v>
      </x:c>
      <x:c r="K361">
        <x:f>IF(13&lt;=DAY(EOMONTH($K347,0)),$K347+12,"")</x:f>
        <x:v>46216</x:v>
      </x:c>
    </x:row>
    <x:row r="362">
      <x:c r="A362" s="21">
        <x:f>IF($K362="","",DAY($K362))</x:f>
        <x:v>14</x:v>
      </x:c>
      <x:c r="B362" s="22" t="str">
        <x:f>IF($K362="","",CHOOSE(WEEKDAY($K362,2),"Mo","Di","Mi","Do","Fr","Sa","So"))</x:f>
        <x:v>Di</x:v>
      </x:c>
      <x:c r="C362" s="22">
        <x:f>IF($K362="","",ISOWEEKNUM($K362))</x:f>
        <x:v>29</x:v>
      </x:c>
      <x:c r="D362" s="23">
        <x:f>IF($K362="","",IF(AND(IFERROR(INDEX(Einstellungen!$I$3:$I$22,MATCH($K362,Einstellungen!$H$3:$H$22,0)),"")&lt;&gt;"",IFERROR(INDEX(Einstellungen!$B$20:$B$119,MATCH($K362,Einstellungen!$A$20:$A$119,0)),"")&lt;&gt;""),IFERROR(INDEX(Einstellungen!$I$3:$I$22,MATCH($K362,Einstellungen!$H$3:$H$22,0)),"")&amp;" / "&amp;IFERROR(INDEX(Einstellungen!$B$20:$B$119,MATCH($K362,Einstellungen!$A$20:$A$119,0)),""),IF(IFERROR(INDEX(Einstellungen!$I$3:$I$22,MATCH($K362,Einstellungen!$H$3:$H$22,0)),"")&lt;&gt;"",IFERROR(INDEX(Einstellungen!$I$3:$I$22,MATCH($K362,Einstellungen!$H$3:$H$22,0)),""),IFERROR(INDEX(Einstellungen!$B$20:$B$119,MATCH($K362,Einstellungen!$A$20:$A$119,0)),""))))</x:f>
      </x:c>
      <x:c r="E362" s="24">
        <x:f>IF($K362="","",SUM(F362:J362))</x:f>
        <x:v>7</x:v>
      </x:c>
      <x:c r="F362" s="25" t="n">
        <x:v>1.5</x:v>
      </x:c>
      <x:c r="G362" s="25" t="n">
        <x:v>2.5</x:v>
      </x:c>
      <x:c r="H362" s="25" t="n">
        <x:v>1</x:v>
      </x:c>
      <x:c r="I362" s="25" t="n">
        <x:v>2</x:v>
      </x:c>
      <x:c r="J362" s="25" t="n"/>
      <x:c r="K362">
        <x:f>IF(14&lt;=DAY(EOMONTH($K347,0)),$K347+13,"")</x:f>
        <x:v>46217</x:v>
      </x:c>
    </x:row>
    <x:row r="363">
      <x:c r="A363" s="21">
        <x:f>IF($K363="","",DAY($K363))</x:f>
        <x:v>15</x:v>
      </x:c>
      <x:c r="B363" s="22" t="str">
        <x:f>IF($K363="","",CHOOSE(WEEKDAY($K363,2),"Mo","Di","Mi","Do","Fr","Sa","So"))</x:f>
        <x:v>Mi</x:v>
      </x:c>
      <x:c r="C363" s="22">
        <x:f>IF($K363="","",ISOWEEKNUM($K363))</x:f>
        <x:v>29</x:v>
      </x:c>
      <x:c r="D363" s="23">
        <x:f>IF($K363="","",IF(AND(IFERROR(INDEX(Einstellungen!$I$3:$I$22,MATCH($K363,Einstellungen!$H$3:$H$22,0)),"")&lt;&gt;"",IFERROR(INDEX(Einstellungen!$B$20:$B$119,MATCH($K363,Einstellungen!$A$20:$A$119,0)),"")&lt;&gt;""),IFERROR(INDEX(Einstellungen!$I$3:$I$22,MATCH($K363,Einstellungen!$H$3:$H$22,0)),"")&amp;" / "&amp;IFERROR(INDEX(Einstellungen!$B$20:$B$119,MATCH($K363,Einstellungen!$A$20:$A$119,0)),""),IF(IFERROR(INDEX(Einstellungen!$I$3:$I$22,MATCH($K363,Einstellungen!$H$3:$H$22,0)),"")&lt;&gt;"",IFERROR(INDEX(Einstellungen!$I$3:$I$22,MATCH($K363,Einstellungen!$H$3:$H$22,0)),""),IFERROR(INDEX(Einstellungen!$B$20:$B$119,MATCH($K363,Einstellungen!$A$20:$A$119,0)),""))))</x:f>
      </x:c>
      <x:c r="E363" s="24">
        <x:f>IF($K363="","",SUM(F363:J363))</x:f>
        <x:v>6.5</x:v>
      </x:c>
      <x:c r="F363" s="25" t="n">
        <x:v>1</x:v>
      </x:c>
      <x:c r="G363" s="25" t="n">
        <x:v>2.5</x:v>
      </x:c>
      <x:c r="H363" s="25" t="n">
        <x:v>1</x:v>
      </x:c>
      <x:c r="I363" s="25" t="n">
        <x:v>1.5</x:v>
      </x:c>
      <x:c r="J363" s="25" t="n">
        <x:v>0.5</x:v>
      </x:c>
      <x:c r="K363">
        <x:f>IF(15&lt;=DAY(EOMONTH($K347,0)),$K347+14,"")</x:f>
        <x:v>46218</x:v>
      </x:c>
    </x:row>
    <x:row r="364">
      <x:c r="A364" s="21">
        <x:f>IF($K364="","",DAY($K364))</x:f>
        <x:v>16</x:v>
      </x:c>
      <x:c r="B364" s="22" t="str">
        <x:f>IF($K364="","",CHOOSE(WEEKDAY($K364,2),"Mo","Di","Mi","Do","Fr","Sa","So"))</x:f>
        <x:v>Do</x:v>
      </x:c>
      <x:c r="C364" s="22">
        <x:f>IF($K364="","",ISOWEEKNUM($K364))</x:f>
        <x:v>29</x:v>
      </x:c>
      <x:c r="D364" s="23">
        <x:f>IF($K364="","",IF(AND(IFERROR(INDEX(Einstellungen!$I$3:$I$22,MATCH($K364,Einstellungen!$H$3:$H$22,0)),"")&lt;&gt;"",IFERROR(INDEX(Einstellungen!$B$20:$B$119,MATCH($K364,Einstellungen!$A$20:$A$119,0)),"")&lt;&gt;""),IFERROR(INDEX(Einstellungen!$I$3:$I$22,MATCH($K364,Einstellungen!$H$3:$H$22,0)),"")&amp;" / "&amp;IFERROR(INDEX(Einstellungen!$B$20:$B$119,MATCH($K364,Einstellungen!$A$20:$A$119,0)),""),IF(IFERROR(INDEX(Einstellungen!$I$3:$I$22,MATCH($K364,Einstellungen!$H$3:$H$22,0)),"")&lt;&gt;"",IFERROR(INDEX(Einstellungen!$I$3:$I$22,MATCH($K364,Einstellungen!$H$3:$H$22,0)),""),IFERROR(INDEX(Einstellungen!$B$20:$B$119,MATCH($K364,Einstellungen!$A$20:$A$119,0)),""))))</x:f>
      </x:c>
      <x:c r="E364" s="24">
        <x:f>IF($K364="","",SUM(F364:J364))</x:f>
        <x:v>7.5</x:v>
      </x:c>
      <x:c r="F364" s="25" t="n">
        <x:v>1.5</x:v>
      </x:c>
      <x:c r="G364" s="25" t="n">
        <x:v>2</x:v>
      </x:c>
      <x:c r="H364" s="25" t="n">
        <x:v>1.5</x:v>
      </x:c>
      <x:c r="I364" s="25" t="n">
        <x:v>2</x:v>
      </x:c>
      <x:c r="J364" s="25" t="n">
        <x:v>0.5</x:v>
      </x:c>
      <x:c r="K364">
        <x:f>IF(16&lt;=DAY(EOMONTH($K347,0)),$K347+15,"")</x:f>
        <x:v>46219</x:v>
      </x:c>
    </x:row>
    <x:row r="365">
      <x:c r="A365" s="21">
        <x:f>IF($K365="","",DAY($K365))</x:f>
        <x:v>17</x:v>
      </x:c>
      <x:c r="B365" s="22" t="str">
        <x:f>IF($K365="","",CHOOSE(WEEKDAY($K365,2),"Mo","Di","Mi","Do","Fr","Sa","So"))</x:f>
        <x:v>Fr</x:v>
      </x:c>
      <x:c r="C365" s="22">
        <x:f>IF($K365="","",ISOWEEKNUM($K365))</x:f>
        <x:v>29</x:v>
      </x:c>
      <x:c r="D365" s="23">
        <x:f>IF($K365="","",IF(AND(IFERROR(INDEX(Einstellungen!$I$3:$I$22,MATCH($K365,Einstellungen!$H$3:$H$22,0)),"")&lt;&gt;"",IFERROR(INDEX(Einstellungen!$B$20:$B$119,MATCH($K365,Einstellungen!$A$20:$A$119,0)),"")&lt;&gt;""),IFERROR(INDEX(Einstellungen!$I$3:$I$22,MATCH($K365,Einstellungen!$H$3:$H$22,0)),"")&amp;" / "&amp;IFERROR(INDEX(Einstellungen!$B$20:$B$119,MATCH($K365,Einstellungen!$A$20:$A$119,0)),""),IF(IFERROR(INDEX(Einstellungen!$I$3:$I$22,MATCH($K365,Einstellungen!$H$3:$H$22,0)),"")&lt;&gt;"",IFERROR(INDEX(Einstellungen!$I$3:$I$22,MATCH($K365,Einstellungen!$H$3:$H$22,0)),""),IFERROR(INDEX(Einstellungen!$B$20:$B$119,MATCH($K365,Einstellungen!$A$20:$A$119,0)),""))))</x:f>
      </x:c>
      <x:c r="E365" s="24">
        <x:f>IF($K365="","",SUM(F365:J365))</x:f>
        <x:v>6.5</x:v>
      </x:c>
      <x:c r="F365" s="25" t="n">
        <x:v>2</x:v>
      </x:c>
      <x:c r="G365" s="25" t="n">
        <x:v>1</x:v>
      </x:c>
      <x:c r="H365" s="25" t="n">
        <x:v>1</x:v>
      </x:c>
      <x:c r="I365" s="25" t="n">
        <x:v>1</x:v>
      </x:c>
      <x:c r="J365" s="25" t="n">
        <x:v>1.5</x:v>
      </x:c>
      <x:c r="K365">
        <x:f>IF(17&lt;=DAY(EOMONTH($K347,0)),$K347+16,"")</x:f>
        <x:v>46220</x:v>
      </x:c>
    </x:row>
    <x:row r="366">
      <x:c r="A366" s="21">
        <x:f>IF($K366="","",DAY($K366))</x:f>
        <x:v>18</x:v>
      </x:c>
      <x:c r="B366" s="22" t="str">
        <x:f>IF($K366="","",CHOOSE(WEEKDAY($K366,2),"Mo","Di","Mi","Do","Fr","Sa","So"))</x:f>
        <x:v>Sa</x:v>
      </x:c>
      <x:c r="C366" s="22">
        <x:f>IF($K366="","",ISOWEEKNUM($K366))</x:f>
        <x:v>29</x:v>
      </x:c>
      <x:c r="D366" s="23">
        <x:f>IF($K366="","",IF(AND(IFERROR(INDEX(Einstellungen!$I$3:$I$22,MATCH($K366,Einstellungen!$H$3:$H$22,0)),"")&lt;&gt;"",IFERROR(INDEX(Einstellungen!$B$20:$B$119,MATCH($K366,Einstellungen!$A$20:$A$119,0)),"")&lt;&gt;""),IFERROR(INDEX(Einstellungen!$I$3:$I$22,MATCH($K366,Einstellungen!$H$3:$H$22,0)),"")&amp;" / "&amp;IFERROR(INDEX(Einstellungen!$B$20:$B$119,MATCH($K366,Einstellungen!$A$20:$A$119,0)),""),IF(IFERROR(INDEX(Einstellungen!$I$3:$I$22,MATCH($K366,Einstellungen!$H$3:$H$22,0)),"")&lt;&gt;"",IFERROR(INDEX(Einstellungen!$I$3:$I$22,MATCH($K366,Einstellungen!$H$3:$H$22,0)),""),IFERROR(INDEX(Einstellungen!$B$20:$B$119,MATCH($K366,Einstellungen!$A$20:$A$119,0)),""))))</x:f>
      </x:c>
      <x:c r="E366" s="24">
        <x:f>IF($K366="","",SUM(F366:J366))</x:f>
        <x:v>0</x:v>
      </x:c>
      <x:c r="F366" s="25" t="n"/>
      <x:c r="G366" s="25" t="n"/>
      <x:c r="H366" s="25" t="n"/>
      <x:c r="I366" s="25" t="n"/>
      <x:c r="J366" s="25" t="n"/>
      <x:c r="K366">
        <x:f>IF(18&lt;=DAY(EOMONTH($K347,0)),$K347+17,"")</x:f>
        <x:v>46221</x:v>
      </x:c>
    </x:row>
    <x:row r="367">
      <x:c r="A367" s="21">
        <x:f>IF($K367="","",DAY($K367))</x:f>
        <x:v>19</x:v>
      </x:c>
      <x:c r="B367" s="22" t="str">
        <x:f>IF($K367="","",CHOOSE(WEEKDAY($K367,2),"Mo","Di","Mi","Do","Fr","Sa","So"))</x:f>
        <x:v>So</x:v>
      </x:c>
      <x:c r="C367" s="22">
        <x:f>IF($K367="","",ISOWEEKNUM($K367))</x:f>
        <x:v>29</x:v>
      </x:c>
      <x:c r="D367" s="23">
        <x:f>IF($K367="","",IF(AND(IFERROR(INDEX(Einstellungen!$I$3:$I$22,MATCH($K367,Einstellungen!$H$3:$H$22,0)),"")&lt;&gt;"",IFERROR(INDEX(Einstellungen!$B$20:$B$119,MATCH($K367,Einstellungen!$A$20:$A$119,0)),"")&lt;&gt;""),IFERROR(INDEX(Einstellungen!$I$3:$I$22,MATCH($K367,Einstellungen!$H$3:$H$22,0)),"")&amp;" / "&amp;IFERROR(INDEX(Einstellungen!$B$20:$B$119,MATCH($K367,Einstellungen!$A$20:$A$119,0)),""),IF(IFERROR(INDEX(Einstellungen!$I$3:$I$22,MATCH($K367,Einstellungen!$H$3:$H$22,0)),"")&lt;&gt;"",IFERROR(INDEX(Einstellungen!$I$3:$I$22,MATCH($K367,Einstellungen!$H$3:$H$22,0)),""),IFERROR(INDEX(Einstellungen!$B$20:$B$119,MATCH($K367,Einstellungen!$A$20:$A$119,0)),""))))</x:f>
      </x:c>
      <x:c r="E367" s="24">
        <x:f>IF($K367="","",SUM(F367:J367))</x:f>
        <x:v>0</x:v>
      </x:c>
      <x:c r="F367" s="25" t="n"/>
      <x:c r="G367" s="25" t="n"/>
      <x:c r="H367" s="25" t="n"/>
      <x:c r="I367" s="25" t="n"/>
      <x:c r="J367" s="25" t="n"/>
      <x:c r="K367">
        <x:f>IF(19&lt;=DAY(EOMONTH($K347,0)),$K347+18,"")</x:f>
        <x:v>46222</x:v>
      </x:c>
    </x:row>
    <x:row r="368">
      <x:c r="A368" s="21">
        <x:f>IF($K368="","",DAY($K368))</x:f>
        <x:v>20</x:v>
      </x:c>
      <x:c r="B368" s="22" t="str">
        <x:f>IF($K368="","",CHOOSE(WEEKDAY($K368,2),"Mo","Di","Mi","Do","Fr","Sa","So"))</x:f>
        <x:v>Mo</x:v>
      </x:c>
      <x:c r="C368" s="22">
        <x:f>IF($K368="","",ISOWEEKNUM($K368))</x:f>
        <x:v>30</x:v>
      </x:c>
      <x:c r="D368" s="23">
        <x:f>IF($K368="","",IF(AND(IFERROR(INDEX(Einstellungen!$I$3:$I$22,MATCH($K368,Einstellungen!$H$3:$H$22,0)),"")&lt;&gt;"",IFERROR(INDEX(Einstellungen!$B$20:$B$119,MATCH($K368,Einstellungen!$A$20:$A$119,0)),"")&lt;&gt;""),IFERROR(INDEX(Einstellungen!$I$3:$I$22,MATCH($K368,Einstellungen!$H$3:$H$22,0)),"")&amp;" / "&amp;IFERROR(INDEX(Einstellungen!$B$20:$B$119,MATCH($K368,Einstellungen!$A$20:$A$119,0)),""),IF(IFERROR(INDEX(Einstellungen!$I$3:$I$22,MATCH($K368,Einstellungen!$H$3:$H$22,0)),"")&lt;&gt;"",IFERROR(INDEX(Einstellungen!$I$3:$I$22,MATCH($K368,Einstellungen!$H$3:$H$22,0)),""),IFERROR(INDEX(Einstellungen!$B$20:$B$119,MATCH($K368,Einstellungen!$A$20:$A$119,0)),""))))</x:f>
      </x:c>
      <x:c r="E368" s="24">
        <x:f>IF($K368="","",SUM(F368:J368))</x:f>
        <x:v>7.5</x:v>
      </x:c>
      <x:c r="F368" s="25" t="n">
        <x:v>2</x:v>
      </x:c>
      <x:c r="G368" s="25" t="n">
        <x:v>2</x:v>
      </x:c>
      <x:c r="H368" s="25" t="n">
        <x:v>1</x:v>
      </x:c>
      <x:c r="I368" s="25" t="n">
        <x:v>2</x:v>
      </x:c>
      <x:c r="J368" s="25" t="n">
        <x:v>0.5</x:v>
      </x:c>
      <x:c r="K368">
        <x:f>IF(20&lt;=DAY(EOMONTH($K347,0)),$K347+19,"")</x:f>
        <x:v>46223</x:v>
      </x:c>
    </x:row>
    <x:row r="369">
      <x:c r="A369" s="21">
        <x:f>IF($K369="","",DAY($K369))</x:f>
        <x:v>21</x:v>
      </x:c>
      <x:c r="B369" s="22" t="str">
        <x:f>IF($K369="","",CHOOSE(WEEKDAY($K369,2),"Mo","Di","Mi","Do","Fr","Sa","So"))</x:f>
        <x:v>Di</x:v>
      </x:c>
      <x:c r="C369" s="22">
        <x:f>IF($K369="","",ISOWEEKNUM($K369))</x:f>
        <x:v>30</x:v>
      </x:c>
      <x:c r="D369" s="23">
        <x:f>IF($K369="","",IF(AND(IFERROR(INDEX(Einstellungen!$I$3:$I$22,MATCH($K369,Einstellungen!$H$3:$H$22,0)),"")&lt;&gt;"",IFERROR(INDEX(Einstellungen!$B$20:$B$119,MATCH($K369,Einstellungen!$A$20:$A$119,0)),"")&lt;&gt;""),IFERROR(INDEX(Einstellungen!$I$3:$I$22,MATCH($K369,Einstellungen!$H$3:$H$22,0)),"")&amp;" / "&amp;IFERROR(INDEX(Einstellungen!$B$20:$B$119,MATCH($K369,Einstellungen!$A$20:$A$119,0)),""),IF(IFERROR(INDEX(Einstellungen!$I$3:$I$22,MATCH($K369,Einstellungen!$H$3:$H$22,0)),"")&lt;&gt;"",IFERROR(INDEX(Einstellungen!$I$3:$I$22,MATCH($K369,Einstellungen!$H$3:$H$22,0)),""),IFERROR(INDEX(Einstellungen!$B$20:$B$119,MATCH($K369,Einstellungen!$A$20:$A$119,0)),""))))</x:f>
      </x:c>
      <x:c r="E369" s="24">
        <x:f>IF($K369="","",SUM(F369:J369))</x:f>
        <x:v>6</x:v>
      </x:c>
      <x:c r="F369" s="25" t="n">
        <x:v>1.5</x:v>
      </x:c>
      <x:c r="G369" s="25" t="n">
        <x:v>1.5</x:v>
      </x:c>
      <x:c r="H369" s="25" t="n">
        <x:v>1</x:v>
      </x:c>
      <x:c r="I369" s="25" t="n">
        <x:v>2</x:v>
      </x:c>
      <x:c r="J369" s="25" t="n"/>
      <x:c r="K369">
        <x:f>IF(21&lt;=DAY(EOMONTH($K347,0)),$K347+20,"")</x:f>
        <x:v>46224</x:v>
      </x:c>
    </x:row>
    <x:row r="370">
      <x:c r="A370" s="21">
        <x:f>IF($K370="","",DAY($K370))</x:f>
        <x:v>22</x:v>
      </x:c>
      <x:c r="B370" s="22" t="str">
        <x:f>IF($K370="","",CHOOSE(WEEKDAY($K370,2),"Mo","Di","Mi","Do","Fr","Sa","So"))</x:f>
        <x:v>Mi</x:v>
      </x:c>
      <x:c r="C370" s="22">
        <x:f>IF($K370="","",ISOWEEKNUM($K370))</x:f>
        <x:v>30</x:v>
      </x:c>
      <x:c r="D370" s="23">
        <x:f>IF($K370="","",IF(AND(IFERROR(INDEX(Einstellungen!$I$3:$I$22,MATCH($K370,Einstellungen!$H$3:$H$22,0)),"")&lt;&gt;"",IFERROR(INDEX(Einstellungen!$B$20:$B$119,MATCH($K370,Einstellungen!$A$20:$A$119,0)),"")&lt;&gt;""),IFERROR(INDEX(Einstellungen!$I$3:$I$22,MATCH($K370,Einstellungen!$H$3:$H$22,0)),"")&amp;" / "&amp;IFERROR(INDEX(Einstellungen!$B$20:$B$119,MATCH($K370,Einstellungen!$A$20:$A$119,0)),""),IF(IFERROR(INDEX(Einstellungen!$I$3:$I$22,MATCH($K370,Einstellungen!$H$3:$H$22,0)),"")&lt;&gt;"",IFERROR(INDEX(Einstellungen!$I$3:$I$22,MATCH($K370,Einstellungen!$H$3:$H$22,0)),""),IFERROR(INDEX(Einstellungen!$B$20:$B$119,MATCH($K370,Einstellungen!$A$20:$A$119,0)),""))))</x:f>
      </x:c>
      <x:c r="E370" s="24">
        <x:f>IF($K370="","",SUM(F370:J370))</x:f>
        <x:v>7</x:v>
      </x:c>
      <x:c r="F370" s="25" t="n">
        <x:v>1</x:v>
      </x:c>
      <x:c r="G370" s="25" t="n">
        <x:v>2.5</x:v>
      </x:c>
      <x:c r="H370" s="25" t="n">
        <x:v>1.5</x:v>
      </x:c>
      <x:c r="I370" s="25" t="n">
        <x:v>1.5</x:v>
      </x:c>
      <x:c r="J370" s="25" t="n">
        <x:v>0.5</x:v>
      </x:c>
      <x:c r="K370">
        <x:f>IF(22&lt;=DAY(EOMONTH($K347,0)),$K347+21,"")</x:f>
        <x:v>46225</x:v>
      </x:c>
    </x:row>
    <x:row r="371">
      <x:c r="A371" s="21">
        <x:f>IF($K371="","",DAY($K371))</x:f>
        <x:v>23</x:v>
      </x:c>
      <x:c r="B371" s="22" t="str">
        <x:f>IF($K371="","",CHOOSE(WEEKDAY($K371,2),"Mo","Di","Mi","Do","Fr","Sa","So"))</x:f>
        <x:v>Do</x:v>
      </x:c>
      <x:c r="C371" s="22">
        <x:f>IF($K371="","",ISOWEEKNUM($K371))</x:f>
        <x:v>30</x:v>
      </x:c>
      <x:c r="D371" s="23">
        <x:f>IF($K371="","",IF(AND(IFERROR(INDEX(Einstellungen!$I$3:$I$22,MATCH($K371,Einstellungen!$H$3:$H$22,0)),"")&lt;&gt;"",IFERROR(INDEX(Einstellungen!$B$20:$B$119,MATCH($K371,Einstellungen!$A$20:$A$119,0)),"")&lt;&gt;""),IFERROR(INDEX(Einstellungen!$I$3:$I$22,MATCH($K371,Einstellungen!$H$3:$H$22,0)),"")&amp;" / "&amp;IFERROR(INDEX(Einstellungen!$B$20:$B$119,MATCH($K371,Einstellungen!$A$20:$A$119,0)),""),IF(IFERROR(INDEX(Einstellungen!$I$3:$I$22,MATCH($K371,Einstellungen!$H$3:$H$22,0)),"")&lt;&gt;"",IFERROR(INDEX(Einstellungen!$I$3:$I$22,MATCH($K371,Einstellungen!$H$3:$H$22,0)),""),IFERROR(INDEX(Einstellungen!$B$20:$B$119,MATCH($K371,Einstellungen!$A$20:$A$119,0)),""))))</x:f>
      </x:c>
      <x:c r="E371" s="24">
        <x:f>IF($K371="","",SUM(F371:J371))</x:f>
        <x:v>8</x:v>
      </x:c>
      <x:c r="F371" s="25" t="n">
        <x:v>1.5</x:v>
      </x:c>
      <x:c r="G371" s="25" t="n">
        <x:v>2</x:v>
      </x:c>
      <x:c r="H371" s="25" t="n">
        <x:v>1.5</x:v>
      </x:c>
      <x:c r="I371" s="25" t="n">
        <x:v>2.5</x:v>
      </x:c>
      <x:c r="J371" s="25" t="n">
        <x:v>0.5</x:v>
      </x:c>
      <x:c r="K371">
        <x:f>IF(23&lt;=DAY(EOMONTH($K347,0)),$K347+22,"")</x:f>
        <x:v>46226</x:v>
      </x:c>
    </x:row>
    <x:row r="372">
      <x:c r="A372" s="21">
        <x:f>IF($K372="","",DAY($K372))</x:f>
        <x:v>24</x:v>
      </x:c>
      <x:c r="B372" s="22" t="str">
        <x:f>IF($K372="","",CHOOSE(WEEKDAY($K372,2),"Mo","Di","Mi","Do","Fr","Sa","So"))</x:f>
        <x:v>Fr</x:v>
      </x:c>
      <x:c r="C372" s="22">
        <x:f>IF($K372="","",ISOWEEKNUM($K372))</x:f>
        <x:v>30</x:v>
      </x:c>
      <x:c r="D372" s="23">
        <x:f>IF($K372="","",IF(AND(IFERROR(INDEX(Einstellungen!$I$3:$I$22,MATCH($K372,Einstellungen!$H$3:$H$22,0)),"")&lt;&gt;"",IFERROR(INDEX(Einstellungen!$B$20:$B$119,MATCH($K372,Einstellungen!$A$20:$A$119,0)),"")&lt;&gt;""),IFERROR(INDEX(Einstellungen!$I$3:$I$22,MATCH($K372,Einstellungen!$H$3:$H$22,0)),"")&amp;" / "&amp;IFERROR(INDEX(Einstellungen!$B$20:$B$119,MATCH($K372,Einstellungen!$A$20:$A$119,0)),""),IF(IFERROR(INDEX(Einstellungen!$I$3:$I$22,MATCH($K372,Einstellungen!$H$3:$H$22,0)),"")&lt;&gt;"",IFERROR(INDEX(Einstellungen!$I$3:$I$22,MATCH($K372,Einstellungen!$H$3:$H$22,0)),""),IFERROR(INDEX(Einstellungen!$B$20:$B$119,MATCH($K372,Einstellungen!$A$20:$A$119,0)),""))))</x:f>
      </x:c>
      <x:c r="E372" s="24">
        <x:f>IF($K372="","",SUM(F372:J372))</x:f>
        <x:v>3</x:v>
      </x:c>
      <x:c r="F372" s="25" t="n">
        <x:v>1</x:v>
      </x:c>
      <x:c r="G372" s="25" t="n">
        <x:v>0.5</x:v>
      </x:c>
      <x:c r="H372" s="25" t="n">
        <x:v>0.5</x:v>
      </x:c>
      <x:c r="I372" s="25" t="n">
        <x:v>1</x:v>
      </x:c>
      <x:c r="J372" s="25" t="n"/>
      <x:c r="K372">
        <x:f>IF(24&lt;=DAY(EOMONTH($K347,0)),$K347+23,"")</x:f>
        <x:v>46227</x:v>
      </x:c>
    </x:row>
    <x:row r="373">
      <x:c r="A373" s="21">
        <x:f>IF($K373="","",DAY($K373))</x:f>
        <x:v>25</x:v>
      </x:c>
      <x:c r="B373" s="22" t="str">
        <x:f>IF($K373="","",CHOOSE(WEEKDAY($K373,2),"Mo","Di","Mi","Do","Fr","Sa","So"))</x:f>
        <x:v>Sa</x:v>
      </x:c>
      <x:c r="C373" s="22">
        <x:f>IF($K373="","",ISOWEEKNUM($K373))</x:f>
        <x:v>30</x:v>
      </x:c>
      <x:c r="D373" s="23">
        <x:f>IF($K373="","",IF(AND(IFERROR(INDEX(Einstellungen!$I$3:$I$22,MATCH($K373,Einstellungen!$H$3:$H$22,0)),"")&lt;&gt;"",IFERROR(INDEX(Einstellungen!$B$20:$B$119,MATCH($K373,Einstellungen!$A$20:$A$119,0)),"")&lt;&gt;""),IFERROR(INDEX(Einstellungen!$I$3:$I$22,MATCH($K373,Einstellungen!$H$3:$H$22,0)),"")&amp;" / "&amp;IFERROR(INDEX(Einstellungen!$B$20:$B$119,MATCH($K373,Einstellungen!$A$20:$A$119,0)),""),IF(IFERROR(INDEX(Einstellungen!$I$3:$I$22,MATCH($K373,Einstellungen!$H$3:$H$22,0)),"")&lt;&gt;"",IFERROR(INDEX(Einstellungen!$I$3:$I$22,MATCH($K373,Einstellungen!$H$3:$H$22,0)),""),IFERROR(INDEX(Einstellungen!$B$20:$B$119,MATCH($K373,Einstellungen!$A$20:$A$119,0)),""))))</x:f>
      </x:c>
      <x:c r="E373" s="24">
        <x:f>IF($K373="","",SUM(F373:J373))</x:f>
        <x:v>0</x:v>
      </x:c>
      <x:c r="F373" s="25" t="n"/>
      <x:c r="G373" s="25" t="n"/>
      <x:c r="H373" s="25" t="n"/>
      <x:c r="I373" s="25" t="n"/>
      <x:c r="J373" s="25" t="n"/>
      <x:c r="K373">
        <x:f>IF(25&lt;=DAY(EOMONTH($K347,0)),$K347+24,"")</x:f>
        <x:v>46228</x:v>
      </x:c>
    </x:row>
    <x:row r="374">
      <x:c r="A374" s="21">
        <x:f>IF($K374="","",DAY($K374))</x:f>
        <x:v>26</x:v>
      </x:c>
      <x:c r="B374" s="22" t="str">
        <x:f>IF($K374="","",CHOOSE(WEEKDAY($K374,2),"Mo","Di","Mi","Do","Fr","Sa","So"))</x:f>
        <x:v>So</x:v>
      </x:c>
      <x:c r="C374" s="22">
        <x:f>IF($K374="","",ISOWEEKNUM($K374))</x:f>
        <x:v>30</x:v>
      </x:c>
      <x:c r="D374" s="23">
        <x:f>IF($K374="","",IF(AND(IFERROR(INDEX(Einstellungen!$I$3:$I$22,MATCH($K374,Einstellungen!$H$3:$H$22,0)),"")&lt;&gt;"",IFERROR(INDEX(Einstellungen!$B$20:$B$119,MATCH($K374,Einstellungen!$A$20:$A$119,0)),"")&lt;&gt;""),IFERROR(INDEX(Einstellungen!$I$3:$I$22,MATCH($K374,Einstellungen!$H$3:$H$22,0)),"")&amp;" / "&amp;IFERROR(INDEX(Einstellungen!$B$20:$B$119,MATCH($K374,Einstellungen!$A$20:$A$119,0)),""),IF(IFERROR(INDEX(Einstellungen!$I$3:$I$22,MATCH($K374,Einstellungen!$H$3:$H$22,0)),"")&lt;&gt;"",IFERROR(INDEX(Einstellungen!$I$3:$I$22,MATCH($K374,Einstellungen!$H$3:$H$22,0)),""),IFERROR(INDEX(Einstellungen!$B$20:$B$119,MATCH($K374,Einstellungen!$A$20:$A$119,0)),""))))</x:f>
      </x:c>
      <x:c r="E374" s="24">
        <x:f>IF($K374="","",SUM(F374:J374))</x:f>
        <x:v>0</x:v>
      </x:c>
      <x:c r="F374" s="25" t="n"/>
      <x:c r="G374" s="25" t="n"/>
      <x:c r="H374" s="25" t="n"/>
      <x:c r="I374" s="25" t="n"/>
      <x:c r="J374" s="25" t="n"/>
      <x:c r="K374">
        <x:f>IF(26&lt;=DAY(EOMONTH($K347,0)),$K347+25,"")</x:f>
        <x:v>46229</x:v>
      </x:c>
    </x:row>
    <x:row r="375">
      <x:c r="A375" s="21">
        <x:f>IF($K375="","",DAY($K375))</x:f>
        <x:v>27</x:v>
      </x:c>
      <x:c r="B375" s="22" t="str">
        <x:f>IF($K375="","",CHOOSE(WEEKDAY($K375,2),"Mo","Di","Mi","Do","Fr","Sa","So"))</x:f>
        <x:v>Mo</x:v>
      </x:c>
      <x:c r="C375" s="22">
        <x:f>IF($K375="","",ISOWEEKNUM($K375))</x:f>
        <x:v>31</x:v>
      </x:c>
      <x:c r="D375" s="23">
        <x:f>IF($K375="","",IF(AND(IFERROR(INDEX(Einstellungen!$I$3:$I$22,MATCH($K375,Einstellungen!$H$3:$H$22,0)),"")&lt;&gt;"",IFERROR(INDEX(Einstellungen!$B$20:$B$119,MATCH($K375,Einstellungen!$A$20:$A$119,0)),"")&lt;&gt;""),IFERROR(INDEX(Einstellungen!$I$3:$I$22,MATCH($K375,Einstellungen!$H$3:$H$22,0)),"")&amp;" / "&amp;IFERROR(INDEX(Einstellungen!$B$20:$B$119,MATCH($K375,Einstellungen!$A$20:$A$119,0)),""),IF(IFERROR(INDEX(Einstellungen!$I$3:$I$22,MATCH($K375,Einstellungen!$H$3:$H$22,0)),"")&lt;&gt;"",IFERROR(INDEX(Einstellungen!$I$3:$I$22,MATCH($K375,Einstellungen!$H$3:$H$22,0)),""),IFERROR(INDEX(Einstellungen!$B$20:$B$119,MATCH($K375,Einstellungen!$A$20:$A$119,0)),""))))</x:f>
      </x:c>
      <x:c r="E375" s="24">
        <x:f>IF($K375="","",SUM(F375:J375))</x:f>
        <x:v>6.5</x:v>
      </x:c>
      <x:c r="F375" s="25" t="n">
        <x:v>1</x:v>
      </x:c>
      <x:c r="G375" s="25" t="n">
        <x:v>2</x:v>
      </x:c>
      <x:c r="H375" s="25" t="n">
        <x:v>1</x:v>
      </x:c>
      <x:c r="I375" s="25" t="n">
        <x:v>2</x:v>
      </x:c>
      <x:c r="J375" s="25" t="n">
        <x:v>0.5</x:v>
      </x:c>
      <x:c r="K375">
        <x:f>IF(27&lt;=DAY(EOMONTH($K347,0)),$K347+26,"")</x:f>
        <x:v>46230</x:v>
      </x:c>
    </x:row>
    <x:row r="376">
      <x:c r="A376" s="21">
        <x:f>IF($K376="","",DAY($K376))</x:f>
        <x:v>28</x:v>
      </x:c>
      <x:c r="B376" s="22" t="str">
        <x:f>IF($K376="","",CHOOSE(WEEKDAY($K376,2),"Mo","Di","Mi","Do","Fr","Sa","So"))</x:f>
        <x:v>Di</x:v>
      </x:c>
      <x:c r="C376" s="22">
        <x:f>IF($K376="","",ISOWEEKNUM($K376))</x:f>
        <x:v>31</x:v>
      </x:c>
      <x:c r="D376" s="23">
        <x:f>IF($K376="","",IF(AND(IFERROR(INDEX(Einstellungen!$I$3:$I$22,MATCH($K376,Einstellungen!$H$3:$H$22,0)),"")&lt;&gt;"",IFERROR(INDEX(Einstellungen!$B$20:$B$119,MATCH($K376,Einstellungen!$A$20:$A$119,0)),"")&lt;&gt;""),IFERROR(INDEX(Einstellungen!$I$3:$I$22,MATCH($K376,Einstellungen!$H$3:$H$22,0)),"")&amp;" / "&amp;IFERROR(INDEX(Einstellungen!$B$20:$B$119,MATCH($K376,Einstellungen!$A$20:$A$119,0)),""),IF(IFERROR(INDEX(Einstellungen!$I$3:$I$22,MATCH($K376,Einstellungen!$H$3:$H$22,0)),"")&lt;&gt;"",IFERROR(INDEX(Einstellungen!$I$3:$I$22,MATCH($K376,Einstellungen!$H$3:$H$22,0)),""),IFERROR(INDEX(Einstellungen!$B$20:$B$119,MATCH($K376,Einstellungen!$A$20:$A$119,0)),""))))</x:f>
      </x:c>
      <x:c r="E376" s="24">
        <x:f>IF($K376="","",SUM(F376:J376))</x:f>
        <x:v>6.5</x:v>
      </x:c>
      <x:c r="F376" s="25" t="n">
        <x:v>1.5</x:v>
      </x:c>
      <x:c r="G376" s="25" t="n">
        <x:v>2</x:v>
      </x:c>
      <x:c r="H376" s="25" t="n">
        <x:v>1</x:v>
      </x:c>
      <x:c r="I376" s="25" t="n">
        <x:v>2</x:v>
      </x:c>
      <x:c r="J376" s="25" t="n"/>
      <x:c r="K376">
        <x:f>IF(28&lt;=DAY(EOMONTH($K347,0)),$K347+27,"")</x:f>
        <x:v>46231</x:v>
      </x:c>
    </x:row>
    <x:row r="377">
      <x:c r="A377" s="21">
        <x:f>IF($K377="","",DAY($K377))</x:f>
        <x:v>29</x:v>
      </x:c>
      <x:c r="B377" s="22" t="str">
        <x:f>IF($K377="","",CHOOSE(WEEKDAY($K377,2),"Mo","Di","Mi","Do","Fr","Sa","So"))</x:f>
        <x:v>Mi</x:v>
      </x:c>
      <x:c r="C377" s="22">
        <x:f>IF($K377="","",ISOWEEKNUM($K377))</x:f>
        <x:v>31</x:v>
      </x:c>
      <x:c r="D377" s="23">
        <x:f>IF($K377="","",IF(AND(IFERROR(INDEX(Einstellungen!$I$3:$I$22,MATCH($K377,Einstellungen!$H$3:$H$22,0)),"")&lt;&gt;"",IFERROR(INDEX(Einstellungen!$B$20:$B$119,MATCH($K377,Einstellungen!$A$20:$A$119,0)),"")&lt;&gt;""),IFERROR(INDEX(Einstellungen!$I$3:$I$22,MATCH($K377,Einstellungen!$H$3:$H$22,0)),"")&amp;" / "&amp;IFERROR(INDEX(Einstellungen!$B$20:$B$119,MATCH($K377,Einstellungen!$A$20:$A$119,0)),""),IF(IFERROR(INDEX(Einstellungen!$I$3:$I$22,MATCH($K377,Einstellungen!$H$3:$H$22,0)),"")&lt;&gt;"",IFERROR(INDEX(Einstellungen!$I$3:$I$22,MATCH($K377,Einstellungen!$H$3:$H$22,0)),""),IFERROR(INDEX(Einstellungen!$B$20:$B$119,MATCH($K377,Einstellungen!$A$20:$A$119,0)),""))))</x:f>
      </x:c>
      <x:c r="E377" s="24">
        <x:f>IF($K377="","",SUM(F377:J377))</x:f>
        <x:v>7.5</x:v>
      </x:c>
      <x:c r="F377" s="25" t="n">
        <x:v>1</x:v>
      </x:c>
      <x:c r="G377" s="25" t="n">
        <x:v>2.5</x:v>
      </x:c>
      <x:c r="H377" s="25" t="n">
        <x:v>2</x:v>
      </x:c>
      <x:c r="I377" s="25" t="n">
        <x:v>1.5</x:v>
      </x:c>
      <x:c r="J377" s="25" t="n">
        <x:v>0.5</x:v>
      </x:c>
      <x:c r="K377">
        <x:f>IF(29&lt;=DAY(EOMONTH($K347,0)),$K347+28,"")</x:f>
        <x:v>46232</x:v>
      </x:c>
    </x:row>
    <x:row r="378">
      <x:c r="A378" s="21">
        <x:f>IF($K378="","",DAY($K378))</x:f>
        <x:v>30</x:v>
      </x:c>
      <x:c r="B378" s="22" t="str">
        <x:f>IF($K378="","",CHOOSE(WEEKDAY($K378,2),"Mo","Di","Mi","Do","Fr","Sa","So"))</x:f>
        <x:v>Do</x:v>
      </x:c>
      <x:c r="C378" s="22">
        <x:f>IF($K378="","",ISOWEEKNUM($K378))</x:f>
        <x:v>31</x:v>
      </x:c>
      <x:c r="D378" s="23">
        <x:f>IF($K378="","",IF(AND(IFERROR(INDEX(Einstellungen!$I$3:$I$22,MATCH($K378,Einstellungen!$H$3:$H$22,0)),"")&lt;&gt;"",IFERROR(INDEX(Einstellungen!$B$20:$B$119,MATCH($K378,Einstellungen!$A$20:$A$119,0)),"")&lt;&gt;""),IFERROR(INDEX(Einstellungen!$I$3:$I$22,MATCH($K378,Einstellungen!$H$3:$H$22,0)),"")&amp;" / "&amp;IFERROR(INDEX(Einstellungen!$B$20:$B$119,MATCH($K378,Einstellungen!$A$20:$A$119,0)),""),IF(IFERROR(INDEX(Einstellungen!$I$3:$I$22,MATCH($K378,Einstellungen!$H$3:$H$22,0)),"")&lt;&gt;"",IFERROR(INDEX(Einstellungen!$I$3:$I$22,MATCH($K378,Einstellungen!$H$3:$H$22,0)),""),IFERROR(INDEX(Einstellungen!$B$20:$B$119,MATCH($K378,Einstellungen!$A$20:$A$119,0)),""))))</x:f>
      </x:c>
      <x:c r="E378" s="24">
        <x:f>IF($K378="","",SUM(F378:J378))</x:f>
        <x:v>7</x:v>
      </x:c>
      <x:c r="F378" s="25" t="n">
        <x:v>1.5</x:v>
      </x:c>
      <x:c r="G378" s="25" t="n">
        <x:v>2</x:v>
      </x:c>
      <x:c r="H378" s="25" t="n">
        <x:v>1.5</x:v>
      </x:c>
      <x:c r="I378" s="25" t="n">
        <x:v>1.5</x:v>
      </x:c>
      <x:c r="J378" s="25" t="n">
        <x:v>0.5</x:v>
      </x:c>
      <x:c r="K378">
        <x:f>IF(30&lt;=DAY(EOMONTH($K347,0)),$K347+29,"")</x:f>
        <x:v>46233</x:v>
      </x:c>
    </x:row>
    <x:row r="379">
      <x:c r="A379" s="21">
        <x:f>IF($K379="","",DAY($K379))</x:f>
        <x:v>31</x:v>
      </x:c>
      <x:c r="B379" s="22" t="str">
        <x:f>IF($K379="","",CHOOSE(WEEKDAY($K379,2),"Mo","Di","Mi","Do","Fr","Sa","So"))</x:f>
        <x:v>Fr</x:v>
      </x:c>
      <x:c r="C379" s="22">
        <x:f>IF($K379="","",ISOWEEKNUM($K379))</x:f>
        <x:v>31</x:v>
      </x:c>
      <x:c r="D379" s="23">
        <x:f>IF($K379="","",IF(AND(IFERROR(INDEX(Einstellungen!$I$3:$I$22,MATCH($K379,Einstellungen!$H$3:$H$22,0)),"")&lt;&gt;"",IFERROR(INDEX(Einstellungen!$B$20:$B$119,MATCH($K379,Einstellungen!$A$20:$A$119,0)),"")&lt;&gt;""),IFERROR(INDEX(Einstellungen!$I$3:$I$22,MATCH($K379,Einstellungen!$H$3:$H$22,0)),"")&amp;" / "&amp;IFERROR(INDEX(Einstellungen!$B$20:$B$119,MATCH($K379,Einstellungen!$A$20:$A$119,0)),""),IF(IFERROR(INDEX(Einstellungen!$I$3:$I$22,MATCH($K379,Einstellungen!$H$3:$H$22,0)),"")&lt;&gt;"",IFERROR(INDEX(Einstellungen!$I$3:$I$22,MATCH($K379,Einstellungen!$H$3:$H$22,0)),""),IFERROR(INDEX(Einstellungen!$B$20:$B$119,MATCH($K379,Einstellungen!$A$20:$A$119,0)),""))))</x:f>
      </x:c>
      <x:c r="E379" s="24">
        <x:f>IF($K379="","",SUM(F379:J379))</x:f>
        <x:v>3</x:v>
      </x:c>
      <x:c r="F379" s="25" t="n">
        <x:v>1</x:v>
      </x:c>
      <x:c r="G379" s="25" t="n">
        <x:v>0.5</x:v>
      </x:c>
      <x:c r="H379" s="25" t="n">
        <x:v>0.5</x:v>
      </x:c>
      <x:c r="I379" s="25" t="n">
        <x:v>1</x:v>
      </x:c>
      <x:c r="J379" s="25" t="n"/>
      <x:c r="K379">
        <x:f>IF(31&lt;=DAY(EOMONTH($K347,0)),$K347+30,"")</x:f>
        <x:v>46234</x:v>
      </x:c>
    </x:row>
    <x:row r="380">
      <x:c r="A380" s="26" t="n"/>
      <x:c r="B380" s="26" t="n"/>
      <x:c r="C380" s="26" t="n"/>
      <x:c r="D380" s="26" t="n"/>
      <x:c r="E380" s="26" t="n"/>
      <x:c r="F380" s="26" t="n"/>
      <x:c r="G380" s="26" t="n"/>
      <x:c r="H380" s="26" t="n"/>
      <x:c r="I380" s="26" t="n"/>
      <x:c r="J380" s="26" t="n"/>
    </x:row>
    <x:row r="381">
      <x:c r="A381" s="18" t="str">
        <x:f>INDEX(Einstellungen!$F$2:$F$13,MONTH($K381))&amp;" "&amp;YEAR($K381)</x:f>
        <x:v>August 2026</x:v>
      </x:c>
      <x:c r="B381" s="36" t="n"/>
      <x:c r="C381" s="36" t="n"/>
      <x:c r="D381" s="36" t="n"/>
      <x:c r="E381" s="36" t="n"/>
      <x:c r="F381" s="36" t="n"/>
      <x:c r="G381" s="36" t="n"/>
      <x:c r="H381" s="36" t="n"/>
      <x:c r="I381" s="36" t="n"/>
      <x:c r="J381" s="37" t="n"/>
      <x:c r="K381">
        <x:f>EDATE(Einstellungen!$B$5,11)</x:f>
        <x:v>46235</x:v>
      </x:c>
    </x:row>
    <x:row r="382">
      <x:c r="A382" s="20" t="inlineStr">
        <x:is>
          <x:t xml:space="preserve">Datum</x:t>
        </x:is>
      </x:c>
      <x:c r="B382" s="20" t="inlineStr">
        <x:is>
          <x:t xml:space="preserve">Tag</x:t>
        </x:is>
      </x:c>
      <x:c r="C382" s="20" t="inlineStr">
        <x:is>
          <x:t xml:space="preserve">KW</x:t>
        </x:is>
      </x:c>
      <x:c r="D382" s="20" t="inlineStr">
        <x:is>
          <x:t xml:space="preserve">Feiertag</x:t>
        </x:is>
      </x:c>
      <x:c r="E382" s="20" t="inlineStr">
        <x:is>
          <x:t xml:space="preserve">Arbeitszeit</x:t>
        </x:is>
      </x:c>
      <x:c r="F382" s="20" t="str">
        <x:f>Einstellungen!$B$11</x:f>
        <x:v>E-Mail</x:v>
      </x:c>
      <x:c r="G382" s="20" t="str">
        <x:f>Einstellungen!$B$12</x:f>
        <x:v>Meetings</x:v>
      </x:c>
      <x:c r="H382" s="20" t="str">
        <x:f>Einstellungen!$B$13</x:f>
        <x:v>Telefonate</x:v>
      </x:c>
      <x:c r="I382" s="20" t="str">
        <x:f>Einstellungen!$B$14</x:f>
        <x:v>Dokumentation</x:v>
      </x:c>
      <x:c r="J382" s="20" t="str">
        <x:f>Einstellungen!$B$15</x:f>
        <x:v>Sonstiges</x:v>
      </x:c>
    </x:row>
    <x:row r="383">
      <x:c r="A383" s="21">
        <x:f>IF($K383="","",DAY($K383))</x:f>
        <x:v>1</x:v>
      </x:c>
      <x:c r="B383" s="22" t="str">
        <x:f>IF($K383="","",CHOOSE(WEEKDAY($K383,2),"Mo","Di","Mi","Do","Fr","Sa","So"))</x:f>
        <x:v>Sa</x:v>
      </x:c>
      <x:c r="C383" s="22">
        <x:f>IF($K383="","",ISOWEEKNUM($K383))</x:f>
        <x:v>31</x:v>
      </x:c>
      <x:c r="D383" s="23">
        <x:f>IF($K383="","",IF(AND(IFERROR(INDEX(Einstellungen!$I$3:$I$22,MATCH($K383,Einstellungen!$H$3:$H$22,0)),"")&lt;&gt;"",IFERROR(INDEX(Einstellungen!$B$20:$B$119,MATCH($K383,Einstellungen!$A$20:$A$119,0)),"")&lt;&gt;""),IFERROR(INDEX(Einstellungen!$I$3:$I$22,MATCH($K383,Einstellungen!$H$3:$H$22,0)),"")&amp;" / "&amp;IFERROR(INDEX(Einstellungen!$B$20:$B$119,MATCH($K383,Einstellungen!$A$20:$A$119,0)),""),IF(IFERROR(INDEX(Einstellungen!$I$3:$I$22,MATCH($K383,Einstellungen!$H$3:$H$22,0)),"")&lt;&gt;"",IFERROR(INDEX(Einstellungen!$I$3:$I$22,MATCH($K383,Einstellungen!$H$3:$H$22,0)),""),IFERROR(INDEX(Einstellungen!$B$20:$B$119,MATCH($K383,Einstellungen!$A$20:$A$119,0)),""))))</x:f>
      </x:c>
      <x:c r="E383" s="24">
        <x:f>IF($K383="","",SUM(F383:J383))</x:f>
        <x:v>0</x:v>
      </x:c>
      <x:c r="F383" s="25" t="n"/>
      <x:c r="G383" s="25" t="n"/>
      <x:c r="H383" s="25" t="n"/>
      <x:c r="I383" s="25" t="n"/>
      <x:c r="J383" s="25" t="n"/>
      <x:c r="K383">
        <x:f>IF(1&lt;=DAY(EOMONTH($K381,0)),$K381+0,"")</x:f>
        <x:v>46235</x:v>
      </x:c>
    </x:row>
    <x:row r="384">
      <x:c r="A384" s="21">
        <x:f>IF($K384="","",DAY($K384))</x:f>
        <x:v>2</x:v>
      </x:c>
      <x:c r="B384" s="22" t="str">
        <x:f>IF($K384="","",CHOOSE(WEEKDAY($K384,2),"Mo","Di","Mi","Do","Fr","Sa","So"))</x:f>
        <x:v>So</x:v>
      </x:c>
      <x:c r="C384" s="22">
        <x:f>IF($K384="","",ISOWEEKNUM($K384))</x:f>
        <x:v>31</x:v>
      </x:c>
      <x:c r="D384" s="23">
        <x:f>IF($K384="","",IF(AND(IFERROR(INDEX(Einstellungen!$I$3:$I$22,MATCH($K384,Einstellungen!$H$3:$H$22,0)),"")&lt;&gt;"",IFERROR(INDEX(Einstellungen!$B$20:$B$119,MATCH($K384,Einstellungen!$A$20:$A$119,0)),"")&lt;&gt;""),IFERROR(INDEX(Einstellungen!$I$3:$I$22,MATCH($K384,Einstellungen!$H$3:$H$22,0)),"")&amp;" / "&amp;IFERROR(INDEX(Einstellungen!$B$20:$B$119,MATCH($K384,Einstellungen!$A$20:$A$119,0)),""),IF(IFERROR(INDEX(Einstellungen!$I$3:$I$22,MATCH($K384,Einstellungen!$H$3:$H$22,0)),"")&lt;&gt;"",IFERROR(INDEX(Einstellungen!$I$3:$I$22,MATCH($K384,Einstellungen!$H$3:$H$22,0)),""),IFERROR(INDEX(Einstellungen!$B$20:$B$119,MATCH($K384,Einstellungen!$A$20:$A$119,0)),""))))</x:f>
      </x:c>
      <x:c r="E384" s="24">
        <x:f>IF($K384="","",SUM(F384:J384))</x:f>
        <x:v>0</x:v>
      </x:c>
      <x:c r="F384" s="25" t="n"/>
      <x:c r="G384" s="25" t="n"/>
      <x:c r="H384" s="25" t="n"/>
      <x:c r="I384" s="25" t="n"/>
      <x:c r="J384" s="25" t="n"/>
      <x:c r="K384">
        <x:f>IF(2&lt;=DAY(EOMONTH($K381,0)),$K381+1,"")</x:f>
        <x:v>46236</x:v>
      </x:c>
    </x:row>
    <x:row r="385">
      <x:c r="A385" s="21">
        <x:f>IF($K385="","",DAY($K385))</x:f>
        <x:v>3</x:v>
      </x:c>
      <x:c r="B385" s="22" t="str">
        <x:f>IF($K385="","",CHOOSE(WEEKDAY($K385,2),"Mo","Di","Mi","Do","Fr","Sa","So"))</x:f>
        <x:v>Mo</x:v>
      </x:c>
      <x:c r="C385" s="22">
        <x:f>IF($K385="","",ISOWEEKNUM($K385))</x:f>
        <x:v>32</x:v>
      </x:c>
      <x:c r="D385" s="23">
        <x:f>IF($K385="","",IF(AND(IFERROR(INDEX(Einstellungen!$I$3:$I$22,MATCH($K385,Einstellungen!$H$3:$H$22,0)),"")&lt;&gt;"",IFERROR(INDEX(Einstellungen!$B$20:$B$119,MATCH($K385,Einstellungen!$A$20:$A$119,0)),"")&lt;&gt;""),IFERROR(INDEX(Einstellungen!$I$3:$I$22,MATCH($K385,Einstellungen!$H$3:$H$22,0)),"")&amp;" / "&amp;IFERROR(INDEX(Einstellungen!$B$20:$B$119,MATCH($K385,Einstellungen!$A$20:$A$119,0)),""),IF(IFERROR(INDEX(Einstellungen!$I$3:$I$22,MATCH($K385,Einstellungen!$H$3:$H$22,0)),"")&lt;&gt;"",IFERROR(INDEX(Einstellungen!$I$3:$I$22,MATCH($K385,Einstellungen!$H$3:$H$22,0)),""),IFERROR(INDEX(Einstellungen!$B$20:$B$119,MATCH($K385,Einstellungen!$A$20:$A$119,0)),""))))</x:f>
      </x:c>
      <x:c r="E385" s="24">
        <x:f>IF($K385="","",SUM(F385:J385))</x:f>
        <x:v>6.5</x:v>
      </x:c>
      <x:c r="F385" s="25" t="n">
        <x:v>1</x:v>
      </x:c>
      <x:c r="G385" s="25" t="n">
        <x:v>2</x:v>
      </x:c>
      <x:c r="H385" s="25" t="n">
        <x:v>1</x:v>
      </x:c>
      <x:c r="I385" s="25" t="n">
        <x:v>2</x:v>
      </x:c>
      <x:c r="J385" s="25" t="n">
        <x:v>0.5</x:v>
      </x:c>
      <x:c r="K385">
        <x:f>IF(3&lt;=DAY(EOMONTH($K381,0)),$K381+2,"")</x:f>
        <x:v>46237</x:v>
      </x:c>
    </x:row>
    <x:row r="386">
      <x:c r="A386" s="21">
        <x:f>IF($K386="","",DAY($K386))</x:f>
        <x:v>4</x:v>
      </x:c>
      <x:c r="B386" s="22" t="str">
        <x:f>IF($K386="","",CHOOSE(WEEKDAY($K386,2),"Mo","Di","Mi","Do","Fr","Sa","So"))</x:f>
        <x:v>Di</x:v>
      </x:c>
      <x:c r="C386" s="22">
        <x:f>IF($K386="","",ISOWEEKNUM($K386))</x:f>
        <x:v>32</x:v>
      </x:c>
      <x:c r="D386" s="23">
        <x:f>IF($K386="","",IF(AND(IFERROR(INDEX(Einstellungen!$I$3:$I$22,MATCH($K386,Einstellungen!$H$3:$H$22,0)),"")&lt;&gt;"",IFERROR(INDEX(Einstellungen!$B$20:$B$119,MATCH($K386,Einstellungen!$A$20:$A$119,0)),"")&lt;&gt;""),IFERROR(INDEX(Einstellungen!$I$3:$I$22,MATCH($K386,Einstellungen!$H$3:$H$22,0)),"")&amp;" / "&amp;IFERROR(INDEX(Einstellungen!$B$20:$B$119,MATCH($K386,Einstellungen!$A$20:$A$119,0)),""),IF(IFERROR(INDEX(Einstellungen!$I$3:$I$22,MATCH($K386,Einstellungen!$H$3:$H$22,0)),"")&lt;&gt;"",IFERROR(INDEX(Einstellungen!$I$3:$I$22,MATCH($K386,Einstellungen!$H$3:$H$22,0)),""),IFERROR(INDEX(Einstellungen!$B$20:$B$119,MATCH($K386,Einstellungen!$A$20:$A$119,0)),""))))</x:f>
      </x:c>
      <x:c r="E386" s="24">
        <x:f>IF($K386="","",SUM(F386:J386))</x:f>
        <x:v>7.5</x:v>
      </x:c>
      <x:c r="F386" s="25" t="n">
        <x:v>1.5</x:v>
      </x:c>
      <x:c r="G386" s="25" t="n">
        <x:v>2.5</x:v>
      </x:c>
      <x:c r="H386" s="25" t="n">
        <x:v>1</x:v>
      </x:c>
      <x:c r="I386" s="25" t="n">
        <x:v>2</x:v>
      </x:c>
      <x:c r="J386" s="25" t="n">
        <x:v>0.5</x:v>
      </x:c>
      <x:c r="K386">
        <x:f>IF(4&lt;=DAY(EOMONTH($K381,0)),$K381+3,"")</x:f>
        <x:v>46238</x:v>
      </x:c>
    </x:row>
    <x:row r="387">
      <x:c r="A387" s="21">
        <x:f>IF($K387="","",DAY($K387))</x:f>
        <x:v>5</x:v>
      </x:c>
      <x:c r="B387" s="22" t="str">
        <x:f>IF($K387="","",CHOOSE(WEEKDAY($K387,2),"Mo","Di","Mi","Do","Fr","Sa","So"))</x:f>
        <x:v>Mi</x:v>
      </x:c>
      <x:c r="C387" s="22">
        <x:f>IF($K387="","",ISOWEEKNUM($K387))</x:f>
        <x:v>32</x:v>
      </x:c>
      <x:c r="D387" s="23">
        <x:f>IF($K387="","",IF(AND(IFERROR(INDEX(Einstellungen!$I$3:$I$22,MATCH($K387,Einstellungen!$H$3:$H$22,0)),"")&lt;&gt;"",IFERROR(INDEX(Einstellungen!$B$20:$B$119,MATCH($K387,Einstellungen!$A$20:$A$119,0)),"")&lt;&gt;""),IFERROR(INDEX(Einstellungen!$I$3:$I$22,MATCH($K387,Einstellungen!$H$3:$H$22,0)),"")&amp;" / "&amp;IFERROR(INDEX(Einstellungen!$B$20:$B$119,MATCH($K387,Einstellungen!$A$20:$A$119,0)),""),IF(IFERROR(INDEX(Einstellungen!$I$3:$I$22,MATCH($K387,Einstellungen!$H$3:$H$22,0)),"")&lt;&gt;"",IFERROR(INDEX(Einstellungen!$I$3:$I$22,MATCH($K387,Einstellungen!$H$3:$H$22,0)),""),IFERROR(INDEX(Einstellungen!$B$20:$B$119,MATCH($K387,Einstellungen!$A$20:$A$119,0)),""))))</x:f>
      </x:c>
      <x:c r="E387" s="24">
        <x:f>IF($K387="","",SUM(F387:J387))</x:f>
        <x:v>7</x:v>
      </x:c>
      <x:c r="F387" s="25" t="n">
        <x:v>1</x:v>
      </x:c>
      <x:c r="G387" s="25" t="n">
        <x:v>2.5</x:v>
      </x:c>
      <x:c r="H387" s="25" t="n">
        <x:v>1.5</x:v>
      </x:c>
      <x:c r="I387" s="25" t="n">
        <x:v>1.5</x:v>
      </x:c>
      <x:c r="J387" s="25" t="n">
        <x:v>0.5</x:v>
      </x:c>
      <x:c r="K387">
        <x:f>IF(5&lt;=DAY(EOMONTH($K381,0)),$K381+4,"")</x:f>
        <x:v>46239</x:v>
      </x:c>
    </x:row>
    <x:row r="388">
      <x:c r="A388" s="21">
        <x:f>IF($K388="","",DAY($K388))</x:f>
        <x:v>6</x:v>
      </x:c>
      <x:c r="B388" s="22" t="str">
        <x:f>IF($K388="","",CHOOSE(WEEKDAY($K388,2),"Mo","Di","Mi","Do","Fr","Sa","So"))</x:f>
        <x:v>Do</x:v>
      </x:c>
      <x:c r="C388" s="22">
        <x:f>IF($K388="","",ISOWEEKNUM($K388))</x:f>
        <x:v>32</x:v>
      </x:c>
      <x:c r="D388" s="23">
        <x:f>IF($K388="","",IF(AND(IFERROR(INDEX(Einstellungen!$I$3:$I$22,MATCH($K388,Einstellungen!$H$3:$H$22,0)),"")&lt;&gt;"",IFERROR(INDEX(Einstellungen!$B$20:$B$119,MATCH($K388,Einstellungen!$A$20:$A$119,0)),"")&lt;&gt;""),IFERROR(INDEX(Einstellungen!$I$3:$I$22,MATCH($K388,Einstellungen!$H$3:$H$22,0)),"")&amp;" / "&amp;IFERROR(INDEX(Einstellungen!$B$20:$B$119,MATCH($K388,Einstellungen!$A$20:$A$119,0)),""),IF(IFERROR(INDEX(Einstellungen!$I$3:$I$22,MATCH($K388,Einstellungen!$H$3:$H$22,0)),"")&lt;&gt;"",IFERROR(INDEX(Einstellungen!$I$3:$I$22,MATCH($K388,Einstellungen!$H$3:$H$22,0)),""),IFERROR(INDEX(Einstellungen!$B$20:$B$119,MATCH($K388,Einstellungen!$A$20:$A$119,0)),""))))</x:f>
      </x:c>
      <x:c r="E388" s="24">
        <x:f>IF($K388="","",SUM(F388:J388))</x:f>
        <x:v>7</x:v>
      </x:c>
      <x:c r="F388" s="25" t="n">
        <x:v>1.5</x:v>
      </x:c>
      <x:c r="G388" s="25" t="n">
        <x:v>2</x:v>
      </x:c>
      <x:c r="H388" s="25" t="n">
        <x:v>1.5</x:v>
      </x:c>
      <x:c r="I388" s="25" t="n">
        <x:v>1.5</x:v>
      </x:c>
      <x:c r="J388" s="25" t="n">
        <x:v>0.5</x:v>
      </x:c>
      <x:c r="K388">
        <x:f>IF(6&lt;=DAY(EOMONTH($K381,0)),$K381+5,"")</x:f>
        <x:v>46240</x:v>
      </x:c>
    </x:row>
    <x:row r="389">
      <x:c r="A389" s="21">
        <x:f>IF($K389="","",DAY($K389))</x:f>
        <x:v>7</x:v>
      </x:c>
      <x:c r="B389" s="22" t="str">
        <x:f>IF($K389="","",CHOOSE(WEEKDAY($K389,2),"Mo","Di","Mi","Do","Fr","Sa","So"))</x:f>
        <x:v>Fr</x:v>
      </x:c>
      <x:c r="C389" s="22">
        <x:f>IF($K389="","",ISOWEEKNUM($K389))</x:f>
        <x:v>32</x:v>
      </x:c>
      <x:c r="D389" s="23">
        <x:f>IF($K389="","",IF(AND(IFERROR(INDEX(Einstellungen!$I$3:$I$22,MATCH($K389,Einstellungen!$H$3:$H$22,0)),"")&lt;&gt;"",IFERROR(INDEX(Einstellungen!$B$20:$B$119,MATCH($K389,Einstellungen!$A$20:$A$119,0)),"")&lt;&gt;""),IFERROR(INDEX(Einstellungen!$I$3:$I$22,MATCH($K389,Einstellungen!$H$3:$H$22,0)),"")&amp;" / "&amp;IFERROR(INDEX(Einstellungen!$B$20:$B$119,MATCH($K389,Einstellungen!$A$20:$A$119,0)),""),IF(IFERROR(INDEX(Einstellungen!$I$3:$I$22,MATCH($K389,Einstellungen!$H$3:$H$22,0)),"")&lt;&gt;"",IFERROR(INDEX(Einstellungen!$I$3:$I$22,MATCH($K389,Einstellungen!$H$3:$H$22,0)),""),IFERROR(INDEX(Einstellungen!$B$20:$B$119,MATCH($K389,Einstellungen!$A$20:$A$119,0)),""))))</x:f>
      </x:c>
      <x:c r="E389" s="24">
        <x:f>IF($K389="","",SUM(F389:J389))</x:f>
        <x:v>5</x:v>
      </x:c>
      <x:c r="F389" s="25" t="n">
        <x:v>2</x:v>
      </x:c>
      <x:c r="G389" s="25" t="n">
        <x:v>1</x:v>
      </x:c>
      <x:c r="H389" s="25" t="n">
        <x:v>1</x:v>
      </x:c>
      <x:c r="I389" s="25" t="n">
        <x:v>1</x:v>
      </x:c>
      <x:c r="J389" s="25" t="n"/>
      <x:c r="K389">
        <x:f>IF(7&lt;=DAY(EOMONTH($K381,0)),$K381+6,"")</x:f>
        <x:v>46241</x:v>
      </x:c>
    </x:row>
    <x:row r="390">
      <x:c r="A390" s="21">
        <x:f>IF($K390="","",DAY($K390))</x:f>
        <x:v>8</x:v>
      </x:c>
      <x:c r="B390" s="22" t="str">
        <x:f>IF($K390="","",CHOOSE(WEEKDAY($K390,2),"Mo","Di","Mi","Do","Fr","Sa","So"))</x:f>
        <x:v>Sa</x:v>
      </x:c>
      <x:c r="C390" s="22">
        <x:f>IF($K390="","",ISOWEEKNUM($K390))</x:f>
        <x:v>32</x:v>
      </x:c>
      <x:c r="D390" s="23">
        <x:f>IF($K390="","",IF(AND(IFERROR(INDEX(Einstellungen!$I$3:$I$22,MATCH($K390,Einstellungen!$H$3:$H$22,0)),"")&lt;&gt;"",IFERROR(INDEX(Einstellungen!$B$20:$B$119,MATCH($K390,Einstellungen!$A$20:$A$119,0)),"")&lt;&gt;""),IFERROR(INDEX(Einstellungen!$I$3:$I$22,MATCH($K390,Einstellungen!$H$3:$H$22,0)),"")&amp;" / "&amp;IFERROR(INDEX(Einstellungen!$B$20:$B$119,MATCH($K390,Einstellungen!$A$20:$A$119,0)),""),IF(IFERROR(INDEX(Einstellungen!$I$3:$I$22,MATCH($K390,Einstellungen!$H$3:$H$22,0)),"")&lt;&gt;"",IFERROR(INDEX(Einstellungen!$I$3:$I$22,MATCH($K390,Einstellungen!$H$3:$H$22,0)),""),IFERROR(INDEX(Einstellungen!$B$20:$B$119,MATCH($K390,Einstellungen!$A$20:$A$119,0)),""))))</x:f>
      </x:c>
      <x:c r="E390" s="24">
        <x:f>IF($K390="","",SUM(F390:J390))</x:f>
        <x:v>0</x:v>
      </x:c>
      <x:c r="F390" s="25" t="n"/>
      <x:c r="G390" s="25" t="n"/>
      <x:c r="H390" s="25" t="n"/>
      <x:c r="I390" s="25" t="n"/>
      <x:c r="J390" s="25" t="n"/>
      <x:c r="K390">
        <x:f>IF(8&lt;=DAY(EOMONTH($K381,0)),$K381+7,"")</x:f>
        <x:v>46242</x:v>
      </x:c>
    </x:row>
    <x:row r="391">
      <x:c r="A391" s="21">
        <x:f>IF($K391="","",DAY($K391))</x:f>
        <x:v>9</x:v>
      </x:c>
      <x:c r="B391" s="22" t="str">
        <x:f>IF($K391="","",CHOOSE(WEEKDAY($K391,2),"Mo","Di","Mi","Do","Fr","Sa","So"))</x:f>
        <x:v>So</x:v>
      </x:c>
      <x:c r="C391" s="22">
        <x:f>IF($K391="","",ISOWEEKNUM($K391))</x:f>
        <x:v>32</x:v>
      </x:c>
      <x:c r="D391" s="23">
        <x:f>IF($K391="","",IF(AND(IFERROR(INDEX(Einstellungen!$I$3:$I$22,MATCH($K391,Einstellungen!$H$3:$H$22,0)),"")&lt;&gt;"",IFERROR(INDEX(Einstellungen!$B$20:$B$119,MATCH($K391,Einstellungen!$A$20:$A$119,0)),"")&lt;&gt;""),IFERROR(INDEX(Einstellungen!$I$3:$I$22,MATCH($K391,Einstellungen!$H$3:$H$22,0)),"")&amp;" / "&amp;IFERROR(INDEX(Einstellungen!$B$20:$B$119,MATCH($K391,Einstellungen!$A$20:$A$119,0)),""),IF(IFERROR(INDEX(Einstellungen!$I$3:$I$22,MATCH($K391,Einstellungen!$H$3:$H$22,0)),"")&lt;&gt;"",IFERROR(INDEX(Einstellungen!$I$3:$I$22,MATCH($K391,Einstellungen!$H$3:$H$22,0)),""),IFERROR(INDEX(Einstellungen!$B$20:$B$119,MATCH($K391,Einstellungen!$A$20:$A$119,0)),""))))</x:f>
      </x:c>
      <x:c r="E391" s="24">
        <x:f>IF($K391="","",SUM(F391:J391))</x:f>
        <x:v>0</x:v>
      </x:c>
      <x:c r="F391" s="25" t="n"/>
      <x:c r="G391" s="25" t="n"/>
      <x:c r="H391" s="25" t="n"/>
      <x:c r="I391" s="25" t="n"/>
      <x:c r="J391" s="25" t="n"/>
      <x:c r="K391">
        <x:f>IF(9&lt;=DAY(EOMONTH($K381,0)),$K381+8,"")</x:f>
        <x:v>46243</x:v>
      </x:c>
    </x:row>
    <x:row r="392">
      <x:c r="A392" s="21">
        <x:f>IF($K392="","",DAY($K392))</x:f>
        <x:v>10</x:v>
      </x:c>
      <x:c r="B392" s="22" t="str">
        <x:f>IF($K392="","",CHOOSE(WEEKDAY($K392,2),"Mo","Di","Mi","Do","Fr","Sa","So"))</x:f>
        <x:v>Mo</x:v>
      </x:c>
      <x:c r="C392" s="22">
        <x:f>IF($K392="","",ISOWEEKNUM($K392))</x:f>
        <x:v>33</x:v>
      </x:c>
      <x:c r="D392" s="23">
        <x:f>IF($K392="","",IF(AND(IFERROR(INDEX(Einstellungen!$I$3:$I$22,MATCH($K392,Einstellungen!$H$3:$H$22,0)),"")&lt;&gt;"",IFERROR(INDEX(Einstellungen!$B$20:$B$119,MATCH($K392,Einstellungen!$A$20:$A$119,0)),"")&lt;&gt;""),IFERROR(INDEX(Einstellungen!$I$3:$I$22,MATCH($K392,Einstellungen!$H$3:$H$22,0)),"")&amp;" / "&amp;IFERROR(INDEX(Einstellungen!$B$20:$B$119,MATCH($K392,Einstellungen!$A$20:$A$119,0)),""),IF(IFERROR(INDEX(Einstellungen!$I$3:$I$22,MATCH($K392,Einstellungen!$H$3:$H$22,0)),"")&lt;&gt;"",IFERROR(INDEX(Einstellungen!$I$3:$I$22,MATCH($K392,Einstellungen!$H$3:$H$22,0)),""),IFERROR(INDEX(Einstellungen!$B$20:$B$119,MATCH($K392,Einstellungen!$A$20:$A$119,0)),""))))</x:f>
      </x:c>
      <x:c r="E392" s="24">
        <x:f>IF($K392="","",SUM(F392:J392))</x:f>
        <x:v>7.5</x:v>
      </x:c>
      <x:c r="F392" s="25" t="n">
        <x:v>2</x:v>
      </x:c>
      <x:c r="G392" s="25" t="n">
        <x:v>2</x:v>
      </x:c>
      <x:c r="H392" s="25" t="n">
        <x:v>1</x:v>
      </x:c>
      <x:c r="I392" s="25" t="n">
        <x:v>2</x:v>
      </x:c>
      <x:c r="J392" s="25" t="n">
        <x:v>0.5</x:v>
      </x:c>
      <x:c r="K392">
        <x:f>IF(10&lt;=DAY(EOMONTH($K381,0)),$K381+9,"")</x:f>
        <x:v>46244</x:v>
      </x:c>
    </x:row>
    <x:row r="393">
      <x:c r="A393" s="21">
        <x:f>IF($K393="","",DAY($K393))</x:f>
        <x:v>11</x:v>
      </x:c>
      <x:c r="B393" s="22" t="str">
        <x:f>IF($K393="","",CHOOSE(WEEKDAY($K393,2),"Mo","Di","Mi","Do","Fr","Sa","So"))</x:f>
        <x:v>Di</x:v>
      </x:c>
      <x:c r="C393" s="22">
        <x:f>IF($K393="","",ISOWEEKNUM($K393))</x:f>
        <x:v>33</x:v>
      </x:c>
      <x:c r="D393" s="23">
        <x:f>IF($K393="","",IF(AND(IFERROR(INDEX(Einstellungen!$I$3:$I$22,MATCH($K393,Einstellungen!$H$3:$H$22,0)),"")&lt;&gt;"",IFERROR(INDEX(Einstellungen!$B$20:$B$119,MATCH($K393,Einstellungen!$A$20:$A$119,0)),"")&lt;&gt;""),IFERROR(INDEX(Einstellungen!$I$3:$I$22,MATCH($K393,Einstellungen!$H$3:$H$22,0)),"")&amp;" / "&amp;IFERROR(INDEX(Einstellungen!$B$20:$B$119,MATCH($K393,Einstellungen!$A$20:$A$119,0)),""),IF(IFERROR(INDEX(Einstellungen!$I$3:$I$22,MATCH($K393,Einstellungen!$H$3:$H$22,0)),"")&lt;&gt;"",IFERROR(INDEX(Einstellungen!$I$3:$I$22,MATCH($K393,Einstellungen!$H$3:$H$22,0)),""),IFERROR(INDEX(Einstellungen!$B$20:$B$119,MATCH($K393,Einstellungen!$A$20:$A$119,0)),""))))</x:f>
      </x:c>
      <x:c r="E393" s="24">
        <x:f>IF($K393="","",SUM(F393:J393))</x:f>
        <x:v>7</x:v>
      </x:c>
      <x:c r="F393" s="25" t="n">
        <x:v>1.5</x:v>
      </x:c>
      <x:c r="G393" s="25" t="n">
        <x:v>2</x:v>
      </x:c>
      <x:c r="H393" s="25" t="n">
        <x:v>1</x:v>
      </x:c>
      <x:c r="I393" s="25" t="n">
        <x:v>2</x:v>
      </x:c>
      <x:c r="J393" s="25" t="n">
        <x:v>0.5</x:v>
      </x:c>
      <x:c r="K393">
        <x:f>IF(11&lt;=DAY(EOMONTH($K381,0)),$K381+10,"")</x:f>
        <x:v>46245</x:v>
      </x:c>
    </x:row>
    <x:row r="394">
      <x:c r="A394" s="21">
        <x:f>IF($K394="","",DAY($K394))</x:f>
        <x:v>12</x:v>
      </x:c>
      <x:c r="B394" s="22" t="str">
        <x:f>IF($K394="","",CHOOSE(WEEKDAY($K394,2),"Mo","Di","Mi","Do","Fr","Sa","So"))</x:f>
        <x:v>Mi</x:v>
      </x:c>
      <x:c r="C394" s="22">
        <x:f>IF($K394="","",ISOWEEKNUM($K394))</x:f>
        <x:v>33</x:v>
      </x:c>
      <x:c r="D394" s="23">
        <x:f>IF($K394="","",IF(AND(IFERROR(INDEX(Einstellungen!$I$3:$I$22,MATCH($K394,Einstellungen!$H$3:$H$22,0)),"")&lt;&gt;"",IFERROR(INDEX(Einstellungen!$B$20:$B$119,MATCH($K394,Einstellungen!$A$20:$A$119,0)),"")&lt;&gt;""),IFERROR(INDEX(Einstellungen!$I$3:$I$22,MATCH($K394,Einstellungen!$H$3:$H$22,0)),"")&amp;" / "&amp;IFERROR(INDEX(Einstellungen!$B$20:$B$119,MATCH($K394,Einstellungen!$A$20:$A$119,0)),""),IF(IFERROR(INDEX(Einstellungen!$I$3:$I$22,MATCH($K394,Einstellungen!$H$3:$H$22,0)),"")&lt;&gt;"",IFERROR(INDEX(Einstellungen!$I$3:$I$22,MATCH($K394,Einstellungen!$H$3:$H$22,0)),""),IFERROR(INDEX(Einstellungen!$B$20:$B$119,MATCH($K394,Einstellungen!$A$20:$A$119,0)),""))))</x:f>
      </x:c>
      <x:c r="E394" s="24">
        <x:f>IF($K394="","",SUM(F394:J394))</x:f>
        <x:v>6.5</x:v>
      </x:c>
      <x:c r="F394" s="25" t="n">
        <x:v>1</x:v>
      </x:c>
      <x:c r="G394" s="25" t="n">
        <x:v>2.5</x:v>
      </x:c>
      <x:c r="H394" s="25" t="n">
        <x:v>1</x:v>
      </x:c>
      <x:c r="I394" s="25" t="n">
        <x:v>1.5</x:v>
      </x:c>
      <x:c r="J394" s="25" t="n">
        <x:v>0.5</x:v>
      </x:c>
      <x:c r="K394">
        <x:f>IF(12&lt;=DAY(EOMONTH($K381,0)),$K381+11,"")</x:f>
        <x:v>46246</x:v>
      </x:c>
    </x:row>
    <x:row r="395">
      <x:c r="A395" s="21">
        <x:f>IF($K395="","",DAY($K395))</x:f>
        <x:v>13</x:v>
      </x:c>
      <x:c r="B395" s="22" t="str">
        <x:f>IF($K395="","",CHOOSE(WEEKDAY($K395,2),"Mo","Di","Mi","Do","Fr","Sa","So"))</x:f>
        <x:v>Do</x:v>
      </x:c>
      <x:c r="C395" s="22">
        <x:f>IF($K395="","",ISOWEEKNUM($K395))</x:f>
        <x:v>33</x:v>
      </x:c>
      <x:c r="D395" s="23">
        <x:f>IF($K395="","",IF(AND(IFERROR(INDEX(Einstellungen!$I$3:$I$22,MATCH($K395,Einstellungen!$H$3:$H$22,0)),"")&lt;&gt;"",IFERROR(INDEX(Einstellungen!$B$20:$B$119,MATCH($K395,Einstellungen!$A$20:$A$119,0)),"")&lt;&gt;""),IFERROR(INDEX(Einstellungen!$I$3:$I$22,MATCH($K395,Einstellungen!$H$3:$H$22,0)),"")&amp;" / "&amp;IFERROR(INDEX(Einstellungen!$B$20:$B$119,MATCH($K395,Einstellungen!$A$20:$A$119,0)),""),IF(IFERROR(INDEX(Einstellungen!$I$3:$I$22,MATCH($K395,Einstellungen!$H$3:$H$22,0)),"")&lt;&gt;"",IFERROR(INDEX(Einstellungen!$I$3:$I$22,MATCH($K395,Einstellungen!$H$3:$H$22,0)),""),IFERROR(INDEX(Einstellungen!$B$20:$B$119,MATCH($K395,Einstellungen!$A$20:$A$119,0)),""))))</x:f>
      </x:c>
      <x:c r="E395" s="24">
        <x:f>IF($K395="","",SUM(F395:J395))</x:f>
        <x:v>8</x:v>
      </x:c>
      <x:c r="F395" s="25" t="n">
        <x:v>1.5</x:v>
      </x:c>
      <x:c r="G395" s="25" t="n">
        <x:v>2</x:v>
      </x:c>
      <x:c r="H395" s="25" t="n">
        <x:v>1.5</x:v>
      </x:c>
      <x:c r="I395" s="25" t="n">
        <x:v>2.5</x:v>
      </x:c>
      <x:c r="J395" s="25" t="n">
        <x:v>0.5</x:v>
      </x:c>
      <x:c r="K395">
        <x:f>IF(13&lt;=DAY(EOMONTH($K381,0)),$K381+12,"")</x:f>
        <x:v>46247</x:v>
      </x:c>
    </x:row>
    <x:row r="396">
      <x:c r="A396" s="21">
        <x:f>IF($K396="","",DAY($K396))</x:f>
        <x:v>14</x:v>
      </x:c>
      <x:c r="B396" s="22" t="str">
        <x:f>IF($K396="","",CHOOSE(WEEKDAY($K396,2),"Mo","Di","Mi","Do","Fr","Sa","So"))</x:f>
        <x:v>Fr</x:v>
      </x:c>
      <x:c r="C396" s="22">
        <x:f>IF($K396="","",ISOWEEKNUM($K396))</x:f>
        <x:v>33</x:v>
      </x:c>
      <x:c r="D396" s="23">
        <x:f>IF($K396="","",IF(AND(IFERROR(INDEX(Einstellungen!$I$3:$I$22,MATCH($K396,Einstellungen!$H$3:$H$22,0)),"")&lt;&gt;"",IFERROR(INDEX(Einstellungen!$B$20:$B$119,MATCH($K396,Einstellungen!$A$20:$A$119,0)),"")&lt;&gt;""),IFERROR(INDEX(Einstellungen!$I$3:$I$22,MATCH($K396,Einstellungen!$H$3:$H$22,0)),"")&amp;" / "&amp;IFERROR(INDEX(Einstellungen!$B$20:$B$119,MATCH($K396,Einstellungen!$A$20:$A$119,0)),""),IF(IFERROR(INDEX(Einstellungen!$I$3:$I$22,MATCH($K396,Einstellungen!$H$3:$H$22,0)),"")&lt;&gt;"",IFERROR(INDEX(Einstellungen!$I$3:$I$22,MATCH($K396,Einstellungen!$H$3:$H$22,0)),""),IFERROR(INDEX(Einstellungen!$B$20:$B$119,MATCH($K396,Einstellungen!$A$20:$A$119,0)),""))))</x:f>
      </x:c>
      <x:c r="E396" s="24">
        <x:f>IF($K396="","",SUM(F396:J396))</x:f>
        <x:v>5</x:v>
      </x:c>
      <x:c r="F396" s="25" t="n">
        <x:v>2</x:v>
      </x:c>
      <x:c r="G396" s="25" t="n">
        <x:v>1</x:v>
      </x:c>
      <x:c r="H396" s="25" t="n">
        <x:v>1</x:v>
      </x:c>
      <x:c r="I396" s="25" t="n">
        <x:v>1</x:v>
      </x:c>
      <x:c r="J396" s="25" t="n"/>
      <x:c r="K396">
        <x:f>IF(14&lt;=DAY(EOMONTH($K381,0)),$K381+13,"")</x:f>
        <x:v>46248</x:v>
      </x:c>
    </x:row>
    <x:row r="397">
      <x:c r="A397" s="21">
        <x:f>IF($K397="","",DAY($K397))</x:f>
        <x:v>15</x:v>
      </x:c>
      <x:c r="B397" s="22" t="str">
        <x:f>IF($K397="","",CHOOSE(WEEKDAY($K397,2),"Mo","Di","Mi","Do","Fr","Sa","So"))</x:f>
        <x:v>Sa</x:v>
      </x:c>
      <x:c r="C397" s="22">
        <x:f>IF($K397="","",ISOWEEKNUM($K397))</x:f>
        <x:v>33</x:v>
      </x:c>
      <x:c r="D397" s="23">
        <x:f>IF($K397="","",IF(AND(IFERROR(INDEX(Einstellungen!$I$3:$I$22,MATCH($K397,Einstellungen!$H$3:$H$22,0)),"")&lt;&gt;"",IFERROR(INDEX(Einstellungen!$B$20:$B$119,MATCH($K397,Einstellungen!$A$20:$A$119,0)),"")&lt;&gt;""),IFERROR(INDEX(Einstellungen!$I$3:$I$22,MATCH($K397,Einstellungen!$H$3:$H$22,0)),"")&amp;" / "&amp;IFERROR(INDEX(Einstellungen!$B$20:$B$119,MATCH($K397,Einstellungen!$A$20:$A$119,0)),""),IF(IFERROR(INDEX(Einstellungen!$I$3:$I$22,MATCH($K397,Einstellungen!$H$3:$H$22,0)),"")&lt;&gt;"",IFERROR(INDEX(Einstellungen!$I$3:$I$22,MATCH($K397,Einstellungen!$H$3:$H$22,0)),""),IFERROR(INDEX(Einstellungen!$B$20:$B$119,MATCH($K397,Einstellungen!$A$20:$A$119,0)),""))))</x:f>
      </x:c>
      <x:c r="E397" s="24">
        <x:f>IF($K397="","",SUM(F397:J397))</x:f>
        <x:v>0</x:v>
      </x:c>
      <x:c r="F397" s="25" t="n"/>
      <x:c r="G397" s="25" t="n"/>
      <x:c r="H397" s="25" t="n"/>
      <x:c r="I397" s="25" t="n"/>
      <x:c r="J397" s="25" t="n"/>
      <x:c r="K397">
        <x:f>IF(15&lt;=DAY(EOMONTH($K381,0)),$K381+14,"")</x:f>
        <x:v>46249</x:v>
      </x:c>
    </x:row>
    <x:row r="398">
      <x:c r="A398" s="21">
        <x:f>IF($K398="","",DAY($K398))</x:f>
        <x:v>16</x:v>
      </x:c>
      <x:c r="B398" s="22" t="str">
        <x:f>IF($K398="","",CHOOSE(WEEKDAY($K398,2),"Mo","Di","Mi","Do","Fr","Sa","So"))</x:f>
        <x:v>So</x:v>
      </x:c>
      <x:c r="C398" s="22">
        <x:f>IF($K398="","",ISOWEEKNUM($K398))</x:f>
        <x:v>33</x:v>
      </x:c>
      <x:c r="D398" s="23">
        <x:f>IF($K398="","",IF(AND(IFERROR(INDEX(Einstellungen!$I$3:$I$22,MATCH($K398,Einstellungen!$H$3:$H$22,0)),"")&lt;&gt;"",IFERROR(INDEX(Einstellungen!$B$20:$B$119,MATCH($K398,Einstellungen!$A$20:$A$119,0)),"")&lt;&gt;""),IFERROR(INDEX(Einstellungen!$I$3:$I$22,MATCH($K398,Einstellungen!$H$3:$H$22,0)),"")&amp;" / "&amp;IFERROR(INDEX(Einstellungen!$B$20:$B$119,MATCH($K398,Einstellungen!$A$20:$A$119,0)),""),IF(IFERROR(INDEX(Einstellungen!$I$3:$I$22,MATCH($K398,Einstellungen!$H$3:$H$22,0)),"")&lt;&gt;"",IFERROR(INDEX(Einstellungen!$I$3:$I$22,MATCH($K398,Einstellungen!$H$3:$H$22,0)),""),IFERROR(INDEX(Einstellungen!$B$20:$B$119,MATCH($K398,Einstellungen!$A$20:$A$119,0)),""))))</x:f>
      </x:c>
      <x:c r="E398" s="24">
        <x:f>IF($K398="","",SUM(F398:J398))</x:f>
        <x:v>0</x:v>
      </x:c>
      <x:c r="F398" s="25" t="n"/>
      <x:c r="G398" s="25" t="n"/>
      <x:c r="H398" s="25" t="n"/>
      <x:c r="I398" s="25" t="n"/>
      <x:c r="J398" s="25" t="n"/>
      <x:c r="K398">
        <x:f>IF(16&lt;=DAY(EOMONTH($K381,0)),$K381+15,"")</x:f>
        <x:v>46250</x:v>
      </x:c>
    </x:row>
    <x:row r="399">
      <x:c r="A399" s="21">
        <x:f>IF($K399="","",DAY($K399))</x:f>
        <x:v>17</x:v>
      </x:c>
      <x:c r="B399" s="22" t="str">
        <x:f>IF($K399="","",CHOOSE(WEEKDAY($K399,2),"Mo","Di","Mi","Do","Fr","Sa","So"))</x:f>
        <x:v>Mo</x:v>
      </x:c>
      <x:c r="C399" s="22">
        <x:f>IF($K399="","",ISOWEEKNUM($K399))</x:f>
        <x:v>34</x:v>
      </x:c>
      <x:c r="D399" s="23">
        <x:f>IF($K399="","",IF(AND(IFERROR(INDEX(Einstellungen!$I$3:$I$22,MATCH($K399,Einstellungen!$H$3:$H$22,0)),"")&lt;&gt;"",IFERROR(INDEX(Einstellungen!$B$20:$B$119,MATCH($K399,Einstellungen!$A$20:$A$119,0)),"")&lt;&gt;""),IFERROR(INDEX(Einstellungen!$I$3:$I$22,MATCH($K399,Einstellungen!$H$3:$H$22,0)),"")&amp;" / "&amp;IFERROR(INDEX(Einstellungen!$B$20:$B$119,MATCH($K399,Einstellungen!$A$20:$A$119,0)),""),IF(IFERROR(INDEX(Einstellungen!$I$3:$I$22,MATCH($K399,Einstellungen!$H$3:$H$22,0)),"")&lt;&gt;"",IFERROR(INDEX(Einstellungen!$I$3:$I$22,MATCH($K399,Einstellungen!$H$3:$H$22,0)),""),IFERROR(INDEX(Einstellungen!$B$20:$B$119,MATCH($K399,Einstellungen!$A$20:$A$119,0)),""))))</x:f>
      </x:c>
      <x:c r="E399" s="24">
        <x:f>IF($K399="","",SUM(F399:J399))</x:f>
        <x:v>7</x:v>
      </x:c>
      <x:c r="F399" s="25" t="n">
        <x:v>1.5</x:v>
      </x:c>
      <x:c r="G399" s="25" t="n">
        <x:v>2</x:v>
      </x:c>
      <x:c r="H399" s="25" t="n">
        <x:v>1</x:v>
      </x:c>
      <x:c r="I399" s="25" t="n">
        <x:v>2</x:v>
      </x:c>
      <x:c r="J399" s="25" t="n">
        <x:v>0.5</x:v>
      </x:c>
      <x:c r="K399">
        <x:f>IF(17&lt;=DAY(EOMONTH($K381,0)),$K381+16,"")</x:f>
        <x:v>46251</x:v>
      </x:c>
    </x:row>
    <x:row r="400">
      <x:c r="A400" s="21">
        <x:f>IF($K400="","",DAY($K400))</x:f>
        <x:v>18</x:v>
      </x:c>
      <x:c r="B400" s="22" t="str">
        <x:f>IF($K400="","",CHOOSE(WEEKDAY($K400,2),"Mo","Di","Mi","Do","Fr","Sa","So"))</x:f>
        <x:v>Di</x:v>
      </x:c>
      <x:c r="C400" s="22">
        <x:f>IF($K400="","",ISOWEEKNUM($K400))</x:f>
        <x:v>34</x:v>
      </x:c>
      <x:c r="D400" s="23">
        <x:f>IF($K400="","",IF(AND(IFERROR(INDEX(Einstellungen!$I$3:$I$22,MATCH($K400,Einstellungen!$H$3:$H$22,0)),"")&lt;&gt;"",IFERROR(INDEX(Einstellungen!$B$20:$B$119,MATCH($K400,Einstellungen!$A$20:$A$119,0)),"")&lt;&gt;""),IFERROR(INDEX(Einstellungen!$I$3:$I$22,MATCH($K400,Einstellungen!$H$3:$H$22,0)),"")&amp;" / "&amp;IFERROR(INDEX(Einstellungen!$B$20:$B$119,MATCH($K400,Einstellungen!$A$20:$A$119,0)),""),IF(IFERROR(INDEX(Einstellungen!$I$3:$I$22,MATCH($K400,Einstellungen!$H$3:$H$22,0)),"")&lt;&gt;"",IFERROR(INDEX(Einstellungen!$I$3:$I$22,MATCH($K400,Einstellungen!$H$3:$H$22,0)),""),IFERROR(INDEX(Einstellungen!$B$20:$B$119,MATCH($K400,Einstellungen!$A$20:$A$119,0)),""))))</x:f>
      </x:c>
      <x:c r="E400" s="24">
        <x:f>IF($K400="","",SUM(F400:J400))</x:f>
        <x:v>6.5</x:v>
      </x:c>
      <x:c r="F400" s="25" t="n">
        <x:v>1.5</x:v>
      </x:c>
      <x:c r="G400" s="25" t="n">
        <x:v>1.5</x:v>
      </x:c>
      <x:c r="H400" s="25" t="n">
        <x:v>1</x:v>
      </x:c>
      <x:c r="I400" s="25" t="n">
        <x:v>2</x:v>
      </x:c>
      <x:c r="J400" s="25" t="n">
        <x:v>0.5</x:v>
      </x:c>
      <x:c r="K400">
        <x:f>IF(18&lt;=DAY(EOMONTH($K381,0)),$K381+17,"")</x:f>
        <x:v>46252</x:v>
      </x:c>
    </x:row>
    <x:row r="401">
      <x:c r="A401" s="21">
        <x:f>IF($K401="","",DAY($K401))</x:f>
        <x:v>19</x:v>
      </x:c>
      <x:c r="B401" s="22" t="str">
        <x:f>IF($K401="","",CHOOSE(WEEKDAY($K401,2),"Mo","Di","Mi","Do","Fr","Sa","So"))</x:f>
        <x:v>Mi</x:v>
      </x:c>
      <x:c r="C401" s="22">
        <x:f>IF($K401="","",ISOWEEKNUM($K401))</x:f>
        <x:v>34</x:v>
      </x:c>
      <x:c r="D401" s="23">
        <x:f>IF($K401="","",IF(AND(IFERROR(INDEX(Einstellungen!$I$3:$I$22,MATCH($K401,Einstellungen!$H$3:$H$22,0)),"")&lt;&gt;"",IFERROR(INDEX(Einstellungen!$B$20:$B$119,MATCH($K401,Einstellungen!$A$20:$A$119,0)),"")&lt;&gt;""),IFERROR(INDEX(Einstellungen!$I$3:$I$22,MATCH($K401,Einstellungen!$H$3:$H$22,0)),"")&amp;" / "&amp;IFERROR(INDEX(Einstellungen!$B$20:$B$119,MATCH($K401,Einstellungen!$A$20:$A$119,0)),""),IF(IFERROR(INDEX(Einstellungen!$I$3:$I$22,MATCH($K401,Einstellungen!$H$3:$H$22,0)),"")&lt;&gt;"",IFERROR(INDEX(Einstellungen!$I$3:$I$22,MATCH($K401,Einstellungen!$H$3:$H$22,0)),""),IFERROR(INDEX(Einstellungen!$B$20:$B$119,MATCH($K401,Einstellungen!$A$20:$A$119,0)),""))))</x:f>
      </x:c>
      <x:c r="E401" s="24">
        <x:f>IF($K401="","",SUM(F401:J401))</x:f>
        <x:v>7.5</x:v>
      </x:c>
      <x:c r="F401" s="25" t="n">
        <x:v>1</x:v>
      </x:c>
      <x:c r="G401" s="25" t="n">
        <x:v>2.5</x:v>
      </x:c>
      <x:c r="H401" s="25" t="n">
        <x:v>2</x:v>
      </x:c>
      <x:c r="I401" s="25" t="n">
        <x:v>1.5</x:v>
      </x:c>
      <x:c r="J401" s="25" t="n">
        <x:v>0.5</x:v>
      </x:c>
      <x:c r="K401">
        <x:f>IF(19&lt;=DAY(EOMONTH($K381,0)),$K381+18,"")</x:f>
        <x:v>46253</x:v>
      </x:c>
    </x:row>
    <x:row r="402">
      <x:c r="A402" s="21">
        <x:f>IF($K402="","",DAY($K402))</x:f>
        <x:v>20</x:v>
      </x:c>
      <x:c r="B402" s="22" t="str">
        <x:f>IF($K402="","",CHOOSE(WEEKDAY($K402,2),"Mo","Di","Mi","Do","Fr","Sa","So"))</x:f>
        <x:v>Do</x:v>
      </x:c>
      <x:c r="C402" s="22">
        <x:f>IF($K402="","",ISOWEEKNUM($K402))</x:f>
        <x:v>34</x:v>
      </x:c>
      <x:c r="D402" s="23">
        <x:f>IF($K402="","",IF(AND(IFERROR(INDEX(Einstellungen!$I$3:$I$22,MATCH($K402,Einstellungen!$H$3:$H$22,0)),"")&lt;&gt;"",IFERROR(INDEX(Einstellungen!$B$20:$B$119,MATCH($K402,Einstellungen!$A$20:$A$119,0)),"")&lt;&gt;""),IFERROR(INDEX(Einstellungen!$I$3:$I$22,MATCH($K402,Einstellungen!$H$3:$H$22,0)),"")&amp;" / "&amp;IFERROR(INDEX(Einstellungen!$B$20:$B$119,MATCH($K402,Einstellungen!$A$20:$A$119,0)),""),IF(IFERROR(INDEX(Einstellungen!$I$3:$I$22,MATCH($K402,Einstellungen!$H$3:$H$22,0)),"")&lt;&gt;"",IFERROR(INDEX(Einstellungen!$I$3:$I$22,MATCH($K402,Einstellungen!$H$3:$H$22,0)),""),IFERROR(INDEX(Einstellungen!$B$20:$B$119,MATCH($K402,Einstellungen!$A$20:$A$119,0)),""))))</x:f>
      </x:c>
      <x:c r="E402" s="24">
        <x:f>IF($K402="","",SUM(F402:J402))</x:f>
        <x:v>7.5</x:v>
      </x:c>
      <x:c r="F402" s="25" t="n">
        <x:v>1.5</x:v>
      </x:c>
      <x:c r="G402" s="25" t="n">
        <x:v>2</x:v>
      </x:c>
      <x:c r="H402" s="25" t="n">
        <x:v>1.5</x:v>
      </x:c>
      <x:c r="I402" s="25" t="n">
        <x:v>2</x:v>
      </x:c>
      <x:c r="J402" s="25" t="n">
        <x:v>0.5</x:v>
      </x:c>
      <x:c r="K402">
        <x:f>IF(20&lt;=DAY(EOMONTH($K381,0)),$K381+19,"")</x:f>
        <x:v>46254</x:v>
      </x:c>
    </x:row>
    <x:row r="403">
      <x:c r="A403" s="21">
        <x:f>IF($K403="","",DAY($K403))</x:f>
        <x:v>21</x:v>
      </x:c>
      <x:c r="B403" s="22" t="str">
        <x:f>IF($K403="","",CHOOSE(WEEKDAY($K403,2),"Mo","Di","Mi","Do","Fr","Sa","So"))</x:f>
        <x:v>Fr</x:v>
      </x:c>
      <x:c r="C403" s="22">
        <x:f>IF($K403="","",ISOWEEKNUM($K403))</x:f>
        <x:v>34</x:v>
      </x:c>
      <x:c r="D403" s="23" t="str">
        <x:f>IF($K403="","",IF(AND(IFERROR(INDEX(Einstellungen!$I$3:$I$22,MATCH($K403,Einstellungen!$H$3:$H$22,0)),"")&lt;&gt;"",IFERROR(INDEX(Einstellungen!$B$20:$B$119,MATCH($K403,Einstellungen!$A$20:$A$119,0)),"")&lt;&gt;""),IFERROR(INDEX(Einstellungen!$I$3:$I$22,MATCH($K403,Einstellungen!$H$3:$H$22,0)),"")&amp;" / "&amp;IFERROR(INDEX(Einstellungen!$B$20:$B$119,MATCH($K403,Einstellungen!$A$20:$A$119,0)),""),IF(IFERROR(INDEX(Einstellungen!$I$3:$I$22,MATCH($K403,Einstellungen!$H$3:$H$22,0)),"")&lt;&gt;"",IFERROR(INDEX(Einstellungen!$I$3:$I$22,MATCH($K403,Einstellungen!$H$3:$H$22,0)),""),IFERROR(INDEX(Einstellungen!$B$20:$B$119,MATCH($K403,Einstellungen!$A$20:$A$119,0)),""))))</x:f>
        <x:v>Review Q3</x:v>
      </x:c>
      <x:c r="E403" s="24">
        <x:f>IF($K403="","",SUM(F403:J403))</x:f>
        <x:v>3</x:v>
      </x:c>
      <x:c r="F403" s="25" t="n">
        <x:v>1</x:v>
      </x:c>
      <x:c r="G403" s="25" t="n">
        <x:v>0.5</x:v>
      </x:c>
      <x:c r="H403" s="25" t="n">
        <x:v>0.5</x:v>
      </x:c>
      <x:c r="I403" s="25" t="n">
        <x:v>1</x:v>
      </x:c>
      <x:c r="J403" s="25" t="n"/>
      <x:c r="K403">
        <x:f>IF(21&lt;=DAY(EOMONTH($K381,0)),$K381+20,"")</x:f>
        <x:v>46255</x:v>
      </x:c>
    </x:row>
    <x:row r="404">
      <x:c r="A404" s="21">
        <x:f>IF($K404="","",DAY($K404))</x:f>
        <x:v>22</x:v>
      </x:c>
      <x:c r="B404" s="22" t="str">
        <x:f>IF($K404="","",CHOOSE(WEEKDAY($K404,2),"Mo","Di","Mi","Do","Fr","Sa","So"))</x:f>
        <x:v>Sa</x:v>
      </x:c>
      <x:c r="C404" s="22">
        <x:f>IF($K404="","",ISOWEEKNUM($K404))</x:f>
        <x:v>34</x:v>
      </x:c>
      <x:c r="D404" s="23">
        <x:f>IF($K404="","",IF(AND(IFERROR(INDEX(Einstellungen!$I$3:$I$22,MATCH($K404,Einstellungen!$H$3:$H$22,0)),"")&lt;&gt;"",IFERROR(INDEX(Einstellungen!$B$20:$B$119,MATCH($K404,Einstellungen!$A$20:$A$119,0)),"")&lt;&gt;""),IFERROR(INDEX(Einstellungen!$I$3:$I$22,MATCH($K404,Einstellungen!$H$3:$H$22,0)),"")&amp;" / "&amp;IFERROR(INDEX(Einstellungen!$B$20:$B$119,MATCH($K404,Einstellungen!$A$20:$A$119,0)),""),IF(IFERROR(INDEX(Einstellungen!$I$3:$I$22,MATCH($K404,Einstellungen!$H$3:$H$22,0)),"")&lt;&gt;"",IFERROR(INDEX(Einstellungen!$I$3:$I$22,MATCH($K404,Einstellungen!$H$3:$H$22,0)),""),IFERROR(INDEX(Einstellungen!$B$20:$B$119,MATCH($K404,Einstellungen!$A$20:$A$119,0)),""))))</x:f>
      </x:c>
      <x:c r="E404" s="24">
        <x:f>IF($K404="","",SUM(F404:J404))</x:f>
        <x:v>0</x:v>
      </x:c>
      <x:c r="F404" s="25" t="n"/>
      <x:c r="G404" s="25" t="n"/>
      <x:c r="H404" s="25" t="n"/>
      <x:c r="I404" s="25" t="n"/>
      <x:c r="J404" s="25" t="n"/>
      <x:c r="K404">
        <x:f>IF(22&lt;=DAY(EOMONTH($K381,0)),$K381+21,"")</x:f>
        <x:v>46256</x:v>
      </x:c>
    </x:row>
    <x:row r="405">
      <x:c r="A405" s="21">
        <x:f>IF($K405="","",DAY($K405))</x:f>
        <x:v>23</x:v>
      </x:c>
      <x:c r="B405" s="22" t="str">
        <x:f>IF($K405="","",CHOOSE(WEEKDAY($K405,2),"Mo","Di","Mi","Do","Fr","Sa","So"))</x:f>
        <x:v>So</x:v>
      </x:c>
      <x:c r="C405" s="22">
        <x:f>IF($K405="","",ISOWEEKNUM($K405))</x:f>
        <x:v>34</x:v>
      </x:c>
      <x:c r="D405" s="23">
        <x:f>IF($K405="","",IF(AND(IFERROR(INDEX(Einstellungen!$I$3:$I$22,MATCH($K405,Einstellungen!$H$3:$H$22,0)),"")&lt;&gt;"",IFERROR(INDEX(Einstellungen!$B$20:$B$119,MATCH($K405,Einstellungen!$A$20:$A$119,0)),"")&lt;&gt;""),IFERROR(INDEX(Einstellungen!$I$3:$I$22,MATCH($K405,Einstellungen!$H$3:$H$22,0)),"")&amp;" / "&amp;IFERROR(INDEX(Einstellungen!$B$20:$B$119,MATCH($K405,Einstellungen!$A$20:$A$119,0)),""),IF(IFERROR(INDEX(Einstellungen!$I$3:$I$22,MATCH($K405,Einstellungen!$H$3:$H$22,0)),"")&lt;&gt;"",IFERROR(INDEX(Einstellungen!$I$3:$I$22,MATCH($K405,Einstellungen!$H$3:$H$22,0)),""),IFERROR(INDEX(Einstellungen!$B$20:$B$119,MATCH($K405,Einstellungen!$A$20:$A$119,0)),""))))</x:f>
      </x:c>
      <x:c r="E405" s="24">
        <x:f>IF($K405="","",SUM(F405:J405))</x:f>
        <x:v>0</x:v>
      </x:c>
      <x:c r="F405" s="25" t="n"/>
      <x:c r="G405" s="25" t="n"/>
      <x:c r="H405" s="25" t="n"/>
      <x:c r="I405" s="25" t="n"/>
      <x:c r="J405" s="25" t="n"/>
      <x:c r="K405">
        <x:f>IF(23&lt;=DAY(EOMONTH($K381,0)),$K381+22,"")</x:f>
        <x:v>46257</x:v>
      </x:c>
    </x:row>
    <x:row r="406">
      <x:c r="A406" s="21">
        <x:f>IF($K406="","",DAY($K406))</x:f>
        <x:v>24</x:v>
      </x:c>
      <x:c r="B406" s="22" t="str">
        <x:f>IF($K406="","",CHOOSE(WEEKDAY($K406,2),"Mo","Di","Mi","Do","Fr","Sa","So"))</x:f>
        <x:v>Mo</x:v>
      </x:c>
      <x:c r="C406" s="22">
        <x:f>IF($K406="","",ISOWEEKNUM($K406))</x:f>
        <x:v>35</x:v>
      </x:c>
      <x:c r="D406" s="23">
        <x:f>IF($K406="","",IF(AND(IFERROR(INDEX(Einstellungen!$I$3:$I$22,MATCH($K406,Einstellungen!$H$3:$H$22,0)),"")&lt;&gt;"",IFERROR(INDEX(Einstellungen!$B$20:$B$119,MATCH($K406,Einstellungen!$A$20:$A$119,0)),"")&lt;&gt;""),IFERROR(INDEX(Einstellungen!$I$3:$I$22,MATCH($K406,Einstellungen!$H$3:$H$22,0)),"")&amp;" / "&amp;IFERROR(INDEX(Einstellungen!$B$20:$B$119,MATCH($K406,Einstellungen!$A$20:$A$119,0)),""),IF(IFERROR(INDEX(Einstellungen!$I$3:$I$22,MATCH($K406,Einstellungen!$H$3:$H$22,0)),"")&lt;&gt;"",IFERROR(INDEX(Einstellungen!$I$3:$I$22,MATCH($K406,Einstellungen!$H$3:$H$22,0)),""),IFERROR(INDEX(Einstellungen!$B$20:$B$119,MATCH($K406,Einstellungen!$A$20:$A$119,0)),""))))</x:f>
      </x:c>
      <x:c r="E406" s="24">
        <x:f>IF($K406="","",SUM(F406:J406))</x:f>
        <x:v>6.5</x:v>
      </x:c>
      <x:c r="F406" s="25" t="n">
        <x:v>1</x:v>
      </x:c>
      <x:c r="G406" s="25" t="n">
        <x:v>2</x:v>
      </x:c>
      <x:c r="H406" s="25" t="n">
        <x:v>1</x:v>
      </x:c>
      <x:c r="I406" s="25" t="n">
        <x:v>2</x:v>
      </x:c>
      <x:c r="J406" s="25" t="n">
        <x:v>0.5</x:v>
      </x:c>
      <x:c r="K406">
        <x:f>IF(24&lt;=DAY(EOMONTH($K381,0)),$K381+23,"")</x:f>
        <x:v>46258</x:v>
      </x:c>
    </x:row>
    <x:row r="407">
      <x:c r="A407" s="21">
        <x:f>IF($K407="","",DAY($K407))</x:f>
        <x:v>25</x:v>
      </x:c>
      <x:c r="B407" s="22" t="str">
        <x:f>IF($K407="","",CHOOSE(WEEKDAY($K407,2),"Mo","Di","Mi","Do","Fr","Sa","So"))</x:f>
        <x:v>Di</x:v>
      </x:c>
      <x:c r="C407" s="22">
        <x:f>IF($K407="","",ISOWEEKNUM($K407))</x:f>
        <x:v>35</x:v>
      </x:c>
      <x:c r="D407" s="23">
        <x:f>IF($K407="","",IF(AND(IFERROR(INDEX(Einstellungen!$I$3:$I$22,MATCH($K407,Einstellungen!$H$3:$H$22,0)),"")&lt;&gt;"",IFERROR(INDEX(Einstellungen!$B$20:$B$119,MATCH($K407,Einstellungen!$A$20:$A$119,0)),"")&lt;&gt;""),IFERROR(INDEX(Einstellungen!$I$3:$I$22,MATCH($K407,Einstellungen!$H$3:$H$22,0)),"")&amp;" / "&amp;IFERROR(INDEX(Einstellungen!$B$20:$B$119,MATCH($K407,Einstellungen!$A$20:$A$119,0)),""),IF(IFERROR(INDEX(Einstellungen!$I$3:$I$22,MATCH($K407,Einstellungen!$H$3:$H$22,0)),"")&lt;&gt;"",IFERROR(INDEX(Einstellungen!$I$3:$I$22,MATCH($K407,Einstellungen!$H$3:$H$22,0)),""),IFERROR(INDEX(Einstellungen!$B$20:$B$119,MATCH($K407,Einstellungen!$A$20:$A$119,0)),""))))</x:f>
      </x:c>
      <x:c r="E407" s="24">
        <x:f>IF($K407="","",SUM(F407:J407))</x:f>
        <x:v>7.5</x:v>
      </x:c>
      <x:c r="F407" s="25" t="n">
        <x:v>1.5</x:v>
      </x:c>
      <x:c r="G407" s="25" t="n">
        <x:v>2.5</x:v>
      </x:c>
      <x:c r="H407" s="25" t="n">
        <x:v>1</x:v>
      </x:c>
      <x:c r="I407" s="25" t="n">
        <x:v>2</x:v>
      </x:c>
      <x:c r="J407" s="25" t="n">
        <x:v>0.5</x:v>
      </x:c>
      <x:c r="K407">
        <x:f>IF(25&lt;=DAY(EOMONTH($K381,0)),$K381+24,"")</x:f>
        <x:v>46259</x:v>
      </x:c>
    </x:row>
    <x:row r="408">
      <x:c r="A408" s="21">
        <x:f>IF($K408="","",DAY($K408))</x:f>
        <x:v>26</x:v>
      </x:c>
      <x:c r="B408" s="22" t="str">
        <x:f>IF($K408="","",CHOOSE(WEEKDAY($K408,2),"Mo","Di","Mi","Do","Fr","Sa","So"))</x:f>
        <x:v>Mi</x:v>
      </x:c>
      <x:c r="C408" s="22">
        <x:f>IF($K408="","",ISOWEEKNUM($K408))</x:f>
        <x:v>35</x:v>
      </x:c>
      <x:c r="D408" s="23">
        <x:f>IF($K408="","",IF(AND(IFERROR(INDEX(Einstellungen!$I$3:$I$22,MATCH($K408,Einstellungen!$H$3:$H$22,0)),"")&lt;&gt;"",IFERROR(INDEX(Einstellungen!$B$20:$B$119,MATCH($K408,Einstellungen!$A$20:$A$119,0)),"")&lt;&gt;""),IFERROR(INDEX(Einstellungen!$I$3:$I$22,MATCH($K408,Einstellungen!$H$3:$H$22,0)),"")&amp;" / "&amp;IFERROR(INDEX(Einstellungen!$B$20:$B$119,MATCH($K408,Einstellungen!$A$20:$A$119,0)),""),IF(IFERROR(INDEX(Einstellungen!$I$3:$I$22,MATCH($K408,Einstellungen!$H$3:$H$22,0)),"")&lt;&gt;"",IFERROR(INDEX(Einstellungen!$I$3:$I$22,MATCH($K408,Einstellungen!$H$3:$H$22,0)),""),IFERROR(INDEX(Einstellungen!$B$20:$B$119,MATCH($K408,Einstellungen!$A$20:$A$119,0)),""))))</x:f>
      </x:c>
      <x:c r="E408" s="24">
        <x:f>IF($K408="","",SUM(F408:J408))</x:f>
        <x:v>7</x:v>
      </x:c>
      <x:c r="F408" s="25" t="n">
        <x:v>1</x:v>
      </x:c>
      <x:c r="G408" s="25" t="n">
        <x:v>2.5</x:v>
      </x:c>
      <x:c r="H408" s="25" t="n">
        <x:v>1.5</x:v>
      </x:c>
      <x:c r="I408" s="25" t="n">
        <x:v>1.5</x:v>
      </x:c>
      <x:c r="J408" s="25" t="n">
        <x:v>0.5</x:v>
      </x:c>
      <x:c r="K408">
        <x:f>IF(26&lt;=DAY(EOMONTH($K381,0)),$K381+25,"")</x:f>
        <x:v>46260</x:v>
      </x:c>
    </x:row>
    <x:row r="409">
      <x:c r="A409" s="21">
        <x:f>IF($K409="","",DAY($K409))</x:f>
        <x:v>27</x:v>
      </x:c>
      <x:c r="B409" s="22" t="str">
        <x:f>IF($K409="","",CHOOSE(WEEKDAY($K409,2),"Mo","Di","Mi","Do","Fr","Sa","So"))</x:f>
        <x:v>Do</x:v>
      </x:c>
      <x:c r="C409" s="22">
        <x:f>IF($K409="","",ISOWEEKNUM($K409))</x:f>
        <x:v>35</x:v>
      </x:c>
      <x:c r="D409" s="23">
        <x:f>IF($K409="","",IF(AND(IFERROR(INDEX(Einstellungen!$I$3:$I$22,MATCH($K409,Einstellungen!$H$3:$H$22,0)),"")&lt;&gt;"",IFERROR(INDEX(Einstellungen!$B$20:$B$119,MATCH($K409,Einstellungen!$A$20:$A$119,0)),"")&lt;&gt;""),IFERROR(INDEX(Einstellungen!$I$3:$I$22,MATCH($K409,Einstellungen!$H$3:$H$22,0)),"")&amp;" / "&amp;IFERROR(INDEX(Einstellungen!$B$20:$B$119,MATCH($K409,Einstellungen!$A$20:$A$119,0)),""),IF(IFERROR(INDEX(Einstellungen!$I$3:$I$22,MATCH($K409,Einstellungen!$H$3:$H$22,0)),"")&lt;&gt;"",IFERROR(INDEX(Einstellungen!$I$3:$I$22,MATCH($K409,Einstellungen!$H$3:$H$22,0)),""),IFERROR(INDEX(Einstellungen!$B$20:$B$119,MATCH($K409,Einstellungen!$A$20:$A$119,0)),""))))</x:f>
      </x:c>
      <x:c r="E409" s="24">
        <x:f>IF($K409="","",SUM(F409:J409))</x:f>
        <x:v>7</x:v>
      </x:c>
      <x:c r="F409" s="25" t="n">
        <x:v>1.5</x:v>
      </x:c>
      <x:c r="G409" s="25" t="n">
        <x:v>2</x:v>
      </x:c>
      <x:c r="H409" s="25" t="n">
        <x:v>1.5</x:v>
      </x:c>
      <x:c r="I409" s="25" t="n">
        <x:v>1.5</x:v>
      </x:c>
      <x:c r="J409" s="25" t="n">
        <x:v>0.5</x:v>
      </x:c>
      <x:c r="K409">
        <x:f>IF(27&lt;=DAY(EOMONTH($K381,0)),$K381+26,"")</x:f>
        <x:v>46261</x:v>
      </x:c>
    </x:row>
    <x:row r="410">
      <x:c r="A410" s="21">
        <x:f>IF($K410="","",DAY($K410))</x:f>
        <x:v>28</x:v>
      </x:c>
      <x:c r="B410" s="22" t="str">
        <x:f>IF($K410="","",CHOOSE(WEEKDAY($K410,2),"Mo","Di","Mi","Do","Fr","Sa","So"))</x:f>
        <x:v>Fr</x:v>
      </x:c>
      <x:c r="C410" s="22">
        <x:f>IF($K410="","",ISOWEEKNUM($K410))</x:f>
        <x:v>35</x:v>
      </x:c>
      <x:c r="D410" s="23">
        <x:f>IF($K410="","",IF(AND(IFERROR(INDEX(Einstellungen!$I$3:$I$22,MATCH($K410,Einstellungen!$H$3:$H$22,0)),"")&lt;&gt;"",IFERROR(INDEX(Einstellungen!$B$20:$B$119,MATCH($K410,Einstellungen!$A$20:$A$119,0)),"")&lt;&gt;""),IFERROR(INDEX(Einstellungen!$I$3:$I$22,MATCH($K410,Einstellungen!$H$3:$H$22,0)),"")&amp;" / "&amp;IFERROR(INDEX(Einstellungen!$B$20:$B$119,MATCH($K410,Einstellungen!$A$20:$A$119,0)),""),IF(IFERROR(INDEX(Einstellungen!$I$3:$I$22,MATCH($K410,Einstellungen!$H$3:$H$22,0)),"")&lt;&gt;"",IFERROR(INDEX(Einstellungen!$I$3:$I$22,MATCH($K410,Einstellungen!$H$3:$H$22,0)),""),IFERROR(INDEX(Einstellungen!$B$20:$B$119,MATCH($K410,Einstellungen!$A$20:$A$119,0)),""))))</x:f>
      </x:c>
      <x:c r="E410" s="24">
        <x:f>IF($K410="","",SUM(F410:J410))</x:f>
        <x:v>3</x:v>
      </x:c>
      <x:c r="F410" s="25" t="n">
        <x:v>1</x:v>
      </x:c>
      <x:c r="G410" s="25" t="n">
        <x:v>0.5</x:v>
      </x:c>
      <x:c r="H410" s="25" t="n">
        <x:v>0.5</x:v>
      </x:c>
      <x:c r="I410" s="25" t="n">
        <x:v>1</x:v>
      </x:c>
      <x:c r="J410" s="25" t="n"/>
      <x:c r="K410">
        <x:f>IF(28&lt;=DAY(EOMONTH($K381,0)),$K381+27,"")</x:f>
        <x:v>46262</x:v>
      </x:c>
    </x:row>
    <x:row r="411">
      <x:c r="A411" s="21">
        <x:f>IF($K411="","",DAY($K411))</x:f>
        <x:v>29</x:v>
      </x:c>
      <x:c r="B411" s="22" t="str">
        <x:f>IF($K411="","",CHOOSE(WEEKDAY($K411,2),"Mo","Di","Mi","Do","Fr","Sa","So"))</x:f>
        <x:v>Sa</x:v>
      </x:c>
      <x:c r="C411" s="22">
        <x:f>IF($K411="","",ISOWEEKNUM($K411))</x:f>
        <x:v>35</x:v>
      </x:c>
      <x:c r="D411" s="23">
        <x:f>IF($K411="","",IF(AND(IFERROR(INDEX(Einstellungen!$I$3:$I$22,MATCH($K411,Einstellungen!$H$3:$H$22,0)),"")&lt;&gt;"",IFERROR(INDEX(Einstellungen!$B$20:$B$119,MATCH($K411,Einstellungen!$A$20:$A$119,0)),"")&lt;&gt;""),IFERROR(INDEX(Einstellungen!$I$3:$I$22,MATCH($K411,Einstellungen!$H$3:$H$22,0)),"")&amp;" / "&amp;IFERROR(INDEX(Einstellungen!$B$20:$B$119,MATCH($K411,Einstellungen!$A$20:$A$119,0)),""),IF(IFERROR(INDEX(Einstellungen!$I$3:$I$22,MATCH($K411,Einstellungen!$H$3:$H$22,0)),"")&lt;&gt;"",IFERROR(INDEX(Einstellungen!$I$3:$I$22,MATCH($K411,Einstellungen!$H$3:$H$22,0)),""),IFERROR(INDEX(Einstellungen!$B$20:$B$119,MATCH($K411,Einstellungen!$A$20:$A$119,0)),""))))</x:f>
      </x:c>
      <x:c r="E411" s="24">
        <x:f>IF($K411="","",SUM(F411:J411))</x:f>
        <x:v>0</x:v>
      </x:c>
      <x:c r="F411" s="25" t="n"/>
      <x:c r="G411" s="25" t="n"/>
      <x:c r="H411" s="25" t="n"/>
      <x:c r="I411" s="25" t="n"/>
      <x:c r="J411" s="25" t="n"/>
      <x:c r="K411">
        <x:f>IF(29&lt;=DAY(EOMONTH($K381,0)),$K381+28,"")</x:f>
        <x:v>46263</x:v>
      </x:c>
    </x:row>
    <x:row r="412">
      <x:c r="A412" s="21">
        <x:f>IF($K412="","",DAY($K412))</x:f>
        <x:v>30</x:v>
      </x:c>
      <x:c r="B412" s="22" t="str">
        <x:f>IF($K412="","",CHOOSE(WEEKDAY($K412,2),"Mo","Di","Mi","Do","Fr","Sa","So"))</x:f>
        <x:v>So</x:v>
      </x:c>
      <x:c r="C412" s="22">
        <x:f>IF($K412="","",ISOWEEKNUM($K412))</x:f>
        <x:v>35</x:v>
      </x:c>
      <x:c r="D412" s="23">
        <x:f>IF($K412="","",IF(AND(IFERROR(INDEX(Einstellungen!$I$3:$I$22,MATCH($K412,Einstellungen!$H$3:$H$22,0)),"")&lt;&gt;"",IFERROR(INDEX(Einstellungen!$B$20:$B$119,MATCH($K412,Einstellungen!$A$20:$A$119,0)),"")&lt;&gt;""),IFERROR(INDEX(Einstellungen!$I$3:$I$22,MATCH($K412,Einstellungen!$H$3:$H$22,0)),"")&amp;" / "&amp;IFERROR(INDEX(Einstellungen!$B$20:$B$119,MATCH($K412,Einstellungen!$A$20:$A$119,0)),""),IF(IFERROR(INDEX(Einstellungen!$I$3:$I$22,MATCH($K412,Einstellungen!$H$3:$H$22,0)),"")&lt;&gt;"",IFERROR(INDEX(Einstellungen!$I$3:$I$22,MATCH($K412,Einstellungen!$H$3:$H$22,0)),""),IFERROR(INDEX(Einstellungen!$B$20:$B$119,MATCH($K412,Einstellungen!$A$20:$A$119,0)),""))))</x:f>
      </x:c>
      <x:c r="E412" s="24">
        <x:f>IF($K412="","",SUM(F412:J412))</x:f>
        <x:v>0</x:v>
      </x:c>
      <x:c r="F412" s="25" t="n"/>
      <x:c r="G412" s="25" t="n"/>
      <x:c r="H412" s="25" t="n"/>
      <x:c r="I412" s="25" t="n"/>
      <x:c r="J412" s="25" t="n"/>
      <x:c r="K412">
        <x:f>IF(30&lt;=DAY(EOMONTH($K381,0)),$K381+29,"")</x:f>
        <x:v>46264</x:v>
      </x:c>
    </x:row>
    <x:row r="413">
      <x:c r="A413" s="21">
        <x:f>IF($K413="","",DAY($K413))</x:f>
        <x:v>31</x:v>
      </x:c>
      <x:c r="B413" s="22" t="str">
        <x:f>IF($K413="","",CHOOSE(WEEKDAY($K413,2),"Mo","Di","Mi","Do","Fr","Sa","So"))</x:f>
        <x:v>Mo</x:v>
      </x:c>
      <x:c r="C413" s="22">
        <x:f>IF($K413="","",ISOWEEKNUM($K413))</x:f>
        <x:v>36</x:v>
      </x:c>
      <x:c r="D413" s="23">
        <x:f>IF($K413="","",IF(AND(IFERROR(INDEX(Einstellungen!$I$3:$I$22,MATCH($K413,Einstellungen!$H$3:$H$22,0)),"")&lt;&gt;"",IFERROR(INDEX(Einstellungen!$B$20:$B$119,MATCH($K413,Einstellungen!$A$20:$A$119,0)),"")&lt;&gt;""),IFERROR(INDEX(Einstellungen!$I$3:$I$22,MATCH($K413,Einstellungen!$H$3:$H$22,0)),"")&amp;" / "&amp;IFERROR(INDEX(Einstellungen!$B$20:$B$119,MATCH($K413,Einstellungen!$A$20:$A$119,0)),""),IF(IFERROR(INDEX(Einstellungen!$I$3:$I$22,MATCH($K413,Einstellungen!$H$3:$H$22,0)),"")&lt;&gt;"",IFERROR(INDEX(Einstellungen!$I$3:$I$22,MATCH($K413,Einstellungen!$H$3:$H$22,0)),""),IFERROR(INDEX(Einstellungen!$B$20:$B$119,MATCH($K413,Einstellungen!$A$20:$A$119,0)),""))))</x:f>
      </x:c>
      <x:c r="E413" s="24">
        <x:f>IF($K413="","",SUM(F413:J413))</x:f>
        <x:v>7.5</x:v>
      </x:c>
      <x:c r="F413" s="25" t="n">
        <x:v>2</x:v>
      </x:c>
      <x:c r="G413" s="25" t="n">
        <x:v>2</x:v>
      </x:c>
      <x:c r="H413" s="25" t="n">
        <x:v>1</x:v>
      </x:c>
      <x:c r="I413" s="25" t="n">
        <x:v>2</x:v>
      </x:c>
      <x:c r="J413" s="25" t="n">
        <x:v>0.5</x:v>
      </x:c>
      <x:c r="K413">
        <x:f>IF(31&lt;=DAY(EOMONTH($K381,0)),$K381+30,"")</x:f>
        <x:v>46265</x:v>
      </x:c>
    </x:row>
    <x:row r="414">
      <x:c r="A414" s="26" t="n"/>
      <x:c r="B414" s="26" t="n"/>
      <x:c r="C414" s="26" t="n"/>
      <x:c r="D414" s="26" t="n"/>
      <x:c r="E414" s="26" t="n"/>
      <x:c r="F414" s="26" t="n"/>
      <x:c r="G414" s="26" t="n"/>
      <x:c r="H414" s="26" t="n"/>
      <x:c r="I414" s="26" t="n"/>
      <x:c r="J414" s="26" t="n"/>
    </x:row>
  </x:sheetData>
  <x:mergeCells>
    <x:mergeCell ref="A313:J313"/>
    <x:mergeCell ref="A1:J1"/>
    <x:mergeCell ref="A75:J75"/>
    <x:mergeCell ref="A211:J211"/>
    <x:mergeCell ref="A143:J143"/>
    <x:mergeCell ref="A245:J245"/>
    <x:mergeCell ref="A347:J347"/>
    <x:mergeCell ref="A381:J381"/>
    <x:mergeCell ref="A109:J109"/>
    <x:mergeCell ref="A7:J7"/>
    <x:mergeCell ref="A279:J279"/>
    <x:mergeCell ref="A2:J2"/>
    <x:mergeCell ref="A177:J177"/>
    <x:mergeCell ref="A41:J41"/>
  </x:mergeCells>
  <x:conditionalFormatting sqref="A9:J39">
    <x:cfRule type="expression" dxfId="0" priority="1">
      <x:formula>WEEKDAY($K9,2)&gt;5</x:formula>
    </x:cfRule>
    <x:cfRule type="expression" dxfId="0" priority="13">
      <x:formula>WEEKDAY($K9,2)&gt;5</x:formula>
    </x:cfRule>
    <x:cfRule type="expression" dxfId="1" priority="14">
      <x:formula>$K9=TODAY()</x:formula>
    </x:cfRule>
  </x:conditionalFormatting>
  <x:conditionalFormatting sqref="A43:J73">
    <x:cfRule type="expression" dxfId="0" priority="2">
      <x:formula>WEEKDAY($K43,2)&gt;5</x:formula>
    </x:cfRule>
    <x:cfRule type="expression" dxfId="0" priority="15">
      <x:formula>WEEKDAY($K43,2)&gt;5</x:formula>
    </x:cfRule>
    <x:cfRule type="expression" dxfId="1" priority="16">
      <x:formula>$K43=TODAY()</x:formula>
    </x:cfRule>
  </x:conditionalFormatting>
  <x:conditionalFormatting sqref="A77:J107">
    <x:cfRule type="expression" dxfId="0" priority="3">
      <x:formula>WEEKDAY($K77,2)&gt;5</x:formula>
    </x:cfRule>
    <x:cfRule type="expression" dxfId="0" priority="17">
      <x:formula>WEEKDAY($K77,2)&gt;5</x:formula>
    </x:cfRule>
    <x:cfRule type="expression" dxfId="1" priority="18">
      <x:formula>$K77=TODAY()</x:formula>
    </x:cfRule>
  </x:conditionalFormatting>
  <x:conditionalFormatting sqref="A111:J141">
    <x:cfRule type="expression" dxfId="0" priority="4">
      <x:formula>WEEKDAY($K111,2)&gt;5</x:formula>
    </x:cfRule>
    <x:cfRule type="expression" dxfId="0" priority="19">
      <x:formula>WEEKDAY($K111,2)&gt;5</x:formula>
    </x:cfRule>
    <x:cfRule type="expression" dxfId="1" priority="20">
      <x:formula>$K111=TODAY()</x:formula>
    </x:cfRule>
  </x:conditionalFormatting>
  <x:conditionalFormatting sqref="A145:J175">
    <x:cfRule type="expression" dxfId="0" priority="5">
      <x:formula>WEEKDAY($K145,2)&gt;5</x:formula>
    </x:cfRule>
    <x:cfRule type="expression" dxfId="0" priority="21">
      <x:formula>WEEKDAY($K145,2)&gt;5</x:formula>
    </x:cfRule>
    <x:cfRule type="expression" dxfId="1" priority="22">
      <x:formula>$K145=TODAY()</x:formula>
    </x:cfRule>
  </x:conditionalFormatting>
  <x:conditionalFormatting sqref="A179:J209">
    <x:cfRule type="expression" dxfId="0" priority="6">
      <x:formula>WEEKDAY($K179,2)&gt;5</x:formula>
    </x:cfRule>
    <x:cfRule type="expression" dxfId="0" priority="23">
      <x:formula>WEEKDAY($K179,2)&gt;5</x:formula>
    </x:cfRule>
    <x:cfRule type="expression" dxfId="1" priority="24">
      <x:formula>$K179=TODAY()</x:formula>
    </x:cfRule>
  </x:conditionalFormatting>
  <x:conditionalFormatting sqref="A213:J243">
    <x:cfRule type="expression" dxfId="0" priority="7">
      <x:formula>WEEKDAY($K213,2)&gt;5</x:formula>
    </x:cfRule>
    <x:cfRule type="expression" dxfId="0" priority="25">
      <x:formula>WEEKDAY($K213,2)&gt;5</x:formula>
    </x:cfRule>
    <x:cfRule type="expression" dxfId="1" priority="26">
      <x:formula>$K213=TODAY()</x:formula>
    </x:cfRule>
  </x:conditionalFormatting>
  <x:conditionalFormatting sqref="A247:J277">
    <x:cfRule type="expression" dxfId="0" priority="8">
      <x:formula>WEEKDAY($K247,2)&gt;5</x:formula>
    </x:cfRule>
    <x:cfRule type="expression" dxfId="0" priority="27">
      <x:formula>WEEKDAY($K247,2)&gt;5</x:formula>
    </x:cfRule>
    <x:cfRule type="expression" dxfId="1" priority="28">
      <x:formula>$K247=TODAY()</x:formula>
    </x:cfRule>
  </x:conditionalFormatting>
  <x:conditionalFormatting sqref="A281:J311">
    <x:cfRule type="expression" dxfId="0" priority="9">
      <x:formula>WEEKDAY($K281,2)&gt;5</x:formula>
    </x:cfRule>
    <x:cfRule type="expression" dxfId="0" priority="29">
      <x:formula>WEEKDAY($K281,2)&gt;5</x:formula>
    </x:cfRule>
    <x:cfRule type="expression" dxfId="1" priority="30">
      <x:formula>$K281=TODAY()</x:formula>
    </x:cfRule>
  </x:conditionalFormatting>
  <x:conditionalFormatting sqref="A315:J345">
    <x:cfRule type="expression" dxfId="0" priority="10">
      <x:formula>WEEKDAY($K315,2)&gt;5</x:formula>
    </x:cfRule>
    <x:cfRule type="expression" dxfId="0" priority="31">
      <x:formula>WEEKDAY($K315,2)&gt;5</x:formula>
    </x:cfRule>
    <x:cfRule type="expression" dxfId="1" priority="32">
      <x:formula>$K315=TODAY()</x:formula>
    </x:cfRule>
  </x:conditionalFormatting>
  <x:conditionalFormatting sqref="A349:J379">
    <x:cfRule type="expression" dxfId="0" priority="11">
      <x:formula>WEEKDAY($K349,2)&gt;5</x:formula>
    </x:cfRule>
    <x:cfRule type="expression" dxfId="0" priority="33">
      <x:formula>WEEKDAY($K349,2)&gt;5</x:formula>
    </x:cfRule>
    <x:cfRule type="expression" dxfId="1" priority="34">
      <x:formula>$K349=TODAY()</x:formula>
    </x:cfRule>
  </x:conditionalFormatting>
  <x:conditionalFormatting sqref="A383:J413">
    <x:cfRule type="expression" dxfId="0" priority="12">
      <x:formula>WEEKDAY($K383,2)&gt;5</x:formula>
    </x:cfRule>
    <x:cfRule type="expression" dxfId="0" priority="35">
      <x:formula>WEEKDAY($K383,2)&gt;5</x:formula>
    </x:cfRule>
    <x:cfRule type="expression" dxfId="1" priority="36">
      <x:formula>$K383=TODAY()</x:formula>
    </x:cfRule>
  </x:conditionalFormatting>
  <x:dataValidations count="1">
    <x:dataValidation type="decimal" operator="between" allowBlank="1" showDropDown="0" showInputMessage="0" showErrorMessage="0" errorTitle="Ungültiger Wert" error="Nur Dezimalstunden zwischen 0 und 24 sind erlaubt." promptTitle="Stundeneingabe" prompt="Bitte Dezimalstunden zwischen 0 und 24 eingeben." sqref="F9 F10 F11 F12 F13 F14 F15 F16 F17 F18 F19 F20 F21 F22 F23 F24 F25 F26 F27 F28 F29 F30 F31 F32 F33 F34 F35 F36 F37 F38 F39 F43 F44 F45 F46 F47 F48 F49 F50 F51 F52 F53 F54 F55 F56 F57 F58 F59 F60 F61 F62 F63 F64 F65 F66 F67 F68 F69 F70 F71 F72 F73 F77 F78 F79 F80 F81 F82 F83 F84 F85 F86 F87 F88 F89 F90 F91 F92 F93 F94 F95 F96 F97 F98 F99 F100 F101 F102 F103 F104 F105 F106 F107 F111 F112 F113 F114 F115 F116 F117 F118 F119 F120 F121 F122 F123 F124 F125 F126 F127 F128 F129 F130 F131 F132 F133 F134 F135 F136 F137 F138 F139 F140 F141 F145 F146 F147 F148 F149 F150 F151 F152 F153 F154 F155 F156 F157 F158 F159 F160 F161 F162 F163 F164 F165 F166 F167 F168 F169 F170 F171 F172 F173 F174 F175 F179 F180 F181 F182 F183 F184 F185 F186 F187 F188 F189 F190 F191 F192 F193 F194 F195 F196 F197 F198 F199 F200 F201 F202 F203 F204 F205 F206 F207 F208 F209 F213 F214 F215 F216 F217 F218 F219 F220 F221 F222 F223 F224 F225 F226 F227 F228 F229 F230 F231 F232 F233 F234 F235 F236 F237 F238 F239 F240 F241 F242 F243 F247 F248 F249 F250 F251 F252 F253 F254 F255 F256 F257 F258 F259 F260 F261 F262 F263 F264 F265 F266 F267 F268 F269 F270 F271 F272 F273 F274 F275 F276 F277 F281 F282 F283 F284 F285 F286 F287 F288 F289 F290 F291 F292 F293 F294 F295 F296 F297 F298 F299 F300 F301 F302 F303 F304 F305 F306 F307 F308 F309 F310 F311 F315 F316 F317 F318 F319 F320 F321 F322 F323 F324 F325 F326 F327 F328 F329 F330 F331 F332 F333 F334 F335 F336 F337 F338 F339 F340 F341 F342 F343 F344 F345 F349 F350 F351 F352 F353 F354 F355 F356 F357 F358 F359 F360 F361 F362 F363 F364 F365 F366 F367 F368 F369 F370 F371 F372 F373 F374 F375 F376 F377 F378 F379 F383 F384 F385 F386 F387 F388 F389 F390 F391 F392 F393 F394 F395 F396 F397 F398 F399 F400 F401 F402 F403 F404 F405 F406 F407 F408 F409 F410 F411 F412 F413 G9 G10 G11 G12 G13 G14 G15 G16 G17 G18 G19 G20 G21 G22 G23 G24 G25 G26 G27 G28 G29 G30 G31 G32 G33 G34 G35 G36 G37 G38 G39 G43 G44 G45 G46 G47 G48 G49 G50 G51 G52 G53 G54 G55 G56 G57 G58 G59 G60 G61 G62 G63 G64 G65 G66 G67 G68 G69 G70 G71 G72 G73 G77 G78 G79 G80 G81 G82 G83 G84 G85 G86 G87 G88 G89 G90 G91 G92 G93 G94 G95 G96 G97 G98 G99 G100 G101 G102 G103 G104 G105 G106 G107 G111 G112 G113 G114 G115 G116 G117 G118 G119 G120 G121 G122 G123 G124 G125 G126 G127 G128 G129 G130 G131 G132 G133 G134 G135 G136 G137 G138 G139 G140 G141 G145 G146 G147 G148 G149 G150 G151 G152 G153 G154 G155 G156 G157 G158 G159 G160 G161 G162 G163 G164 G165 G166 G167 G168 G169 G170 G171 G172 G173 G174 G175 G179 G180 G181 G182 G183 G184 G185 G186 G187 G188 G189 G190 G191 G192 G193 G194 G195 G196 G197 G198 G199 G200 G201 G202 G203 G204 G205 G206 G207 G208 G209 G213 G214 G215 G216 G217 G218 G219 G220 G221 G222 G223 G224 G225 G226 G227 G228 G229 G230 G231 G232 G233 G234 G235 G236 G237 G238 G239 G240 G241 G242 G243 G247 G248 G249 G250 G251 G252 G253 G254 G255 G256 G257 G258 G259 G260 G261 G262 G263 G264 G265 G266 G267 G268 G269 G270 G271 G272 G273 G274 G275 G276 G277 G281 G282 G283 G284 G285 G286 G287 G288 G289 G290 G291 G292 G293 G294 G295 G296 G297 G298 G299 G300 G301 G302 G303 G304 G305 G306 G307 G308 G309 G310 G311 G315 G316 G317 G318 G319 G320 G321 G322 G323 G324 G325 G326 G327 G328 G329 G330 G331 G332 G333 G334 G335 G336 G337 G338 G339 G340 G341 G342 G343 G344 G345 G349 G350 G351 G352 G353 G354 G355 G356 G357 G358 G359 G360 G361 G362 G363 G364 G365 G366 G367 G368 G369 G370 G371 G372 G373 G374 G375 G376 G377 G378 G379 G383 G384 G385 G386 G387 G388 G389 G390 G391 G392 G393 G394 G395 G396 G397 G398 G399 G400 G401 G402 G403 G404 G405 G406 G407 G408 G409 G410 G411 G412 G413 H9 H10 H11 H12 H13 H14 H15 H16 H17 H18 H19 H20 H21 H22 H23 H24 H25 H26 H27 H28 H29 H30 H31 H32 H33 H34 H35 H36 H37 H38 H39 H43 H44 H45 H46 H47 H48 H49 H50 H51 H52 H53 H54 H55 H56 H57 H58 H59 H60 H61 H62 H63 H64 H65 H66 H67 H68 H69 H70 H71 H72 H73 H77 H78 H79 H80 H81 H82 H83 H84 H85 H86 H87 H88 H89 H90 H91 H92 H93 H94 H95 H96 H97 H98 H99 H100 H101 H102 H103 H104 H105 H106 H107 H111 H112 H113 H114 H115 H116 H117 H118 H119 H120 H121 H122 H123 H124 H125 H126 H127 H128 H129 H130 H131 H132 H133 H134 H135 H136 H137 H138 H139 H140 H141 H145 H146 H147 H148 H149 H150 H151 H152 H153 H154 H155 H156 H157 H158 H159 H160 H161 H162 H163 H164 H165 H166 H167 H168 H169 H170 H171 H172 H173 H174 H175 H179 H180 H181 H182 H183 H184 H185 H186 H187 H188 H189 H190 H191 H192 H193 H194 H195 H196 H197 H198 H199 H200 H201 H202 H203 H204 H205 H206 H207 H208 H209 H213 H214 H215 H216 H217 H218 H219 H220 H221 H222 H223 H224 H225 H226 H227 H228 H229 H230 H231 H232 H233 H234 H235 H236 H237 H238 H239 H240 H241 H242 H243 H247 H248 H249 H250 H251 H252 H253 H254 H255 H256 H257 H258 H259 H260 H261 H262 H263 H264 H265 H266 H267 H268 H269 H270 H271 H272 H273 H274 H275 H276 H277 H281 H282 H283 H284 H285 H286 H287 H288 H289 H290 H291 H292 H293 H294 H295 H296 H297 H298 H299 H300 H301 H302 H303 H304 H305 H306 H307 H308 H309 H310 H311 H315 H316 H317 H318 H319 H320 H321 H322 H323 H324 H325 H326 H327 H328 H329 H330 H331 H332 H333 H334 H335 H336 H337 H338 H339 H340 H341 H342 H343 H344 H345 H349 H350 H351 H352 H353 H354 H355 H356 H357 H358 H359 H360 H361 H362 H363 H364 H365 H366 H367 H368 H369 H370 H371 H372 H373 H374 H375 H376 H377 H378 H379 H383 H384 H385 H386 H387 H388 H389 H390 H391 H392 H393 H394 H395 H396 H397 H398 H399 H400 H401 H402 H403 H404 H405 H406 H407 H408 H409 H410 H411 H412 H413 I9 I10 I11 I12 I13 I14 I15 I16 I17 I18 I19 I20 I21 I22 I23 I24 I25 I26 I27 I28 I29 I30 I31 I32 I33 I34 I35 I36 I37 I38 I39 I43 I44 I45 I46 I47 I48 I49 I50 I51 I52 I53 I54 I55 I56 I57 I58 I59 I60 I61 I62 I63 I64 I65 I66 I67 I68 I69 I70 I71 I72 I73 I77 I78 I79 I80 I81 I82 I83 I84 I85 I86 I87 I88 I89 I90 I91 I92 I93 I94 I95 I96 I97 I98 I99 I100 I101 I102 I103 I104 I105 I106 I107 I111 I112 I113 I114 I115 I116 I117 I118 I119 I120 I121 I122 I123 I124 I125 I126 I127 I128 I129 I130 I131 I132 I133 I134 I135 I136 I137 I138 I139 I140 I141 I145 I146 I147 I148 I149 I150 I151 I152 I153 I154 I155 I156 I157 I158 I159 I160 I161 I162 I163 I164 I165 I166 I167 I168 I169 I170 I171 I172 I173 I174 I175 I179 I180 I181 I182 I183 I184 I185 I186 I187 I188 I189 I190 I191 I192 I193 I194 I195 I196 I197 I198 I199 I200 I201 I202 I203 I204 I205 I206 I207 I208 I209 I213 I214 I215 I216 I217 I218 I219 I220 I221 I222 I223 I224 I225 I226 I227 I228 I229 I230 I231 I232 I233 I234 I235 I236 I237 I238 I239 I240 I241 I242 I243 I247 I248 I249 I250 I251 I252 I253 I254 I255 I256 I257 I258 I259 I260 I261 I262 I263 I264 I265 I266 I267 I268 I269 I270 I271 I272 I273 I274 I275 I276 I277 I281 I282 I283 I284 I285 I286 I287 I288 I289 I290 I291 I292 I293 I294 I295 I296 I297 I298 I299 I300 I301 I302 I303 I304 I305 I306 I307 I308 I309 I310 I311 I315 I316 I317 I318 I319 I320 I321 I322 I323 I324 I325 I326 I327 I328 I329 I330 I331 I332 I333 I334 I335 I336 I337 I338 I339 I340 I341 I342 I343 I344 I345 I349 I350 I351 I352 I353 I354 I355 I356 I357 I358 I359 I360 I361 I362 I363 I364 I365 I366 I367 I368 I369 I370 I371 I372 I373 I374 I375 I376 I377 I378 I379 I383 I384 I385 I386 I387 I388 I389 I390 I391 I392 I393 I394 I395 I396 I397 I398 I399 I400 I401 I402 I403 I404 I405 I406 I407 I408 I409 I410 I411 I412 I413 J9 J10 J11 J12 J13 J14 J15 J16 J17 J18 J19 J20 J21 J22 J23 J24 J25 J26 J27 J28 J29 J30 J31 J32 J33 J34 J35 J36 J37 J38 J39 J43 J44 J45 J46 J47 J48 J49 J50 J51 J52 J53 J54 J55 J56 J57 J58 J59 J60 J61 J62 J63 J64 J65 J66 J67 J68 J69 J70 J71 J72 J73 J77 J78 J79 J80 J81 J82 J83 J84 J85 J86 J87 J88 J89 J90 J91 J92 J93 J94 J95 J96 J97 J98 J99 J100 J101 J102 J103 J104 J105 J106 J107 J111 J112 J113 J114 J115 J116 J117 J118 J119 J120 J121 J122 J123 J124 J125 J126 J127 J128 J129 J130 J131 J132 J133 J134 J135 J136 J137 J138 J139 J140 J141 J145 J146 J147 J148 J149 J150 J151 J152 J153 J154 J155 J156 J157 J158 J159 J160 J161 J162 J163 J164 J165 J166 J167 J168 J169 J170 J171 J172 J173 J174 J175 J179 J180 J181 J182 J183 J184 J185 J186 J187 J188 J189 J190 J191 J192 J193 J194 J195 J196 J197 J198 J199 J200 J201 J202 J203 J204 J205 J206 J207 J208 J209 J213 J214 J215 J216 J217 J218 J219 J220 J221 J222 J223 J224 J225 J226 J227 J228 J229 J230 J231 J232 J233 J234 J235 J236 J237 J238 J239 J240 J241 J242 J243 J247 J248 J249 J250 J251 J252 J253 J254 J255 J256 J257 J258 J259 J260 J261 J262 J263 J264 J265 J266 J267 J268 J269 J270 J271 J272 J273 J274 J275 J276 J277 J281 J282 J283 J284 J285 J286 J287 J288 J289 J290 J291 J292 J293 J294 J295 J296 J297 J298 J299 J300 J301 J302 J303 J304 J305 J306 J307 J308 J309 J310 J311 J315 J316 J317 J318 J319 J320 J321 J322 J323 J324 J325 J326 J327 J328 J329 J330 J331 J332 J333 J334 J335 J336 J337 J338 J339 J340 J341 J342 J343 J344 J345 J349 J350 J351 J352 J353 J354 J355 J356 J357 J358 J359 J360 J361 J362 J363 J364 J365 J366 J367 J368 J369 J370 J371 J372 J373 J374 J375 J376 J377 J378 J379 J383 J384 J385 J386 J387 J388 J389 J390 J391 J392 J393 J394 J395 J396 J397 J398 J399 J400 J401 J402 J403 J404 J405 J406 J407 J408 J409 J410 J411 J412 J413">
      <x:formula1>0</x:formula1>
      <x:formula2>24</x:formula2>
    </x:dataValidation>
  </x:dataValidations>
  <x:pageMargins left="0.7" right="0.7" top="0.75" bottom="0.75" header="0.3" footer="0.3"/>
</x:worksheet>
</file>

<file path=xl/worksheets/sheet3.xml><?xml version="1.0" encoding="utf-8"?>
<x:worksheet xmlns:x="http://schemas.openxmlformats.org/spreadsheetml/2006/main">
  <x:sheetViews>
    <x:sheetView showGridLines="0" workbookViewId="0"/>
  </x:sheetViews>
  <x:sheetFormatPr baseColWidth="8" defaultRowHeight="15"/>
  <x:cols>
    <x:col min="1" max="1" width="20" customWidth="1"/>
    <x:col min="2" max="2" width="12" customWidth="1"/>
    <x:col min="3" max="3" width="12" customWidth="1"/>
    <x:col min="4" max="4" width="12" customWidth="1"/>
    <x:col min="5" max="5" width="12" customWidth="1"/>
    <x:col min="6" max="6" width="14" customWidth="1"/>
    <x:col min="7" max="7" width="12" customWidth="1"/>
  </x:cols>
  <x:sheetData>
    <x:row r="1">
      <x:c r="A1" s="27" t="inlineStr">
        <x:is>
          <x:t xml:space="preserve">Übersicht</x:t>
        </x:is>
      </x:c>
    </x:row>
    <x:row r="2">
      <x:c r="A2" s="28" t="inlineStr">
        <x:is>
          <x:t xml:space="preserve">Zeitraum</x:t>
        </x:is>
      </x:c>
      <x:c r="B2" s="9" t="str">
        <x:f>Einstellungen!$B$7</x:f>
        <x:v>September 2025 bis August 2026</x:v>
      </x:c>
    </x:row>
    <x:row r="3">
      <x:c r="A3" s="5" t="inlineStr">
        <x:is>
          <x:t xml:space="preserve">Zurück zum Kalender</x:t>
        </x:is>
      </x:c>
    </x:row>
    <x:row r="5">
      <x:c r="A5" s="11" t="inlineStr">
        <x:is>
          <x:t xml:space="preserve">Monat</x:t>
        </x:is>
      </x:c>
      <x:c r="B5" s="11" t="inlineStr">
        <x:is>
          <x:t xml:space="preserve">Arbeitszeit</x:t>
        </x:is>
      </x:c>
      <x:c r="C5" s="11" t="str">
        <x:f>Einstellungen!$B$11</x:f>
        <x:v>E-Mail</x:v>
      </x:c>
      <x:c r="D5" s="11" t="str">
        <x:f>Einstellungen!$B$12</x:f>
        <x:v>Meetings</x:v>
      </x:c>
      <x:c r="E5" s="11" t="str">
        <x:f>Einstellungen!$B$13</x:f>
        <x:v>Telefonate</x:v>
      </x:c>
      <x:c r="F5" s="11" t="str">
        <x:f>Einstellungen!$B$14</x:f>
        <x:v>Dokumentation</x:v>
      </x:c>
      <x:c r="G5" s="11" t="str">
        <x:f>Einstellungen!$B$15</x:f>
        <x:v>Sonstiges</x:v>
      </x:c>
    </x:row>
    <x:row r="6">
      <x:c r="A6" s="29" t="str">
        <x:f>INDEX(Einstellungen!$F$2:$F$13,MONTH(EDATE(Einstellungen!$B$5,0)))&amp;" "&amp;YEAR(EDATE(Einstellungen!$B$5,0))</x:f>
        <x:v>September 2025</x:v>
      </x:c>
      <x:c r="B6" s="30">
        <x:f>SUM(Kalender!E9:E39)</x:f>
        <x:v>137.5</x:v>
      </x:c>
      <x:c r="C6" s="31">
        <x:f>SUM(Kalender!F9:F39)</x:f>
        <x:v>29</x:v>
      </x:c>
      <x:c r="D6" s="31">
        <x:f>SUM(Kalender!G9:G39)</x:f>
        <x:v>40</x:v>
      </x:c>
      <x:c r="E6" s="31">
        <x:f>SUM(Kalender!H9:H39)</x:f>
        <x:v>23</x:v>
      </x:c>
      <x:c r="F6" s="31">
        <x:f>SUM(Kalender!I9:I39)</x:f>
        <x:v>34.5</x:v>
      </x:c>
      <x:c r="G6" s="31">
        <x:f>SUM(Kalender!J9:J39)</x:f>
        <x:v>11</x:v>
      </x:c>
    </x:row>
    <x:row r="7">
      <x:c r="A7" s="29" t="str">
        <x:f>INDEX(Einstellungen!$F$2:$F$13,MONTH(EDATE(Einstellungen!$B$5,1)))&amp;" "&amp;YEAR(EDATE(Einstellungen!$B$5,1))</x:f>
        <x:v>Oktober 2025</x:v>
      </x:c>
      <x:c r="B7" s="30">
        <x:f>SUM(Kalender!E43:E73)</x:f>
        <x:v>145</x:v>
      </x:c>
      <x:c r="C7" s="31">
        <x:f>SUM(Kalender!F43:F73)</x:f>
        <x:v>30</x:v>
      </x:c>
      <x:c r="D7" s="31">
        <x:f>SUM(Kalender!G43:G73)</x:f>
        <x:v>41.5</x:v>
      </x:c>
      <x:c r="E7" s="31">
        <x:f>SUM(Kalender!H43:H73)</x:f>
        <x:v>26.5</x:v>
      </x:c>
      <x:c r="F7" s="31">
        <x:f>SUM(Kalender!I43:I73)</x:f>
        <x:v>37.5</x:v>
      </x:c>
      <x:c r="G7" s="31">
        <x:f>SUM(Kalender!J43:J73)</x:f>
        <x:v>9.5</x:v>
      </x:c>
    </x:row>
    <x:row r="8">
      <x:c r="A8" s="29" t="str">
        <x:f>INDEX(Einstellungen!$F$2:$F$13,MONTH(EDATE(Einstellungen!$B$5,2)))&amp;" "&amp;YEAR(EDATE(Einstellungen!$B$5,2))</x:f>
        <x:v>November 2025</x:v>
      </x:c>
      <x:c r="B8" s="30">
        <x:f>SUM(Kalender!E77:E107)</x:f>
        <x:v>130</x:v>
      </x:c>
      <x:c r="C8" s="31">
        <x:f>SUM(Kalender!F77:F107)</x:f>
        <x:v>27</x:v>
      </x:c>
      <x:c r="D8" s="31">
        <x:f>SUM(Kalender!G77:G107)</x:f>
        <x:v>39</x:v>
      </x:c>
      <x:c r="E8" s="31">
        <x:f>SUM(Kalender!H77:H107)</x:f>
        <x:v>22.5</x:v>
      </x:c>
      <x:c r="F8" s="31">
        <x:f>SUM(Kalender!I77:I107)</x:f>
        <x:v>33.5</x:v>
      </x:c>
      <x:c r="G8" s="31">
        <x:f>SUM(Kalender!J77:J107)</x:f>
        <x:v>8</x:v>
      </x:c>
    </x:row>
    <x:row r="9">
      <x:c r="A9" s="29" t="str">
        <x:f>INDEX(Einstellungen!$F$2:$F$13,MONTH(EDATE(Einstellungen!$B$5,3)))&amp;" "&amp;YEAR(EDATE(Einstellungen!$B$5,3))</x:f>
        <x:v>Dezember 2025</x:v>
      </x:c>
      <x:c r="B9" s="30">
        <x:f>SUM(Kalender!E111:E141)</x:f>
        <x:v>135</x:v>
      </x:c>
      <x:c r="C9" s="31">
        <x:f>SUM(Kalender!F111:F141)</x:f>
        <x:v>28</x:v>
      </x:c>
      <x:c r="D9" s="31">
        <x:f>SUM(Kalender!G111:G141)</x:f>
        <x:v>39</x:v>
      </x:c>
      <x:c r="E9" s="31">
        <x:f>SUM(Kalender!H111:H141)</x:f>
        <x:v>22.5</x:v>
      </x:c>
      <x:c r="F9" s="31">
        <x:f>SUM(Kalender!I111:I141)</x:f>
        <x:v>35</x:v>
      </x:c>
      <x:c r="G9" s="31">
        <x:f>SUM(Kalender!J111:J141)</x:f>
        <x:v>10.5</x:v>
      </x:c>
    </x:row>
    <x:row r="10">
      <x:c r="A10" s="29" t="str">
        <x:f>INDEX(Einstellungen!$F$2:$F$13,MONTH(EDATE(Einstellungen!$B$5,4)))&amp;" "&amp;YEAR(EDATE(Einstellungen!$B$5,4))</x:f>
        <x:v>Januar 2026</x:v>
      </x:c>
      <x:c r="B10" s="30">
        <x:f>SUM(Kalender!E145:E175)</x:f>
        <x:v>136.5</x:v>
      </x:c>
      <x:c r="C10" s="31">
        <x:f>SUM(Kalender!F145:F175)</x:f>
        <x:v>30.5</x:v>
      </x:c>
      <x:c r="D10" s="31">
        <x:f>SUM(Kalender!G145:G175)</x:f>
        <x:v>37.5</x:v>
      </x:c>
      <x:c r="E10" s="31">
        <x:f>SUM(Kalender!H145:H175)</x:f>
        <x:v>24</x:v>
      </x:c>
      <x:c r="F10" s="31">
        <x:f>SUM(Kalender!I145:I175)</x:f>
        <x:v>35.5</x:v>
      </x:c>
      <x:c r="G10" s="31">
        <x:f>SUM(Kalender!J145:J175)</x:f>
        <x:v>9</x:v>
      </x:c>
    </x:row>
    <x:row r="11">
      <x:c r="A11" s="29" t="str">
        <x:f>INDEX(Einstellungen!$F$2:$F$13,MONTH(EDATE(Einstellungen!$B$5,5)))&amp;" "&amp;YEAR(EDATE(Einstellungen!$B$5,5))</x:f>
        <x:v>Februar 2026</x:v>
      </x:c>
      <x:c r="B11" s="30">
        <x:f>SUM(Kalender!E179:E209)</x:f>
        <x:v>134.5</x:v>
      </x:c>
      <x:c r="C11" s="31">
        <x:f>SUM(Kalender!F179:F209)</x:f>
        <x:v>28.5</x:v>
      </x:c>
      <x:c r="D11" s="31">
        <x:f>SUM(Kalender!G179:G209)</x:f>
        <x:v>38</x:v>
      </x:c>
      <x:c r="E11" s="31">
        <x:f>SUM(Kalender!H179:H209)</x:f>
        <x:v>24.5</x:v>
      </x:c>
      <x:c r="F11" s="31">
        <x:f>SUM(Kalender!I179:I209)</x:f>
        <x:v>32.5</x:v>
      </x:c>
      <x:c r="G11" s="31">
        <x:f>SUM(Kalender!J179:J209)</x:f>
        <x:v>11</x:v>
      </x:c>
    </x:row>
    <x:row r="12">
      <x:c r="A12" s="29" t="str">
        <x:f>INDEX(Einstellungen!$F$2:$F$13,MONTH(EDATE(Einstellungen!$B$5,6)))&amp;" "&amp;YEAR(EDATE(Einstellungen!$B$5,6))</x:f>
        <x:v>März 2026</x:v>
      </x:c>
      <x:c r="B12" s="30">
        <x:f>SUM(Kalender!E213:E243)</x:f>
        <x:v>135.5</x:v>
      </x:c>
      <x:c r="C12" s="31">
        <x:f>SUM(Kalender!F213:F243)</x:f>
        <x:v>29.5</x:v>
      </x:c>
      <x:c r="D12" s="31">
        <x:f>SUM(Kalender!G213:G243)</x:f>
        <x:v>37.5</x:v>
      </x:c>
      <x:c r="E12" s="31">
        <x:f>SUM(Kalender!H213:H243)</x:f>
        <x:v>23</x:v>
      </x:c>
      <x:c r="F12" s="31">
        <x:f>SUM(Kalender!I213:I243)</x:f>
        <x:v>35.5</x:v>
      </x:c>
      <x:c r="G12" s="31">
        <x:f>SUM(Kalender!J213:J243)</x:f>
        <x:v>10</x:v>
      </x:c>
    </x:row>
    <x:row r="13">
      <x:c r="A13" s="29" t="str">
        <x:f>INDEX(Einstellungen!$F$2:$F$13,MONTH(EDATE(Einstellungen!$B$5,7)))&amp;" "&amp;YEAR(EDATE(Einstellungen!$B$5,7))</x:f>
        <x:v>April 2026</x:v>
      </x:c>
      <x:c r="B13" s="30">
        <x:f>SUM(Kalender!E247:E277)</x:f>
        <x:v>135.5</x:v>
      </x:c>
      <x:c r="C13" s="31">
        <x:f>SUM(Kalender!F247:F277)</x:f>
        <x:v>28</x:v>
      </x:c>
      <x:c r="D13" s="31">
        <x:f>SUM(Kalender!G247:G277)</x:f>
        <x:v>39</x:v>
      </x:c>
      <x:c r="E13" s="31">
        <x:f>SUM(Kalender!H247:H277)</x:f>
        <x:v>25</x:v>
      </x:c>
      <x:c r="F13" s="31">
        <x:f>SUM(Kalender!I247:I277)</x:f>
        <x:v>34.5</x:v>
      </x:c>
      <x:c r="G13" s="31">
        <x:f>SUM(Kalender!J247:J277)</x:f>
        <x:v>9</x:v>
      </x:c>
    </x:row>
    <x:row r="14">
      <x:c r="A14" s="29" t="str">
        <x:f>INDEX(Einstellungen!$F$2:$F$13,MONTH(EDATE(Einstellungen!$B$5,8)))&amp;" "&amp;YEAR(EDATE(Einstellungen!$B$5,8))</x:f>
        <x:v>Mai 2026</x:v>
      </x:c>
      <x:c r="B14" s="30">
        <x:f>SUM(Kalender!E281:E311)</x:f>
        <x:v>115.5</x:v>
      </x:c>
      <x:c r="C14" s="31">
        <x:f>SUM(Kalender!F281:F311)</x:f>
        <x:v>24</x:v>
      </x:c>
      <x:c r="D14" s="31">
        <x:f>SUM(Kalender!G281:G311)</x:f>
        <x:v>35</x:v>
      </x:c>
      <x:c r="E14" s="31">
        <x:f>SUM(Kalender!H281:H311)</x:f>
        <x:v>19.5</x:v>
      </x:c>
      <x:c r="F14" s="31">
        <x:f>SUM(Kalender!I281:I311)</x:f>
        <x:v>30</x:v>
      </x:c>
      <x:c r="G14" s="31">
        <x:f>SUM(Kalender!J281:J311)</x:f>
        <x:v>7</x:v>
      </x:c>
    </x:row>
    <x:row r="15">
      <x:c r="A15" s="29" t="str">
        <x:f>INDEX(Einstellungen!$F$2:$F$13,MONTH(EDATE(Einstellungen!$B$5,9)))&amp;" "&amp;YEAR(EDATE(Einstellungen!$B$5,9))</x:f>
        <x:v>Juni 2026</x:v>
      </x:c>
      <x:c r="B15" s="30">
        <x:f>SUM(Kalender!E315:E345)</x:f>
        <x:v>137</x:v>
      </x:c>
      <x:c r="C15" s="31">
        <x:f>SUM(Kalender!F315:F345)</x:f>
        <x:v>28.5</x:v>
      </x:c>
      <x:c r="D15" s="31">
        <x:f>SUM(Kalender!G315:G345)</x:f>
        <x:v>40</x:v>
      </x:c>
      <x:c r="E15" s="31">
        <x:f>SUM(Kalender!H315:H345)</x:f>
        <x:v>22.5</x:v>
      </x:c>
      <x:c r="F15" s="31">
        <x:f>SUM(Kalender!I315:I345)</x:f>
        <x:v>35</x:v>
      </x:c>
      <x:c r="G15" s="31">
        <x:f>SUM(Kalender!J315:J345)</x:f>
        <x:v>11</x:v>
      </x:c>
    </x:row>
    <x:row r="16">
      <x:c r="A16" s="29" t="str">
        <x:f>INDEX(Einstellungen!$F$2:$F$13,MONTH(EDATE(Einstellungen!$B$5,10)))&amp;" "&amp;YEAR(EDATE(Einstellungen!$B$5,10))</x:f>
        <x:v>Juli 2026</x:v>
      </x:c>
      <x:c r="B16" s="30">
        <x:f>SUM(Kalender!E349:E379)</x:f>
        <x:v>144</x:v>
      </x:c>
      <x:c r="C16" s="31">
        <x:f>SUM(Kalender!F349:F379)</x:f>
        <x:v>30.5</x:v>
      </x:c>
      <x:c r="D16" s="31">
        <x:f>SUM(Kalender!G349:G379)</x:f>
        <x:v>40.5</x:v>
      </x:c>
      <x:c r="E16" s="31">
        <x:f>SUM(Kalender!H349:H379)</x:f>
        <x:v>26.5</x:v>
      </x:c>
      <x:c r="F16" s="31">
        <x:f>SUM(Kalender!I349:I379)</x:f>
        <x:v>36.5</x:v>
      </x:c>
      <x:c r="G16" s="31">
        <x:f>SUM(Kalender!J349:J379)</x:f>
        <x:v>10</x:v>
      </x:c>
    </x:row>
    <x:row r="17">
      <x:c r="A17" s="29" t="str">
        <x:f>INDEX(Einstellungen!$F$2:$F$13,MONTH(EDATE(Einstellungen!$B$5,11)))&amp;" "&amp;YEAR(EDATE(Einstellungen!$B$5,11))</x:f>
        <x:v>August 2026</x:v>
      </x:c>
      <x:c r="B17" s="30">
        <x:f>SUM(Kalender!E383:E413)</x:f>
        <x:v>137</x:v>
      </x:c>
      <x:c r="C17" s="31">
        <x:f>SUM(Kalender!F383:F413)</x:f>
        <x:v>29.5</x:v>
      </x:c>
      <x:c r="D17" s="31">
        <x:f>SUM(Kalender!G383:G413)</x:f>
        <x:v>39.5</x:v>
      </x:c>
      <x:c r="E17" s="31">
        <x:f>SUM(Kalender!H383:H413)</x:f>
        <x:v>24</x:v>
      </x:c>
      <x:c r="F17" s="31">
        <x:f>SUM(Kalender!I383:I413)</x:f>
        <x:v>35.5</x:v>
      </x:c>
      <x:c r="G17" s="31">
        <x:f>SUM(Kalender!J383:J413)</x:f>
        <x:v>8.5</x:v>
      </x:c>
    </x:row>
    <x:row r="18">
      <x:c r="A18" s="32" t="inlineStr">
        <x:is>
          <x:t xml:space="preserve">Gesamt</x:t>
        </x:is>
      </x:c>
      <x:c r="B18" s="33">
        <x:f>SUM(B6:B17)</x:f>
        <x:v>1623</x:v>
      </x:c>
      <x:c r="C18" s="33">
        <x:f>SUM(C6:C17)</x:f>
        <x:v>343</x:v>
      </x:c>
      <x:c r="D18" s="33">
        <x:f>SUM(D6:D17)</x:f>
        <x:v>466.5</x:v>
      </x:c>
      <x:c r="E18" s="33">
        <x:f>SUM(E6:E17)</x:f>
        <x:v>283.5</x:v>
      </x:c>
      <x:c r="F18" s="33">
        <x:f>SUM(F6:F17)</x:f>
        <x:v>415.5</x:v>
      </x:c>
      <x:c r="G18" s="33">
        <x:f>SUM(G6:G17)</x:f>
        <x:v>114.5</x:v>
      </x:c>
    </x:row>
  </x:sheetData>
  <x:mergeCells>
    <x:mergeCell ref="A1:G1"/>
  </x:mergeCells>
  <x:pageMargins left="0.7" right="0.7" top="0.75" bottom="0.75" header="0.3" footer="0.3"/>
</x:worksheet>
</file>