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B102140F-B193-4E7F-9454-AE3157612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Kostenaufstellung" sheetId="2" r:id="rId2"/>
    <sheet name="Stammda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2" l="1"/>
  <c r="P65" i="2"/>
  <c r="M65" i="2"/>
  <c r="A65" i="2"/>
  <c r="Q64" i="2"/>
  <c r="P64" i="2"/>
  <c r="M64" i="2"/>
  <c r="A64" i="2"/>
  <c r="Q63" i="2"/>
  <c r="P63" i="2"/>
  <c r="M63" i="2"/>
  <c r="A63" i="2"/>
  <c r="Q62" i="2"/>
  <c r="P62" i="2"/>
  <c r="M62" i="2"/>
  <c r="A62" i="2"/>
  <c r="Q61" i="2"/>
  <c r="P61" i="2"/>
  <c r="M61" i="2"/>
  <c r="A61" i="2"/>
  <c r="Q60" i="2"/>
  <c r="P60" i="2"/>
  <c r="M60" i="2"/>
  <c r="A60" i="2"/>
  <c r="Q59" i="2"/>
  <c r="P59" i="2"/>
  <c r="M59" i="2"/>
  <c r="A59" i="2"/>
  <c r="Q58" i="2"/>
  <c r="P58" i="2"/>
  <c r="M58" i="2"/>
  <c r="A58" i="2"/>
  <c r="Q57" i="2"/>
  <c r="P57" i="2"/>
  <c r="M57" i="2"/>
  <c r="A57" i="2"/>
  <c r="Q56" i="2"/>
  <c r="P56" i="2"/>
  <c r="M56" i="2"/>
  <c r="A56" i="2"/>
  <c r="Q55" i="2"/>
  <c r="P55" i="2"/>
  <c r="M55" i="2"/>
  <c r="A55" i="2"/>
  <c r="Q54" i="2"/>
  <c r="P54" i="2"/>
  <c r="M54" i="2"/>
  <c r="A54" i="2"/>
  <c r="Q53" i="2"/>
  <c r="P53" i="2"/>
  <c r="M53" i="2"/>
  <c r="A53" i="2"/>
  <c r="Q52" i="2"/>
  <c r="P52" i="2"/>
  <c r="M52" i="2"/>
  <c r="A52" i="2"/>
  <c r="Q51" i="2"/>
  <c r="P51" i="2"/>
  <c r="M51" i="2"/>
  <c r="A51" i="2"/>
  <c r="Q50" i="2"/>
  <c r="P50" i="2"/>
  <c r="M50" i="2"/>
  <c r="A50" i="2"/>
  <c r="Q49" i="2"/>
  <c r="P49" i="2"/>
  <c r="M49" i="2"/>
  <c r="A49" i="2"/>
  <c r="Q48" i="2"/>
  <c r="P48" i="2"/>
  <c r="M48" i="2"/>
  <c r="A48" i="2"/>
  <c r="Q47" i="2"/>
  <c r="P47" i="2"/>
  <c r="M47" i="2"/>
  <c r="A47" i="2"/>
  <c r="Q46" i="2"/>
  <c r="P46" i="2"/>
  <c r="M46" i="2"/>
  <c r="A46" i="2"/>
  <c r="Q45" i="2"/>
  <c r="P45" i="2"/>
  <c r="M45" i="2"/>
  <c r="A45" i="2"/>
  <c r="Q44" i="2"/>
  <c r="P44" i="2"/>
  <c r="M44" i="2"/>
  <c r="A44" i="2"/>
  <c r="Q43" i="2"/>
  <c r="P43" i="2"/>
  <c r="M43" i="2"/>
  <c r="A43" i="2"/>
  <c r="Q42" i="2"/>
  <c r="P42" i="2"/>
  <c r="M42" i="2"/>
  <c r="A42" i="2"/>
  <c r="Q41" i="2"/>
  <c r="P41" i="2"/>
  <c r="M41" i="2"/>
  <c r="A41" i="2"/>
  <c r="Q40" i="2"/>
  <c r="P40" i="2"/>
  <c r="M40" i="2"/>
  <c r="A40" i="2"/>
  <c r="Q39" i="2"/>
  <c r="P39" i="2"/>
  <c r="M39" i="2"/>
  <c r="A39" i="2"/>
  <c r="Q38" i="2"/>
  <c r="P38" i="2"/>
  <c r="M38" i="2"/>
  <c r="A38" i="2"/>
  <c r="Q37" i="2"/>
  <c r="P37" i="2"/>
  <c r="M37" i="2"/>
  <c r="A37" i="2"/>
  <c r="Q36" i="2"/>
  <c r="P36" i="2"/>
  <c r="M36" i="2"/>
  <c r="A36" i="2"/>
  <c r="Q35" i="2"/>
  <c r="P35" i="2"/>
  <c r="M35" i="2"/>
  <c r="A35" i="2"/>
  <c r="Q34" i="2"/>
  <c r="P34" i="2"/>
  <c r="M34" i="2"/>
  <c r="A34" i="2"/>
  <c r="Q33" i="2"/>
  <c r="P33" i="2"/>
  <c r="M33" i="2"/>
  <c r="A33" i="2"/>
  <c r="Q32" i="2"/>
  <c r="P32" i="2"/>
  <c r="M32" i="2"/>
  <c r="A32" i="2"/>
  <c r="Q31" i="2"/>
  <c r="P31" i="2"/>
  <c r="M31" i="2"/>
  <c r="A31" i="2"/>
  <c r="Q30" i="2"/>
  <c r="P30" i="2"/>
  <c r="M30" i="2"/>
  <c r="A30" i="2"/>
  <c r="Q29" i="2"/>
  <c r="P29" i="2"/>
  <c r="M29" i="2"/>
  <c r="A29" i="2"/>
  <c r="Q28" i="2"/>
  <c r="P28" i="2"/>
  <c r="M28" i="2"/>
  <c r="A28" i="2"/>
  <c r="Q27" i="2"/>
  <c r="P27" i="2"/>
  <c r="M27" i="2"/>
  <c r="A27" i="2"/>
  <c r="Q26" i="2"/>
  <c r="P26" i="2"/>
  <c r="M26" i="2"/>
  <c r="A26" i="2"/>
  <c r="Q25" i="2"/>
  <c r="M25" i="2"/>
  <c r="P25" i="2" s="1"/>
  <c r="E26" i="1" s="1"/>
  <c r="A25" i="2"/>
  <c r="Q24" i="2"/>
  <c r="P24" i="2"/>
  <c r="M24" i="2"/>
  <c r="A24" i="2"/>
  <c r="Q23" i="2"/>
  <c r="M23" i="2"/>
  <c r="P23" i="2" s="1"/>
  <c r="A23" i="2"/>
  <c r="Q22" i="2"/>
  <c r="M22" i="2"/>
  <c r="P22" i="2" s="1"/>
  <c r="E25" i="1" s="1"/>
  <c r="A22" i="2"/>
  <c r="Q21" i="2"/>
  <c r="M21" i="2"/>
  <c r="P21" i="2" s="1"/>
  <c r="A21" i="2"/>
  <c r="Q20" i="2"/>
  <c r="P20" i="2"/>
  <c r="M20" i="2"/>
  <c r="A20" i="2"/>
  <c r="Q19" i="2"/>
  <c r="M19" i="2"/>
  <c r="P19" i="2" s="1"/>
  <c r="A19" i="2"/>
  <c r="Q18" i="2"/>
  <c r="M18" i="2"/>
  <c r="P18" i="2" s="1"/>
  <c r="E24" i="1" s="1"/>
  <c r="A18" i="2"/>
  <c r="Q17" i="2"/>
  <c r="M17" i="2"/>
  <c r="P17" i="2" s="1"/>
  <c r="A17" i="2"/>
  <c r="P16" i="2"/>
  <c r="M16" i="2"/>
  <c r="Q16" i="2" s="1"/>
  <c r="A16" i="2"/>
  <c r="P15" i="2"/>
  <c r="M15" i="2"/>
  <c r="Q15" i="2" s="1"/>
  <c r="A15" i="2"/>
  <c r="P14" i="2"/>
  <c r="M14" i="2"/>
  <c r="Q14" i="2" s="1"/>
  <c r="A14" i="2"/>
  <c r="B9" i="2"/>
  <c r="B8" i="2"/>
  <c r="B7" i="2"/>
  <c r="B6" i="2"/>
  <c r="E5" i="2"/>
  <c r="B5" i="2"/>
  <c r="E4" i="2"/>
  <c r="B4" i="2"/>
  <c r="E3" i="2"/>
  <c r="B3" i="2"/>
  <c r="D26" i="1"/>
  <c r="C26" i="1"/>
  <c r="B26" i="1"/>
  <c r="D25" i="1"/>
  <c r="C25" i="1"/>
  <c r="B25" i="1"/>
  <c r="D24" i="1"/>
  <c r="C24" i="1"/>
  <c r="B24" i="1"/>
  <c r="D23" i="1"/>
  <c r="C23" i="1"/>
  <c r="B23" i="1"/>
  <c r="A18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A10" i="1"/>
  <c r="B5" i="1"/>
  <c r="D4" i="1"/>
  <c r="B4" i="1"/>
  <c r="D3" i="1"/>
  <c r="B3" i="1"/>
  <c r="J23" i="1" l="1"/>
  <c r="K23" i="1" s="1"/>
  <c r="E23" i="1"/>
  <c r="D5" i="1"/>
  <c r="J24" i="1"/>
  <c r="K24" i="1" s="1"/>
  <c r="E6" i="2"/>
  <c r="J26" i="1"/>
  <c r="K26" i="1" s="1"/>
  <c r="E7" i="2"/>
  <c r="E8" i="2"/>
  <c r="E9" i="2"/>
  <c r="F18" i="1"/>
  <c r="E18" i="1"/>
  <c r="D18" i="1"/>
  <c r="C18" i="1"/>
  <c r="B18" i="1"/>
  <c r="C17" i="1"/>
  <c r="B17" i="1"/>
  <c r="F17" i="1"/>
  <c r="E17" i="1"/>
  <c r="D17" i="1"/>
  <c r="M16" i="1"/>
  <c r="K16" i="1"/>
  <c r="J16" i="1"/>
  <c r="L16" i="1"/>
  <c r="F16" i="1"/>
  <c r="E16" i="1"/>
  <c r="D16" i="1"/>
  <c r="C16" i="1"/>
  <c r="B16" i="1"/>
  <c r="G16" i="1" s="1"/>
  <c r="M15" i="1"/>
  <c r="L15" i="1"/>
  <c r="K15" i="1"/>
  <c r="J15" i="1"/>
  <c r="F15" i="1"/>
  <c r="E15" i="1"/>
  <c r="D15" i="1"/>
  <c r="C15" i="1"/>
  <c r="B15" i="1"/>
  <c r="M14" i="1"/>
  <c r="L14" i="1"/>
  <c r="K14" i="1"/>
  <c r="J14" i="1"/>
  <c r="C14" i="1"/>
  <c r="D14" i="1"/>
  <c r="E14" i="1"/>
  <c r="F14" i="1"/>
  <c r="B14" i="1"/>
  <c r="G14" i="1" s="1"/>
  <c r="M13" i="1"/>
  <c r="L13" i="1"/>
  <c r="K13" i="1"/>
  <c r="J13" i="1"/>
  <c r="E13" i="1"/>
  <c r="F13" i="1"/>
  <c r="D13" i="1"/>
  <c r="C13" i="1"/>
  <c r="B13" i="1"/>
  <c r="G13" i="1" s="1"/>
  <c r="M12" i="1"/>
  <c r="L12" i="1"/>
  <c r="K12" i="1"/>
  <c r="J12" i="1"/>
  <c r="D12" i="1"/>
  <c r="C12" i="1"/>
  <c r="B12" i="1"/>
  <c r="G12" i="1" s="1"/>
  <c r="F12" i="1"/>
  <c r="E12" i="1"/>
  <c r="J11" i="1"/>
  <c r="M11" i="1"/>
  <c r="L11" i="1"/>
  <c r="K11" i="1"/>
  <c r="F11" i="1"/>
  <c r="E11" i="1"/>
  <c r="D11" i="1"/>
  <c r="C11" i="1"/>
  <c r="B11" i="1"/>
  <c r="G11" i="1" s="1"/>
  <c r="M10" i="1"/>
  <c r="L10" i="1"/>
  <c r="K10" i="1"/>
  <c r="J10" i="1"/>
  <c r="F10" i="1"/>
  <c r="E10" i="1"/>
  <c r="D10" i="1"/>
  <c r="C10" i="1"/>
  <c r="B10" i="1"/>
  <c r="G10" i="1"/>
  <c r="G18" i="1"/>
  <c r="G17" i="1"/>
  <c r="G15" i="1"/>
  <c r="D6" i="1"/>
  <c r="J25" i="1" s="1"/>
  <c r="K25" i="1" s="1"/>
  <c r="B6" i="1"/>
</calcChain>
</file>

<file path=xl/sharedStrings.xml><?xml version="1.0" encoding="utf-8"?>
<sst xmlns="http://schemas.openxmlformats.org/spreadsheetml/2006/main" count="208" uniqueCount="125">
  <si>
    <t>ÜBERSICHT KOSTENAUFSTELLUNG</t>
  </si>
  <si>
    <t>Projekt</t>
  </si>
  <si>
    <t>Budget brutto</t>
  </si>
  <si>
    <t>Geplant brutto</t>
  </si>
  <si>
    <t>Rechnungen brutto</t>
  </si>
  <si>
    <t>Bezahlt</t>
  </si>
  <si>
    <t>Offen</t>
  </si>
  <si>
    <t>Restbudget geplant</t>
  </si>
  <si>
    <t>Budgetverbrauch</t>
  </si>
  <si>
    <t>Kostenart</t>
  </si>
  <si>
    <t>Rechnung brutto</t>
  </si>
  <si>
    <t>Abweichung</t>
  </si>
  <si>
    <t>Budgetanteil</t>
  </si>
  <si>
    <t>Status</t>
  </si>
  <si>
    <t>Anzahl</t>
  </si>
  <si>
    <t>Monat</t>
  </si>
  <si>
    <t>Prüfung</t>
  </si>
  <si>
    <t>Wert</t>
  </si>
  <si>
    <t>Interpretation</t>
  </si>
  <si>
    <t>Offene Rechnungen</t>
  </si>
  <si>
    <t>Überfällige Posten</t>
  </si>
  <si>
    <t>Budgetwarnung</t>
  </si>
  <si>
    <t>Größte Abweichung</t>
  </si>
  <si>
    <t>KOSTENAUFSTELLUNG</t>
  </si>
  <si>
    <t>So nutzen Sie die Vorlage</t>
  </si>
  <si>
    <t>Verantwortlich</t>
  </si>
  <si>
    <t>1. Stammdaten anpassen: Budget, Zeitraum, Kostenarten und Status.</t>
  </si>
  <si>
    <t>Abteilung</t>
  </si>
  <si>
    <t>Bereits bezahlt</t>
  </si>
  <si>
    <t>2. In der Tabelle nur die weißen Eingabefelder ausfüllen. Berechnete Felder sind farblich markiert.</t>
  </si>
  <si>
    <t>Zeitraum von</t>
  </si>
  <si>
    <t>Noch offen</t>
  </si>
  <si>
    <t>3. Rechnung und Zahlung separat erfassen, damit offene Beträge sichtbar bleiben.</t>
  </si>
  <si>
    <t>Zeitraum bis</t>
  </si>
  <si>
    <t>Abweichung real</t>
  </si>
  <si>
    <t>4. Die Übersicht aktualisiert sich automatisch, sobald Excel die Formeln berechnet.</t>
  </si>
  <si>
    <t>Gesamtbudget brutto</t>
  </si>
  <si>
    <t>Budgetstatus</t>
  </si>
  <si>
    <t>Pos.</t>
  </si>
  <si>
    <t>Datum</t>
  </si>
  <si>
    <t>Arbeitspaket</t>
  </si>
  <si>
    <t>Beschreibung</t>
  </si>
  <si>
    <t>Anbieter</t>
  </si>
  <si>
    <t>Menge</t>
  </si>
  <si>
    <t>Einheit</t>
  </si>
  <si>
    <t>Einzelpreis netto</t>
  </si>
  <si>
    <t>Rabatt %</t>
  </si>
  <si>
    <t>MwSt. %</t>
  </si>
  <si>
    <t>Bezahlt brutto</t>
  </si>
  <si>
    <t>Fällig am</t>
  </si>
  <si>
    <t>Bezahlt am</t>
  </si>
  <si>
    <t>Hinweis</t>
  </si>
  <si>
    <t>Strategie &amp; Konzeption</t>
  </si>
  <si>
    <t>Analyse</t>
  </si>
  <si>
    <t>Kickoff-Workshop und Zielbild</t>
  </si>
  <si>
    <t>Nordblick Consulting</t>
  </si>
  <si>
    <t>Tag</t>
  </si>
  <si>
    <t>Abgenommen</t>
  </si>
  <si>
    <t>Technisches Audit der bestehenden Plattform</t>
  </si>
  <si>
    <t>Rechnung erhalten</t>
  </si>
  <si>
    <t>Paket</t>
  </si>
  <si>
    <t>Leichte Mehrleistung</t>
  </si>
  <si>
    <t>Design</t>
  </si>
  <si>
    <t>UX/UI</t>
  </si>
  <si>
    <t>Wireframes für Kernprozesse</t>
  </si>
  <si>
    <t>Pixelgarten Studio</t>
  </si>
  <si>
    <t>Teilweise bezahlt</t>
  </si>
  <si>
    <t>Anzahlung verbucht</t>
  </si>
  <si>
    <t>Designsystem und Komponentenbibliothek</t>
  </si>
  <si>
    <t>Beauftragt</t>
  </si>
  <si>
    <t>Entwicklung</t>
  </si>
  <si>
    <t>Frontend</t>
  </si>
  <si>
    <t>Frontend-Umsetzung Login und Dashboard</t>
  </si>
  <si>
    <t>Codehafen GmbH</t>
  </si>
  <si>
    <t>Meilenstein 1</t>
  </si>
  <si>
    <t>Backend</t>
  </si>
  <si>
    <t>API-Anbindung und Rollenlogik</t>
  </si>
  <si>
    <t>Geplant</t>
  </si>
  <si>
    <t>Puffer prüfen</t>
  </si>
  <si>
    <t>Hosting &amp; Tools</t>
  </si>
  <si>
    <t>Infrastruktur</t>
  </si>
  <si>
    <t>Cloud-Testumgebung für drei Monate</t>
  </si>
  <si>
    <t>Cloudspeicher Nord</t>
  </si>
  <si>
    <t>Content</t>
  </si>
  <si>
    <t>Content-Migration</t>
  </si>
  <si>
    <t>Migration von 80 Hilfeseiten</t>
  </si>
  <si>
    <t>Textbrücke Services</t>
  </si>
  <si>
    <t>Angebot angefragt</t>
  </si>
  <si>
    <t>Stück</t>
  </si>
  <si>
    <t>Angebot erwartet</t>
  </si>
  <si>
    <t>Testing &amp; Qualität</t>
  </si>
  <si>
    <t>Go-live</t>
  </si>
  <si>
    <t>Regressionstest und Fehlerprotokoll</t>
  </si>
  <si>
    <t>QA Kontor</t>
  </si>
  <si>
    <t>Marketing</t>
  </si>
  <si>
    <t>E-Mail-Ankündigung und Kampagnenmaterial</t>
  </si>
  <si>
    <t>Markenflug Agentur</t>
  </si>
  <si>
    <t>Optional</t>
  </si>
  <si>
    <t>Schulung</t>
  </si>
  <si>
    <t>Admin-Schulung für Support-Team</t>
  </si>
  <si>
    <t>Lernwerk Digital</t>
  </si>
  <si>
    <t>Reserve</t>
  </si>
  <si>
    <t>Reserve für ungeplante Korrekturen</t>
  </si>
  <si>
    <t>Intern</t>
  </si>
  <si>
    <t>Nur bei Bedarf</t>
  </si>
  <si>
    <t>Altes Monitoring-Tool</t>
  </si>
  <si>
    <t>SoftWerk AG</t>
  </si>
  <si>
    <t>Storniert</t>
  </si>
  <si>
    <t>Lizenz</t>
  </si>
  <si>
    <t>Durch neues Tool ersetzt</t>
  </si>
  <si>
    <t>STAMMDATEN UND PROJEKTEINSTELLUNGEN</t>
  </si>
  <si>
    <t>Projektname</t>
  </si>
  <si>
    <t>Website-Relaunch Kundenportal</t>
  </si>
  <si>
    <t>Mara Hoffmann</t>
  </si>
  <si>
    <t>Digital Services</t>
  </si>
  <si>
    <t>Startdatum</t>
  </si>
  <si>
    <t>Enddatum</t>
  </si>
  <si>
    <t>Warnschwelle Budgetverbrauch</t>
  </si>
  <si>
    <t>Standard-MwSt.</t>
  </si>
  <si>
    <t>Kostenarten</t>
  </si>
  <si>
    <t>Arbeitspakete</t>
  </si>
  <si>
    <t>Einheiten</t>
  </si>
  <si>
    <t>MwSt.-Sätze</t>
  </si>
  <si>
    <t>Std.</t>
  </si>
  <si>
    <t>Diese Listen steuern die Dropdown-Felder.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</si>
</sst>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d\.mm\.yyyy"/>
    <numFmt numFmtId="165" formatCode="[$€-407]\ #,##0.00"/>
    <numFmt numFmtId="166" formatCode="[$-407]mmmm\ yyyy"/>
  </numFmts>
  <fonts count="6" x14ac:knownFonts="1">
    <font>
      <sz val="11"/>
      <name val="Carlito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  <font>
      <b/>
      <sz val="16"/>
      <color rgb="FFFFFFFF"/>
      <name val="Calibri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F7FBFF"/>
      </patternFill>
    </fill>
    <fill>
      <patternFill patternType="solid">
        <fgColor rgb="FFE2F0D9"/>
      </patternFill>
    </fill>
    <fill>
      <patternFill patternType="solid">
        <fgColor rgb="FFF8FFF5"/>
      </patternFill>
    </fill>
    <fill>
      <patternFill patternType="solid">
        <fgColor rgb="FFF3F6FA"/>
      </patternFill>
    </fill>
    <fill>
      <patternFill patternType="solid">
        <fgColor rgb="FFF3F4F6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2" borderId="0" xfId="1" applyFont="1" applyFill="1" applyAlignment="1">
      <alignment horizontal="center"/>
    </xf>
    <xf numFmtId="0" fontId="2" fillId="0" borderId="0" xfId="1" applyFont="1"/>
    <xf numFmtId="0" fontId="3" fillId="3" borderId="0" xfId="1" applyFont="1" applyFill="1"/>
    <xf numFmtId="0" fontId="3" fillId="4" borderId="0" xfId="1" applyFont="1" applyFill="1"/>
    <xf numFmtId="165" fontId="3" fillId="4" borderId="0" xfId="1" applyNumberFormat="1" applyFont="1" applyFill="1"/>
    <xf numFmtId="165" fontId="3" fillId="3" borderId="0" xfId="1" applyNumberFormat="1" applyFont="1" applyFill="1"/>
    <xf numFmtId="9" fontId="3" fillId="4" borderId="0" xfId="1" applyNumberFormat="1" applyFont="1" applyFill="1"/>
    <xf numFmtId="0" fontId="2" fillId="0" borderId="7" xfId="1" applyFont="1" applyBorder="1"/>
    <xf numFmtId="165" fontId="2" fillId="0" borderId="8" xfId="1" applyNumberFormat="1" applyFont="1" applyBorder="1"/>
    <xf numFmtId="9" fontId="2" fillId="0" borderId="9" xfId="1" applyNumberFormat="1" applyFont="1" applyBorder="1"/>
    <xf numFmtId="0" fontId="2" fillId="0" borderId="8" xfId="1" applyFont="1" applyBorder="1"/>
    <xf numFmtId="165" fontId="2" fillId="0" borderId="9" xfId="1" applyNumberFormat="1" applyFont="1" applyBorder="1"/>
    <xf numFmtId="0" fontId="2" fillId="0" borderId="10" xfId="1" applyFont="1" applyBorder="1"/>
    <xf numFmtId="165" fontId="2" fillId="0" borderId="11" xfId="1" applyNumberFormat="1" applyFont="1" applyBorder="1"/>
    <xf numFmtId="9" fontId="2" fillId="0" borderId="12" xfId="1" applyNumberFormat="1" applyFont="1" applyBorder="1"/>
    <xf numFmtId="0" fontId="2" fillId="0" borderId="11" xfId="1" applyFont="1" applyBorder="1"/>
    <xf numFmtId="165" fontId="2" fillId="0" borderId="12" xfId="1" applyNumberFormat="1" applyFont="1" applyBorder="1"/>
    <xf numFmtId="0" fontId="2" fillId="0" borderId="13" xfId="1" applyFont="1" applyBorder="1"/>
    <xf numFmtId="0" fontId="2" fillId="0" borderId="14" xfId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9" fontId="2" fillId="0" borderId="15" xfId="1" applyNumberFormat="1" applyFont="1" applyBorder="1"/>
    <xf numFmtId="166" fontId="2" fillId="0" borderId="7" xfId="1" applyNumberFormat="1" applyFont="1" applyBorder="1"/>
    <xf numFmtId="0" fontId="2" fillId="0" borderId="9" xfId="1" applyFont="1" applyBorder="1" applyAlignment="1">
      <alignment wrapText="1"/>
    </xf>
    <xf numFmtId="166" fontId="2" fillId="0" borderId="10" xfId="1" applyNumberFormat="1" applyFont="1" applyBorder="1"/>
    <xf numFmtId="0" fontId="2" fillId="0" borderId="12" xfId="1" applyFont="1" applyBorder="1" applyAlignment="1">
      <alignment wrapText="1"/>
    </xf>
    <xf numFmtId="9" fontId="2" fillId="0" borderId="11" xfId="1" applyNumberFormat="1" applyFont="1" applyBorder="1"/>
    <xf numFmtId="166" fontId="2" fillId="0" borderId="13" xfId="1" applyNumberFormat="1" applyFont="1" applyBorder="1"/>
    <xf numFmtId="0" fontId="2" fillId="0" borderId="15" xfId="1" applyFont="1" applyBorder="1" applyAlignment="1">
      <alignment wrapText="1"/>
    </xf>
    <xf numFmtId="0" fontId="2" fillId="4" borderId="0" xfId="1" applyFont="1" applyFill="1"/>
    <xf numFmtId="0" fontId="3" fillId="5" borderId="0" xfId="1" applyFont="1" applyFill="1"/>
    <xf numFmtId="165" fontId="2" fillId="6" borderId="0" xfId="1" applyNumberFormat="1" applyFont="1" applyFill="1"/>
    <xf numFmtId="164" fontId="2" fillId="4" borderId="0" xfId="1" applyNumberFormat="1" applyFont="1" applyFill="1"/>
    <xf numFmtId="165" fontId="2" fillId="4" borderId="0" xfId="1" applyNumberFormat="1" applyFont="1" applyFill="1"/>
    <xf numFmtId="9" fontId="2" fillId="6" borderId="0" xfId="1" applyNumberFormat="1" applyFont="1" applyFill="1"/>
    <xf numFmtId="0" fontId="1" fillId="2" borderId="0" xfId="1" applyFont="1" applyFill="1" applyAlignment="1">
      <alignment horizontal="center" vertical="center" wrapText="1"/>
    </xf>
    <xf numFmtId="0" fontId="2" fillId="8" borderId="7" xfId="1" applyFont="1" applyFill="1" applyBorder="1" applyAlignment="1">
      <alignment horizontal="center" vertical="center"/>
    </xf>
    <xf numFmtId="164" fontId="2" fillId="0" borderId="8" xfId="1" applyNumberFormat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 wrapText="1"/>
    </xf>
    <xf numFmtId="4" fontId="2" fillId="0" borderId="8" xfId="1" applyNumberFormat="1" applyFont="1" applyBorder="1" applyAlignment="1">
      <alignment vertical="center"/>
    </xf>
    <xf numFmtId="165" fontId="2" fillId="0" borderId="8" xfId="1" applyNumberFormat="1" applyFont="1" applyBorder="1" applyAlignment="1">
      <alignment vertical="center"/>
    </xf>
    <xf numFmtId="9" fontId="2" fillId="0" borderId="8" xfId="1" applyNumberFormat="1" applyFont="1" applyBorder="1" applyAlignment="1">
      <alignment vertical="center"/>
    </xf>
    <xf numFmtId="165" fontId="2" fillId="8" borderId="8" xfId="1" applyNumberFormat="1" applyFont="1" applyFill="1" applyBorder="1" applyAlignment="1">
      <alignment vertical="center"/>
    </xf>
    <xf numFmtId="0" fontId="2" fillId="0" borderId="9" xfId="1" applyFont="1" applyBorder="1" applyAlignment="1">
      <alignment vertical="center" wrapText="1"/>
    </xf>
    <xf numFmtId="0" fontId="2" fillId="8" borderId="10" xfId="1" applyFont="1" applyFill="1" applyBorder="1" applyAlignment="1">
      <alignment horizontal="center" vertical="center"/>
    </xf>
    <xf numFmtId="164" fontId="2" fillId="0" borderId="11" xfId="1" applyNumberFormat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 wrapText="1"/>
    </xf>
    <xf numFmtId="4" fontId="2" fillId="0" borderId="11" xfId="1" applyNumberFormat="1" applyFont="1" applyBorder="1" applyAlignment="1">
      <alignment vertical="center"/>
    </xf>
    <xf numFmtId="165" fontId="2" fillId="0" borderId="11" xfId="1" applyNumberFormat="1" applyFont="1" applyBorder="1" applyAlignment="1">
      <alignment vertical="center"/>
    </xf>
    <xf numFmtId="9" fontId="2" fillId="0" borderId="11" xfId="1" applyNumberFormat="1" applyFont="1" applyBorder="1" applyAlignment="1">
      <alignment vertical="center"/>
    </xf>
    <xf numFmtId="165" fontId="2" fillId="8" borderId="11" xfId="1" applyNumberFormat="1" applyFont="1" applyFill="1" applyBorder="1" applyAlignment="1">
      <alignment vertical="center"/>
    </xf>
    <xf numFmtId="0" fontId="2" fillId="0" borderId="12" xfId="1" applyFont="1" applyBorder="1" applyAlignment="1">
      <alignment vertical="center" wrapText="1"/>
    </xf>
    <xf numFmtId="0" fontId="2" fillId="8" borderId="13" xfId="1" applyFont="1" applyFill="1" applyBorder="1" applyAlignment="1">
      <alignment horizontal="center" vertical="center"/>
    </xf>
    <xf numFmtId="164" fontId="2" fillId="0" borderId="14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4" xfId="1" applyFont="1" applyBorder="1" applyAlignment="1">
      <alignment vertical="center" wrapText="1"/>
    </xf>
    <xf numFmtId="4" fontId="2" fillId="0" borderId="14" xfId="1" applyNumberFormat="1" applyFont="1" applyBorder="1" applyAlignment="1">
      <alignment vertical="center"/>
    </xf>
    <xf numFmtId="165" fontId="2" fillId="0" borderId="14" xfId="1" applyNumberFormat="1" applyFont="1" applyBorder="1" applyAlignment="1">
      <alignment vertical="center"/>
    </xf>
    <xf numFmtId="9" fontId="2" fillId="0" borderId="14" xfId="1" applyNumberFormat="1" applyFont="1" applyBorder="1" applyAlignment="1">
      <alignment vertical="center"/>
    </xf>
    <xf numFmtId="165" fontId="2" fillId="8" borderId="14" xfId="1" applyNumberFormat="1" applyFont="1" applyFill="1" applyBorder="1" applyAlignment="1">
      <alignment vertical="center"/>
    </xf>
    <xf numFmtId="0" fontId="2" fillId="0" borderId="15" xfId="1" applyFont="1" applyBorder="1" applyAlignment="1">
      <alignment vertical="center" wrapText="1"/>
    </xf>
    <xf numFmtId="0" fontId="3" fillId="3" borderId="1" xfId="1" applyFont="1" applyFill="1" applyBorder="1"/>
    <xf numFmtId="0" fontId="2" fillId="4" borderId="4" xfId="1" applyFont="1" applyFill="1" applyBorder="1"/>
    <xf numFmtId="0" fontId="3" fillId="3" borderId="2" xfId="1" applyFont="1" applyFill="1" applyBorder="1"/>
    <xf numFmtId="0" fontId="2" fillId="4" borderId="5" xfId="1" applyFont="1" applyFill="1" applyBorder="1"/>
    <xf numFmtId="164" fontId="2" fillId="4" borderId="5" xfId="1" applyNumberFormat="1" applyFont="1" applyFill="1" applyBorder="1"/>
    <xf numFmtId="165" fontId="2" fillId="4" borderId="5" xfId="1" applyNumberFormat="1" applyFont="1" applyFill="1" applyBorder="1"/>
    <xf numFmtId="9" fontId="2" fillId="4" borderId="5" xfId="1" applyNumberFormat="1" applyFont="1" applyFill="1" applyBorder="1"/>
    <xf numFmtId="0" fontId="3" fillId="3" borderId="3" xfId="1" applyFont="1" applyFill="1" applyBorder="1"/>
    <xf numFmtId="9" fontId="2" fillId="4" borderId="6" xfId="1" applyNumberFormat="1" applyFont="1" applyFill="1" applyBorder="1"/>
    <xf numFmtId="9" fontId="2" fillId="0" borderId="8" xfId="1" applyNumberFormat="1" applyFont="1" applyBorder="1"/>
    <xf numFmtId="0" fontId="2" fillId="0" borderId="9" xfId="1" applyFont="1" applyBorder="1"/>
    <xf numFmtId="0" fontId="2" fillId="0" borderId="12" xfId="1" applyFont="1" applyBorder="1"/>
    <xf numFmtId="9" fontId="2" fillId="0" borderId="14" xfId="1" applyNumberFormat="1" applyFont="1" applyBorder="1"/>
    <xf numFmtId="0" fontId="2" fillId="0" borderId="15" xfId="1" applyFont="1" applyBorder="1"/>
    <xf numFmtId="0" fontId="4" fillId="2" borderId="0" xfId="1" applyFont="1" applyFill="1" applyAlignment="1">
      <alignment horizontal="center"/>
    </xf>
    <xf numFmtId="0" fontId="2" fillId="0" borderId="0" xfId="1" applyFont="1"/>
    <xf numFmtId="0" fontId="1" fillId="2" borderId="0" xfId="1" applyFont="1" applyFill="1" applyAlignment="1">
      <alignment horizontal="center"/>
    </xf>
    <xf numFmtId="0" fontId="2" fillId="7" borderId="0" xfId="1" applyFont="1" applyFill="1" applyAlignment="1">
      <alignment wrapText="1"/>
    </xf>
    <xf numFmtId="0" fontId="4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9">
    <dxf>
      <font>
        <b/>
        <color rgb="FF047857"/>
      </font>
    </dxf>
    <dxf>
      <font>
        <b/>
        <color rgb="FFB91C1C"/>
      </font>
    </dxf>
    <dxf>
      <font>
        <color rgb="FF6B7280"/>
      </font>
      <fill>
        <patternFill>
          <bgColor rgb="FFF3F4F6"/>
        </patternFill>
      </fill>
    </dxf>
    <dxf>
      <font>
        <b/>
        <color rgb="FF14532D"/>
      </font>
      <fill>
        <patternFill>
          <bgColor rgb="FFBBF7D0"/>
        </patternFill>
      </fill>
    </dxf>
    <dxf>
      <font>
        <b/>
        <color rgb="FF92400E"/>
      </font>
      <fill>
        <patternFill>
          <bgColor rgb="FFFDE68A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047857"/>
      </font>
    </dxf>
    <dxf>
      <font>
        <b/>
        <color rgb="FFB91C1C"/>
      </font>
    </dxf>
    <dxf>
      <font>
        <b/>
        <color rgb="FF7F1D1D"/>
      </font>
      <fill>
        <patternFill>
          <bgColor rgb="FFFC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Geplante Kosten nach Kostenart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Geplant brutto</c:v>
          </c:tx>
          <c:invertIfNegative val="1"/>
          <c:cat>
            <c:strRef>
              <c:f>Übersicht!$A$10:$A$18</c:f>
              <c:strCache>
                <c:ptCount val="9"/>
                <c:pt idx="0">
                  <c:v>Strategie &amp; Konzeption</c:v>
                </c:pt>
                <c:pt idx="1">
                  <c:v>Design</c:v>
                </c:pt>
                <c:pt idx="2">
                  <c:v>Entwicklung</c:v>
                </c:pt>
                <c:pt idx="3">
                  <c:v>Hosting &amp; Tools</c:v>
                </c:pt>
                <c:pt idx="4">
                  <c:v>Content</c:v>
                </c:pt>
                <c:pt idx="5">
                  <c:v>Testing &amp; Qualität</c:v>
                </c:pt>
                <c:pt idx="6">
                  <c:v>Marketing</c:v>
                </c:pt>
                <c:pt idx="7">
                  <c:v>Schulung</c:v>
                </c:pt>
                <c:pt idx="8">
                  <c:v>Reserve</c:v>
                </c:pt>
              </c:strCache>
            </c:strRef>
          </c:cat>
          <c:val>
            <c:numRef>
              <c:f>Übersicht!$B$10:$B$18</c:f>
              <c:numCache>
                <c:formatCode>[$€-407]\ #,##0.00</c:formatCode>
                <c:ptCount val="9"/>
                <c:pt idx="0">
                  <c:v>3662.2249999999999</c:v>
                </c:pt>
                <c:pt idx="1">
                  <c:v>7192.36</c:v>
                </c:pt>
                <c:pt idx="2">
                  <c:v>18421.2</c:v>
                </c:pt>
                <c:pt idx="3">
                  <c:v>749.69999999999993</c:v>
                </c:pt>
                <c:pt idx="4">
                  <c:v>1713.6</c:v>
                </c:pt>
                <c:pt idx="5">
                  <c:v>2808.4</c:v>
                </c:pt>
                <c:pt idx="6">
                  <c:v>1927.8</c:v>
                </c:pt>
                <c:pt idx="7">
                  <c:v>1642.1999999999998</c:v>
                </c:pt>
                <c:pt idx="8">
                  <c:v>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4-40F4-B248-9C94A5353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[$€-407]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Monatliche Kostenentwicklung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Geplant brutto</c:v>
          </c:tx>
          <c:cat>
            <c:numRef>
              <c:f>Übersicht!$A$23:$A$26</c:f>
              <c:numCache>
                <c:formatCode>[$-407]mmmm\ yyyy</c:formatCode>
                <c:ptCount val="4"/>
                <c:pt idx="0">
                  <c:v>46174</c:v>
                </c:pt>
                <c:pt idx="1">
                  <c:v>46204</c:v>
                </c:pt>
                <c:pt idx="2">
                  <c:v>46235</c:v>
                </c:pt>
                <c:pt idx="3">
                  <c:v>46266</c:v>
                </c:pt>
              </c:numCache>
            </c:numRef>
          </c:cat>
          <c:val>
            <c:numRef>
              <c:f>Übersicht!$B$23:$B$26</c:f>
              <c:numCache>
                <c:formatCode>[$€-407]\ #,##0.00</c:formatCode>
                <c:ptCount val="4"/>
                <c:pt idx="0">
                  <c:v>10854.584999999999</c:v>
                </c:pt>
                <c:pt idx="1">
                  <c:v>20884.5</c:v>
                </c:pt>
                <c:pt idx="2">
                  <c:v>4736.2</c:v>
                </c:pt>
                <c:pt idx="3">
                  <c:v>3546.2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F-44A1-AC95-4D0DB58CA912}"/>
            </c:ext>
          </c:extLst>
        </c:ser>
        <c:ser>
          <c:idx val="1"/>
          <c:order val="1"/>
          <c:tx>
            <c:v>Rechnung brutto</c:v>
          </c:tx>
          <c:cat>
            <c:numRef>
              <c:f>Übersicht!$A$23:$A$26</c:f>
              <c:numCache>
                <c:formatCode>[$-407]mmmm\ yyyy</c:formatCode>
                <c:ptCount val="4"/>
                <c:pt idx="0">
                  <c:v>46174</c:v>
                </c:pt>
                <c:pt idx="1">
                  <c:v>46204</c:v>
                </c:pt>
                <c:pt idx="2">
                  <c:v>46235</c:v>
                </c:pt>
                <c:pt idx="3">
                  <c:v>46266</c:v>
                </c:pt>
              </c:numCache>
            </c:numRef>
          </c:cat>
          <c:val>
            <c:numRef>
              <c:f>Übersicht!$C$23:$C$26</c:f>
              <c:numCache>
                <c:formatCode>[$€-407]\ #,##0.00</c:formatCode>
                <c:ptCount val="4"/>
                <c:pt idx="0">
                  <c:v>7453</c:v>
                </c:pt>
                <c:pt idx="1">
                  <c:v>749.7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F-44A1-AC95-4D0DB58CA912}"/>
            </c:ext>
          </c:extLst>
        </c:ser>
        <c:ser>
          <c:idx val="2"/>
          <c:order val="2"/>
          <c:tx>
            <c:v>Bezahlt</c:v>
          </c:tx>
          <c:cat>
            <c:numRef>
              <c:f>Übersicht!$A$23:$A$26</c:f>
              <c:numCache>
                <c:formatCode>[$-407]mmmm\ yyyy</c:formatCode>
                <c:ptCount val="4"/>
                <c:pt idx="0">
                  <c:v>46174</c:v>
                </c:pt>
                <c:pt idx="1">
                  <c:v>46204</c:v>
                </c:pt>
                <c:pt idx="2">
                  <c:v>46235</c:v>
                </c:pt>
                <c:pt idx="3">
                  <c:v>46266</c:v>
                </c:pt>
              </c:numCache>
            </c:numRef>
          </c:cat>
          <c:val>
            <c:numRef>
              <c:f>Übersicht!$D$23:$D$26</c:f>
              <c:numCache>
                <c:formatCode>[$€-407]\ #,##0.00</c:formatCode>
                <c:ptCount val="4"/>
                <c:pt idx="0">
                  <c:v>3523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F-44A1-AC95-4D0DB58CA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[$-407]mmmm\ 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[$€-407]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14</xdr:col>
      <xdr:colOff>0</xdr:colOff>
      <xdr:row>45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Kostenaufstellung" displayName="tblKostenaufstellung" ref="A13:T65">
  <tableColumns count="20">
    <tableColumn id="1" xr3:uid="{00000000-0010-0000-0000-000001000000}" name="Pos."/>
    <tableColumn id="2" xr3:uid="{00000000-0010-0000-0000-000002000000}" name="Datum"/>
    <tableColumn id="3" xr3:uid="{00000000-0010-0000-0000-000003000000}" name="Kostenart"/>
    <tableColumn id="4" xr3:uid="{00000000-0010-0000-0000-000004000000}" name="Arbeitspaket"/>
    <tableColumn id="5" xr3:uid="{00000000-0010-0000-0000-000005000000}" name="Beschreibung"/>
    <tableColumn id="6" xr3:uid="{00000000-0010-0000-0000-000006000000}" name="Anbieter"/>
    <tableColumn id="7" xr3:uid="{00000000-0010-0000-0000-000007000000}" name="Status"/>
    <tableColumn id="8" xr3:uid="{00000000-0010-0000-0000-000008000000}" name="Menge"/>
    <tableColumn id="9" xr3:uid="{00000000-0010-0000-0000-000009000000}" name="Einheit"/>
    <tableColumn id="10" xr3:uid="{00000000-0010-0000-0000-00000A000000}" name="Einzelpreis netto"/>
    <tableColumn id="11" xr3:uid="{00000000-0010-0000-0000-00000B000000}" name="Rabatt %"/>
    <tableColumn id="12" xr3:uid="{00000000-0010-0000-0000-00000C000000}" name="MwSt. %"/>
    <tableColumn id="13" xr3:uid="{00000000-0010-0000-0000-00000D000000}" name="Geplant brutto"/>
    <tableColumn id="14" xr3:uid="{00000000-0010-0000-0000-00000E000000}" name="Rechnung brutto"/>
    <tableColumn id="15" xr3:uid="{00000000-0010-0000-0000-00000F000000}" name="Bezahlt brutto"/>
    <tableColumn id="16" xr3:uid="{00000000-0010-0000-0000-000010000000}" name="Offen"/>
    <tableColumn id="17" xr3:uid="{00000000-0010-0000-0000-000011000000}" name="Abweichung"/>
    <tableColumn id="18" xr3:uid="{00000000-0010-0000-0000-000012000000}" name="Fällig am"/>
    <tableColumn id="19" xr3:uid="{00000000-0010-0000-0000-000013000000}" name="Bezahlt am"/>
    <tableColumn id="20" xr3:uid="{00000000-0010-0000-0000-000014000000}" name="Hinw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sqref="A1:N1"/>
    </sheetView>
  </sheetViews>
  <sheetFormatPr baseColWidth="10" defaultColWidth="9" defaultRowHeight="15" x14ac:dyDescent="0.25"/>
  <cols>
    <col min="1" max="1" width="22" customWidth="1"/>
    <col min="2" max="2" width="25" customWidth="1"/>
    <col min="3" max="3" width="18" customWidth="1"/>
    <col min="4" max="4" width="16" customWidth="1"/>
    <col min="5" max="6" width="15" customWidth="1"/>
    <col min="7" max="7" width="14" customWidth="1"/>
    <col min="8" max="8" width="3" customWidth="1"/>
    <col min="9" max="9" width="22" customWidth="1"/>
    <col min="10" max="10" width="12" customWidth="1"/>
    <col min="11" max="11" width="26" customWidth="1"/>
    <col min="12" max="13" width="15" customWidth="1"/>
    <col min="14" max="14" width="3" customWidth="1"/>
  </cols>
  <sheetData>
    <row r="1" spans="1:14" ht="27.95" customHeight="1" x14ac:dyDescent="0.3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B3" s="4" t="str">
        <f>Stammdaten!B3</f>
        <v>Website-Relaunch Kundenportal</v>
      </c>
      <c r="C3" s="3" t="s">
        <v>2</v>
      </c>
      <c r="D3" s="4">
        <f>Stammdaten!B8</f>
        <v>42000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3" t="s">
        <v>3</v>
      </c>
      <c r="B4" s="5">
        <f>SUM(Kostenaufstellung!M14:M65)</f>
        <v>40021.484999999993</v>
      </c>
      <c r="C4" s="6" t="s">
        <v>4</v>
      </c>
      <c r="D4" s="5">
        <f>SUM(Kostenaufstellung!N14:N65)</f>
        <v>8202.7000000000007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3" t="s">
        <v>5</v>
      </c>
      <c r="B5" s="5">
        <f>SUM(Kostenaufstellung!O14:O65)</f>
        <v>3523</v>
      </c>
      <c r="C5" s="6" t="s">
        <v>6</v>
      </c>
      <c r="D5" s="5">
        <f>SUM(Kostenaufstellung!P14:P65)</f>
        <v>36600.259999999995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7</v>
      </c>
      <c r="B6" s="5">
        <f>D3-B4</f>
        <v>1978.5150000000067</v>
      </c>
      <c r="C6" s="6" t="s">
        <v>8</v>
      </c>
      <c r="D6" s="7">
        <f>IF(D3=0,0,B4/D3)</f>
        <v>0.95289249999999981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1" t="s">
        <v>9</v>
      </c>
      <c r="B9" s="1" t="s">
        <v>3</v>
      </c>
      <c r="C9" s="1" t="s">
        <v>10</v>
      </c>
      <c r="D9" s="1" t="s">
        <v>5</v>
      </c>
      <c r="E9" s="1" t="s">
        <v>6</v>
      </c>
      <c r="F9" s="1" t="s">
        <v>11</v>
      </c>
      <c r="G9" s="1" t="s">
        <v>12</v>
      </c>
      <c r="H9" s="2"/>
      <c r="I9" s="1" t="s">
        <v>13</v>
      </c>
      <c r="J9" s="1" t="s">
        <v>14</v>
      </c>
      <c r="K9" s="1" t="s">
        <v>3</v>
      </c>
      <c r="L9" s="1" t="s">
        <v>10</v>
      </c>
      <c r="M9" s="1" t="s">
        <v>5</v>
      </c>
      <c r="N9" s="2"/>
    </row>
    <row r="10" spans="1:14" x14ac:dyDescent="0.25">
      <c r="A10" s="8" t="str">
        <f>Stammdaten!A14</f>
        <v>Strategie &amp; Konzeption</v>
      </c>
      <c r="B10" s="9">
        <f>SUMIF(Kostenaufstellung!$C$14:$C$65,A10,Kostenaufstellung!$M$14:$M$65)</f>
        <v>3662.2249999999999</v>
      </c>
      <c r="C10" s="9">
        <f>SUMIF(Kostenaufstellung!$C$14:$C$65,A10,Kostenaufstellung!$N$14:$N$65)</f>
        <v>3703</v>
      </c>
      <c r="D10" s="9">
        <f>SUMIF(Kostenaufstellung!$C$14:$C$65,A10,Kostenaufstellung!$O$14:$O$65)</f>
        <v>2023</v>
      </c>
      <c r="E10" s="9">
        <f>SUMIF(Kostenaufstellung!$C$14:$C$65,A10,Kostenaufstellung!$P$14:$P$65)</f>
        <v>1680</v>
      </c>
      <c r="F10" s="9">
        <f>SUMIF(Kostenaufstellung!$C$14:$C$65,A10,Kostenaufstellung!$Q$14:$Q$65)</f>
        <v>40.775000000000091</v>
      </c>
      <c r="G10" s="10">
        <f t="shared" ref="G10:G18" si="0">IF($B$4=0,0,B10/$B$4)</f>
        <v>9.1506474584838626E-2</v>
      </c>
      <c r="H10" s="2"/>
      <c r="I10" s="8" t="str">
        <f>Stammdaten!C14</f>
        <v>Geplant</v>
      </c>
      <c r="J10" s="11">
        <f>COUNTIF(Kostenaufstellung!$G$14:$G$65,I10)</f>
        <v>5</v>
      </c>
      <c r="K10" s="9">
        <f>SUMIF(Kostenaufstellung!$G$14:$G$65,I10,Kostenaufstellung!$M$14:$M$65)</f>
        <v>16422</v>
      </c>
      <c r="L10" s="9">
        <f>SUMIF(Kostenaufstellung!$G$14:$G$65,I10,Kostenaufstellung!$N$14:$N$65)</f>
        <v>0</v>
      </c>
      <c r="M10" s="12">
        <f>SUMIF(Kostenaufstellung!$G$14:$G$65,I10,Kostenaufstellung!$O$14:$O$65)</f>
        <v>0</v>
      </c>
      <c r="N10" s="2"/>
    </row>
    <row r="11" spans="1:14" x14ac:dyDescent="0.25">
      <c r="A11" s="13" t="str">
        <f>Stammdaten!A15</f>
        <v>Design</v>
      </c>
      <c r="B11" s="14">
        <f>SUMIF(Kostenaufstellung!$C$14:$C$65,A11,Kostenaufstellung!$M$14:$M$65)</f>
        <v>7192.36</v>
      </c>
      <c r="C11" s="14">
        <f>SUMIF(Kostenaufstellung!$C$14:$C$65,A11,Kostenaufstellung!$N$14:$N$65)</f>
        <v>3750</v>
      </c>
      <c r="D11" s="14">
        <f>SUMIF(Kostenaufstellung!$C$14:$C$65,A11,Kostenaufstellung!$O$14:$O$65)</f>
        <v>1500</v>
      </c>
      <c r="E11" s="14">
        <f>SUMIF(Kostenaufstellung!$C$14:$C$65,A11,Kostenaufstellung!$P$14:$P$65)</f>
        <v>5753.36</v>
      </c>
      <c r="F11" s="14">
        <f>SUMIF(Kostenaufstellung!$C$14:$C$65,A11,Kostenaufstellung!$Q$14:$Q$65)</f>
        <v>61</v>
      </c>
      <c r="G11" s="15">
        <f t="shared" si="0"/>
        <v>0.17971247193851006</v>
      </c>
      <c r="H11" s="2"/>
      <c r="I11" s="13" t="str">
        <f>Stammdaten!C15</f>
        <v>Angebot angefragt</v>
      </c>
      <c r="J11" s="16">
        <f>COUNTIF(Kostenaufstellung!$G$14:$G$65,I11)</f>
        <v>1</v>
      </c>
      <c r="K11" s="14">
        <f>SUMIF(Kostenaufstellung!$G$14:$G$65,I11,Kostenaufstellung!$M$14:$M$65)</f>
        <v>1713.6</v>
      </c>
      <c r="L11" s="14">
        <f>SUMIF(Kostenaufstellung!$G$14:$G$65,I11,Kostenaufstellung!$N$14:$N$65)</f>
        <v>0</v>
      </c>
      <c r="M11" s="17">
        <f>SUMIF(Kostenaufstellung!$G$14:$G$65,I11,Kostenaufstellung!$O$14:$O$65)</f>
        <v>0</v>
      </c>
      <c r="N11" s="2"/>
    </row>
    <row r="12" spans="1:14" x14ac:dyDescent="0.25">
      <c r="A12" s="13" t="str">
        <f>Stammdaten!A16</f>
        <v>Entwicklung</v>
      </c>
      <c r="B12" s="14">
        <f>SUMIF(Kostenaufstellung!$C$14:$C$65,A12,Kostenaufstellung!$M$14:$M$65)</f>
        <v>18421.2</v>
      </c>
      <c r="C12" s="14">
        <f>SUMIF(Kostenaufstellung!$C$14:$C$65,A12,Kostenaufstellung!$N$14:$N$65)</f>
        <v>0</v>
      </c>
      <c r="D12" s="14">
        <f>SUMIF(Kostenaufstellung!$C$14:$C$65,A12,Kostenaufstellung!$O$14:$O$65)</f>
        <v>0</v>
      </c>
      <c r="E12" s="14">
        <f>SUMIF(Kostenaufstellung!$C$14:$C$65,A12,Kostenaufstellung!$P$14:$P$65)</f>
        <v>18421.2</v>
      </c>
      <c r="F12" s="14">
        <f>SUMIF(Kostenaufstellung!$C$14:$C$65,A12,Kostenaufstellung!$Q$14:$Q$65)</f>
        <v>0</v>
      </c>
      <c r="G12" s="15">
        <f t="shared" si="0"/>
        <v>0.46028277061683254</v>
      </c>
      <c r="H12" s="2"/>
      <c r="I12" s="13" t="str">
        <f>Stammdaten!C16</f>
        <v>Beauftragt</v>
      </c>
      <c r="J12" s="16">
        <f>COUNTIF(Kostenaufstellung!$G$14:$G$65,I12)</f>
        <v>2</v>
      </c>
      <c r="K12" s="14">
        <f>SUMIF(Kostenaufstellung!$G$14:$G$65,I12,Kostenaufstellung!$M$14:$M$65)</f>
        <v>13784.96</v>
      </c>
      <c r="L12" s="14">
        <f>SUMIF(Kostenaufstellung!$G$14:$G$65,I12,Kostenaufstellung!$N$14:$N$65)</f>
        <v>0</v>
      </c>
      <c r="M12" s="17">
        <f>SUMIF(Kostenaufstellung!$G$14:$G$65,I12,Kostenaufstellung!$O$14:$O$65)</f>
        <v>0</v>
      </c>
      <c r="N12" s="2"/>
    </row>
    <row r="13" spans="1:14" x14ac:dyDescent="0.25">
      <c r="A13" s="13" t="str">
        <f>Stammdaten!A17</f>
        <v>Hosting &amp; Tools</v>
      </c>
      <c r="B13" s="14">
        <f>SUMIF(Kostenaufstellung!$C$14:$C$65,A13,Kostenaufstellung!$M$14:$M$65)</f>
        <v>749.69999999999993</v>
      </c>
      <c r="C13" s="14">
        <f>SUMIF(Kostenaufstellung!$C$14:$C$65,A13,Kostenaufstellung!$N$14:$N$65)</f>
        <v>749.7</v>
      </c>
      <c r="D13" s="14">
        <f>SUMIF(Kostenaufstellung!$C$14:$C$65,A13,Kostenaufstellung!$O$14:$O$65)</f>
        <v>0</v>
      </c>
      <c r="E13" s="14">
        <f>SUMIF(Kostenaufstellung!$C$14:$C$65,A13,Kostenaufstellung!$P$14:$P$65)</f>
        <v>749.7</v>
      </c>
      <c r="F13" s="14">
        <f>SUMIF(Kostenaufstellung!$C$14:$C$65,A13,Kostenaufstellung!$Q$14:$Q$65)</f>
        <v>1.1368683772161603E-13</v>
      </c>
      <c r="G13" s="15">
        <f t="shared" si="0"/>
        <v>1.8732438339057137E-2</v>
      </c>
      <c r="H13" s="2"/>
      <c r="I13" s="13" t="str">
        <f>Stammdaten!C17</f>
        <v>Rechnung erhalten</v>
      </c>
      <c r="J13" s="16">
        <f>COUNTIF(Kostenaufstellung!$G$14:$G$65,I13)</f>
        <v>2</v>
      </c>
      <c r="K13" s="14">
        <f>SUMIF(Kostenaufstellung!$G$14:$G$65,I13,Kostenaufstellung!$M$14:$M$65)</f>
        <v>2388.9249999999997</v>
      </c>
      <c r="L13" s="14">
        <f>SUMIF(Kostenaufstellung!$G$14:$G$65,I13,Kostenaufstellung!$N$14:$N$65)</f>
        <v>2429.6999999999998</v>
      </c>
      <c r="M13" s="17">
        <f>SUMIF(Kostenaufstellung!$G$14:$G$65,I13,Kostenaufstellung!$O$14:$O$65)</f>
        <v>0</v>
      </c>
      <c r="N13" s="2"/>
    </row>
    <row r="14" spans="1:14" x14ac:dyDescent="0.25">
      <c r="A14" s="13" t="str">
        <f>Stammdaten!A18</f>
        <v>Content</v>
      </c>
      <c r="B14" s="14">
        <f>SUMIF(Kostenaufstellung!$C$14:$C$65,A14,Kostenaufstellung!$M$14:$M$65)</f>
        <v>1713.6</v>
      </c>
      <c r="C14" s="14">
        <f>SUMIF(Kostenaufstellung!$C$14:$C$65,A14,Kostenaufstellung!$N$14:$N$65)</f>
        <v>0</v>
      </c>
      <c r="D14" s="14">
        <f>SUMIF(Kostenaufstellung!$C$14:$C$65,A14,Kostenaufstellung!$O$14:$O$65)</f>
        <v>0</v>
      </c>
      <c r="E14" s="14">
        <f>SUMIF(Kostenaufstellung!$C$14:$C$65,A14,Kostenaufstellung!$P$14:$P$65)</f>
        <v>1713.6</v>
      </c>
      <c r="F14" s="14">
        <f>SUMIF(Kostenaufstellung!$C$14:$C$65,A14,Kostenaufstellung!$Q$14:$Q$65)</f>
        <v>0</v>
      </c>
      <c r="G14" s="15">
        <f t="shared" si="0"/>
        <v>4.2817001917844884E-2</v>
      </c>
      <c r="H14" s="2"/>
      <c r="I14" s="13" t="str">
        <f>Stammdaten!C18</f>
        <v>Teilweise bezahlt</v>
      </c>
      <c r="J14" s="16">
        <f>COUNTIF(Kostenaufstellung!$G$14:$G$65,I14)</f>
        <v>1</v>
      </c>
      <c r="K14" s="14">
        <f>SUMIF(Kostenaufstellung!$G$14:$G$65,I14,Kostenaufstellung!$M$14:$M$65)</f>
        <v>3689</v>
      </c>
      <c r="L14" s="14">
        <f>SUMIF(Kostenaufstellung!$G$14:$G$65,I14,Kostenaufstellung!$N$14:$N$65)</f>
        <v>3750</v>
      </c>
      <c r="M14" s="17">
        <f>SUMIF(Kostenaufstellung!$G$14:$G$65,I14,Kostenaufstellung!$O$14:$O$65)</f>
        <v>1500</v>
      </c>
      <c r="N14" s="2"/>
    </row>
    <row r="15" spans="1:14" x14ac:dyDescent="0.25">
      <c r="A15" s="13" t="str">
        <f>Stammdaten!A19</f>
        <v>Testing &amp; Qualität</v>
      </c>
      <c r="B15" s="14">
        <f>SUMIF(Kostenaufstellung!$C$14:$C$65,A15,Kostenaufstellung!$M$14:$M$65)</f>
        <v>2808.4</v>
      </c>
      <c r="C15" s="14">
        <f>SUMIF(Kostenaufstellung!$C$14:$C$65,A15,Kostenaufstellung!$N$14:$N$65)</f>
        <v>0</v>
      </c>
      <c r="D15" s="14">
        <f>SUMIF(Kostenaufstellung!$C$14:$C$65,A15,Kostenaufstellung!$O$14:$O$65)</f>
        <v>0</v>
      </c>
      <c r="E15" s="14">
        <f>SUMIF(Kostenaufstellung!$C$14:$C$65,A15,Kostenaufstellung!$P$14:$P$65)</f>
        <v>2808.4</v>
      </c>
      <c r="F15" s="14">
        <f>SUMIF(Kostenaufstellung!$C$14:$C$65,A15,Kostenaufstellung!$Q$14:$Q$65)</f>
        <v>0</v>
      </c>
      <c r="G15" s="15">
        <f t="shared" si="0"/>
        <v>7.0172308698690233E-2</v>
      </c>
      <c r="H15" s="2"/>
      <c r="I15" s="13" t="str">
        <f>Stammdaten!C19</f>
        <v>Bezahlt</v>
      </c>
      <c r="J15" s="16">
        <f>COUNTIF(Kostenaufstellung!$G$14:$G$65,I15)</f>
        <v>1</v>
      </c>
      <c r="K15" s="14">
        <f>SUMIF(Kostenaufstellung!$G$14:$G$65,I15,Kostenaufstellung!$M$14:$M$65)</f>
        <v>2023</v>
      </c>
      <c r="L15" s="14">
        <f>SUMIF(Kostenaufstellung!$G$14:$G$65,I15,Kostenaufstellung!$N$14:$N$65)</f>
        <v>2023</v>
      </c>
      <c r="M15" s="17">
        <f>SUMIF(Kostenaufstellung!$G$14:$G$65,I15,Kostenaufstellung!$O$14:$O$65)</f>
        <v>2023</v>
      </c>
      <c r="N15" s="2"/>
    </row>
    <row r="16" spans="1:14" x14ac:dyDescent="0.25">
      <c r="A16" s="13" t="str">
        <f>Stammdaten!A20</f>
        <v>Marketing</v>
      </c>
      <c r="B16" s="14">
        <f>SUMIF(Kostenaufstellung!$C$14:$C$65,A16,Kostenaufstellung!$M$14:$M$65)</f>
        <v>1927.8</v>
      </c>
      <c r="C16" s="14">
        <f>SUMIF(Kostenaufstellung!$C$14:$C$65,A16,Kostenaufstellung!$N$14:$N$65)</f>
        <v>0</v>
      </c>
      <c r="D16" s="14">
        <f>SUMIF(Kostenaufstellung!$C$14:$C$65,A16,Kostenaufstellung!$O$14:$O$65)</f>
        <v>0</v>
      </c>
      <c r="E16" s="14">
        <f>SUMIF(Kostenaufstellung!$C$14:$C$65,A16,Kostenaufstellung!$P$14:$P$65)</f>
        <v>1927.8</v>
      </c>
      <c r="F16" s="14">
        <f>SUMIF(Kostenaufstellung!$C$14:$C$65,A16,Kostenaufstellung!$Q$14:$Q$65)</f>
        <v>0</v>
      </c>
      <c r="G16" s="15">
        <f t="shared" si="0"/>
        <v>4.8169127157575493E-2</v>
      </c>
      <c r="H16" s="2"/>
      <c r="I16" s="18" t="str">
        <f>Stammdaten!C20</f>
        <v>Storniert</v>
      </c>
      <c r="J16" s="19">
        <f>COUNTIF(Kostenaufstellung!$G$14:$G$65,I16)</f>
        <v>1</v>
      </c>
      <c r="K16" s="20">
        <f>SUMIF(Kostenaufstellung!$G$14:$G$65,I16,Kostenaufstellung!$M$14:$M$65)</f>
        <v>0</v>
      </c>
      <c r="L16" s="20">
        <f>SUMIF(Kostenaufstellung!$G$14:$G$65,I16,Kostenaufstellung!$N$14:$N$65)</f>
        <v>0</v>
      </c>
      <c r="M16" s="21">
        <f>SUMIF(Kostenaufstellung!$G$14:$G$65,I16,Kostenaufstellung!$O$14:$O$65)</f>
        <v>0</v>
      </c>
      <c r="N16" s="2"/>
    </row>
    <row r="17" spans="1:14" x14ac:dyDescent="0.25">
      <c r="A17" s="13" t="str">
        <f>Stammdaten!A21</f>
        <v>Schulung</v>
      </c>
      <c r="B17" s="14">
        <f>SUMIF(Kostenaufstellung!$C$14:$C$65,A17,Kostenaufstellung!$M$14:$M$65)</f>
        <v>1642.1999999999998</v>
      </c>
      <c r="C17" s="14">
        <f>SUMIF(Kostenaufstellung!$C$14:$C$65,A17,Kostenaufstellung!$N$14:$N$65)</f>
        <v>0</v>
      </c>
      <c r="D17" s="14">
        <f>SUMIF(Kostenaufstellung!$C$14:$C$65,A17,Kostenaufstellung!$O$14:$O$65)</f>
        <v>0</v>
      </c>
      <c r="E17" s="14">
        <f>SUMIF(Kostenaufstellung!$C$14:$C$65,A17,Kostenaufstellung!$P$14:$P$65)</f>
        <v>1642.1999999999998</v>
      </c>
      <c r="F17" s="14">
        <f>SUMIF(Kostenaufstellung!$C$14:$C$65,A17,Kostenaufstellung!$Q$14:$Q$65)</f>
        <v>0</v>
      </c>
      <c r="G17" s="15">
        <f t="shared" si="0"/>
        <v>4.1032960171268007E-2</v>
      </c>
      <c r="H17" s="2"/>
      <c r="I17" s="2"/>
      <c r="J17" s="2"/>
      <c r="K17" s="2"/>
      <c r="L17" s="2"/>
      <c r="M17" s="2"/>
      <c r="N17" s="2"/>
    </row>
    <row r="18" spans="1:14" x14ac:dyDescent="0.25">
      <c r="A18" s="18" t="str">
        <f>Stammdaten!A22</f>
        <v>Reserve</v>
      </c>
      <c r="B18" s="20">
        <f>SUMIF(Kostenaufstellung!$C$14:$C$65,A18,Kostenaufstellung!$M$14:$M$65)</f>
        <v>1904</v>
      </c>
      <c r="C18" s="20">
        <f>SUMIF(Kostenaufstellung!$C$14:$C$65,A18,Kostenaufstellung!$N$14:$N$65)</f>
        <v>0</v>
      </c>
      <c r="D18" s="20">
        <f>SUMIF(Kostenaufstellung!$C$14:$C$65,A18,Kostenaufstellung!$O$14:$O$65)</f>
        <v>0</v>
      </c>
      <c r="E18" s="20">
        <f>SUMIF(Kostenaufstellung!$C$14:$C$65,A18,Kostenaufstellung!$P$14:$P$65)</f>
        <v>1904</v>
      </c>
      <c r="F18" s="20">
        <f>SUMIF(Kostenaufstellung!$C$14:$C$65,A18,Kostenaufstellung!$Q$14:$Q$65)</f>
        <v>0</v>
      </c>
      <c r="G18" s="22">
        <f t="shared" si="0"/>
        <v>4.7574446575383206E-2</v>
      </c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" t="s">
        <v>15</v>
      </c>
      <c r="B22" s="1" t="s">
        <v>3</v>
      </c>
      <c r="C22" s="1" t="s">
        <v>10</v>
      </c>
      <c r="D22" s="1" t="s">
        <v>5</v>
      </c>
      <c r="E22" s="1" t="s">
        <v>6</v>
      </c>
      <c r="F22" s="2"/>
      <c r="G22" s="2"/>
      <c r="H22" s="2"/>
      <c r="I22" s="1" t="s">
        <v>16</v>
      </c>
      <c r="J22" s="1" t="s">
        <v>17</v>
      </c>
      <c r="K22" s="1" t="s">
        <v>18</v>
      </c>
      <c r="L22" s="2"/>
      <c r="M22" s="2"/>
      <c r="N22" s="2"/>
    </row>
    <row r="23" spans="1:14" x14ac:dyDescent="0.25">
      <c r="A23" s="23">
        <v>46174</v>
      </c>
      <c r="B23" s="9">
        <f>SUMIFS(Kostenaufstellung!$M$14:$M$65,Kostenaufstellung!$B$14:$B$65,"&gt;="&amp;A23,Kostenaufstellung!$B$14:$B$65,"&lt;="&amp;EOMONTH(A23,0))</f>
        <v>10854.584999999999</v>
      </c>
      <c r="C23" s="9">
        <f>SUMIFS(Kostenaufstellung!$N$14:$N$65,Kostenaufstellung!$B$14:$B$65,"&gt;="&amp;A23,Kostenaufstellung!$B$14:$B$65,"&lt;="&amp;EOMONTH(A23,0))</f>
        <v>7453</v>
      </c>
      <c r="D23" s="9">
        <f>SUMIFS(Kostenaufstellung!$O$14:$O$65,Kostenaufstellung!$B$14:$B$65,"&gt;="&amp;A23,Kostenaufstellung!$B$14:$B$65,"&lt;="&amp;EOMONTH(A23,0))</f>
        <v>3523</v>
      </c>
      <c r="E23" s="12">
        <f>SUMIFS(Kostenaufstellung!$P$14:$P$65,Kostenaufstellung!$B$14:$B$65,"&gt;="&amp;A23,Kostenaufstellung!$B$14:$B$65,"&lt;="&amp;EOMONTH(A23,0))</f>
        <v>7433.36</v>
      </c>
      <c r="F23" s="2"/>
      <c r="G23" s="2"/>
      <c r="H23" s="2"/>
      <c r="I23" s="8" t="s">
        <v>19</v>
      </c>
      <c r="J23" s="11">
        <f>COUNTIFS(Kostenaufstellung!$P$14:$P$65,"&gt;0",Kostenaufstellung!$N$14:$N$65,"&gt;0")</f>
        <v>3</v>
      </c>
      <c r="K23" s="24" t="str">
        <f>IF(J23=0,"Keine offenen Rechnungen","Zahlungen prüfen")</f>
        <v>Zahlungen prüfen</v>
      </c>
      <c r="L23" s="2"/>
      <c r="M23" s="2"/>
      <c r="N23" s="2"/>
    </row>
    <row r="24" spans="1:14" x14ac:dyDescent="0.25">
      <c r="A24" s="25">
        <v>46204</v>
      </c>
      <c r="B24" s="14">
        <f>SUMIFS(Kostenaufstellung!$M$14:$M$65,Kostenaufstellung!$B$14:$B$65,"&gt;="&amp;A24,Kostenaufstellung!$B$14:$B$65,"&lt;="&amp;EOMONTH(A24,0))</f>
        <v>20884.5</v>
      </c>
      <c r="C24" s="14">
        <f>SUMIFS(Kostenaufstellung!$N$14:$N$65,Kostenaufstellung!$B$14:$B$65,"&gt;="&amp;A24,Kostenaufstellung!$B$14:$B$65,"&lt;="&amp;EOMONTH(A24,0))</f>
        <v>749.7</v>
      </c>
      <c r="D24" s="14">
        <f>SUMIFS(Kostenaufstellung!$O$14:$O$65,Kostenaufstellung!$B$14:$B$65,"&gt;="&amp;A24,Kostenaufstellung!$B$14:$B$65,"&lt;="&amp;EOMONTH(A24,0))</f>
        <v>0</v>
      </c>
      <c r="E24" s="17">
        <f>SUMIFS(Kostenaufstellung!$P$14:$P$65,Kostenaufstellung!$B$14:$B$65,"&gt;="&amp;A24,Kostenaufstellung!$B$14:$B$65,"&lt;="&amp;EOMONTH(A24,0))</f>
        <v>20884.5</v>
      </c>
      <c r="F24" s="2"/>
      <c r="G24" s="2"/>
      <c r="H24" s="2"/>
      <c r="I24" s="13" t="s">
        <v>20</v>
      </c>
      <c r="J24" s="16">
        <f ca="1">COUNTIFS(Kostenaufstellung!$P$14:$P$65,"&gt;0",Kostenaufstellung!$R$14:$R$65,"&lt;"&amp;TODAY())</f>
        <v>0</v>
      </c>
      <c r="K24" s="26" t="str">
        <f ca="1">IF(J24=0,"Keine Überfälligkeit","Fälligkeiten prüfen")</f>
        <v>Keine Überfälligkeit</v>
      </c>
      <c r="L24" s="2"/>
      <c r="M24" s="2"/>
      <c r="N24" s="2"/>
    </row>
    <row r="25" spans="1:14" x14ac:dyDescent="0.25">
      <c r="A25" s="25">
        <v>46235</v>
      </c>
      <c r="B25" s="14">
        <f>SUMIFS(Kostenaufstellung!$M$14:$M$65,Kostenaufstellung!$B$14:$B$65,"&gt;="&amp;A25,Kostenaufstellung!$B$14:$B$65,"&lt;="&amp;EOMONTH(A25,0))</f>
        <v>4736.2</v>
      </c>
      <c r="C25" s="14">
        <f>SUMIFS(Kostenaufstellung!$N$14:$N$65,Kostenaufstellung!$B$14:$B$65,"&gt;="&amp;A25,Kostenaufstellung!$B$14:$B$65,"&lt;="&amp;EOMONTH(A25,0))</f>
        <v>0</v>
      </c>
      <c r="D25" s="14">
        <f>SUMIFS(Kostenaufstellung!$O$14:$O$65,Kostenaufstellung!$B$14:$B$65,"&gt;="&amp;A25,Kostenaufstellung!$B$14:$B$65,"&lt;="&amp;EOMONTH(A25,0))</f>
        <v>0</v>
      </c>
      <c r="E25" s="17">
        <f>SUMIFS(Kostenaufstellung!$P$14:$P$65,Kostenaufstellung!$B$14:$B$65,"&gt;="&amp;A25,Kostenaufstellung!$B$14:$B$65,"&lt;="&amp;EOMONTH(A25,0))</f>
        <v>4736.2</v>
      </c>
      <c r="F25" s="2"/>
      <c r="G25" s="2"/>
      <c r="H25" s="2"/>
      <c r="I25" s="13" t="s">
        <v>21</v>
      </c>
      <c r="J25" s="27">
        <f>D6</f>
        <v>0.95289249999999981</v>
      </c>
      <c r="K25" s="26" t="str">
        <f>IF(J25&gt;=Stammdaten!B9,"Warnschwelle erreicht","Im Zielbereich")</f>
        <v>Warnschwelle erreicht</v>
      </c>
      <c r="L25" s="2"/>
      <c r="M25" s="2"/>
      <c r="N25" s="2"/>
    </row>
    <row r="26" spans="1:14" x14ac:dyDescent="0.25">
      <c r="A26" s="28">
        <v>46266</v>
      </c>
      <c r="B26" s="20">
        <f>SUMIFS(Kostenaufstellung!$M$14:$M$65,Kostenaufstellung!$B$14:$B$65,"&gt;="&amp;A26,Kostenaufstellung!$B$14:$B$65,"&lt;="&amp;EOMONTH(A26,0))</f>
        <v>3546.2</v>
      </c>
      <c r="C26" s="20">
        <f>SUMIFS(Kostenaufstellung!$N$14:$N$65,Kostenaufstellung!$B$14:$B$65,"&gt;="&amp;A26,Kostenaufstellung!$B$14:$B$65,"&lt;="&amp;EOMONTH(A26,0))</f>
        <v>0</v>
      </c>
      <c r="D26" s="20">
        <f>SUMIFS(Kostenaufstellung!$O$14:$O$65,Kostenaufstellung!$B$14:$B$65,"&gt;="&amp;A26,Kostenaufstellung!$B$14:$B$65,"&lt;="&amp;EOMONTH(A26,0))</f>
        <v>0</v>
      </c>
      <c r="E26" s="21">
        <f>SUMIFS(Kostenaufstellung!$P$14:$P$65,Kostenaufstellung!$B$14:$B$65,"&gt;="&amp;A26,Kostenaufstellung!$B$14:$B$65,"&lt;="&amp;EOMONTH(A26,0))</f>
        <v>3546.2</v>
      </c>
      <c r="F26" s="2"/>
      <c r="G26" s="2"/>
      <c r="H26" s="2"/>
      <c r="I26" s="18" t="s">
        <v>22</v>
      </c>
      <c r="J26" s="20">
        <f>MAX(Kostenaufstellung!$Q$14:$Q$65)</f>
        <v>61</v>
      </c>
      <c r="K26" s="29" t="str">
        <f>IF(J26&gt;0,"Nachverhandeln oder freigeben","Keine positive Abweichung")</f>
        <v>Nachverhandeln oder freigeben</v>
      </c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mergeCells count="1">
    <mergeCell ref="A1:N1"/>
  </mergeCells>
  <conditionalFormatting sqref="B6">
    <cfRule type="cellIs" dxfId="8" priority="2" operator="lessThan">
      <formula>0</formula>
    </cfRule>
  </conditionalFormatting>
  <conditionalFormatting sqref="D6">
    <cfRule type="dataBar" priority="1">
      <dataBar>
        <cfvo type="min"/>
        <cfvo type="max"/>
        <color rgb="FF60A5FA"/>
      </dataBar>
    </cfRule>
    <cfRule type="dataBar" priority="6">
      <dataBar>
        <cfvo type="min"/>
        <cfvo type="max"/>
        <color rgb="FF60A5FA"/>
      </dataBar>
      <extLst>
        <ext xmlns:x14="http://schemas.microsoft.com/office/spreadsheetml/2009/9/main" uri="{B025F937-C7B1-47D3-B67F-A62EFF666E3E}">
          <x14:id>{9C146CC0-49AA-2DB4-53FA-FCEE3279B5D4}</x14:id>
        </ext>
      </extLst>
    </cfRule>
  </conditionalFormatting>
  <conditionalFormatting sqref="F10:F18">
    <cfRule type="cellIs" dxfId="7" priority="4" operator="greaterThan">
      <formula>0</formula>
    </cfRule>
    <cfRule type="cellIs" dxfId="6" priority="5" operator="lessThan">
      <formula>0</formula>
    </cfRule>
  </conditionalFormatting>
  <conditionalFormatting sqref="G10:G18">
    <cfRule type="dataBar" priority="3">
      <dataBar>
        <cfvo type="min"/>
        <cfvo type="max"/>
        <color rgb="FF93C5FD"/>
      </dataBar>
    </cfRule>
    <cfRule type="dataBar" priority="7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{F55485B2-2276-57FC-4AB2-6AB7A540FA7E}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146CC0-49AA-2DB4-53FA-FCEE3279B5D4}">
            <x14:dataBar>
              <x14:cfvo type="min"/>
              <x14:cfvo type="max"/>
              <x14:negativeFillColor auto="1"/>
              <x14:axisColor auto="1"/>
            </x14:dataBar>
          </x14:cfRule>
          <xm:sqref>D6</xm:sqref>
        </x14:conditionalFormatting>
        <x14:conditionalFormatting xmlns:xm="http://schemas.microsoft.com/office/excel/2006/main">
          <x14:cfRule type="dataBar" id="{F55485B2-2276-57FC-4AB2-6AB7A540FA7E}">
            <x14:dataBar>
              <x14:cfvo type="min"/>
              <x14:cfvo type="max"/>
              <x14:negativeFillColor auto="1"/>
              <x14:axisColor auto="1"/>
            </x14:dataBar>
          </x14:cfRule>
          <xm:sqref>G10:G18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5"/>
  <sheetViews>
    <sheetView workbookViewId="0"/>
  </sheetViews>
  <sheetFormatPr baseColWidth="10" defaultColWidth="9" defaultRowHeight="15" x14ac:dyDescent="0.25"/>
  <cols>
    <col min="1" max="1" width="7" customWidth="1"/>
    <col min="2" max="2" width="12" customWidth="1"/>
    <col min="3" max="3" width="22" customWidth="1"/>
    <col min="4" max="4" width="18" customWidth="1"/>
    <col min="5" max="5" width="34" customWidth="1"/>
    <col min="6" max="6" width="20" customWidth="1"/>
    <col min="7" max="7" width="18" customWidth="1"/>
    <col min="8" max="8" width="9" customWidth="1"/>
    <col min="9" max="9" width="10" customWidth="1"/>
    <col min="10" max="10" width="15" customWidth="1"/>
    <col min="11" max="12" width="10" customWidth="1"/>
    <col min="13" max="17" width="15" customWidth="1"/>
    <col min="18" max="19" width="12" customWidth="1"/>
    <col min="20" max="20" width="28" customWidth="1"/>
  </cols>
  <sheetData>
    <row r="1" spans="1:20" ht="27.95" customHeight="1" x14ac:dyDescent="0.35">
      <c r="A1" s="78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" t="s">
        <v>1</v>
      </c>
      <c r="B3" s="30" t="str">
        <f>Stammdaten!B3</f>
        <v>Website-Relaunch Kundenportal</v>
      </c>
      <c r="C3" s="2"/>
      <c r="D3" s="31" t="s">
        <v>3</v>
      </c>
      <c r="E3" s="32">
        <f>SUM(M14:M65)</f>
        <v>40021.484999999993</v>
      </c>
      <c r="F3" s="2"/>
      <c r="G3" s="80" t="s">
        <v>24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x14ac:dyDescent="0.25">
      <c r="A4" s="3" t="s">
        <v>25</v>
      </c>
      <c r="B4" s="30" t="str">
        <f>Stammdaten!B4</f>
        <v>Mara Hoffmann</v>
      </c>
      <c r="C4" s="2"/>
      <c r="D4" s="31" t="s">
        <v>4</v>
      </c>
      <c r="E4" s="32">
        <f>SUM(N14:N65)</f>
        <v>8202.7000000000007</v>
      </c>
      <c r="F4" s="2"/>
      <c r="G4" s="81" t="s">
        <v>26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x14ac:dyDescent="0.25">
      <c r="A5" s="3" t="s">
        <v>27</v>
      </c>
      <c r="B5" s="30" t="str">
        <f>Stammdaten!B5</f>
        <v>Digital Services</v>
      </c>
      <c r="C5" s="2"/>
      <c r="D5" s="31" t="s">
        <v>28</v>
      </c>
      <c r="E5" s="32">
        <f>SUM(O14:O65)</f>
        <v>3523</v>
      </c>
      <c r="F5" s="2"/>
      <c r="G5" s="81" t="s">
        <v>29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x14ac:dyDescent="0.25">
      <c r="A6" s="3" t="s">
        <v>30</v>
      </c>
      <c r="B6" s="33">
        <f>Stammdaten!B6</f>
        <v>46174</v>
      </c>
      <c r="C6" s="2"/>
      <c r="D6" s="31" t="s">
        <v>31</v>
      </c>
      <c r="E6" s="32">
        <f>SUM(P14:P65)</f>
        <v>36600.259999999995</v>
      </c>
      <c r="F6" s="2"/>
      <c r="G6" s="81" t="s">
        <v>32</v>
      </c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x14ac:dyDescent="0.25">
      <c r="A7" s="3" t="s">
        <v>33</v>
      </c>
      <c r="B7" s="33">
        <f>Stammdaten!B7</f>
        <v>46295</v>
      </c>
      <c r="C7" s="2"/>
      <c r="D7" s="31" t="s">
        <v>34</v>
      </c>
      <c r="E7" s="32">
        <f>SUM(Q14:Q65)</f>
        <v>101.7750000000002</v>
      </c>
      <c r="F7" s="2"/>
      <c r="G7" s="81" t="s">
        <v>35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</row>
    <row r="8" spans="1:20" x14ac:dyDescent="0.25">
      <c r="A8" s="3" t="s">
        <v>36</v>
      </c>
      <c r="B8" s="34">
        <f>Stammdaten!B8</f>
        <v>42000</v>
      </c>
      <c r="C8" s="2"/>
      <c r="D8" s="31" t="s">
        <v>7</v>
      </c>
      <c r="E8" s="32">
        <f>B8-E3</f>
        <v>1978.5150000000067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3" t="s">
        <v>37</v>
      </c>
      <c r="B9" s="30" t="str">
        <f>IF(SUM(M14:M65)&gt;Stammdaten!B8,"Budget überschritten",IF(SUM(M14:M65)&gt;=Stammdaten!B8*Stammdaten!B9,"Warnschwelle erreicht","Im Budget"))</f>
        <v>Warnschwelle erreicht</v>
      </c>
      <c r="C9" s="2"/>
      <c r="D9" s="31" t="s">
        <v>8</v>
      </c>
      <c r="E9" s="35">
        <f>IF(B8=0,0,E3/B8)</f>
        <v>0.95289249999999981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2.1" customHeight="1" x14ac:dyDescent="0.25">
      <c r="A13" s="36" t="s">
        <v>38</v>
      </c>
      <c r="B13" s="36" t="s">
        <v>39</v>
      </c>
      <c r="C13" s="36" t="s">
        <v>9</v>
      </c>
      <c r="D13" s="36" t="s">
        <v>40</v>
      </c>
      <c r="E13" s="36" t="s">
        <v>41</v>
      </c>
      <c r="F13" s="36" t="s">
        <v>42</v>
      </c>
      <c r="G13" s="36" t="s">
        <v>13</v>
      </c>
      <c r="H13" s="36" t="s">
        <v>43</v>
      </c>
      <c r="I13" s="36" t="s">
        <v>44</v>
      </c>
      <c r="J13" s="36" t="s">
        <v>45</v>
      </c>
      <c r="K13" s="36" t="s">
        <v>46</v>
      </c>
      <c r="L13" s="36" t="s">
        <v>47</v>
      </c>
      <c r="M13" s="36" t="s">
        <v>3</v>
      </c>
      <c r="N13" s="36" t="s">
        <v>10</v>
      </c>
      <c r="O13" s="36" t="s">
        <v>48</v>
      </c>
      <c r="P13" s="36" t="s">
        <v>6</v>
      </c>
      <c r="Q13" s="36" t="s">
        <v>11</v>
      </c>
      <c r="R13" s="36" t="s">
        <v>49</v>
      </c>
      <c r="S13" s="36" t="s">
        <v>50</v>
      </c>
      <c r="T13" s="36" t="s">
        <v>51</v>
      </c>
    </row>
    <row r="14" spans="1:20" x14ac:dyDescent="0.25">
      <c r="A14" s="37">
        <f t="shared" ref="A14:A45" si="0">IF(E14="","",ROW()-13)</f>
        <v>1</v>
      </c>
      <c r="B14" s="38">
        <v>46176</v>
      </c>
      <c r="C14" s="39" t="s">
        <v>52</v>
      </c>
      <c r="D14" s="39" t="s">
        <v>53</v>
      </c>
      <c r="E14" s="40" t="s">
        <v>54</v>
      </c>
      <c r="F14" s="40" t="s">
        <v>55</v>
      </c>
      <c r="G14" s="39" t="s">
        <v>5</v>
      </c>
      <c r="H14" s="41">
        <v>2</v>
      </c>
      <c r="I14" s="39" t="s">
        <v>56</v>
      </c>
      <c r="J14" s="42">
        <v>850</v>
      </c>
      <c r="K14" s="43">
        <v>0</v>
      </c>
      <c r="L14" s="43">
        <v>0.19</v>
      </c>
      <c r="M14" s="44">
        <f t="shared" ref="M14:M45" si="1">IF(E14="","",IF(G14="Storniert",0,H14*J14*(1-K14)*(1+L14)))</f>
        <v>2023</v>
      </c>
      <c r="N14" s="42">
        <v>2023</v>
      </c>
      <c r="O14" s="42">
        <v>2023</v>
      </c>
      <c r="P14" s="44">
        <f t="shared" ref="P14:P45" si="2">IF(E14="","",IF(G14="Storniert",0,IF(N14&gt;0,MAX(N14-O14,0),M14)))</f>
        <v>0</v>
      </c>
      <c r="Q14" s="44">
        <f t="shared" ref="Q14:Q45" si="3">IF(E14="","",IF(N14&gt;0,N14-M14,0))</f>
        <v>0</v>
      </c>
      <c r="R14" s="38">
        <v>46190</v>
      </c>
      <c r="S14" s="38">
        <v>46188</v>
      </c>
      <c r="T14" s="45" t="s">
        <v>57</v>
      </c>
    </row>
    <row r="15" spans="1:20" ht="30" x14ac:dyDescent="0.25">
      <c r="A15" s="46">
        <f t="shared" si="0"/>
        <v>2</v>
      </c>
      <c r="B15" s="47">
        <v>46183</v>
      </c>
      <c r="C15" s="48" t="s">
        <v>52</v>
      </c>
      <c r="D15" s="48" t="s">
        <v>53</v>
      </c>
      <c r="E15" s="49" t="s">
        <v>58</v>
      </c>
      <c r="F15" s="49" t="s">
        <v>55</v>
      </c>
      <c r="G15" s="48" t="s">
        <v>59</v>
      </c>
      <c r="H15" s="50">
        <v>1</v>
      </c>
      <c r="I15" s="48" t="s">
        <v>60</v>
      </c>
      <c r="J15" s="51">
        <v>1450</v>
      </c>
      <c r="K15" s="52">
        <v>0.05</v>
      </c>
      <c r="L15" s="52">
        <v>0.19</v>
      </c>
      <c r="M15" s="53">
        <f t="shared" si="1"/>
        <v>1639.2249999999999</v>
      </c>
      <c r="N15" s="51">
        <v>1680</v>
      </c>
      <c r="O15" s="51">
        <v>0</v>
      </c>
      <c r="P15" s="53">
        <f t="shared" si="2"/>
        <v>1680</v>
      </c>
      <c r="Q15" s="53">
        <f t="shared" si="3"/>
        <v>40.775000000000091</v>
      </c>
      <c r="R15" s="47">
        <v>46203</v>
      </c>
      <c r="S15" s="47"/>
      <c r="T15" s="54" t="s">
        <v>61</v>
      </c>
    </row>
    <row r="16" spans="1:20" x14ac:dyDescent="0.25">
      <c r="A16" s="46">
        <f t="shared" si="0"/>
        <v>3</v>
      </c>
      <c r="B16" s="47">
        <v>46190</v>
      </c>
      <c r="C16" s="48" t="s">
        <v>62</v>
      </c>
      <c r="D16" s="48" t="s">
        <v>63</v>
      </c>
      <c r="E16" s="49" t="s">
        <v>64</v>
      </c>
      <c r="F16" s="49" t="s">
        <v>65</v>
      </c>
      <c r="G16" s="48" t="s">
        <v>66</v>
      </c>
      <c r="H16" s="50">
        <v>5</v>
      </c>
      <c r="I16" s="48" t="s">
        <v>56</v>
      </c>
      <c r="J16" s="51">
        <v>620</v>
      </c>
      <c r="K16" s="52">
        <v>0</v>
      </c>
      <c r="L16" s="52">
        <v>0.19</v>
      </c>
      <c r="M16" s="53">
        <f t="shared" si="1"/>
        <v>3689</v>
      </c>
      <c r="N16" s="51">
        <v>3750</v>
      </c>
      <c r="O16" s="51">
        <v>1500</v>
      </c>
      <c r="P16" s="53">
        <f t="shared" si="2"/>
        <v>2250</v>
      </c>
      <c r="Q16" s="53">
        <f t="shared" si="3"/>
        <v>61</v>
      </c>
      <c r="R16" s="47">
        <v>46208</v>
      </c>
      <c r="S16" s="47">
        <v>46198</v>
      </c>
      <c r="T16" s="54" t="s">
        <v>67</v>
      </c>
    </row>
    <row r="17" spans="1:20" ht="30" x14ac:dyDescent="0.25">
      <c r="A17" s="46">
        <f t="shared" si="0"/>
        <v>4</v>
      </c>
      <c r="B17" s="47">
        <v>46201</v>
      </c>
      <c r="C17" s="48" t="s">
        <v>62</v>
      </c>
      <c r="D17" s="48" t="s">
        <v>63</v>
      </c>
      <c r="E17" s="49" t="s">
        <v>68</v>
      </c>
      <c r="F17" s="49" t="s">
        <v>65</v>
      </c>
      <c r="G17" s="48" t="s">
        <v>69</v>
      </c>
      <c r="H17" s="50">
        <v>1</v>
      </c>
      <c r="I17" s="48" t="s">
        <v>60</v>
      </c>
      <c r="J17" s="51">
        <v>3200</v>
      </c>
      <c r="K17" s="52">
        <v>0.08</v>
      </c>
      <c r="L17" s="52">
        <v>0.19</v>
      </c>
      <c r="M17" s="53">
        <f t="shared" si="1"/>
        <v>3503.3599999999997</v>
      </c>
      <c r="N17" s="51">
        <v>0</v>
      </c>
      <c r="O17" s="51">
        <v>0</v>
      </c>
      <c r="P17" s="53">
        <f t="shared" si="2"/>
        <v>3503.3599999999997</v>
      </c>
      <c r="Q17" s="53">
        <f t="shared" si="3"/>
        <v>0</v>
      </c>
      <c r="R17" s="47">
        <v>46223</v>
      </c>
      <c r="S17" s="47"/>
      <c r="T17" s="54"/>
    </row>
    <row r="18" spans="1:20" ht="30" x14ac:dyDescent="0.25">
      <c r="A18" s="46">
        <f t="shared" si="0"/>
        <v>5</v>
      </c>
      <c r="B18" s="47">
        <v>46205</v>
      </c>
      <c r="C18" s="48" t="s">
        <v>70</v>
      </c>
      <c r="D18" s="48" t="s">
        <v>71</v>
      </c>
      <c r="E18" s="49" t="s">
        <v>72</v>
      </c>
      <c r="F18" s="49" t="s">
        <v>73</v>
      </c>
      <c r="G18" s="48" t="s">
        <v>69</v>
      </c>
      <c r="H18" s="50">
        <v>12</v>
      </c>
      <c r="I18" s="48" t="s">
        <v>56</v>
      </c>
      <c r="J18" s="51">
        <v>720</v>
      </c>
      <c r="K18" s="52">
        <v>0</v>
      </c>
      <c r="L18" s="52">
        <v>0.19</v>
      </c>
      <c r="M18" s="53">
        <f t="shared" si="1"/>
        <v>10281.6</v>
      </c>
      <c r="N18" s="51">
        <v>0</v>
      </c>
      <c r="O18" s="51">
        <v>0</v>
      </c>
      <c r="P18" s="53">
        <f t="shared" si="2"/>
        <v>10281.6</v>
      </c>
      <c r="Q18" s="53">
        <f t="shared" si="3"/>
        <v>0</v>
      </c>
      <c r="R18" s="47">
        <v>46236</v>
      </c>
      <c r="S18" s="47"/>
      <c r="T18" s="54" t="s">
        <v>74</v>
      </c>
    </row>
    <row r="19" spans="1:20" x14ac:dyDescent="0.25">
      <c r="A19" s="46">
        <f t="shared" si="0"/>
        <v>6</v>
      </c>
      <c r="B19" s="47">
        <v>46211</v>
      </c>
      <c r="C19" s="48" t="s">
        <v>70</v>
      </c>
      <c r="D19" s="48" t="s">
        <v>75</v>
      </c>
      <c r="E19" s="49" t="s">
        <v>76</v>
      </c>
      <c r="F19" s="49" t="s">
        <v>73</v>
      </c>
      <c r="G19" s="48" t="s">
        <v>77</v>
      </c>
      <c r="H19" s="50">
        <v>9</v>
      </c>
      <c r="I19" s="48" t="s">
        <v>56</v>
      </c>
      <c r="J19" s="51">
        <v>760</v>
      </c>
      <c r="K19" s="52">
        <v>0</v>
      </c>
      <c r="L19" s="52">
        <v>0.19</v>
      </c>
      <c r="M19" s="53">
        <f t="shared" si="1"/>
        <v>8139.5999999999995</v>
      </c>
      <c r="N19" s="51">
        <v>0</v>
      </c>
      <c r="O19" s="51">
        <v>0</v>
      </c>
      <c r="P19" s="53">
        <f t="shared" si="2"/>
        <v>8139.5999999999995</v>
      </c>
      <c r="Q19" s="53">
        <f t="shared" si="3"/>
        <v>0</v>
      </c>
      <c r="R19" s="47">
        <v>46249</v>
      </c>
      <c r="S19" s="47"/>
      <c r="T19" s="54" t="s">
        <v>78</v>
      </c>
    </row>
    <row r="20" spans="1:20" x14ac:dyDescent="0.25">
      <c r="A20" s="46">
        <f t="shared" si="0"/>
        <v>7</v>
      </c>
      <c r="B20" s="47">
        <v>46217</v>
      </c>
      <c r="C20" s="48" t="s">
        <v>79</v>
      </c>
      <c r="D20" s="48" t="s">
        <v>80</v>
      </c>
      <c r="E20" s="49" t="s">
        <v>81</v>
      </c>
      <c r="F20" s="49" t="s">
        <v>82</v>
      </c>
      <c r="G20" s="48" t="s">
        <v>59</v>
      </c>
      <c r="H20" s="50">
        <v>3</v>
      </c>
      <c r="I20" s="48" t="s">
        <v>15</v>
      </c>
      <c r="J20" s="51">
        <v>210</v>
      </c>
      <c r="K20" s="52">
        <v>0</v>
      </c>
      <c r="L20" s="52">
        <v>0.19</v>
      </c>
      <c r="M20" s="53">
        <f t="shared" si="1"/>
        <v>749.69999999999993</v>
      </c>
      <c r="N20" s="51">
        <v>749.7</v>
      </c>
      <c r="O20" s="51">
        <v>0</v>
      </c>
      <c r="P20" s="53">
        <f t="shared" si="2"/>
        <v>749.7</v>
      </c>
      <c r="Q20" s="53">
        <f t="shared" si="3"/>
        <v>1.1368683772161603E-13</v>
      </c>
      <c r="R20" s="47">
        <v>46234</v>
      </c>
      <c r="S20" s="47"/>
      <c r="T20" s="54"/>
    </row>
    <row r="21" spans="1:20" x14ac:dyDescent="0.25">
      <c r="A21" s="46">
        <f t="shared" si="0"/>
        <v>8</v>
      </c>
      <c r="B21" s="47">
        <v>46225</v>
      </c>
      <c r="C21" s="48" t="s">
        <v>83</v>
      </c>
      <c r="D21" s="48" t="s">
        <v>84</v>
      </c>
      <c r="E21" s="49" t="s">
        <v>85</v>
      </c>
      <c r="F21" s="49" t="s">
        <v>86</v>
      </c>
      <c r="G21" s="48" t="s">
        <v>87</v>
      </c>
      <c r="H21" s="50">
        <v>80</v>
      </c>
      <c r="I21" s="48" t="s">
        <v>88</v>
      </c>
      <c r="J21" s="51">
        <v>18</v>
      </c>
      <c r="K21" s="52">
        <v>0</v>
      </c>
      <c r="L21" s="52">
        <v>0.19</v>
      </c>
      <c r="M21" s="53">
        <f t="shared" si="1"/>
        <v>1713.6</v>
      </c>
      <c r="N21" s="51">
        <v>0</v>
      </c>
      <c r="O21" s="51">
        <v>0</v>
      </c>
      <c r="P21" s="53">
        <f t="shared" si="2"/>
        <v>1713.6</v>
      </c>
      <c r="Q21" s="53">
        <f t="shared" si="3"/>
        <v>0</v>
      </c>
      <c r="R21" s="47">
        <v>46254</v>
      </c>
      <c r="S21" s="47"/>
      <c r="T21" s="54" t="s">
        <v>89</v>
      </c>
    </row>
    <row r="22" spans="1:20" x14ac:dyDescent="0.25">
      <c r="A22" s="46">
        <f t="shared" si="0"/>
        <v>9</v>
      </c>
      <c r="B22" s="47">
        <v>46237</v>
      </c>
      <c r="C22" s="48" t="s">
        <v>90</v>
      </c>
      <c r="D22" s="48" t="s">
        <v>91</v>
      </c>
      <c r="E22" s="49" t="s">
        <v>92</v>
      </c>
      <c r="F22" s="49" t="s">
        <v>93</v>
      </c>
      <c r="G22" s="48" t="s">
        <v>77</v>
      </c>
      <c r="H22" s="50">
        <v>4</v>
      </c>
      <c r="I22" s="48" t="s">
        <v>56</v>
      </c>
      <c r="J22" s="51">
        <v>590</v>
      </c>
      <c r="K22" s="52">
        <v>0</v>
      </c>
      <c r="L22" s="52">
        <v>0.19</v>
      </c>
      <c r="M22" s="53">
        <f t="shared" si="1"/>
        <v>2808.4</v>
      </c>
      <c r="N22" s="51">
        <v>0</v>
      </c>
      <c r="O22" s="51">
        <v>0</v>
      </c>
      <c r="P22" s="53">
        <f t="shared" si="2"/>
        <v>2808.4</v>
      </c>
      <c r="Q22" s="53">
        <f t="shared" si="3"/>
        <v>0</v>
      </c>
      <c r="R22" s="47">
        <v>46270</v>
      </c>
      <c r="S22" s="47"/>
      <c r="T22" s="54"/>
    </row>
    <row r="23" spans="1:20" ht="30" x14ac:dyDescent="0.25">
      <c r="A23" s="46">
        <f t="shared" si="0"/>
        <v>10</v>
      </c>
      <c r="B23" s="47">
        <v>46252</v>
      </c>
      <c r="C23" s="48" t="s">
        <v>94</v>
      </c>
      <c r="D23" s="48" t="s">
        <v>91</v>
      </c>
      <c r="E23" s="49" t="s">
        <v>95</v>
      </c>
      <c r="F23" s="49" t="s">
        <v>96</v>
      </c>
      <c r="G23" s="48" t="s">
        <v>77</v>
      </c>
      <c r="H23" s="50">
        <v>1</v>
      </c>
      <c r="I23" s="48" t="s">
        <v>60</v>
      </c>
      <c r="J23" s="51">
        <v>1800</v>
      </c>
      <c r="K23" s="52">
        <v>0.1</v>
      </c>
      <c r="L23" s="52">
        <v>0.19</v>
      </c>
      <c r="M23" s="53">
        <f t="shared" si="1"/>
        <v>1927.8</v>
      </c>
      <c r="N23" s="51">
        <v>0</v>
      </c>
      <c r="O23" s="51">
        <v>0</v>
      </c>
      <c r="P23" s="53">
        <f t="shared" si="2"/>
        <v>1927.8</v>
      </c>
      <c r="Q23" s="53">
        <f t="shared" si="3"/>
        <v>0</v>
      </c>
      <c r="R23" s="47">
        <v>46280</v>
      </c>
      <c r="S23" s="47"/>
      <c r="T23" s="54" t="s">
        <v>97</v>
      </c>
    </row>
    <row r="24" spans="1:20" x14ac:dyDescent="0.25">
      <c r="A24" s="46">
        <f t="shared" si="0"/>
        <v>11</v>
      </c>
      <c r="B24" s="47">
        <v>46267</v>
      </c>
      <c r="C24" s="48" t="s">
        <v>98</v>
      </c>
      <c r="D24" s="48" t="s">
        <v>91</v>
      </c>
      <c r="E24" s="49" t="s">
        <v>99</v>
      </c>
      <c r="F24" s="49" t="s">
        <v>100</v>
      </c>
      <c r="G24" s="48" t="s">
        <v>77</v>
      </c>
      <c r="H24" s="50">
        <v>2</v>
      </c>
      <c r="I24" s="48" t="s">
        <v>56</v>
      </c>
      <c r="J24" s="51">
        <v>690</v>
      </c>
      <c r="K24" s="52">
        <v>0</v>
      </c>
      <c r="L24" s="52">
        <v>0.19</v>
      </c>
      <c r="M24" s="53">
        <f t="shared" si="1"/>
        <v>1642.1999999999998</v>
      </c>
      <c r="N24" s="51">
        <v>0</v>
      </c>
      <c r="O24" s="51">
        <v>0</v>
      </c>
      <c r="P24" s="53">
        <f t="shared" si="2"/>
        <v>1642.1999999999998</v>
      </c>
      <c r="Q24" s="53">
        <f t="shared" si="3"/>
        <v>0</v>
      </c>
      <c r="R24" s="47">
        <v>46289</v>
      </c>
      <c r="S24" s="47"/>
      <c r="T24" s="54"/>
    </row>
    <row r="25" spans="1:20" x14ac:dyDescent="0.25">
      <c r="A25" s="46">
        <f t="shared" si="0"/>
        <v>12</v>
      </c>
      <c r="B25" s="47">
        <v>46275</v>
      </c>
      <c r="C25" s="48" t="s">
        <v>101</v>
      </c>
      <c r="D25" s="48" t="s">
        <v>91</v>
      </c>
      <c r="E25" s="49" t="s">
        <v>102</v>
      </c>
      <c r="F25" s="49" t="s">
        <v>103</v>
      </c>
      <c r="G25" s="48" t="s">
        <v>77</v>
      </c>
      <c r="H25" s="50">
        <v>1</v>
      </c>
      <c r="I25" s="48" t="s">
        <v>60</v>
      </c>
      <c r="J25" s="51">
        <v>1600</v>
      </c>
      <c r="K25" s="52">
        <v>0</v>
      </c>
      <c r="L25" s="52">
        <v>0.19</v>
      </c>
      <c r="M25" s="53">
        <f t="shared" si="1"/>
        <v>1904</v>
      </c>
      <c r="N25" s="51">
        <v>0</v>
      </c>
      <c r="O25" s="51">
        <v>0</v>
      </c>
      <c r="P25" s="53">
        <f t="shared" si="2"/>
        <v>1904</v>
      </c>
      <c r="Q25" s="53">
        <f t="shared" si="3"/>
        <v>0</v>
      </c>
      <c r="R25" s="47">
        <v>46295</v>
      </c>
      <c r="S25" s="47"/>
      <c r="T25" s="54" t="s">
        <v>104</v>
      </c>
    </row>
    <row r="26" spans="1:20" x14ac:dyDescent="0.25">
      <c r="A26" s="46">
        <f t="shared" si="0"/>
        <v>13</v>
      </c>
      <c r="B26" s="47">
        <v>46194</v>
      </c>
      <c r="C26" s="48" t="s">
        <v>79</v>
      </c>
      <c r="D26" s="48" t="s">
        <v>80</v>
      </c>
      <c r="E26" s="49" t="s">
        <v>105</v>
      </c>
      <c r="F26" s="49" t="s">
        <v>106</v>
      </c>
      <c r="G26" s="48" t="s">
        <v>107</v>
      </c>
      <c r="H26" s="50">
        <v>1</v>
      </c>
      <c r="I26" s="48" t="s">
        <v>108</v>
      </c>
      <c r="J26" s="51">
        <v>480</v>
      </c>
      <c r="K26" s="52">
        <v>0</v>
      </c>
      <c r="L26" s="52">
        <v>0.19</v>
      </c>
      <c r="M26" s="53">
        <f t="shared" si="1"/>
        <v>0</v>
      </c>
      <c r="N26" s="51">
        <v>0</v>
      </c>
      <c r="O26" s="51">
        <v>0</v>
      </c>
      <c r="P26" s="53">
        <f t="shared" si="2"/>
        <v>0</v>
      </c>
      <c r="Q26" s="53">
        <f t="shared" si="3"/>
        <v>0</v>
      </c>
      <c r="R26" s="47">
        <v>46213</v>
      </c>
      <c r="S26" s="47"/>
      <c r="T26" s="54" t="s">
        <v>109</v>
      </c>
    </row>
    <row r="27" spans="1:20" x14ac:dyDescent="0.25">
      <c r="A27" s="46" t="str">
        <f t="shared" si="0"/>
        <v/>
      </c>
      <c r="B27" s="47"/>
      <c r="C27" s="48"/>
      <c r="D27" s="48"/>
      <c r="E27" s="49"/>
      <c r="F27" s="49"/>
      <c r="G27" s="48"/>
      <c r="H27" s="50"/>
      <c r="I27" s="48"/>
      <c r="J27" s="51"/>
      <c r="K27" s="52"/>
      <c r="L27" s="52"/>
      <c r="M27" s="53" t="str">
        <f t="shared" si="1"/>
        <v/>
      </c>
      <c r="N27" s="51"/>
      <c r="O27" s="51"/>
      <c r="P27" s="53" t="str">
        <f t="shared" si="2"/>
        <v/>
      </c>
      <c r="Q27" s="53" t="str">
        <f t="shared" si="3"/>
        <v/>
      </c>
      <c r="R27" s="47"/>
      <c r="S27" s="47"/>
      <c r="T27" s="54"/>
    </row>
    <row r="28" spans="1:20" x14ac:dyDescent="0.25">
      <c r="A28" s="46" t="str">
        <f t="shared" si="0"/>
        <v/>
      </c>
      <c r="B28" s="47"/>
      <c r="C28" s="48"/>
      <c r="D28" s="48"/>
      <c r="E28" s="49"/>
      <c r="F28" s="49"/>
      <c r="G28" s="48"/>
      <c r="H28" s="50"/>
      <c r="I28" s="48"/>
      <c r="J28" s="51"/>
      <c r="K28" s="52"/>
      <c r="L28" s="52"/>
      <c r="M28" s="53" t="str">
        <f t="shared" si="1"/>
        <v/>
      </c>
      <c r="N28" s="51"/>
      <c r="O28" s="51"/>
      <c r="P28" s="53" t="str">
        <f t="shared" si="2"/>
        <v/>
      </c>
      <c r="Q28" s="53" t="str">
        <f t="shared" si="3"/>
        <v/>
      </c>
      <c r="R28" s="47"/>
      <c r="S28" s="47"/>
      <c r="T28" s="54"/>
    </row>
    <row r="29" spans="1:20" x14ac:dyDescent="0.25">
      <c r="A29" s="46" t="str">
        <f t="shared" si="0"/>
        <v/>
      </c>
      <c r="B29" s="47"/>
      <c r="C29" s="48"/>
      <c r="D29" s="48"/>
      <c r="E29" s="49"/>
      <c r="F29" s="49"/>
      <c r="G29" s="48"/>
      <c r="H29" s="50"/>
      <c r="I29" s="48"/>
      <c r="J29" s="51"/>
      <c r="K29" s="52"/>
      <c r="L29" s="52"/>
      <c r="M29" s="53" t="str">
        <f t="shared" si="1"/>
        <v/>
      </c>
      <c r="N29" s="51"/>
      <c r="O29" s="51"/>
      <c r="P29" s="53" t="str">
        <f t="shared" si="2"/>
        <v/>
      </c>
      <c r="Q29" s="53" t="str">
        <f t="shared" si="3"/>
        <v/>
      </c>
      <c r="R29" s="47"/>
      <c r="S29" s="47"/>
      <c r="T29" s="54"/>
    </row>
    <row r="30" spans="1:20" x14ac:dyDescent="0.25">
      <c r="A30" s="46" t="str">
        <f t="shared" si="0"/>
        <v/>
      </c>
      <c r="B30" s="47"/>
      <c r="C30" s="48"/>
      <c r="D30" s="48"/>
      <c r="E30" s="49"/>
      <c r="F30" s="49"/>
      <c r="G30" s="48"/>
      <c r="H30" s="50"/>
      <c r="I30" s="48"/>
      <c r="J30" s="51"/>
      <c r="K30" s="52"/>
      <c r="L30" s="52"/>
      <c r="M30" s="53" t="str">
        <f t="shared" si="1"/>
        <v/>
      </c>
      <c r="N30" s="51"/>
      <c r="O30" s="51"/>
      <c r="P30" s="53" t="str">
        <f t="shared" si="2"/>
        <v/>
      </c>
      <c r="Q30" s="53" t="str">
        <f t="shared" si="3"/>
        <v/>
      </c>
      <c r="R30" s="47"/>
      <c r="S30" s="47"/>
      <c r="T30" s="54"/>
    </row>
    <row r="31" spans="1:20" x14ac:dyDescent="0.25">
      <c r="A31" s="46" t="str">
        <f t="shared" si="0"/>
        <v/>
      </c>
      <c r="B31" s="47"/>
      <c r="C31" s="48"/>
      <c r="D31" s="48"/>
      <c r="E31" s="49"/>
      <c r="F31" s="49"/>
      <c r="G31" s="48"/>
      <c r="H31" s="50"/>
      <c r="I31" s="48"/>
      <c r="J31" s="51"/>
      <c r="K31" s="52"/>
      <c r="L31" s="52"/>
      <c r="M31" s="53" t="str">
        <f t="shared" si="1"/>
        <v/>
      </c>
      <c r="N31" s="51"/>
      <c r="O31" s="51"/>
      <c r="P31" s="53" t="str">
        <f t="shared" si="2"/>
        <v/>
      </c>
      <c r="Q31" s="53" t="str">
        <f t="shared" si="3"/>
        <v/>
      </c>
      <c r="R31" s="47"/>
      <c r="S31" s="47"/>
      <c r="T31" s="54"/>
    </row>
    <row r="32" spans="1:20" x14ac:dyDescent="0.25">
      <c r="A32" s="46" t="str">
        <f t="shared" si="0"/>
        <v/>
      </c>
      <c r="B32" s="47"/>
      <c r="C32" s="48"/>
      <c r="D32" s="48"/>
      <c r="E32" s="49"/>
      <c r="F32" s="49"/>
      <c r="G32" s="48"/>
      <c r="H32" s="50"/>
      <c r="I32" s="48"/>
      <c r="J32" s="51"/>
      <c r="K32" s="52"/>
      <c r="L32" s="52"/>
      <c r="M32" s="53" t="str">
        <f t="shared" si="1"/>
        <v/>
      </c>
      <c r="N32" s="51"/>
      <c r="O32" s="51"/>
      <c r="P32" s="53" t="str">
        <f t="shared" si="2"/>
        <v/>
      </c>
      <c r="Q32" s="53" t="str">
        <f t="shared" si="3"/>
        <v/>
      </c>
      <c r="R32" s="47"/>
      <c r="S32" s="47"/>
      <c r="T32" s="54"/>
    </row>
    <row r="33" spans="1:20" x14ac:dyDescent="0.25">
      <c r="A33" s="46" t="str">
        <f t="shared" si="0"/>
        <v/>
      </c>
      <c r="B33" s="47"/>
      <c r="C33" s="48"/>
      <c r="D33" s="48"/>
      <c r="E33" s="49"/>
      <c r="F33" s="49"/>
      <c r="G33" s="48"/>
      <c r="H33" s="50"/>
      <c r="I33" s="48"/>
      <c r="J33" s="51"/>
      <c r="K33" s="52"/>
      <c r="L33" s="52"/>
      <c r="M33" s="53" t="str">
        <f t="shared" si="1"/>
        <v/>
      </c>
      <c r="N33" s="51"/>
      <c r="O33" s="51"/>
      <c r="P33" s="53" t="str">
        <f t="shared" si="2"/>
        <v/>
      </c>
      <c r="Q33" s="53" t="str">
        <f t="shared" si="3"/>
        <v/>
      </c>
      <c r="R33" s="47"/>
      <c r="S33" s="47"/>
      <c r="T33" s="54"/>
    </row>
    <row r="34" spans="1:20" x14ac:dyDescent="0.25">
      <c r="A34" s="46" t="str">
        <f t="shared" si="0"/>
        <v/>
      </c>
      <c r="B34" s="47"/>
      <c r="C34" s="48"/>
      <c r="D34" s="48"/>
      <c r="E34" s="49"/>
      <c r="F34" s="49"/>
      <c r="G34" s="48"/>
      <c r="H34" s="50"/>
      <c r="I34" s="48"/>
      <c r="J34" s="51"/>
      <c r="K34" s="52"/>
      <c r="L34" s="52"/>
      <c r="M34" s="53" t="str">
        <f t="shared" si="1"/>
        <v/>
      </c>
      <c r="N34" s="51"/>
      <c r="O34" s="51"/>
      <c r="P34" s="53" t="str">
        <f t="shared" si="2"/>
        <v/>
      </c>
      <c r="Q34" s="53" t="str">
        <f t="shared" si="3"/>
        <v/>
      </c>
      <c r="R34" s="47"/>
      <c r="S34" s="47"/>
      <c r="T34" s="54"/>
    </row>
    <row r="35" spans="1:20" x14ac:dyDescent="0.25">
      <c r="A35" s="46" t="str">
        <f t="shared" si="0"/>
        <v/>
      </c>
      <c r="B35" s="47"/>
      <c r="C35" s="48"/>
      <c r="D35" s="48"/>
      <c r="E35" s="49"/>
      <c r="F35" s="49"/>
      <c r="G35" s="48"/>
      <c r="H35" s="50"/>
      <c r="I35" s="48"/>
      <c r="J35" s="51"/>
      <c r="K35" s="52"/>
      <c r="L35" s="52"/>
      <c r="M35" s="53" t="str">
        <f t="shared" si="1"/>
        <v/>
      </c>
      <c r="N35" s="51"/>
      <c r="O35" s="51"/>
      <c r="P35" s="53" t="str">
        <f t="shared" si="2"/>
        <v/>
      </c>
      <c r="Q35" s="53" t="str">
        <f t="shared" si="3"/>
        <v/>
      </c>
      <c r="R35" s="47"/>
      <c r="S35" s="47"/>
      <c r="T35" s="54"/>
    </row>
    <row r="36" spans="1:20" x14ac:dyDescent="0.25">
      <c r="A36" s="46" t="str">
        <f t="shared" si="0"/>
        <v/>
      </c>
      <c r="B36" s="47"/>
      <c r="C36" s="48"/>
      <c r="D36" s="48"/>
      <c r="E36" s="49"/>
      <c r="F36" s="49"/>
      <c r="G36" s="48"/>
      <c r="H36" s="50"/>
      <c r="I36" s="48"/>
      <c r="J36" s="51"/>
      <c r="K36" s="52"/>
      <c r="L36" s="52"/>
      <c r="M36" s="53" t="str">
        <f t="shared" si="1"/>
        <v/>
      </c>
      <c r="N36" s="51"/>
      <c r="O36" s="51"/>
      <c r="P36" s="53" t="str">
        <f t="shared" si="2"/>
        <v/>
      </c>
      <c r="Q36" s="53" t="str">
        <f t="shared" si="3"/>
        <v/>
      </c>
      <c r="R36" s="47"/>
      <c r="S36" s="47"/>
      <c r="T36" s="54"/>
    </row>
    <row r="37" spans="1:20" x14ac:dyDescent="0.25">
      <c r="A37" s="46" t="str">
        <f t="shared" si="0"/>
        <v/>
      </c>
      <c r="B37" s="47"/>
      <c r="C37" s="48"/>
      <c r="D37" s="48"/>
      <c r="E37" s="49"/>
      <c r="F37" s="49"/>
      <c r="G37" s="48"/>
      <c r="H37" s="50"/>
      <c r="I37" s="48"/>
      <c r="J37" s="51"/>
      <c r="K37" s="52"/>
      <c r="L37" s="52"/>
      <c r="M37" s="53" t="str">
        <f t="shared" si="1"/>
        <v/>
      </c>
      <c r="N37" s="51"/>
      <c r="O37" s="51"/>
      <c r="P37" s="53" t="str">
        <f t="shared" si="2"/>
        <v/>
      </c>
      <c r="Q37" s="53" t="str">
        <f t="shared" si="3"/>
        <v/>
      </c>
      <c r="R37" s="47"/>
      <c r="S37" s="47"/>
      <c r="T37" s="54"/>
    </row>
    <row r="38" spans="1:20" x14ac:dyDescent="0.25">
      <c r="A38" s="46" t="str">
        <f t="shared" si="0"/>
        <v/>
      </c>
      <c r="B38" s="47"/>
      <c r="C38" s="48"/>
      <c r="D38" s="48"/>
      <c r="E38" s="49"/>
      <c r="F38" s="49"/>
      <c r="G38" s="48"/>
      <c r="H38" s="50"/>
      <c r="I38" s="48"/>
      <c r="J38" s="51"/>
      <c r="K38" s="52"/>
      <c r="L38" s="52"/>
      <c r="M38" s="53" t="str">
        <f t="shared" si="1"/>
        <v/>
      </c>
      <c r="N38" s="51"/>
      <c r="O38" s="51"/>
      <c r="P38" s="53" t="str">
        <f t="shared" si="2"/>
        <v/>
      </c>
      <c r="Q38" s="53" t="str">
        <f t="shared" si="3"/>
        <v/>
      </c>
      <c r="R38" s="47"/>
      <c r="S38" s="47"/>
      <c r="T38" s="54"/>
    </row>
    <row r="39" spans="1:20" x14ac:dyDescent="0.25">
      <c r="A39" s="46" t="str">
        <f t="shared" si="0"/>
        <v/>
      </c>
      <c r="B39" s="47"/>
      <c r="C39" s="48"/>
      <c r="D39" s="48"/>
      <c r="E39" s="49"/>
      <c r="F39" s="49"/>
      <c r="G39" s="48"/>
      <c r="H39" s="50"/>
      <c r="I39" s="48"/>
      <c r="J39" s="51"/>
      <c r="K39" s="52"/>
      <c r="L39" s="52"/>
      <c r="M39" s="53" t="str">
        <f t="shared" si="1"/>
        <v/>
      </c>
      <c r="N39" s="51"/>
      <c r="O39" s="51"/>
      <c r="P39" s="53" t="str">
        <f t="shared" si="2"/>
        <v/>
      </c>
      <c r="Q39" s="53" t="str">
        <f t="shared" si="3"/>
        <v/>
      </c>
      <c r="R39" s="47"/>
      <c r="S39" s="47"/>
      <c r="T39" s="54"/>
    </row>
    <row r="40" spans="1:20" x14ac:dyDescent="0.25">
      <c r="A40" s="46" t="str">
        <f t="shared" si="0"/>
        <v/>
      </c>
      <c r="B40" s="47"/>
      <c r="C40" s="48"/>
      <c r="D40" s="48"/>
      <c r="E40" s="49"/>
      <c r="F40" s="49"/>
      <c r="G40" s="48"/>
      <c r="H40" s="50"/>
      <c r="I40" s="48"/>
      <c r="J40" s="51"/>
      <c r="K40" s="52"/>
      <c r="L40" s="52"/>
      <c r="M40" s="53" t="str">
        <f t="shared" si="1"/>
        <v/>
      </c>
      <c r="N40" s="51"/>
      <c r="O40" s="51"/>
      <c r="P40" s="53" t="str">
        <f t="shared" si="2"/>
        <v/>
      </c>
      <c r="Q40" s="53" t="str">
        <f t="shared" si="3"/>
        <v/>
      </c>
      <c r="R40" s="47"/>
      <c r="S40" s="47"/>
      <c r="T40" s="54"/>
    </row>
    <row r="41" spans="1:20" x14ac:dyDescent="0.25">
      <c r="A41" s="46" t="str">
        <f t="shared" si="0"/>
        <v/>
      </c>
      <c r="B41" s="47"/>
      <c r="C41" s="48"/>
      <c r="D41" s="48"/>
      <c r="E41" s="49"/>
      <c r="F41" s="49"/>
      <c r="G41" s="48"/>
      <c r="H41" s="50"/>
      <c r="I41" s="48"/>
      <c r="J41" s="51"/>
      <c r="K41" s="52"/>
      <c r="L41" s="52"/>
      <c r="M41" s="53" t="str">
        <f t="shared" si="1"/>
        <v/>
      </c>
      <c r="N41" s="51"/>
      <c r="O41" s="51"/>
      <c r="P41" s="53" t="str">
        <f t="shared" si="2"/>
        <v/>
      </c>
      <c r="Q41" s="53" t="str">
        <f t="shared" si="3"/>
        <v/>
      </c>
      <c r="R41" s="47"/>
      <c r="S41" s="47"/>
      <c r="T41" s="54"/>
    </row>
    <row r="42" spans="1:20" x14ac:dyDescent="0.25">
      <c r="A42" s="46" t="str">
        <f t="shared" si="0"/>
        <v/>
      </c>
      <c r="B42" s="47"/>
      <c r="C42" s="48"/>
      <c r="D42" s="48"/>
      <c r="E42" s="49"/>
      <c r="F42" s="49"/>
      <c r="G42" s="48"/>
      <c r="H42" s="50"/>
      <c r="I42" s="48"/>
      <c r="J42" s="51"/>
      <c r="K42" s="52"/>
      <c r="L42" s="52"/>
      <c r="M42" s="53" t="str">
        <f t="shared" si="1"/>
        <v/>
      </c>
      <c r="N42" s="51"/>
      <c r="O42" s="51"/>
      <c r="P42" s="53" t="str">
        <f t="shared" si="2"/>
        <v/>
      </c>
      <c r="Q42" s="53" t="str">
        <f t="shared" si="3"/>
        <v/>
      </c>
      <c r="R42" s="47"/>
      <c r="S42" s="47"/>
      <c r="T42" s="54"/>
    </row>
    <row r="43" spans="1:20" x14ac:dyDescent="0.25">
      <c r="A43" s="46" t="str">
        <f t="shared" si="0"/>
        <v/>
      </c>
      <c r="B43" s="47"/>
      <c r="C43" s="48"/>
      <c r="D43" s="48"/>
      <c r="E43" s="49"/>
      <c r="F43" s="49"/>
      <c r="G43" s="48"/>
      <c r="H43" s="50"/>
      <c r="I43" s="48"/>
      <c r="J43" s="51"/>
      <c r="K43" s="52"/>
      <c r="L43" s="52"/>
      <c r="M43" s="53" t="str">
        <f t="shared" si="1"/>
        <v/>
      </c>
      <c r="N43" s="51"/>
      <c r="O43" s="51"/>
      <c r="P43" s="53" t="str">
        <f t="shared" si="2"/>
        <v/>
      </c>
      <c r="Q43" s="53" t="str">
        <f t="shared" si="3"/>
        <v/>
      </c>
      <c r="R43" s="47"/>
      <c r="S43" s="47"/>
      <c r="T43" s="54"/>
    </row>
    <row r="44" spans="1:20" x14ac:dyDescent="0.25">
      <c r="A44" s="46" t="str">
        <f t="shared" si="0"/>
        <v/>
      </c>
      <c r="B44" s="47"/>
      <c r="C44" s="48"/>
      <c r="D44" s="48"/>
      <c r="E44" s="49"/>
      <c r="F44" s="49"/>
      <c r="G44" s="48"/>
      <c r="H44" s="50"/>
      <c r="I44" s="48"/>
      <c r="J44" s="51"/>
      <c r="K44" s="52"/>
      <c r="L44" s="52"/>
      <c r="M44" s="53" t="str">
        <f t="shared" si="1"/>
        <v/>
      </c>
      <c r="N44" s="51"/>
      <c r="O44" s="51"/>
      <c r="P44" s="53" t="str">
        <f t="shared" si="2"/>
        <v/>
      </c>
      <c r="Q44" s="53" t="str">
        <f t="shared" si="3"/>
        <v/>
      </c>
      <c r="R44" s="47"/>
      <c r="S44" s="47"/>
      <c r="T44" s="54"/>
    </row>
    <row r="45" spans="1:20" x14ac:dyDescent="0.25">
      <c r="A45" s="46" t="str">
        <f t="shared" si="0"/>
        <v/>
      </c>
      <c r="B45" s="47"/>
      <c r="C45" s="48"/>
      <c r="D45" s="48"/>
      <c r="E45" s="49"/>
      <c r="F45" s="49"/>
      <c r="G45" s="48"/>
      <c r="H45" s="50"/>
      <c r="I45" s="48"/>
      <c r="J45" s="51"/>
      <c r="K45" s="52"/>
      <c r="L45" s="52"/>
      <c r="M45" s="53" t="str">
        <f t="shared" si="1"/>
        <v/>
      </c>
      <c r="N45" s="51"/>
      <c r="O45" s="51"/>
      <c r="P45" s="53" t="str">
        <f t="shared" si="2"/>
        <v/>
      </c>
      <c r="Q45" s="53" t="str">
        <f t="shared" si="3"/>
        <v/>
      </c>
      <c r="R45" s="47"/>
      <c r="S45" s="47"/>
      <c r="T45" s="54"/>
    </row>
    <row r="46" spans="1:20" x14ac:dyDescent="0.25">
      <c r="A46" s="46" t="str">
        <f t="shared" ref="A46:A65" si="4">IF(E46="","",ROW()-13)</f>
        <v/>
      </c>
      <c r="B46" s="47"/>
      <c r="C46" s="48"/>
      <c r="D46" s="48"/>
      <c r="E46" s="49"/>
      <c r="F46" s="49"/>
      <c r="G46" s="48"/>
      <c r="H46" s="50"/>
      <c r="I46" s="48"/>
      <c r="J46" s="51"/>
      <c r="K46" s="52"/>
      <c r="L46" s="52"/>
      <c r="M46" s="53" t="str">
        <f t="shared" ref="M46:M77" si="5">IF(E46="","",IF(G46="Storniert",0,H46*J46*(1-K46)*(1+L46)))</f>
        <v/>
      </c>
      <c r="N46" s="51"/>
      <c r="O46" s="51"/>
      <c r="P46" s="53" t="str">
        <f t="shared" ref="P46:P77" si="6">IF(E46="","",IF(G46="Storniert",0,IF(N46&gt;0,MAX(N46-O46,0),M46)))</f>
        <v/>
      </c>
      <c r="Q46" s="53" t="str">
        <f t="shared" ref="Q46:Q65" si="7">IF(E46="","",IF(N46&gt;0,N46-M46,0))</f>
        <v/>
      </c>
      <c r="R46" s="47"/>
      <c r="S46" s="47"/>
      <c r="T46" s="54"/>
    </row>
    <row r="47" spans="1:20" x14ac:dyDescent="0.25">
      <c r="A47" s="46" t="str">
        <f t="shared" si="4"/>
        <v/>
      </c>
      <c r="B47" s="47"/>
      <c r="C47" s="48"/>
      <c r="D47" s="48"/>
      <c r="E47" s="49"/>
      <c r="F47" s="49"/>
      <c r="G47" s="48"/>
      <c r="H47" s="50"/>
      <c r="I47" s="48"/>
      <c r="J47" s="51"/>
      <c r="K47" s="52"/>
      <c r="L47" s="52"/>
      <c r="M47" s="53" t="str">
        <f t="shared" si="5"/>
        <v/>
      </c>
      <c r="N47" s="51"/>
      <c r="O47" s="51"/>
      <c r="P47" s="53" t="str">
        <f t="shared" si="6"/>
        <v/>
      </c>
      <c r="Q47" s="53" t="str">
        <f t="shared" si="7"/>
        <v/>
      </c>
      <c r="R47" s="47"/>
      <c r="S47" s="47"/>
      <c r="T47" s="54"/>
    </row>
    <row r="48" spans="1:20" x14ac:dyDescent="0.25">
      <c r="A48" s="46" t="str">
        <f t="shared" si="4"/>
        <v/>
      </c>
      <c r="B48" s="47"/>
      <c r="C48" s="48"/>
      <c r="D48" s="48"/>
      <c r="E48" s="49"/>
      <c r="F48" s="49"/>
      <c r="G48" s="48"/>
      <c r="H48" s="50"/>
      <c r="I48" s="48"/>
      <c r="J48" s="51"/>
      <c r="K48" s="52"/>
      <c r="L48" s="52"/>
      <c r="M48" s="53" t="str">
        <f t="shared" si="5"/>
        <v/>
      </c>
      <c r="N48" s="51"/>
      <c r="O48" s="51"/>
      <c r="P48" s="53" t="str">
        <f t="shared" si="6"/>
        <v/>
      </c>
      <c r="Q48" s="53" t="str">
        <f t="shared" si="7"/>
        <v/>
      </c>
      <c r="R48" s="47"/>
      <c r="S48" s="47"/>
      <c r="T48" s="54"/>
    </row>
    <row r="49" spans="1:20" x14ac:dyDescent="0.25">
      <c r="A49" s="46" t="str">
        <f t="shared" si="4"/>
        <v/>
      </c>
      <c r="B49" s="47"/>
      <c r="C49" s="48"/>
      <c r="D49" s="48"/>
      <c r="E49" s="49"/>
      <c r="F49" s="49"/>
      <c r="G49" s="48"/>
      <c r="H49" s="50"/>
      <c r="I49" s="48"/>
      <c r="J49" s="51"/>
      <c r="K49" s="52"/>
      <c r="L49" s="52"/>
      <c r="M49" s="53" t="str">
        <f t="shared" si="5"/>
        <v/>
      </c>
      <c r="N49" s="51"/>
      <c r="O49" s="51"/>
      <c r="P49" s="53" t="str">
        <f t="shared" si="6"/>
        <v/>
      </c>
      <c r="Q49" s="53" t="str">
        <f t="shared" si="7"/>
        <v/>
      </c>
      <c r="R49" s="47"/>
      <c r="S49" s="47"/>
      <c r="T49" s="54"/>
    </row>
    <row r="50" spans="1:20" x14ac:dyDescent="0.25">
      <c r="A50" s="46" t="str">
        <f t="shared" si="4"/>
        <v/>
      </c>
      <c r="B50" s="47"/>
      <c r="C50" s="48"/>
      <c r="D50" s="48"/>
      <c r="E50" s="49"/>
      <c r="F50" s="49"/>
      <c r="G50" s="48"/>
      <c r="H50" s="50"/>
      <c r="I50" s="48"/>
      <c r="J50" s="51"/>
      <c r="K50" s="52"/>
      <c r="L50" s="52"/>
      <c r="M50" s="53" t="str">
        <f t="shared" si="5"/>
        <v/>
      </c>
      <c r="N50" s="51"/>
      <c r="O50" s="51"/>
      <c r="P50" s="53" t="str">
        <f t="shared" si="6"/>
        <v/>
      </c>
      <c r="Q50" s="53" t="str">
        <f t="shared" si="7"/>
        <v/>
      </c>
      <c r="R50" s="47"/>
      <c r="S50" s="47"/>
      <c r="T50" s="54"/>
    </row>
    <row r="51" spans="1:20" x14ac:dyDescent="0.25">
      <c r="A51" s="46" t="str">
        <f t="shared" si="4"/>
        <v/>
      </c>
      <c r="B51" s="47"/>
      <c r="C51" s="48"/>
      <c r="D51" s="48"/>
      <c r="E51" s="49"/>
      <c r="F51" s="49"/>
      <c r="G51" s="48"/>
      <c r="H51" s="50"/>
      <c r="I51" s="48"/>
      <c r="J51" s="51"/>
      <c r="K51" s="52"/>
      <c r="L51" s="52"/>
      <c r="M51" s="53" t="str">
        <f t="shared" si="5"/>
        <v/>
      </c>
      <c r="N51" s="51"/>
      <c r="O51" s="51"/>
      <c r="P51" s="53" t="str">
        <f t="shared" si="6"/>
        <v/>
      </c>
      <c r="Q51" s="53" t="str">
        <f t="shared" si="7"/>
        <v/>
      </c>
      <c r="R51" s="47"/>
      <c r="S51" s="47"/>
      <c r="T51" s="54"/>
    </row>
    <row r="52" spans="1:20" x14ac:dyDescent="0.25">
      <c r="A52" s="46" t="str">
        <f t="shared" si="4"/>
        <v/>
      </c>
      <c r="B52" s="47"/>
      <c r="C52" s="48"/>
      <c r="D52" s="48"/>
      <c r="E52" s="49"/>
      <c r="F52" s="49"/>
      <c r="G52" s="48"/>
      <c r="H52" s="50"/>
      <c r="I52" s="48"/>
      <c r="J52" s="51"/>
      <c r="K52" s="52"/>
      <c r="L52" s="52"/>
      <c r="M52" s="53" t="str">
        <f t="shared" si="5"/>
        <v/>
      </c>
      <c r="N52" s="51"/>
      <c r="O52" s="51"/>
      <c r="P52" s="53" t="str">
        <f t="shared" si="6"/>
        <v/>
      </c>
      <c r="Q52" s="53" t="str">
        <f t="shared" si="7"/>
        <v/>
      </c>
      <c r="R52" s="47"/>
      <c r="S52" s="47"/>
      <c r="T52" s="54"/>
    </row>
    <row r="53" spans="1:20" x14ac:dyDescent="0.25">
      <c r="A53" s="46" t="str">
        <f t="shared" si="4"/>
        <v/>
      </c>
      <c r="B53" s="47"/>
      <c r="C53" s="48"/>
      <c r="D53" s="48"/>
      <c r="E53" s="49"/>
      <c r="F53" s="49"/>
      <c r="G53" s="48"/>
      <c r="H53" s="50"/>
      <c r="I53" s="48"/>
      <c r="J53" s="51"/>
      <c r="K53" s="52"/>
      <c r="L53" s="52"/>
      <c r="M53" s="53" t="str">
        <f t="shared" si="5"/>
        <v/>
      </c>
      <c r="N53" s="51"/>
      <c r="O53" s="51"/>
      <c r="P53" s="53" t="str">
        <f t="shared" si="6"/>
        <v/>
      </c>
      <c r="Q53" s="53" t="str">
        <f t="shared" si="7"/>
        <v/>
      </c>
      <c r="R53" s="47"/>
      <c r="S53" s="47"/>
      <c r="T53" s="54"/>
    </row>
    <row r="54" spans="1:20" x14ac:dyDescent="0.25">
      <c r="A54" s="46" t="str">
        <f t="shared" si="4"/>
        <v/>
      </c>
      <c r="B54" s="47"/>
      <c r="C54" s="48"/>
      <c r="D54" s="48"/>
      <c r="E54" s="49"/>
      <c r="F54" s="49"/>
      <c r="G54" s="48"/>
      <c r="H54" s="50"/>
      <c r="I54" s="48"/>
      <c r="J54" s="51"/>
      <c r="K54" s="52"/>
      <c r="L54" s="52"/>
      <c r="M54" s="53" t="str">
        <f t="shared" si="5"/>
        <v/>
      </c>
      <c r="N54" s="51"/>
      <c r="O54" s="51"/>
      <c r="P54" s="53" t="str">
        <f t="shared" si="6"/>
        <v/>
      </c>
      <c r="Q54" s="53" t="str">
        <f t="shared" si="7"/>
        <v/>
      </c>
      <c r="R54" s="47"/>
      <c r="S54" s="47"/>
      <c r="T54" s="54"/>
    </row>
    <row r="55" spans="1:20" x14ac:dyDescent="0.25">
      <c r="A55" s="46" t="str">
        <f t="shared" si="4"/>
        <v/>
      </c>
      <c r="B55" s="47"/>
      <c r="C55" s="48"/>
      <c r="D55" s="48"/>
      <c r="E55" s="49"/>
      <c r="F55" s="49"/>
      <c r="G55" s="48"/>
      <c r="H55" s="50"/>
      <c r="I55" s="48"/>
      <c r="J55" s="51"/>
      <c r="K55" s="52"/>
      <c r="L55" s="52"/>
      <c r="M55" s="53" t="str">
        <f t="shared" si="5"/>
        <v/>
      </c>
      <c r="N55" s="51"/>
      <c r="O55" s="51"/>
      <c r="P55" s="53" t="str">
        <f t="shared" si="6"/>
        <v/>
      </c>
      <c r="Q55" s="53" t="str">
        <f t="shared" si="7"/>
        <v/>
      </c>
      <c r="R55" s="47"/>
      <c r="S55" s="47"/>
      <c r="T55" s="54"/>
    </row>
    <row r="56" spans="1:20" x14ac:dyDescent="0.25">
      <c r="A56" s="46" t="str">
        <f t="shared" si="4"/>
        <v/>
      </c>
      <c r="B56" s="47"/>
      <c r="C56" s="48"/>
      <c r="D56" s="48"/>
      <c r="E56" s="49"/>
      <c r="F56" s="49"/>
      <c r="G56" s="48"/>
      <c r="H56" s="50"/>
      <c r="I56" s="48"/>
      <c r="J56" s="51"/>
      <c r="K56" s="52"/>
      <c r="L56" s="52"/>
      <c r="M56" s="53" t="str">
        <f t="shared" si="5"/>
        <v/>
      </c>
      <c r="N56" s="51"/>
      <c r="O56" s="51"/>
      <c r="P56" s="53" t="str">
        <f t="shared" si="6"/>
        <v/>
      </c>
      <c r="Q56" s="53" t="str">
        <f t="shared" si="7"/>
        <v/>
      </c>
      <c r="R56" s="47"/>
      <c r="S56" s="47"/>
      <c r="T56" s="54"/>
    </row>
    <row r="57" spans="1:20" x14ac:dyDescent="0.25">
      <c r="A57" s="46" t="str">
        <f t="shared" si="4"/>
        <v/>
      </c>
      <c r="B57" s="47"/>
      <c r="C57" s="48"/>
      <c r="D57" s="48"/>
      <c r="E57" s="49"/>
      <c r="F57" s="49"/>
      <c r="G57" s="48"/>
      <c r="H57" s="50"/>
      <c r="I57" s="48"/>
      <c r="J57" s="51"/>
      <c r="K57" s="52"/>
      <c r="L57" s="52"/>
      <c r="M57" s="53" t="str">
        <f t="shared" si="5"/>
        <v/>
      </c>
      <c r="N57" s="51"/>
      <c r="O57" s="51"/>
      <c r="P57" s="53" t="str">
        <f t="shared" si="6"/>
        <v/>
      </c>
      <c r="Q57" s="53" t="str">
        <f t="shared" si="7"/>
        <v/>
      </c>
      <c r="R57" s="47"/>
      <c r="S57" s="47"/>
      <c r="T57" s="54"/>
    </row>
    <row r="58" spans="1:20" x14ac:dyDescent="0.25">
      <c r="A58" s="46" t="str">
        <f t="shared" si="4"/>
        <v/>
      </c>
      <c r="B58" s="47"/>
      <c r="C58" s="48"/>
      <c r="D58" s="48"/>
      <c r="E58" s="49"/>
      <c r="F58" s="49"/>
      <c r="G58" s="48"/>
      <c r="H58" s="50"/>
      <c r="I58" s="48"/>
      <c r="J58" s="51"/>
      <c r="K58" s="52"/>
      <c r="L58" s="52"/>
      <c r="M58" s="53" t="str">
        <f t="shared" si="5"/>
        <v/>
      </c>
      <c r="N58" s="51"/>
      <c r="O58" s="51"/>
      <c r="P58" s="53" t="str">
        <f t="shared" si="6"/>
        <v/>
      </c>
      <c r="Q58" s="53" t="str">
        <f t="shared" si="7"/>
        <v/>
      </c>
      <c r="R58" s="47"/>
      <c r="S58" s="47"/>
      <c r="T58" s="54"/>
    </row>
    <row r="59" spans="1:20" x14ac:dyDescent="0.25">
      <c r="A59" s="46" t="str">
        <f t="shared" si="4"/>
        <v/>
      </c>
      <c r="B59" s="47"/>
      <c r="C59" s="48"/>
      <c r="D59" s="48"/>
      <c r="E59" s="49"/>
      <c r="F59" s="49"/>
      <c r="G59" s="48"/>
      <c r="H59" s="50"/>
      <c r="I59" s="48"/>
      <c r="J59" s="51"/>
      <c r="K59" s="52"/>
      <c r="L59" s="52"/>
      <c r="M59" s="53" t="str">
        <f t="shared" si="5"/>
        <v/>
      </c>
      <c r="N59" s="51"/>
      <c r="O59" s="51"/>
      <c r="P59" s="53" t="str">
        <f t="shared" si="6"/>
        <v/>
      </c>
      <c r="Q59" s="53" t="str">
        <f t="shared" si="7"/>
        <v/>
      </c>
      <c r="R59" s="47"/>
      <c r="S59" s="47"/>
      <c r="T59" s="54"/>
    </row>
    <row r="60" spans="1:20" x14ac:dyDescent="0.25">
      <c r="A60" s="46" t="str">
        <f t="shared" si="4"/>
        <v/>
      </c>
      <c r="B60" s="47"/>
      <c r="C60" s="48"/>
      <c r="D60" s="48"/>
      <c r="E60" s="49"/>
      <c r="F60" s="49"/>
      <c r="G60" s="48"/>
      <c r="H60" s="50"/>
      <c r="I60" s="48"/>
      <c r="J60" s="51"/>
      <c r="K60" s="52"/>
      <c r="L60" s="52"/>
      <c r="M60" s="53" t="str">
        <f t="shared" si="5"/>
        <v/>
      </c>
      <c r="N60" s="51"/>
      <c r="O60" s="51"/>
      <c r="P60" s="53" t="str">
        <f t="shared" si="6"/>
        <v/>
      </c>
      <c r="Q60" s="53" t="str">
        <f t="shared" si="7"/>
        <v/>
      </c>
      <c r="R60" s="47"/>
      <c r="S60" s="47"/>
      <c r="T60" s="54"/>
    </row>
    <row r="61" spans="1:20" x14ac:dyDescent="0.25">
      <c r="A61" s="46" t="str">
        <f t="shared" si="4"/>
        <v/>
      </c>
      <c r="B61" s="47"/>
      <c r="C61" s="48"/>
      <c r="D61" s="48"/>
      <c r="E61" s="49"/>
      <c r="F61" s="49"/>
      <c r="G61" s="48"/>
      <c r="H61" s="50"/>
      <c r="I61" s="48"/>
      <c r="J61" s="51"/>
      <c r="K61" s="52"/>
      <c r="L61" s="52"/>
      <c r="M61" s="53" t="str">
        <f t="shared" si="5"/>
        <v/>
      </c>
      <c r="N61" s="51"/>
      <c r="O61" s="51"/>
      <c r="P61" s="53" t="str">
        <f t="shared" si="6"/>
        <v/>
      </c>
      <c r="Q61" s="53" t="str">
        <f t="shared" si="7"/>
        <v/>
      </c>
      <c r="R61" s="47"/>
      <c r="S61" s="47"/>
      <c r="T61" s="54"/>
    </row>
    <row r="62" spans="1:20" x14ac:dyDescent="0.25">
      <c r="A62" s="46" t="str">
        <f t="shared" si="4"/>
        <v/>
      </c>
      <c r="B62" s="47"/>
      <c r="C62" s="48"/>
      <c r="D62" s="48"/>
      <c r="E62" s="49"/>
      <c r="F62" s="49"/>
      <c r="G62" s="48"/>
      <c r="H62" s="50"/>
      <c r="I62" s="48"/>
      <c r="J62" s="51"/>
      <c r="K62" s="52"/>
      <c r="L62" s="52"/>
      <c r="M62" s="53" t="str">
        <f t="shared" si="5"/>
        <v/>
      </c>
      <c r="N62" s="51"/>
      <c r="O62" s="51"/>
      <c r="P62" s="53" t="str">
        <f t="shared" si="6"/>
        <v/>
      </c>
      <c r="Q62" s="53" t="str">
        <f t="shared" si="7"/>
        <v/>
      </c>
      <c r="R62" s="47"/>
      <c r="S62" s="47"/>
      <c r="T62" s="54"/>
    </row>
    <row r="63" spans="1:20" x14ac:dyDescent="0.25">
      <c r="A63" s="46" t="str">
        <f t="shared" si="4"/>
        <v/>
      </c>
      <c r="B63" s="47"/>
      <c r="C63" s="48"/>
      <c r="D63" s="48"/>
      <c r="E63" s="49"/>
      <c r="F63" s="49"/>
      <c r="G63" s="48"/>
      <c r="H63" s="50"/>
      <c r="I63" s="48"/>
      <c r="J63" s="51"/>
      <c r="K63" s="52"/>
      <c r="L63" s="52"/>
      <c r="M63" s="53" t="str">
        <f t="shared" si="5"/>
        <v/>
      </c>
      <c r="N63" s="51"/>
      <c r="O63" s="51"/>
      <c r="P63" s="53" t="str">
        <f t="shared" si="6"/>
        <v/>
      </c>
      <c r="Q63" s="53" t="str">
        <f t="shared" si="7"/>
        <v/>
      </c>
      <c r="R63" s="47"/>
      <c r="S63" s="47"/>
      <c r="T63" s="54"/>
    </row>
    <row r="64" spans="1:20" x14ac:dyDescent="0.25">
      <c r="A64" s="46" t="str">
        <f t="shared" si="4"/>
        <v/>
      </c>
      <c r="B64" s="47"/>
      <c r="C64" s="48"/>
      <c r="D64" s="48"/>
      <c r="E64" s="49"/>
      <c r="F64" s="49"/>
      <c r="G64" s="48"/>
      <c r="H64" s="50"/>
      <c r="I64" s="48"/>
      <c r="J64" s="51"/>
      <c r="K64" s="52"/>
      <c r="L64" s="52"/>
      <c r="M64" s="53" t="str">
        <f t="shared" si="5"/>
        <v/>
      </c>
      <c r="N64" s="51"/>
      <c r="O64" s="51"/>
      <c r="P64" s="53" t="str">
        <f t="shared" si="6"/>
        <v/>
      </c>
      <c r="Q64" s="53" t="str">
        <f t="shared" si="7"/>
        <v/>
      </c>
      <c r="R64" s="47"/>
      <c r="S64" s="47"/>
      <c r="T64" s="54"/>
    </row>
    <row r="65" spans="1:20" x14ac:dyDescent="0.25">
      <c r="A65" s="55" t="str">
        <f t="shared" si="4"/>
        <v/>
      </c>
      <c r="B65" s="56"/>
      <c r="C65" s="57"/>
      <c r="D65" s="57"/>
      <c r="E65" s="58"/>
      <c r="F65" s="58"/>
      <c r="G65" s="57"/>
      <c r="H65" s="59"/>
      <c r="I65" s="57"/>
      <c r="J65" s="60"/>
      <c r="K65" s="61"/>
      <c r="L65" s="61"/>
      <c r="M65" s="62" t="str">
        <f t="shared" si="5"/>
        <v/>
      </c>
      <c r="N65" s="60"/>
      <c r="O65" s="60"/>
      <c r="P65" s="62" t="str">
        <f t="shared" si="6"/>
        <v/>
      </c>
      <c r="Q65" s="62" t="str">
        <f t="shared" si="7"/>
        <v/>
      </c>
      <c r="R65" s="56"/>
      <c r="S65" s="56"/>
      <c r="T65" s="63"/>
    </row>
  </sheetData>
  <mergeCells count="6">
    <mergeCell ref="G7:T7"/>
    <mergeCell ref="A1:T1"/>
    <mergeCell ref="G3:T3"/>
    <mergeCell ref="G4:T4"/>
    <mergeCell ref="G5:T5"/>
    <mergeCell ref="G6:T6"/>
  </mergeCells>
  <conditionalFormatting sqref="B9">
    <cfRule type="expression" dxfId="5" priority="5">
      <formula>$B$9="Budget überschritten"</formula>
    </cfRule>
    <cfRule type="expression" dxfId="4" priority="6">
      <formula>$B$9="Warnschwelle erreicht"</formula>
    </cfRule>
    <cfRule type="expression" dxfId="3" priority="7">
      <formula>$B$9="Im Budget"</formula>
    </cfRule>
  </conditionalFormatting>
  <conditionalFormatting sqref="G14:G65">
    <cfRule type="expression" dxfId="2" priority="4">
      <formula>$G14="Storniert"</formula>
    </cfRule>
  </conditionalFormatting>
  <conditionalFormatting sqref="P14:P65">
    <cfRule type="dataBar" priority="3">
      <dataBar>
        <cfvo type="min"/>
        <cfvo type="max"/>
        <color rgb="FF93C5FD"/>
      </dataBar>
    </cfRule>
    <cfRule type="dataBar" priority="8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{7B79B8C4-A858-7E0E-8F6F-6BBA66AF4B4A}</x14:id>
        </ext>
      </extLst>
    </cfRule>
  </conditionalFormatting>
  <conditionalFormatting sqref="Q14:Q6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79B8C4-A858-7E0E-8F6F-6BBA66AF4B4A}">
            <x14:dataBar>
              <x14:cfvo type="min"/>
              <x14:cfvo type="max"/>
              <x14:negativeFillColor auto="1"/>
              <x14:axisColor auto="1"/>
            </x14:dataBar>
          </x14:cfRule>
          <xm:sqref>P14:P65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Stammdaten!$A$14:$A$22</xm:f>
          </x14:formula1>
          <xm:sqref>C14:C65</xm:sqref>
        </x14:dataValidation>
        <x14:dataValidation type="list" xr:uid="{00000000-0002-0000-0100-000001000000}">
          <x14:formula1>
            <xm:f>Stammdaten!$B$14:$B$20</xm:f>
          </x14:formula1>
          <xm:sqref>D14:D65</xm:sqref>
        </x14:dataValidation>
        <x14:dataValidation type="list" xr:uid="{00000000-0002-0000-0100-000002000000}">
          <x14:formula1>
            <xm:f>Stammdaten!$C$14:$C$20</xm:f>
          </x14:formula1>
          <xm:sqref>G14:G65</xm:sqref>
        </x14:dataValidation>
        <x14:dataValidation type="list" xr:uid="{00000000-0002-0000-0100-000003000000}">
          <x14:formula1>
            <xm:f>Stammdaten!$D$14:$D$19</xm:f>
          </x14:formula1>
          <xm:sqref>I14:I65</xm:sqref>
        </x14:dataValidation>
        <x14:dataValidation type="list" xr:uid="{00000000-0002-0000-0100-000004000000}">
          <x14:formula1>
            <xm:f>Stammdaten!$E$14:$E$16</xm:f>
          </x14:formula1>
          <xm:sqref>L14:L65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/>
  </sheetViews>
  <sheetFormatPr baseColWidth="10" defaultColWidth="9" defaultRowHeight="15" x14ac:dyDescent="0.25"/>
  <cols>
    <col min="1" max="1" width="24" customWidth="1"/>
    <col min="2" max="2" width="18" customWidth="1"/>
    <col min="3" max="3" width="20" customWidth="1"/>
    <col min="4" max="5" width="12" customWidth="1"/>
    <col min="6" max="6" width="40" customWidth="1"/>
  </cols>
  <sheetData>
    <row r="1" spans="1:6" ht="26.1" customHeight="1" x14ac:dyDescent="0.25">
      <c r="A1" s="82" t="s">
        <v>110</v>
      </c>
      <c r="B1" s="79"/>
      <c r="C1" s="79"/>
      <c r="D1" s="79"/>
      <c r="E1" s="79"/>
      <c r="F1" s="79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64" t="s">
        <v>111</v>
      </c>
      <c r="B3" s="65" t="s">
        <v>112</v>
      </c>
      <c r="C3" s="2"/>
      <c r="D3" s="2"/>
      <c r="E3" s="2"/>
      <c r="F3" s="2"/>
    </row>
    <row r="4" spans="1:6" x14ac:dyDescent="0.25">
      <c r="A4" s="66" t="s">
        <v>25</v>
      </c>
      <c r="B4" s="67" t="s">
        <v>113</v>
      </c>
      <c r="C4" s="2"/>
      <c r="D4" s="2"/>
      <c r="E4" s="2"/>
      <c r="F4" s="2"/>
    </row>
    <row r="5" spans="1:6" x14ac:dyDescent="0.25">
      <c r="A5" s="66" t="s">
        <v>27</v>
      </c>
      <c r="B5" s="67" t="s">
        <v>114</v>
      </c>
      <c r="C5" s="2"/>
      <c r="D5" s="2"/>
      <c r="E5" s="2"/>
      <c r="F5" s="2"/>
    </row>
    <row r="6" spans="1:6" x14ac:dyDescent="0.25">
      <c r="A6" s="66" t="s">
        <v>115</v>
      </c>
      <c r="B6" s="68">
        <v>46174</v>
      </c>
      <c r="C6" s="2"/>
      <c r="D6" s="2"/>
      <c r="E6" s="2"/>
      <c r="F6" s="2"/>
    </row>
    <row r="7" spans="1:6" x14ac:dyDescent="0.25">
      <c r="A7" s="66" t="s">
        <v>116</v>
      </c>
      <c r="B7" s="68">
        <v>46295</v>
      </c>
      <c r="C7" s="2"/>
      <c r="D7" s="2"/>
      <c r="E7" s="2"/>
      <c r="F7" s="2"/>
    </row>
    <row r="8" spans="1:6" x14ac:dyDescent="0.25">
      <c r="A8" s="66" t="s">
        <v>36</v>
      </c>
      <c r="B8" s="69">
        <v>42000</v>
      </c>
      <c r="C8" s="2"/>
      <c r="D8" s="2"/>
      <c r="E8" s="2"/>
      <c r="F8" s="2"/>
    </row>
    <row r="9" spans="1:6" x14ac:dyDescent="0.25">
      <c r="A9" s="66" t="s">
        <v>117</v>
      </c>
      <c r="B9" s="70">
        <v>0.9</v>
      </c>
      <c r="C9" s="2"/>
      <c r="D9" s="2"/>
      <c r="E9" s="2"/>
      <c r="F9" s="2"/>
    </row>
    <row r="10" spans="1:6" x14ac:dyDescent="0.25">
      <c r="A10" s="71" t="s">
        <v>118</v>
      </c>
      <c r="B10" s="72">
        <v>0.19</v>
      </c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1" t="s">
        <v>119</v>
      </c>
      <c r="B13" s="1" t="s">
        <v>120</v>
      </c>
      <c r="C13" s="1" t="s">
        <v>13</v>
      </c>
      <c r="D13" s="1" t="s">
        <v>121</v>
      </c>
      <c r="E13" s="1" t="s">
        <v>122</v>
      </c>
      <c r="F13" s="1" t="s">
        <v>51</v>
      </c>
    </row>
    <row r="14" spans="1:6" x14ac:dyDescent="0.25">
      <c r="A14" s="8" t="s">
        <v>52</v>
      </c>
      <c r="B14" s="11" t="s">
        <v>53</v>
      </c>
      <c r="C14" s="11" t="s">
        <v>77</v>
      </c>
      <c r="D14" s="11" t="s">
        <v>123</v>
      </c>
      <c r="E14" s="73">
        <v>0</v>
      </c>
      <c r="F14" s="74" t="s">
        <v>124</v>
      </c>
    </row>
    <row r="15" spans="1:6" x14ac:dyDescent="0.25">
      <c r="A15" s="13" t="s">
        <v>62</v>
      </c>
      <c r="B15" s="16" t="s">
        <v>63</v>
      </c>
      <c r="C15" s="16" t="s">
        <v>87</v>
      </c>
      <c r="D15" s="16" t="s">
        <v>56</v>
      </c>
      <c r="E15" s="27">
        <v>7.0000000000000007E-2</v>
      </c>
      <c r="F15" s="75"/>
    </row>
    <row r="16" spans="1:6" x14ac:dyDescent="0.25">
      <c r="A16" s="13" t="s">
        <v>70</v>
      </c>
      <c r="B16" s="16" t="s">
        <v>71</v>
      </c>
      <c r="C16" s="16" t="s">
        <v>69</v>
      </c>
      <c r="D16" s="16" t="s">
        <v>60</v>
      </c>
      <c r="E16" s="27">
        <v>0.19</v>
      </c>
      <c r="F16" s="75"/>
    </row>
    <row r="17" spans="1:6" x14ac:dyDescent="0.25">
      <c r="A17" s="13" t="s">
        <v>79</v>
      </c>
      <c r="B17" s="16" t="s">
        <v>75</v>
      </c>
      <c r="C17" s="16" t="s">
        <v>59</v>
      </c>
      <c r="D17" s="16" t="s">
        <v>15</v>
      </c>
      <c r="E17" s="27"/>
      <c r="F17" s="75"/>
    </row>
    <row r="18" spans="1:6" x14ac:dyDescent="0.25">
      <c r="A18" s="13" t="s">
        <v>83</v>
      </c>
      <c r="B18" s="16" t="s">
        <v>80</v>
      </c>
      <c r="C18" s="16" t="s">
        <v>66</v>
      </c>
      <c r="D18" s="16" t="s">
        <v>88</v>
      </c>
      <c r="E18" s="27"/>
      <c r="F18" s="75"/>
    </row>
    <row r="19" spans="1:6" x14ac:dyDescent="0.25">
      <c r="A19" s="13" t="s">
        <v>90</v>
      </c>
      <c r="B19" s="16" t="s">
        <v>84</v>
      </c>
      <c r="C19" s="16" t="s">
        <v>5</v>
      </c>
      <c r="D19" s="16" t="s">
        <v>108</v>
      </c>
      <c r="E19" s="27"/>
      <c r="F19" s="75"/>
    </row>
    <row r="20" spans="1:6" x14ac:dyDescent="0.25">
      <c r="A20" s="13" t="s">
        <v>94</v>
      </c>
      <c r="B20" s="16" t="s">
        <v>91</v>
      </c>
      <c r="C20" s="16" t="s">
        <v>107</v>
      </c>
      <c r="D20" s="16"/>
      <c r="E20" s="27"/>
      <c r="F20" s="75"/>
    </row>
    <row r="21" spans="1:6" x14ac:dyDescent="0.25">
      <c r="A21" s="13" t="s">
        <v>98</v>
      </c>
      <c r="B21" s="16"/>
      <c r="C21" s="16"/>
      <c r="D21" s="16"/>
      <c r="E21" s="27"/>
      <c r="F21" s="75"/>
    </row>
    <row r="22" spans="1:6" x14ac:dyDescent="0.25">
      <c r="A22" s="18" t="s">
        <v>101</v>
      </c>
      <c r="B22" s="19"/>
      <c r="C22" s="19"/>
      <c r="D22" s="19"/>
      <c r="E22" s="76"/>
      <c r="F22" s="7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Kostenaufstellung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2026-05-13T16:46:25Z</dcterms:modified>
</cp:coreProperties>
</file>