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86411430-47A2-41CA-8251-3228B0F6844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reditrechner" sheetId="1" r:id="rId1"/>
    <sheet name="Tilgungsplan" sheetId="2" r:id="rId2"/>
    <sheet name="Jahresübersicht" sheetId="3" r:id="rId3"/>
    <sheet name="Szenari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4" l="1"/>
  <c r="G13" i="4" s="1"/>
  <c r="F12" i="4"/>
  <c r="F13" i="4" s="1"/>
  <c r="E12" i="4"/>
  <c r="E13" i="4" s="1"/>
  <c r="D12" i="4"/>
  <c r="D13" i="4" s="1"/>
  <c r="C12" i="4"/>
  <c r="C13" i="4" s="1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D3" i="2"/>
  <c r="C3" i="2"/>
  <c r="C4" i="2" s="1"/>
  <c r="C12" i="1"/>
  <c r="F12" i="1" s="1"/>
  <c r="C11" i="1"/>
  <c r="F6" i="1"/>
  <c r="F8" i="1" s="1"/>
  <c r="F5" i="1"/>
  <c r="G14" i="4" l="1"/>
  <c r="G15" i="4"/>
  <c r="G16" i="4" s="1"/>
  <c r="F14" i="4"/>
  <c r="F15" i="4"/>
  <c r="F16" i="4" s="1"/>
  <c r="E14" i="4"/>
  <c r="E15" i="4"/>
  <c r="E16" i="4" s="1"/>
  <c r="D14" i="4"/>
  <c r="D15" i="4"/>
  <c r="D16" i="4" s="1"/>
  <c r="C14" i="4"/>
  <c r="C15" i="4"/>
  <c r="C16" i="4" s="1"/>
  <c r="E3" i="2"/>
  <c r="F3" i="2"/>
  <c r="C5" i="2"/>
  <c r="I3" i="2" l="1"/>
  <c r="J3" i="2"/>
  <c r="G5" i="3"/>
  <c r="C6" i="2"/>
  <c r="H3" i="2"/>
  <c r="D4" i="2" s="1"/>
  <c r="G6" i="3" l="1"/>
  <c r="C7" i="2"/>
  <c r="E4" i="2"/>
  <c r="I4" i="2" s="1"/>
  <c r="F4" i="2"/>
  <c r="C8" i="2" l="1"/>
  <c r="G7" i="3"/>
  <c r="H4" i="2"/>
  <c r="D5" i="2" s="1"/>
  <c r="J4" i="2"/>
  <c r="C9" i="2" l="1"/>
  <c r="G8" i="3"/>
  <c r="E5" i="2"/>
  <c r="C10" i="2" l="1"/>
  <c r="G9" i="3"/>
  <c r="I5" i="2"/>
  <c r="F5" i="2"/>
  <c r="C11" i="2" l="1"/>
  <c r="G10" i="3"/>
  <c r="H5" i="2"/>
  <c r="D6" i="2" s="1"/>
  <c r="J5" i="2"/>
  <c r="C12" i="2" l="1"/>
  <c r="G11" i="3"/>
  <c r="E6" i="2"/>
  <c r="I6" i="2" s="1"/>
  <c r="F6" i="2"/>
  <c r="C13" i="2" l="1"/>
  <c r="G12" i="3"/>
  <c r="J6" i="2"/>
  <c r="H6" i="2"/>
  <c r="D7" i="2" s="1"/>
  <c r="C14" i="2" l="1"/>
  <c r="G13" i="3"/>
  <c r="I7" i="2"/>
  <c r="E7" i="2"/>
  <c r="F7" i="2" s="1"/>
  <c r="C15" i="2" l="1"/>
  <c r="G14" i="3"/>
  <c r="H7" i="2"/>
  <c r="D8" i="2" s="1"/>
  <c r="J7" i="2"/>
  <c r="C16" i="2" l="1"/>
  <c r="G15" i="3"/>
  <c r="I8" i="2"/>
  <c r="E8" i="2"/>
  <c r="F8" i="2" s="1"/>
  <c r="C17" i="2" l="1"/>
  <c r="G16" i="3"/>
  <c r="H8" i="2"/>
  <c r="D9" i="2" s="1"/>
  <c r="J8" i="2"/>
  <c r="C18" i="2" l="1"/>
  <c r="G17" i="3"/>
  <c r="E9" i="2"/>
  <c r="C19" i="2" l="1"/>
  <c r="G18" i="3"/>
  <c r="I9" i="2"/>
  <c r="F9" i="2"/>
  <c r="C20" i="2" l="1"/>
  <c r="G19" i="3"/>
  <c r="H9" i="2"/>
  <c r="D10" i="2" s="1"/>
  <c r="J9" i="2"/>
  <c r="C21" i="2" l="1"/>
  <c r="G20" i="3"/>
  <c r="I10" i="2"/>
  <c r="E10" i="2"/>
  <c r="F10" i="2" s="1"/>
  <c r="C22" i="2" l="1"/>
  <c r="G21" i="3"/>
  <c r="H10" i="2"/>
  <c r="D11" i="2" s="1"/>
  <c r="J10" i="2"/>
  <c r="C23" i="2" l="1"/>
  <c r="G22" i="3"/>
  <c r="E11" i="2"/>
  <c r="C24" i="2" l="1"/>
  <c r="G23" i="3"/>
  <c r="I11" i="2"/>
  <c r="F11" i="2"/>
  <c r="C25" i="2" l="1"/>
  <c r="G24" i="3"/>
  <c r="H11" i="2"/>
  <c r="D12" i="2" s="1"/>
  <c r="J11" i="2"/>
  <c r="C26" i="2" l="1"/>
  <c r="G25" i="3"/>
  <c r="E12" i="2"/>
  <c r="C27" i="2" l="1"/>
  <c r="G26" i="3"/>
  <c r="I12" i="2"/>
  <c r="F12" i="2"/>
  <c r="C28" i="2" l="1"/>
  <c r="G27" i="3"/>
  <c r="H12" i="2"/>
  <c r="D13" i="2" s="1"/>
  <c r="J12" i="2"/>
  <c r="C29" i="2" l="1"/>
  <c r="G28" i="3"/>
  <c r="E13" i="2"/>
  <c r="C30" i="2" l="1"/>
  <c r="G29" i="3"/>
  <c r="I13" i="2"/>
  <c r="F13" i="2"/>
  <c r="G30" i="3" l="1"/>
  <c r="C31" i="2"/>
  <c r="H13" i="2"/>
  <c r="D14" i="2" s="1"/>
  <c r="J13" i="2"/>
  <c r="C32" i="2" l="1"/>
  <c r="G31" i="3"/>
  <c r="E14" i="2"/>
  <c r="C33" i="2" l="1"/>
  <c r="G32" i="3"/>
  <c r="I14" i="2"/>
  <c r="F14" i="2"/>
  <c r="C34" i="2" l="1"/>
  <c r="G33" i="3"/>
  <c r="H14" i="2"/>
  <c r="D15" i="2" s="1"/>
  <c r="J14" i="2"/>
  <c r="C35" i="2" l="1"/>
  <c r="G34" i="3"/>
  <c r="E15" i="2"/>
  <c r="C36" i="2" l="1"/>
  <c r="G35" i="3"/>
  <c r="I15" i="2"/>
  <c r="F15" i="2"/>
  <c r="G36" i="3" l="1"/>
  <c r="C37" i="2"/>
  <c r="H15" i="2"/>
  <c r="D16" i="2" s="1"/>
  <c r="J15" i="2"/>
  <c r="C38" i="2" l="1"/>
  <c r="G37" i="3"/>
  <c r="I16" i="2"/>
  <c r="E16" i="2"/>
  <c r="F16" i="2" s="1"/>
  <c r="C39" i="2" l="1"/>
  <c r="G38" i="3"/>
  <c r="H16" i="2"/>
  <c r="D17" i="2" s="1"/>
  <c r="J16" i="2"/>
  <c r="C40" i="2" l="1"/>
  <c r="G39" i="3"/>
  <c r="I17" i="2"/>
  <c r="E17" i="2"/>
  <c r="F17" i="2" s="1"/>
  <c r="C41" i="2" l="1"/>
  <c r="G40" i="3"/>
  <c r="H17" i="2"/>
  <c r="D18" i="2" s="1"/>
  <c r="J17" i="2"/>
  <c r="C42" i="2" l="1"/>
  <c r="G41" i="3"/>
  <c r="E18" i="2"/>
  <c r="C43" i="2" l="1"/>
  <c r="G42" i="3"/>
  <c r="I18" i="2"/>
  <c r="F18" i="2"/>
  <c r="C44" i="2" l="1"/>
  <c r="G43" i="3"/>
  <c r="H18" i="2"/>
  <c r="D19" i="2" s="1"/>
  <c r="J18" i="2"/>
  <c r="G44" i="3" l="1"/>
  <c r="C45" i="2"/>
  <c r="I19" i="2"/>
  <c r="E19" i="2"/>
  <c r="F19" i="2" s="1"/>
  <c r="C46" i="2" l="1"/>
  <c r="H19" i="2"/>
  <c r="D20" i="2" s="1"/>
  <c r="J19" i="2"/>
  <c r="E20" i="2" l="1"/>
  <c r="C47" i="2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E29" i="3"/>
  <c r="E16" i="3"/>
  <c r="E30" i="3"/>
  <c r="E37" i="3"/>
  <c r="E20" i="3"/>
  <c r="E35" i="3"/>
  <c r="E36" i="3"/>
  <c r="E17" i="3"/>
  <c r="E7" i="3"/>
  <c r="E10" i="3"/>
  <c r="E44" i="3"/>
  <c r="E23" i="3"/>
  <c r="E24" i="3"/>
  <c r="E41" i="3"/>
  <c r="E40" i="3"/>
  <c r="E21" i="3"/>
  <c r="E39" i="3"/>
  <c r="E18" i="3"/>
  <c r="E33" i="3"/>
  <c r="E19" i="3"/>
  <c r="E13" i="3"/>
  <c r="E15" i="3"/>
  <c r="E42" i="3"/>
  <c r="E12" i="3"/>
  <c r="E26" i="3"/>
  <c r="E6" i="3"/>
  <c r="E27" i="3"/>
  <c r="E25" i="3"/>
  <c r="E31" i="3"/>
  <c r="E32" i="3"/>
  <c r="E43" i="3"/>
  <c r="E28" i="3"/>
  <c r="E5" i="3"/>
  <c r="E22" i="3"/>
  <c r="E9" i="3"/>
  <c r="E14" i="3"/>
  <c r="E8" i="3"/>
  <c r="E11" i="3"/>
  <c r="E38" i="3"/>
  <c r="E34" i="3"/>
  <c r="E45" i="3" l="1"/>
  <c r="I20" i="2"/>
  <c r="F20" i="2"/>
  <c r="H20" i="2" l="1"/>
  <c r="D21" i="2" s="1"/>
  <c r="J20" i="2"/>
  <c r="E21" i="2" l="1"/>
  <c r="I21" i="2" l="1"/>
  <c r="F21" i="2"/>
  <c r="H21" i="2" l="1"/>
  <c r="D22" i="2" s="1"/>
  <c r="J21" i="2"/>
  <c r="E22" i="2" l="1"/>
  <c r="I22" i="2" l="1"/>
  <c r="F22" i="2"/>
  <c r="H22" i="2" l="1"/>
  <c r="D23" i="2" s="1"/>
  <c r="J22" i="2"/>
  <c r="I23" i="2" l="1"/>
  <c r="E23" i="2"/>
  <c r="F23" i="2" s="1"/>
  <c r="H23" i="2" l="1"/>
  <c r="D24" i="2" s="1"/>
  <c r="J23" i="2"/>
  <c r="I24" i="2" l="1"/>
  <c r="E24" i="2"/>
  <c r="F24" i="2" s="1"/>
  <c r="H24" i="2" l="1"/>
  <c r="D25" i="2" s="1"/>
  <c r="J24" i="2"/>
  <c r="I25" i="2" l="1"/>
  <c r="E25" i="2"/>
  <c r="F25" i="2" s="1"/>
  <c r="H25" i="2" l="1"/>
  <c r="D26" i="2" s="1"/>
  <c r="J25" i="2"/>
  <c r="E26" i="2" l="1"/>
  <c r="I26" i="2" l="1"/>
  <c r="F26" i="2"/>
  <c r="H26" i="2" l="1"/>
  <c r="D27" i="2" s="1"/>
  <c r="J26" i="2"/>
  <c r="E27" i="2" l="1"/>
  <c r="I27" i="2" l="1"/>
  <c r="F27" i="2"/>
  <c r="H27" i="2" l="1"/>
  <c r="D28" i="2" s="1"/>
  <c r="J27" i="2"/>
  <c r="J28" i="2" l="1"/>
  <c r="I28" i="2"/>
  <c r="H28" i="2"/>
  <c r="D29" i="2" s="1"/>
  <c r="E28" i="2"/>
  <c r="F28" i="2"/>
  <c r="E29" i="2" l="1"/>
  <c r="F29" i="2" s="1"/>
  <c r="I29" i="2"/>
  <c r="J29" i="2" l="1"/>
  <c r="H29" i="2"/>
  <c r="D30" i="2" s="1"/>
  <c r="E30" i="2" l="1"/>
  <c r="I30" i="2"/>
  <c r="F30" i="2"/>
  <c r="H30" i="2" l="1"/>
  <c r="D31" i="2" s="1"/>
  <c r="J30" i="2"/>
  <c r="E31" i="2" l="1"/>
  <c r="I31" i="2"/>
  <c r="F31" i="2"/>
  <c r="H31" i="2" l="1"/>
  <c r="D32" i="2" s="1"/>
  <c r="J31" i="2"/>
  <c r="E32" i="2" l="1"/>
  <c r="I32" i="2" l="1"/>
  <c r="F32" i="2"/>
  <c r="H32" i="2" l="1"/>
  <c r="D33" i="2" s="1"/>
  <c r="J32" i="2"/>
  <c r="E33" i="2" l="1"/>
  <c r="I33" i="2" l="1"/>
  <c r="F33" i="2"/>
  <c r="H33" i="2" l="1"/>
  <c r="D34" i="2" s="1"/>
  <c r="J33" i="2"/>
  <c r="E34" i="2" l="1"/>
  <c r="F34" i="2" s="1"/>
  <c r="I34" i="2"/>
  <c r="H34" i="2" l="1"/>
  <c r="D35" i="2" s="1"/>
  <c r="J34" i="2"/>
  <c r="E35" i="2" l="1"/>
  <c r="I35" i="2" l="1"/>
  <c r="F35" i="2"/>
  <c r="J35" i="2" l="1"/>
  <c r="H35" i="2"/>
  <c r="D36" i="2" s="1"/>
  <c r="J36" i="2" l="1"/>
  <c r="E36" i="2"/>
  <c r="I36" i="2"/>
  <c r="F36" i="2"/>
  <c r="H36" i="2" s="1"/>
  <c r="D37" i="2" s="1"/>
  <c r="E37" i="2" l="1"/>
  <c r="F37" i="2"/>
  <c r="I37" i="2"/>
  <c r="H37" i="2" l="1"/>
  <c r="D38" i="2" s="1"/>
  <c r="J37" i="2"/>
  <c r="E38" i="2" l="1"/>
  <c r="I38" i="2" l="1"/>
  <c r="F38" i="2"/>
  <c r="H38" i="2" l="1"/>
  <c r="D39" i="2" s="1"/>
  <c r="J38" i="2"/>
  <c r="E39" i="2" l="1"/>
  <c r="F39" i="2"/>
  <c r="J39" i="2" s="1"/>
  <c r="I39" i="2"/>
  <c r="H39" i="2"/>
  <c r="D40" i="2" s="1"/>
  <c r="E40" i="2" l="1"/>
  <c r="F40" i="2" l="1"/>
  <c r="I40" i="2"/>
  <c r="J40" i="2" l="1"/>
  <c r="H40" i="2"/>
  <c r="D41" i="2" s="1"/>
  <c r="J41" i="2" l="1"/>
  <c r="E41" i="2"/>
  <c r="I41" i="2" s="1"/>
  <c r="F41" i="2"/>
  <c r="H41" i="2" s="1"/>
  <c r="D42" i="2" s="1"/>
  <c r="E42" i="2" l="1"/>
  <c r="F42" i="2"/>
  <c r="I42" i="2"/>
  <c r="J42" i="2"/>
  <c r="H42" i="2" l="1"/>
  <c r="D43" i="2" s="1"/>
  <c r="J43" i="2" l="1"/>
  <c r="I43" i="2"/>
  <c r="E43" i="2"/>
  <c r="F43" i="2"/>
  <c r="H43" i="2" s="1"/>
  <c r="D44" i="2" s="1"/>
  <c r="E44" i="2" l="1"/>
  <c r="F44" i="2" l="1"/>
  <c r="I44" i="2"/>
  <c r="J44" i="2" l="1"/>
  <c r="H44" i="2"/>
  <c r="D45" i="2" s="1"/>
  <c r="E45" i="2" l="1"/>
  <c r="I45" i="2" l="1"/>
  <c r="F45" i="2"/>
  <c r="H45" i="2" l="1"/>
  <c r="D46" i="2" s="1"/>
  <c r="J45" i="2"/>
  <c r="E46" i="2" l="1"/>
  <c r="I46" i="2" l="1"/>
  <c r="F46" i="2"/>
  <c r="H46" i="2" l="1"/>
  <c r="D47" i="2" s="1"/>
  <c r="J46" i="2"/>
  <c r="E47" i="2" l="1"/>
  <c r="I47" i="2" l="1"/>
  <c r="F47" i="2"/>
  <c r="H47" i="2" l="1"/>
  <c r="D48" i="2" s="1"/>
  <c r="J47" i="2"/>
  <c r="E48" i="2" l="1"/>
  <c r="I48" i="2" l="1"/>
  <c r="F48" i="2"/>
  <c r="H48" i="2" l="1"/>
  <c r="D49" i="2" s="1"/>
  <c r="J48" i="2"/>
  <c r="E49" i="2" l="1"/>
  <c r="I49" i="2"/>
  <c r="F49" i="2"/>
  <c r="J49" i="2" l="1"/>
  <c r="H49" i="2"/>
  <c r="D50" i="2" s="1"/>
  <c r="E50" i="2" l="1"/>
  <c r="I50" i="2" l="1"/>
  <c r="F50" i="2"/>
  <c r="J50" i="2" l="1"/>
  <c r="H50" i="2"/>
  <c r="D51" i="2" s="1"/>
  <c r="I51" i="2" l="1"/>
  <c r="F51" i="2"/>
  <c r="E51" i="2"/>
  <c r="H51" i="2" l="1"/>
  <c r="D52" i="2" s="1"/>
  <c r="J51" i="2"/>
  <c r="J52" i="2" l="1"/>
  <c r="I52" i="2"/>
  <c r="E52" i="2"/>
  <c r="F52" i="2"/>
  <c r="H52" i="2" s="1"/>
  <c r="D53" i="2" s="1"/>
  <c r="E53" i="2" l="1"/>
  <c r="F53" i="2" l="1"/>
  <c r="I53" i="2"/>
  <c r="J53" i="2" l="1"/>
  <c r="H53" i="2"/>
  <c r="D54" i="2" s="1"/>
  <c r="E54" i="2" l="1"/>
  <c r="I54" i="2"/>
  <c r="F54" i="2"/>
  <c r="H54" i="2" l="1"/>
  <c r="D55" i="2" s="1"/>
  <c r="J54" i="2"/>
  <c r="E55" i="2" l="1"/>
  <c r="I55" i="2" l="1"/>
  <c r="F55" i="2"/>
  <c r="J55" i="2" l="1"/>
  <c r="H55" i="2"/>
  <c r="D56" i="2" s="1"/>
  <c r="E56" i="2" l="1"/>
  <c r="I56" i="2" l="1"/>
  <c r="F56" i="2"/>
  <c r="H56" i="2" l="1"/>
  <c r="D57" i="2" s="1"/>
  <c r="J56" i="2"/>
  <c r="E57" i="2" l="1"/>
  <c r="I57" i="2" l="1"/>
  <c r="F57" i="2"/>
  <c r="J57" i="2" l="1"/>
  <c r="H57" i="2"/>
  <c r="D58" i="2" s="1"/>
  <c r="E58" i="2" l="1"/>
  <c r="F58" i="2" l="1"/>
  <c r="I58" i="2"/>
  <c r="J58" i="2" l="1"/>
  <c r="H58" i="2"/>
  <c r="D59" i="2" s="1"/>
  <c r="E59" i="2" l="1"/>
  <c r="I59" i="2"/>
  <c r="F59" i="2"/>
  <c r="H59" i="2" l="1"/>
  <c r="D60" i="2" s="1"/>
  <c r="J59" i="2"/>
  <c r="E60" i="2" l="1"/>
  <c r="I60" i="2" s="1"/>
  <c r="F60" i="2"/>
  <c r="H60" i="2" l="1"/>
  <c r="D61" i="2" s="1"/>
  <c r="J60" i="2"/>
  <c r="E61" i="2" l="1"/>
  <c r="I61" i="2" l="1"/>
  <c r="F61" i="2"/>
  <c r="H61" i="2" l="1"/>
  <c r="D62" i="2" s="1"/>
  <c r="J61" i="2"/>
  <c r="E62" i="2" l="1"/>
  <c r="I62" i="2" l="1"/>
  <c r="F62" i="2"/>
  <c r="H62" i="2" l="1"/>
  <c r="D63" i="2" s="1"/>
  <c r="J62" i="2"/>
  <c r="J63" i="2" l="1"/>
  <c r="E63" i="2"/>
  <c r="I63" i="2"/>
  <c r="F63" i="2"/>
  <c r="H63" i="2" s="1"/>
  <c r="D64" i="2" s="1"/>
  <c r="E64" i="2" l="1"/>
  <c r="F64" i="2"/>
  <c r="H64" i="2"/>
  <c r="D65" i="2" s="1"/>
  <c r="I64" i="2"/>
  <c r="J64" i="2"/>
  <c r="E65" i="2" l="1"/>
  <c r="F65" i="2"/>
  <c r="H65" i="2"/>
  <c r="D66" i="2" s="1"/>
  <c r="I65" i="2"/>
  <c r="J65" i="2"/>
  <c r="E66" i="2" l="1"/>
  <c r="I66" i="2"/>
  <c r="F66" i="2" l="1"/>
  <c r="J66" i="2" l="1"/>
  <c r="H66" i="2"/>
  <c r="D67" i="2" s="1"/>
  <c r="E67" i="2" l="1"/>
  <c r="I67" i="2" l="1"/>
  <c r="F67" i="2"/>
  <c r="J67" i="2" l="1"/>
  <c r="H67" i="2"/>
  <c r="D68" i="2" s="1"/>
  <c r="E68" i="2" l="1"/>
  <c r="I68" i="2" s="1"/>
  <c r="F68" i="2"/>
  <c r="J68" i="2" l="1"/>
  <c r="H68" i="2"/>
  <c r="D69" i="2" s="1"/>
  <c r="E69" i="2" l="1"/>
  <c r="I69" i="2" l="1"/>
  <c r="F69" i="2"/>
  <c r="H69" i="2" l="1"/>
  <c r="D70" i="2" s="1"/>
  <c r="J69" i="2"/>
  <c r="E70" i="2" l="1"/>
  <c r="F70" i="2" l="1"/>
  <c r="I70" i="2"/>
  <c r="H70" i="2" l="1"/>
  <c r="D71" i="2" s="1"/>
  <c r="J70" i="2"/>
  <c r="E71" i="2" l="1"/>
  <c r="I71" i="2" l="1"/>
  <c r="F71" i="2"/>
  <c r="H71" i="2" l="1"/>
  <c r="D72" i="2" s="1"/>
  <c r="J71" i="2"/>
  <c r="E72" i="2" l="1"/>
  <c r="I72" i="2"/>
  <c r="F72" i="2"/>
  <c r="H72" i="2" l="1"/>
  <c r="D73" i="2" s="1"/>
  <c r="J72" i="2"/>
  <c r="E73" i="2" l="1"/>
  <c r="I73" i="2" l="1"/>
  <c r="F73" i="2"/>
  <c r="J73" i="2" l="1"/>
  <c r="H73" i="2"/>
  <c r="D74" i="2" s="1"/>
  <c r="E74" i="2" l="1"/>
  <c r="I74" i="2" l="1"/>
  <c r="F74" i="2"/>
  <c r="J74" i="2" l="1"/>
  <c r="H74" i="2"/>
  <c r="D75" i="2" s="1"/>
  <c r="E75" i="2" l="1"/>
  <c r="I75" i="2" l="1"/>
  <c r="F75" i="2"/>
  <c r="J75" i="2" l="1"/>
  <c r="H75" i="2"/>
  <c r="D76" i="2" s="1"/>
  <c r="J76" i="2" l="1"/>
  <c r="I76" i="2"/>
  <c r="E76" i="2"/>
  <c r="F76" i="2"/>
  <c r="H76" i="2" s="1"/>
  <c r="D77" i="2" s="1"/>
  <c r="E77" i="2" l="1"/>
  <c r="F77" i="2" l="1"/>
  <c r="I77" i="2"/>
  <c r="H77" i="2" l="1"/>
  <c r="D78" i="2" s="1"/>
  <c r="J77" i="2"/>
  <c r="E78" i="2" l="1"/>
  <c r="I78" i="2" l="1"/>
  <c r="F78" i="2"/>
  <c r="J78" i="2" l="1"/>
  <c r="H78" i="2"/>
  <c r="D79" i="2" s="1"/>
  <c r="I79" i="2" l="1"/>
  <c r="E79" i="2"/>
  <c r="F79" i="2" s="1"/>
  <c r="H79" i="2" l="1"/>
  <c r="D80" i="2" s="1"/>
  <c r="J79" i="2"/>
  <c r="J80" i="2" l="1"/>
  <c r="I80" i="2"/>
  <c r="E80" i="2"/>
  <c r="F80" i="2"/>
  <c r="H80" i="2" s="1"/>
  <c r="D81" i="2" s="1"/>
  <c r="E81" i="2" l="1"/>
  <c r="F81" i="2"/>
  <c r="H81" i="2" s="1"/>
  <c r="D82" i="2" s="1"/>
  <c r="I81" i="2"/>
  <c r="J81" i="2"/>
  <c r="F82" i="2" l="1"/>
  <c r="I82" i="2"/>
  <c r="E82" i="2"/>
  <c r="J82" i="2" l="1"/>
  <c r="H82" i="2"/>
  <c r="D83" i="2" s="1"/>
  <c r="E83" i="2" l="1"/>
  <c r="I83" i="2" s="1"/>
  <c r="F83" i="2"/>
  <c r="H83" i="2" l="1"/>
  <c r="D84" i="2" s="1"/>
  <c r="J83" i="2"/>
  <c r="E84" i="2" l="1"/>
  <c r="I84" i="2"/>
  <c r="F84" i="2"/>
  <c r="H84" i="2" l="1"/>
  <c r="D85" i="2" s="1"/>
  <c r="J84" i="2"/>
  <c r="E85" i="2" l="1"/>
  <c r="I85" i="2" l="1"/>
  <c r="F85" i="2"/>
  <c r="H85" i="2" l="1"/>
  <c r="D86" i="2" s="1"/>
  <c r="J85" i="2"/>
  <c r="I86" i="2" l="1"/>
  <c r="E86" i="2"/>
  <c r="F86" i="2" s="1"/>
  <c r="J86" i="2" l="1"/>
  <c r="H86" i="2"/>
  <c r="D87" i="2" s="1"/>
  <c r="E87" i="2" l="1"/>
  <c r="I87" i="2" l="1"/>
  <c r="F87" i="2"/>
  <c r="H87" i="2" l="1"/>
  <c r="D88" i="2" s="1"/>
  <c r="J87" i="2"/>
  <c r="I88" i="2" l="1"/>
  <c r="E88" i="2"/>
  <c r="F88" i="2" s="1"/>
  <c r="H88" i="2" l="1"/>
  <c r="D89" i="2" s="1"/>
  <c r="J88" i="2"/>
  <c r="E89" i="2" l="1"/>
  <c r="I89" i="2" l="1"/>
  <c r="F89" i="2"/>
  <c r="H89" i="2" l="1"/>
  <c r="D90" i="2" s="1"/>
  <c r="J89" i="2"/>
  <c r="E90" i="2" l="1"/>
  <c r="I90" i="2" l="1"/>
  <c r="F90" i="2"/>
  <c r="H90" i="2" l="1"/>
  <c r="D91" i="2" s="1"/>
  <c r="J90" i="2"/>
  <c r="E91" i="2" l="1"/>
  <c r="I91" i="2" l="1"/>
  <c r="F91" i="2"/>
  <c r="H91" i="2" l="1"/>
  <c r="D92" i="2" s="1"/>
  <c r="J91" i="2"/>
  <c r="E92" i="2" l="1"/>
  <c r="I92" i="2" l="1"/>
  <c r="F92" i="2"/>
  <c r="J92" i="2" l="1"/>
  <c r="H92" i="2"/>
  <c r="D93" i="2" s="1"/>
  <c r="E93" i="2" l="1"/>
  <c r="I93" i="2" l="1"/>
  <c r="F93" i="2"/>
  <c r="H93" i="2" l="1"/>
  <c r="D94" i="2" s="1"/>
  <c r="J93" i="2"/>
  <c r="I94" i="2" l="1"/>
  <c r="E94" i="2"/>
  <c r="F94" i="2" s="1"/>
  <c r="J94" i="2" l="1"/>
  <c r="H94" i="2"/>
  <c r="D95" i="2" s="1"/>
  <c r="E95" i="2" l="1"/>
  <c r="F95" i="2" l="1"/>
  <c r="I95" i="2"/>
  <c r="H95" i="2" l="1"/>
  <c r="D96" i="2" s="1"/>
  <c r="J95" i="2"/>
  <c r="I96" i="2" l="1"/>
  <c r="E96" i="2"/>
  <c r="F96" i="2" s="1"/>
  <c r="H96" i="2" l="1"/>
  <c r="D97" i="2" s="1"/>
  <c r="J96" i="2"/>
  <c r="J97" i="2" l="1"/>
  <c r="F97" i="2"/>
  <c r="H97" i="2" s="1"/>
  <c r="D98" i="2" s="1"/>
  <c r="E97" i="2"/>
  <c r="I97" i="2" s="1"/>
  <c r="E98" i="2" l="1"/>
  <c r="F98" i="2"/>
  <c r="H98" i="2"/>
  <c r="D99" i="2" s="1"/>
  <c r="J98" i="2"/>
  <c r="I98" i="2"/>
  <c r="E99" i="2" l="1"/>
  <c r="F99" i="2"/>
  <c r="J99" i="2" s="1"/>
  <c r="H99" i="2"/>
  <c r="D100" i="2" s="1"/>
  <c r="I99" i="2"/>
  <c r="E100" i="2" l="1"/>
  <c r="F100" i="2"/>
  <c r="H100" i="2"/>
  <c r="D101" i="2" s="1"/>
  <c r="I100" i="2"/>
  <c r="J100" i="2"/>
  <c r="E101" i="2" l="1"/>
  <c r="F101" i="2"/>
  <c r="J101" i="2" s="1"/>
  <c r="H101" i="2"/>
  <c r="D102" i="2" s="1"/>
  <c r="I101" i="2"/>
  <c r="E102" i="2" l="1"/>
  <c r="F102" i="2"/>
  <c r="H102" i="2"/>
  <c r="D103" i="2" s="1"/>
  <c r="I102" i="2"/>
  <c r="J102" i="2"/>
  <c r="E103" i="2" l="1"/>
  <c r="F103" i="2"/>
  <c r="H103" i="2"/>
  <c r="D104" i="2" s="1"/>
  <c r="I103" i="2"/>
  <c r="J103" i="2"/>
  <c r="E104" i="2" l="1"/>
  <c r="F104" i="2"/>
  <c r="H104" i="2"/>
  <c r="D105" i="2" s="1"/>
  <c r="I104" i="2"/>
  <c r="J104" i="2"/>
  <c r="E105" i="2" l="1"/>
  <c r="F105" i="2"/>
  <c r="H105" i="2"/>
  <c r="D106" i="2" s="1"/>
  <c r="I105" i="2"/>
  <c r="J105" i="2"/>
  <c r="E106" i="2" l="1"/>
  <c r="F106" i="2" l="1"/>
  <c r="I106" i="2"/>
  <c r="J106" i="2" l="1"/>
  <c r="H106" i="2"/>
  <c r="D107" i="2" s="1"/>
  <c r="E107" i="2" l="1"/>
  <c r="I107" i="2" l="1"/>
  <c r="F107" i="2"/>
  <c r="H107" i="2" l="1"/>
  <c r="D108" i="2" s="1"/>
  <c r="J107" i="2"/>
  <c r="I108" i="2" l="1"/>
  <c r="E108" i="2"/>
  <c r="F108" i="2" s="1"/>
  <c r="H108" i="2" l="1"/>
  <c r="D109" i="2" s="1"/>
  <c r="J108" i="2"/>
  <c r="I109" i="2" l="1"/>
  <c r="E109" i="2"/>
  <c r="F109" i="2" s="1"/>
  <c r="H109" i="2" l="1"/>
  <c r="D110" i="2" s="1"/>
  <c r="J109" i="2"/>
  <c r="E110" i="2" l="1"/>
  <c r="I110" i="2" l="1"/>
  <c r="F110" i="2"/>
  <c r="H110" i="2" l="1"/>
  <c r="D111" i="2" s="1"/>
  <c r="J110" i="2"/>
  <c r="I111" i="2" l="1"/>
  <c r="E111" i="2"/>
  <c r="F111" i="2" s="1"/>
  <c r="J111" i="2" l="1"/>
  <c r="H111" i="2"/>
  <c r="D112" i="2" s="1"/>
  <c r="E112" i="2" l="1"/>
  <c r="I112" i="2" l="1"/>
  <c r="F112" i="2"/>
  <c r="H112" i="2" l="1"/>
  <c r="D113" i="2" s="1"/>
  <c r="J112" i="2"/>
  <c r="E113" i="2" l="1"/>
  <c r="I113" i="2" l="1"/>
  <c r="F113" i="2"/>
  <c r="H113" i="2" l="1"/>
  <c r="D114" i="2" s="1"/>
  <c r="J113" i="2"/>
  <c r="E114" i="2" l="1"/>
  <c r="I114" i="2" l="1"/>
  <c r="F114" i="2"/>
  <c r="H114" i="2" l="1"/>
  <c r="D115" i="2" s="1"/>
  <c r="J114" i="2"/>
  <c r="E115" i="2" l="1"/>
  <c r="I115" i="2" l="1"/>
  <c r="F115" i="2"/>
  <c r="H115" i="2" l="1"/>
  <c r="D116" i="2" s="1"/>
  <c r="J115" i="2"/>
  <c r="I116" i="2" l="1"/>
  <c r="E116" i="2"/>
  <c r="F116" i="2" s="1"/>
  <c r="H116" i="2" l="1"/>
  <c r="D117" i="2" s="1"/>
  <c r="J116" i="2"/>
  <c r="E117" i="2" l="1"/>
  <c r="I117" i="2" l="1"/>
  <c r="F117" i="2"/>
  <c r="H117" i="2" l="1"/>
  <c r="D118" i="2" s="1"/>
  <c r="J117" i="2"/>
  <c r="J118" i="2" l="1"/>
  <c r="I118" i="2"/>
  <c r="F118" i="2"/>
  <c r="H118" i="2" s="1"/>
  <c r="D119" i="2" s="1"/>
  <c r="E118" i="2"/>
  <c r="E119" i="2" l="1"/>
  <c r="F119" i="2"/>
  <c r="H119" i="2"/>
  <c r="D120" i="2" s="1"/>
  <c r="I119" i="2"/>
  <c r="J119" i="2"/>
  <c r="E120" i="2" l="1"/>
  <c r="I120" i="2" s="1"/>
  <c r="F120" i="2"/>
  <c r="J120" i="2" s="1"/>
  <c r="H120" i="2"/>
  <c r="D121" i="2" s="1"/>
  <c r="E121" i="2" l="1"/>
  <c r="F121" i="2"/>
  <c r="H121" i="2"/>
  <c r="D122" i="2" s="1"/>
  <c r="I121" i="2"/>
  <c r="J121" i="2"/>
  <c r="E122" i="2" l="1"/>
  <c r="F122" i="2" l="1"/>
  <c r="I122" i="2"/>
  <c r="J122" i="2" l="1"/>
  <c r="H122" i="2"/>
  <c r="D123" i="2" s="1"/>
  <c r="E123" i="2" l="1"/>
  <c r="I123" i="2" l="1"/>
  <c r="F123" i="2"/>
  <c r="H123" i="2" l="1"/>
  <c r="D124" i="2" s="1"/>
  <c r="J123" i="2"/>
  <c r="E124" i="2" l="1"/>
  <c r="I124" i="2" l="1"/>
  <c r="F124" i="2"/>
  <c r="H124" i="2" l="1"/>
  <c r="D125" i="2" s="1"/>
  <c r="J124" i="2"/>
  <c r="I125" i="2" l="1"/>
  <c r="E125" i="2"/>
  <c r="F125" i="2" s="1"/>
  <c r="H125" i="2" l="1"/>
  <c r="D126" i="2" s="1"/>
  <c r="J125" i="2"/>
  <c r="I126" i="2" l="1"/>
  <c r="F126" i="2"/>
  <c r="E126" i="2"/>
  <c r="J126" i="2" l="1"/>
  <c r="H126" i="2"/>
  <c r="D127" i="2" s="1"/>
  <c r="E127" i="2" l="1"/>
  <c r="I127" i="2" l="1"/>
  <c r="F127" i="2"/>
  <c r="J127" i="2" l="1"/>
  <c r="H127" i="2"/>
  <c r="D128" i="2" s="1"/>
  <c r="I128" i="2" l="1"/>
  <c r="E128" i="2"/>
  <c r="F128" i="2" s="1"/>
  <c r="J128" i="2" l="1"/>
  <c r="H128" i="2"/>
  <c r="D129" i="2" s="1"/>
  <c r="I129" i="2" l="1"/>
  <c r="E129" i="2"/>
  <c r="F129" i="2" s="1"/>
  <c r="H129" i="2" l="1"/>
  <c r="D130" i="2" s="1"/>
  <c r="J129" i="2"/>
  <c r="I130" i="2" l="1"/>
  <c r="F130" i="2"/>
  <c r="E130" i="2"/>
  <c r="J130" i="2" l="1"/>
  <c r="H130" i="2"/>
  <c r="D131" i="2" s="1"/>
  <c r="I131" i="2" l="1"/>
  <c r="F131" i="2"/>
  <c r="E131" i="2"/>
  <c r="H131" i="2" l="1"/>
  <c r="D132" i="2" s="1"/>
  <c r="J131" i="2"/>
  <c r="E132" i="2" l="1"/>
  <c r="I132" i="2" l="1"/>
  <c r="F132" i="2"/>
  <c r="H132" i="2" l="1"/>
  <c r="D133" i="2" s="1"/>
  <c r="J132" i="2"/>
  <c r="E133" i="2" l="1"/>
  <c r="F133" i="2" l="1"/>
  <c r="I133" i="2"/>
  <c r="H133" i="2" l="1"/>
  <c r="D134" i="2" s="1"/>
  <c r="J133" i="2"/>
  <c r="I134" i="2" l="1"/>
  <c r="E134" i="2"/>
  <c r="F134" i="2" s="1"/>
  <c r="J134" i="2" l="1"/>
  <c r="H134" i="2"/>
  <c r="D135" i="2" s="1"/>
  <c r="I135" i="2" l="1"/>
  <c r="E135" i="2"/>
  <c r="F135" i="2" s="1"/>
  <c r="H135" i="2" l="1"/>
  <c r="D136" i="2" s="1"/>
  <c r="J135" i="2"/>
  <c r="E136" i="2" l="1"/>
  <c r="I136" i="2" l="1"/>
  <c r="F136" i="2"/>
  <c r="H136" i="2" l="1"/>
  <c r="D137" i="2" s="1"/>
  <c r="J136" i="2"/>
  <c r="E137" i="2" l="1"/>
  <c r="I137" i="2" l="1"/>
  <c r="F137" i="2"/>
  <c r="H137" i="2" l="1"/>
  <c r="D138" i="2" s="1"/>
  <c r="J137" i="2"/>
  <c r="E138" i="2" l="1"/>
  <c r="I138" i="2" l="1"/>
  <c r="F138" i="2"/>
  <c r="H138" i="2" l="1"/>
  <c r="D139" i="2" s="1"/>
  <c r="J138" i="2"/>
  <c r="E139" i="2" l="1"/>
  <c r="I139" i="2" l="1"/>
  <c r="F139" i="2"/>
  <c r="H139" i="2" l="1"/>
  <c r="D140" i="2" s="1"/>
  <c r="J139" i="2"/>
  <c r="I140" i="2" l="1"/>
  <c r="F140" i="2"/>
  <c r="E140" i="2"/>
  <c r="J140" i="2" l="1"/>
  <c r="H140" i="2"/>
  <c r="D141" i="2" s="1"/>
  <c r="E141" i="2" l="1"/>
  <c r="I141" i="2" l="1"/>
  <c r="F141" i="2"/>
  <c r="H141" i="2" l="1"/>
  <c r="D142" i="2" s="1"/>
  <c r="J141" i="2"/>
  <c r="J142" i="2" l="1"/>
  <c r="I142" i="2"/>
  <c r="F142" i="2"/>
  <c r="H142" i="2" s="1"/>
  <c r="D143" i="2" s="1"/>
  <c r="E142" i="2"/>
  <c r="E143" i="2" l="1"/>
  <c r="F143" i="2"/>
  <c r="H143" i="2"/>
  <c r="D144" i="2" s="1"/>
  <c r="I143" i="2"/>
  <c r="J143" i="2"/>
  <c r="E144" i="2" l="1"/>
  <c r="I144" i="2" s="1"/>
  <c r="F144" i="2"/>
  <c r="H144" i="2" l="1"/>
  <c r="D145" i="2" s="1"/>
  <c r="J144" i="2"/>
  <c r="E145" i="2" l="1"/>
  <c r="I145" i="2" l="1"/>
  <c r="F145" i="2"/>
  <c r="H145" i="2" l="1"/>
  <c r="D146" i="2" s="1"/>
  <c r="J145" i="2"/>
  <c r="E146" i="2" l="1"/>
  <c r="I146" i="2" l="1"/>
  <c r="F146" i="2"/>
  <c r="H146" i="2" l="1"/>
  <c r="D147" i="2" s="1"/>
  <c r="J146" i="2"/>
  <c r="I147" i="2" l="1"/>
  <c r="E147" i="2"/>
  <c r="F147" i="2" s="1"/>
  <c r="H147" i="2" l="1"/>
  <c r="D148" i="2" s="1"/>
  <c r="J147" i="2"/>
  <c r="I148" i="2" l="1"/>
  <c r="H148" i="2"/>
  <c r="D149" i="2" s="1"/>
  <c r="F148" i="2"/>
  <c r="J148" i="2" s="1"/>
  <c r="E148" i="2"/>
  <c r="E149" i="2" l="1"/>
  <c r="F149" i="2"/>
  <c r="H149" i="2"/>
  <c r="D150" i="2" s="1"/>
  <c r="I149" i="2"/>
  <c r="J149" i="2"/>
  <c r="E150" i="2" l="1"/>
  <c r="F150" i="2" l="1"/>
  <c r="I150" i="2"/>
  <c r="H150" i="2" l="1"/>
  <c r="D151" i="2" s="1"/>
  <c r="J150" i="2"/>
  <c r="E151" i="2" l="1"/>
  <c r="I151" i="2" l="1"/>
  <c r="F151" i="2"/>
  <c r="H151" i="2" l="1"/>
  <c r="D152" i="2" s="1"/>
  <c r="J151" i="2"/>
  <c r="E152" i="2" l="1"/>
  <c r="I152" i="2" l="1"/>
  <c r="F152" i="2"/>
  <c r="H152" i="2" l="1"/>
  <c r="D153" i="2" s="1"/>
  <c r="J152" i="2"/>
  <c r="I153" i="2" l="1"/>
  <c r="E153" i="2"/>
  <c r="F153" i="2" s="1"/>
  <c r="H153" i="2" l="1"/>
  <c r="D154" i="2" s="1"/>
  <c r="J153" i="2"/>
  <c r="I154" i="2" l="1"/>
  <c r="F154" i="2"/>
  <c r="E154" i="2"/>
  <c r="J154" i="2" l="1"/>
  <c r="H154" i="2"/>
  <c r="D155" i="2" s="1"/>
  <c r="E155" i="2" l="1"/>
  <c r="F155" i="2" l="1"/>
  <c r="I155" i="2"/>
  <c r="H155" i="2" l="1"/>
  <c r="D156" i="2" s="1"/>
  <c r="J155" i="2"/>
  <c r="E156" i="2" l="1"/>
  <c r="I156" i="2" l="1"/>
  <c r="F156" i="2"/>
  <c r="H156" i="2" l="1"/>
  <c r="D157" i="2" s="1"/>
  <c r="J156" i="2"/>
  <c r="E157" i="2" l="1"/>
  <c r="I157" i="2" l="1"/>
  <c r="F157" i="2"/>
  <c r="H157" i="2" l="1"/>
  <c r="D158" i="2" s="1"/>
  <c r="J157" i="2"/>
  <c r="E158" i="2" l="1"/>
  <c r="I158" i="2" l="1"/>
  <c r="F158" i="2"/>
  <c r="H158" i="2" l="1"/>
  <c r="D159" i="2" s="1"/>
  <c r="J158" i="2"/>
  <c r="E159" i="2" l="1"/>
  <c r="I159" i="2" l="1"/>
  <c r="F159" i="2"/>
  <c r="H159" i="2" l="1"/>
  <c r="D160" i="2" s="1"/>
  <c r="J159" i="2"/>
  <c r="E160" i="2" l="1"/>
  <c r="I160" i="2" l="1"/>
  <c r="F160" i="2"/>
  <c r="H160" i="2" l="1"/>
  <c r="D161" i="2" s="1"/>
  <c r="J160" i="2"/>
  <c r="E161" i="2" l="1"/>
  <c r="I161" i="2" l="1"/>
  <c r="F161" i="2"/>
  <c r="H161" i="2" l="1"/>
  <c r="D162" i="2" s="1"/>
  <c r="J161" i="2"/>
  <c r="E162" i="2" l="1"/>
  <c r="I162" i="2" l="1"/>
  <c r="F162" i="2"/>
  <c r="H162" i="2" l="1"/>
  <c r="D163" i="2" s="1"/>
  <c r="J162" i="2"/>
  <c r="E163" i="2" l="1"/>
  <c r="I163" i="2" l="1"/>
  <c r="F163" i="2"/>
  <c r="J163" i="2" l="1"/>
  <c r="H163" i="2"/>
  <c r="D164" i="2" s="1"/>
  <c r="I164" i="2" l="1"/>
  <c r="E164" i="2"/>
  <c r="F164" i="2" s="1"/>
  <c r="H164" i="2" l="1"/>
  <c r="D165" i="2" s="1"/>
  <c r="J164" i="2"/>
  <c r="I165" i="2" l="1"/>
  <c r="E165" i="2"/>
  <c r="F165" i="2" s="1"/>
  <c r="H165" i="2" l="1"/>
  <c r="D166" i="2" s="1"/>
  <c r="J165" i="2"/>
  <c r="E166" i="2" l="1"/>
  <c r="I166" i="2" l="1"/>
  <c r="F166" i="2"/>
  <c r="H166" i="2" l="1"/>
  <c r="D167" i="2" s="1"/>
  <c r="J166" i="2"/>
  <c r="F167" i="2" l="1"/>
  <c r="E167" i="2"/>
  <c r="I167" i="2" s="1"/>
  <c r="H167" i="2" l="1"/>
  <c r="D168" i="2" s="1"/>
  <c r="J167" i="2"/>
  <c r="E168" i="2" l="1"/>
  <c r="F168" i="2" l="1"/>
  <c r="I168" i="2"/>
  <c r="H168" i="2" l="1"/>
  <c r="D169" i="2" s="1"/>
  <c r="J168" i="2"/>
  <c r="E169" i="2" l="1"/>
  <c r="F169" i="2" l="1"/>
  <c r="I169" i="2"/>
  <c r="J169" i="2" l="1"/>
  <c r="H169" i="2"/>
  <c r="D170" i="2" s="1"/>
  <c r="E170" i="2" l="1"/>
  <c r="I170" i="2" l="1"/>
  <c r="F170" i="2"/>
  <c r="H170" i="2" l="1"/>
  <c r="D171" i="2" s="1"/>
  <c r="J170" i="2"/>
  <c r="E171" i="2" l="1"/>
  <c r="I171" i="2" l="1"/>
  <c r="F171" i="2"/>
  <c r="H171" i="2" l="1"/>
  <c r="D172" i="2" s="1"/>
  <c r="J171" i="2"/>
  <c r="E172" i="2" l="1"/>
  <c r="I172" i="2" l="1"/>
  <c r="F172" i="2"/>
  <c r="H172" i="2" l="1"/>
  <c r="D173" i="2" s="1"/>
  <c r="J172" i="2"/>
  <c r="E173" i="2" l="1"/>
  <c r="I173" i="2" l="1"/>
  <c r="F173" i="2"/>
  <c r="J173" i="2" l="1"/>
  <c r="H173" i="2"/>
  <c r="D174" i="2" s="1"/>
  <c r="E174" i="2" l="1"/>
  <c r="F174" i="2" l="1"/>
  <c r="I174" i="2"/>
  <c r="J174" i="2" l="1"/>
  <c r="H174" i="2"/>
  <c r="D175" i="2" s="1"/>
  <c r="I175" i="2" l="1"/>
  <c r="E175" i="2"/>
  <c r="F175" i="2" s="1"/>
  <c r="H175" i="2" l="1"/>
  <c r="D176" i="2" s="1"/>
  <c r="J175" i="2"/>
  <c r="E176" i="2" l="1"/>
  <c r="I176" i="2" l="1"/>
  <c r="F176" i="2"/>
  <c r="H176" i="2" l="1"/>
  <c r="D177" i="2" s="1"/>
  <c r="J176" i="2"/>
  <c r="I177" i="2" l="1"/>
  <c r="E177" i="2"/>
  <c r="F177" i="2" s="1"/>
  <c r="H177" i="2" l="1"/>
  <c r="D178" i="2" s="1"/>
  <c r="J177" i="2"/>
  <c r="I178" i="2" l="1"/>
  <c r="E178" i="2"/>
  <c r="F178" i="2" s="1"/>
  <c r="J178" i="2" l="1"/>
  <c r="H178" i="2"/>
  <c r="D179" i="2" s="1"/>
  <c r="I179" i="2" l="1"/>
  <c r="E179" i="2"/>
  <c r="F179" i="2" s="1"/>
  <c r="J179" i="2" l="1"/>
  <c r="H179" i="2"/>
  <c r="D180" i="2" s="1"/>
  <c r="E180" i="2" l="1"/>
  <c r="I180" i="2" l="1"/>
  <c r="F180" i="2"/>
  <c r="H180" i="2" l="1"/>
  <c r="D181" i="2" s="1"/>
  <c r="J180" i="2"/>
  <c r="I181" i="2" l="1"/>
  <c r="E181" i="2"/>
  <c r="F181" i="2" s="1"/>
  <c r="J181" i="2" l="1"/>
  <c r="H181" i="2"/>
  <c r="D182" i="2" s="1"/>
  <c r="I182" i="2" l="1"/>
  <c r="E182" i="2"/>
  <c r="F182" i="2" s="1"/>
  <c r="H182" i="2" l="1"/>
  <c r="D183" i="2" s="1"/>
  <c r="J182" i="2"/>
  <c r="F183" i="2" l="1"/>
  <c r="E183" i="2"/>
  <c r="I183" i="2" s="1"/>
  <c r="J183" i="2" l="1"/>
  <c r="H183" i="2"/>
  <c r="D184" i="2" s="1"/>
  <c r="I184" i="2" l="1"/>
  <c r="E184" i="2"/>
  <c r="F184" i="2" s="1"/>
  <c r="H184" i="2" l="1"/>
  <c r="D185" i="2" s="1"/>
  <c r="J184" i="2"/>
  <c r="I185" i="2" l="1"/>
  <c r="F185" i="2"/>
  <c r="E185" i="2"/>
  <c r="J185" i="2" l="1"/>
  <c r="H185" i="2"/>
  <c r="D186" i="2" s="1"/>
  <c r="E186" i="2" l="1"/>
  <c r="I186" i="2" l="1"/>
  <c r="F186" i="2"/>
  <c r="H186" i="2" l="1"/>
  <c r="D187" i="2" s="1"/>
  <c r="J186" i="2"/>
  <c r="E187" i="2" l="1"/>
  <c r="I187" i="2" l="1"/>
  <c r="F187" i="2"/>
  <c r="H187" i="2" l="1"/>
  <c r="D188" i="2" s="1"/>
  <c r="J187" i="2"/>
  <c r="E188" i="2" l="1"/>
  <c r="I188" i="2" l="1"/>
  <c r="F188" i="2"/>
  <c r="H188" i="2" l="1"/>
  <c r="D189" i="2" s="1"/>
  <c r="J188" i="2"/>
  <c r="E189" i="2" l="1"/>
  <c r="I189" i="2" l="1"/>
  <c r="F189" i="2"/>
  <c r="H189" i="2" l="1"/>
  <c r="D190" i="2" s="1"/>
  <c r="J189" i="2"/>
  <c r="E190" i="2" l="1"/>
  <c r="I190" i="2" l="1"/>
  <c r="F190" i="2"/>
  <c r="H190" i="2" l="1"/>
  <c r="D191" i="2" s="1"/>
  <c r="J190" i="2"/>
  <c r="I191" i="2" l="1"/>
  <c r="F191" i="2"/>
  <c r="E191" i="2"/>
  <c r="J191" i="2" l="1"/>
  <c r="H191" i="2"/>
  <c r="D192" i="2" s="1"/>
  <c r="E192" i="2" l="1"/>
  <c r="F192" i="2" l="1"/>
  <c r="I192" i="2"/>
  <c r="H192" i="2" l="1"/>
  <c r="D193" i="2" s="1"/>
  <c r="J192" i="2"/>
  <c r="E193" i="2" l="1"/>
  <c r="I193" i="2" l="1"/>
  <c r="F193" i="2"/>
  <c r="H193" i="2" l="1"/>
  <c r="D194" i="2" s="1"/>
  <c r="J193" i="2"/>
  <c r="I194" i="2" l="1"/>
  <c r="F194" i="2"/>
  <c r="E194" i="2"/>
  <c r="J194" i="2" l="1"/>
  <c r="H194" i="2"/>
  <c r="D195" i="2" s="1"/>
  <c r="I195" i="2" l="1"/>
  <c r="F195" i="2"/>
  <c r="E195" i="2"/>
  <c r="J195" i="2" l="1"/>
  <c r="H195" i="2"/>
  <c r="D196" i="2" s="1"/>
  <c r="I196" i="2" l="1"/>
  <c r="E196" i="2"/>
  <c r="F196" i="2" s="1"/>
  <c r="H196" i="2" l="1"/>
  <c r="D197" i="2" s="1"/>
  <c r="J196" i="2"/>
  <c r="E197" i="2" l="1"/>
  <c r="I197" i="2" l="1"/>
  <c r="F197" i="2"/>
  <c r="H197" i="2" l="1"/>
  <c r="D198" i="2" s="1"/>
  <c r="J197" i="2"/>
  <c r="E198" i="2" l="1"/>
  <c r="I198" i="2" l="1"/>
  <c r="F198" i="2"/>
  <c r="H198" i="2" l="1"/>
  <c r="D199" i="2" s="1"/>
  <c r="J198" i="2"/>
  <c r="I199" i="2" l="1"/>
  <c r="E199" i="2"/>
  <c r="F199" i="2" s="1"/>
  <c r="H199" i="2" l="1"/>
  <c r="D200" i="2" s="1"/>
  <c r="J199" i="2"/>
  <c r="E200" i="2" l="1"/>
  <c r="I200" i="2" l="1"/>
  <c r="F200" i="2"/>
  <c r="H200" i="2" l="1"/>
  <c r="D201" i="2" s="1"/>
  <c r="J200" i="2"/>
  <c r="I201" i="2" l="1"/>
  <c r="E201" i="2"/>
  <c r="F201" i="2" s="1"/>
  <c r="H201" i="2" l="1"/>
  <c r="D202" i="2" s="1"/>
  <c r="J201" i="2"/>
  <c r="E202" i="2" l="1"/>
  <c r="I202" i="2" l="1"/>
  <c r="F202" i="2"/>
  <c r="H202" i="2" l="1"/>
  <c r="D203" i="2" s="1"/>
  <c r="J202" i="2"/>
  <c r="E203" i="2" l="1"/>
  <c r="I203" i="2" l="1"/>
  <c r="F203" i="2"/>
  <c r="H203" i="2" l="1"/>
  <c r="D204" i="2" s="1"/>
  <c r="J203" i="2"/>
  <c r="E204" i="2" l="1"/>
  <c r="I204" i="2" l="1"/>
  <c r="F204" i="2"/>
  <c r="H204" i="2" l="1"/>
  <c r="D205" i="2" s="1"/>
  <c r="J204" i="2"/>
  <c r="I205" i="2" l="1"/>
  <c r="E205" i="2"/>
  <c r="F205" i="2" s="1"/>
  <c r="H205" i="2" l="1"/>
  <c r="D206" i="2" s="1"/>
  <c r="J205" i="2"/>
  <c r="E206" i="2" l="1"/>
  <c r="I206" i="2" l="1"/>
  <c r="F206" i="2"/>
  <c r="H206" i="2" l="1"/>
  <c r="D207" i="2" s="1"/>
  <c r="J206" i="2"/>
  <c r="E207" i="2" l="1"/>
  <c r="I207" i="2" l="1"/>
  <c r="F207" i="2"/>
  <c r="H207" i="2" l="1"/>
  <c r="D208" i="2" s="1"/>
  <c r="J207" i="2"/>
  <c r="I208" i="2" l="1"/>
  <c r="E208" i="2"/>
  <c r="F208" i="2" s="1"/>
  <c r="H208" i="2" l="1"/>
  <c r="D209" i="2" s="1"/>
  <c r="J208" i="2"/>
  <c r="I209" i="2" l="1"/>
  <c r="E209" i="2"/>
  <c r="F209" i="2" s="1"/>
  <c r="H209" i="2" l="1"/>
  <c r="D210" i="2" s="1"/>
  <c r="J209" i="2"/>
  <c r="I210" i="2" l="1"/>
  <c r="E210" i="2"/>
  <c r="F210" i="2" s="1"/>
  <c r="J210" i="2" l="1"/>
  <c r="H210" i="2"/>
  <c r="D211" i="2" s="1"/>
  <c r="E211" i="2" l="1"/>
  <c r="F211" i="2" l="1"/>
  <c r="I211" i="2"/>
  <c r="H211" i="2" l="1"/>
  <c r="D212" i="2" s="1"/>
  <c r="J211" i="2"/>
  <c r="I212" i="2" l="1"/>
  <c r="E212" i="2"/>
  <c r="F212" i="2" s="1"/>
  <c r="H212" i="2" l="1"/>
  <c r="D213" i="2" s="1"/>
  <c r="J212" i="2"/>
  <c r="E213" i="2" l="1"/>
  <c r="I213" i="2" l="1"/>
  <c r="F213" i="2"/>
  <c r="H213" i="2" l="1"/>
  <c r="D214" i="2" s="1"/>
  <c r="J213" i="2"/>
  <c r="E214" i="2" l="1"/>
  <c r="I214" i="2" l="1"/>
  <c r="F214" i="2"/>
  <c r="H214" i="2" l="1"/>
  <c r="D215" i="2" s="1"/>
  <c r="J214" i="2"/>
  <c r="I215" i="2" l="1"/>
  <c r="F215" i="2"/>
  <c r="E215" i="2"/>
  <c r="J215" i="2" l="1"/>
  <c r="H215" i="2"/>
  <c r="D216" i="2" s="1"/>
  <c r="I216" i="2" l="1"/>
  <c r="E216" i="2"/>
  <c r="F216" i="2" s="1"/>
  <c r="J216" i="2" l="1"/>
  <c r="H216" i="2"/>
  <c r="D217" i="2" s="1"/>
  <c r="E217" i="2" l="1"/>
  <c r="I217" i="2" l="1"/>
  <c r="F217" i="2"/>
  <c r="H217" i="2" l="1"/>
  <c r="D218" i="2" s="1"/>
  <c r="J217" i="2"/>
  <c r="I218" i="2" l="1"/>
  <c r="E218" i="2"/>
  <c r="F218" i="2" s="1"/>
  <c r="H218" i="2" l="1"/>
  <c r="D219" i="2" s="1"/>
  <c r="J218" i="2"/>
  <c r="I219" i="2" l="1"/>
  <c r="E219" i="2"/>
  <c r="F219" i="2" s="1"/>
  <c r="H219" i="2" l="1"/>
  <c r="D220" i="2" s="1"/>
  <c r="J219" i="2"/>
  <c r="E220" i="2" l="1"/>
  <c r="I220" i="2" l="1"/>
  <c r="F220" i="2"/>
  <c r="H220" i="2" l="1"/>
  <c r="D221" i="2" s="1"/>
  <c r="J220" i="2"/>
  <c r="E221" i="2" l="1"/>
  <c r="I221" i="2" l="1"/>
  <c r="F221" i="2"/>
  <c r="J221" i="2" l="1"/>
  <c r="H221" i="2"/>
  <c r="D222" i="2" s="1"/>
  <c r="E222" i="2" l="1"/>
  <c r="I222" i="2" l="1"/>
  <c r="F222" i="2"/>
  <c r="H222" i="2" l="1"/>
  <c r="D223" i="2" s="1"/>
  <c r="J222" i="2"/>
  <c r="E223" i="2" l="1"/>
  <c r="I223" i="2" l="1"/>
  <c r="F223" i="2"/>
  <c r="H223" i="2" l="1"/>
  <c r="D224" i="2" s="1"/>
  <c r="J223" i="2"/>
  <c r="E224" i="2" l="1"/>
  <c r="I224" i="2" l="1"/>
  <c r="F224" i="2"/>
  <c r="H224" i="2" l="1"/>
  <c r="D225" i="2" s="1"/>
  <c r="J224" i="2"/>
  <c r="E225" i="2" l="1"/>
  <c r="I225" i="2" l="1"/>
  <c r="F225" i="2"/>
  <c r="H225" i="2" l="1"/>
  <c r="D226" i="2" s="1"/>
  <c r="J225" i="2"/>
  <c r="I226" i="2" l="1"/>
  <c r="E226" i="2"/>
  <c r="F226" i="2" s="1"/>
  <c r="H226" i="2" l="1"/>
  <c r="D227" i="2" s="1"/>
  <c r="J226" i="2"/>
  <c r="E227" i="2" l="1"/>
  <c r="I227" i="2" l="1"/>
  <c r="F227" i="2"/>
  <c r="H227" i="2" l="1"/>
  <c r="D228" i="2" s="1"/>
  <c r="J227" i="2"/>
  <c r="E228" i="2" l="1"/>
  <c r="I228" i="2" l="1"/>
  <c r="F228" i="2"/>
  <c r="H228" i="2" l="1"/>
  <c r="D229" i="2" s="1"/>
  <c r="J228" i="2"/>
  <c r="I229" i="2" l="1"/>
  <c r="F229" i="2"/>
  <c r="E229" i="2"/>
  <c r="H229" i="2" l="1"/>
  <c r="D230" i="2" s="1"/>
  <c r="J229" i="2"/>
  <c r="E230" i="2" l="1"/>
  <c r="I230" i="2" l="1"/>
  <c r="F230" i="2"/>
  <c r="H230" i="2" l="1"/>
  <c r="D231" i="2" s="1"/>
  <c r="J230" i="2"/>
  <c r="E231" i="2" l="1"/>
  <c r="I231" i="2" l="1"/>
  <c r="F231" i="2"/>
  <c r="H231" i="2" l="1"/>
  <c r="D232" i="2" s="1"/>
  <c r="J231" i="2"/>
  <c r="E232" i="2" l="1"/>
  <c r="I232" i="2" l="1"/>
  <c r="F232" i="2"/>
  <c r="H232" i="2" l="1"/>
  <c r="D233" i="2" s="1"/>
  <c r="J232" i="2"/>
  <c r="E233" i="2" l="1"/>
  <c r="I233" i="2" l="1"/>
  <c r="F233" i="2"/>
  <c r="H233" i="2" l="1"/>
  <c r="D234" i="2" s="1"/>
  <c r="J233" i="2"/>
  <c r="I234" i="2" l="1"/>
  <c r="E234" i="2"/>
  <c r="F234" i="2" s="1"/>
  <c r="H234" i="2" l="1"/>
  <c r="D235" i="2" s="1"/>
  <c r="J234" i="2"/>
  <c r="E235" i="2" l="1"/>
  <c r="I235" i="2" l="1"/>
  <c r="F235" i="2"/>
  <c r="H235" i="2" l="1"/>
  <c r="D236" i="2" s="1"/>
  <c r="J235" i="2"/>
  <c r="E236" i="2" l="1"/>
  <c r="I236" i="2" l="1"/>
  <c r="F236" i="2"/>
  <c r="H236" i="2" l="1"/>
  <c r="D237" i="2" s="1"/>
  <c r="J236" i="2"/>
  <c r="E237" i="2" l="1"/>
  <c r="I237" i="2" l="1"/>
  <c r="F237" i="2"/>
  <c r="H237" i="2" l="1"/>
  <c r="D238" i="2" s="1"/>
  <c r="J237" i="2"/>
  <c r="E238" i="2" l="1"/>
  <c r="I238" i="2" l="1"/>
  <c r="F238" i="2"/>
  <c r="H238" i="2" l="1"/>
  <c r="D239" i="2" s="1"/>
  <c r="J238" i="2"/>
  <c r="I239" i="2" l="1"/>
  <c r="E239" i="2"/>
  <c r="F239" i="2" s="1"/>
  <c r="H239" i="2" l="1"/>
  <c r="D240" i="2" s="1"/>
  <c r="J239" i="2"/>
  <c r="E240" i="2" l="1"/>
  <c r="I240" i="2" l="1"/>
  <c r="F240" i="2"/>
  <c r="H240" i="2" l="1"/>
  <c r="D241" i="2" s="1"/>
  <c r="J240" i="2"/>
  <c r="I241" i="2" l="1"/>
  <c r="E241" i="2"/>
  <c r="F241" i="2" s="1"/>
  <c r="H241" i="2" l="1"/>
  <c r="D242" i="2" s="1"/>
  <c r="J241" i="2"/>
  <c r="E242" i="2" l="1"/>
  <c r="F242" i="2" l="1"/>
  <c r="I242" i="2"/>
  <c r="H242" i="2" l="1"/>
  <c r="D243" i="2" s="1"/>
  <c r="J242" i="2"/>
  <c r="E243" i="2" l="1"/>
  <c r="I243" i="2" l="1"/>
  <c r="F243" i="2"/>
  <c r="H243" i="2" l="1"/>
  <c r="D244" i="2" s="1"/>
  <c r="J243" i="2"/>
  <c r="I244" i="2" l="1"/>
  <c r="E244" i="2"/>
  <c r="F244" i="2" s="1"/>
  <c r="H244" i="2" l="1"/>
  <c r="D245" i="2" s="1"/>
  <c r="J244" i="2"/>
  <c r="E245" i="2" l="1"/>
  <c r="I245" i="2" l="1"/>
  <c r="F245" i="2"/>
  <c r="H245" i="2" l="1"/>
  <c r="D246" i="2" s="1"/>
  <c r="J245" i="2"/>
  <c r="I246" i="2" l="1"/>
  <c r="E246" i="2"/>
  <c r="F246" i="2" s="1"/>
  <c r="J246" i="2" l="1"/>
  <c r="H246" i="2"/>
  <c r="D247" i="2" s="1"/>
  <c r="I247" i="2" l="1"/>
  <c r="F247" i="2"/>
  <c r="E247" i="2"/>
  <c r="J247" i="2" l="1"/>
  <c r="H247" i="2"/>
  <c r="D248" i="2" s="1"/>
  <c r="I248" i="2" l="1"/>
  <c r="E248" i="2"/>
  <c r="F248" i="2" s="1"/>
  <c r="J248" i="2" l="1"/>
  <c r="H248" i="2"/>
  <c r="D249" i="2" s="1"/>
  <c r="I249" i="2" l="1"/>
  <c r="E249" i="2"/>
  <c r="F249" i="2" s="1"/>
  <c r="H249" i="2" l="1"/>
  <c r="D250" i="2" s="1"/>
  <c r="J249" i="2"/>
  <c r="E250" i="2" l="1"/>
  <c r="I250" i="2" l="1"/>
  <c r="F250" i="2"/>
  <c r="H250" i="2" l="1"/>
  <c r="D251" i="2" s="1"/>
  <c r="J250" i="2"/>
  <c r="E251" i="2" l="1"/>
  <c r="I251" i="2" l="1"/>
  <c r="F251" i="2"/>
  <c r="H251" i="2" l="1"/>
  <c r="D252" i="2" s="1"/>
  <c r="J251" i="2"/>
  <c r="E252" i="2" l="1"/>
  <c r="I252" i="2" l="1"/>
  <c r="F252" i="2"/>
  <c r="H252" i="2" l="1"/>
  <c r="D253" i="2" s="1"/>
  <c r="J252" i="2"/>
  <c r="E253" i="2" l="1"/>
  <c r="I253" i="2" l="1"/>
  <c r="F253" i="2"/>
  <c r="H253" i="2" l="1"/>
  <c r="D254" i="2" s="1"/>
  <c r="J253" i="2"/>
  <c r="E254" i="2" l="1"/>
  <c r="I254" i="2" l="1"/>
  <c r="F254" i="2"/>
  <c r="H254" i="2" l="1"/>
  <c r="D255" i="2" s="1"/>
  <c r="J254" i="2"/>
  <c r="I255" i="2" l="1"/>
  <c r="E255" i="2"/>
  <c r="F255" i="2" s="1"/>
  <c r="H255" i="2" l="1"/>
  <c r="D256" i="2" s="1"/>
  <c r="J255" i="2"/>
  <c r="E256" i="2" l="1"/>
  <c r="I256" i="2" l="1"/>
  <c r="F256" i="2"/>
  <c r="H256" i="2" l="1"/>
  <c r="D257" i="2" s="1"/>
  <c r="J256" i="2"/>
  <c r="I257" i="2" l="1"/>
  <c r="E257" i="2"/>
  <c r="F257" i="2" s="1"/>
  <c r="H257" i="2" l="1"/>
  <c r="D258" i="2" s="1"/>
  <c r="J257" i="2"/>
  <c r="I258" i="2" l="1"/>
  <c r="E258" i="2"/>
  <c r="F258" i="2" s="1"/>
  <c r="H258" i="2" l="1"/>
  <c r="D259" i="2" s="1"/>
  <c r="J258" i="2"/>
  <c r="E259" i="2" l="1"/>
  <c r="I259" i="2" l="1"/>
  <c r="F259" i="2"/>
  <c r="H259" i="2" l="1"/>
  <c r="D260" i="2" s="1"/>
  <c r="J259" i="2"/>
  <c r="I260" i="2" l="1"/>
  <c r="E260" i="2"/>
  <c r="F260" i="2" s="1"/>
  <c r="H260" i="2" l="1"/>
  <c r="D261" i="2" s="1"/>
  <c r="J260" i="2"/>
  <c r="E261" i="2" l="1"/>
  <c r="I261" i="2" l="1"/>
  <c r="F261" i="2"/>
  <c r="H261" i="2" l="1"/>
  <c r="D262" i="2" s="1"/>
  <c r="J261" i="2"/>
  <c r="E262" i="2" l="1"/>
  <c r="I262" i="2" l="1"/>
  <c r="F262" i="2"/>
  <c r="H262" i="2" l="1"/>
  <c r="D263" i="2" s="1"/>
  <c r="J262" i="2"/>
  <c r="E263" i="2" l="1"/>
  <c r="I263" i="2" l="1"/>
  <c r="F263" i="2"/>
  <c r="H263" i="2" l="1"/>
  <c r="D264" i="2" s="1"/>
  <c r="J263" i="2"/>
  <c r="E264" i="2" l="1"/>
  <c r="I264" i="2" l="1"/>
  <c r="F264" i="2"/>
  <c r="H264" i="2" l="1"/>
  <c r="D265" i="2" s="1"/>
  <c r="J264" i="2"/>
  <c r="E265" i="2" l="1"/>
  <c r="I265" i="2" l="1"/>
  <c r="F265" i="2"/>
  <c r="H265" i="2" l="1"/>
  <c r="D266" i="2" s="1"/>
  <c r="J265" i="2"/>
  <c r="F266" i="2" l="1"/>
  <c r="E266" i="2"/>
  <c r="I266" i="2" s="1"/>
  <c r="J266" i="2" l="1"/>
  <c r="H266" i="2"/>
  <c r="D267" i="2" s="1"/>
  <c r="I267" i="2" l="1"/>
  <c r="E267" i="2"/>
  <c r="F267" i="2" s="1"/>
  <c r="J267" i="2" l="1"/>
  <c r="H267" i="2"/>
  <c r="D268" i="2" s="1"/>
  <c r="E268" i="2" l="1"/>
  <c r="I268" i="2" l="1"/>
  <c r="F268" i="2"/>
  <c r="H268" i="2" l="1"/>
  <c r="D269" i="2" s="1"/>
  <c r="J268" i="2"/>
  <c r="I269" i="2" l="1"/>
  <c r="F269" i="2"/>
  <c r="E269" i="2"/>
  <c r="J269" i="2" l="1"/>
  <c r="H269" i="2"/>
  <c r="D270" i="2" s="1"/>
  <c r="E270" i="2" l="1"/>
  <c r="F270" i="2" l="1"/>
  <c r="I270" i="2"/>
  <c r="H270" i="2" l="1"/>
  <c r="D271" i="2" s="1"/>
  <c r="J270" i="2"/>
  <c r="I271" i="2" l="1"/>
  <c r="H271" i="2"/>
  <c r="D272" i="2" s="1"/>
  <c r="F271" i="2"/>
  <c r="J271" i="2" s="1"/>
  <c r="E271" i="2"/>
  <c r="E272" i="2" l="1"/>
  <c r="F272" i="2"/>
  <c r="H272" i="2"/>
  <c r="D273" i="2" s="1"/>
  <c r="I272" i="2"/>
  <c r="J272" i="2"/>
  <c r="E273" i="2" l="1"/>
  <c r="F273" i="2"/>
  <c r="H273" i="2"/>
  <c r="D274" i="2" s="1"/>
  <c r="I273" i="2"/>
  <c r="J273" i="2"/>
  <c r="E274" i="2" l="1"/>
  <c r="F274" i="2"/>
  <c r="H274" i="2"/>
  <c r="D275" i="2" s="1"/>
  <c r="I274" i="2"/>
  <c r="J274" i="2"/>
  <c r="E275" i="2" l="1"/>
  <c r="F275" i="2"/>
  <c r="H275" i="2"/>
  <c r="D276" i="2" s="1"/>
  <c r="I275" i="2"/>
  <c r="J275" i="2"/>
  <c r="E276" i="2" l="1"/>
  <c r="F276" i="2"/>
  <c r="H276" i="2"/>
  <c r="D277" i="2" s="1"/>
  <c r="I276" i="2"/>
  <c r="J276" i="2"/>
  <c r="E277" i="2" l="1"/>
  <c r="F277" i="2"/>
  <c r="H277" i="2"/>
  <c r="D278" i="2" s="1"/>
  <c r="I277" i="2"/>
  <c r="J277" i="2"/>
  <c r="E278" i="2" l="1"/>
  <c r="F278" i="2"/>
  <c r="H278" i="2"/>
  <c r="D279" i="2" s="1"/>
  <c r="I278" i="2"/>
  <c r="J278" i="2"/>
  <c r="E279" i="2" l="1"/>
  <c r="F279" i="2" l="1"/>
  <c r="I279" i="2"/>
  <c r="J279" i="2" l="1"/>
  <c r="H279" i="2"/>
  <c r="D280" i="2" s="1"/>
  <c r="I280" i="2" l="1"/>
  <c r="E280" i="2"/>
  <c r="F280" i="2" s="1"/>
  <c r="H280" i="2" l="1"/>
  <c r="D281" i="2" s="1"/>
  <c r="J280" i="2"/>
  <c r="I281" i="2" l="1"/>
  <c r="E281" i="2"/>
  <c r="F281" i="2" s="1"/>
  <c r="H281" i="2" l="1"/>
  <c r="D282" i="2" s="1"/>
  <c r="J281" i="2"/>
  <c r="I282" i="2" l="1"/>
  <c r="E282" i="2"/>
  <c r="F282" i="2" s="1"/>
  <c r="H282" i="2" l="1"/>
  <c r="D283" i="2" s="1"/>
  <c r="J282" i="2"/>
  <c r="E283" i="2" l="1"/>
  <c r="I283" i="2" l="1"/>
  <c r="F283" i="2"/>
  <c r="H283" i="2" l="1"/>
  <c r="D284" i="2" s="1"/>
  <c r="J283" i="2"/>
  <c r="E284" i="2" l="1"/>
  <c r="F284" i="2" l="1"/>
  <c r="I284" i="2"/>
  <c r="H284" i="2" l="1"/>
  <c r="D285" i="2" s="1"/>
  <c r="J284" i="2"/>
  <c r="E285" i="2" l="1"/>
  <c r="I285" i="2" l="1"/>
  <c r="F285" i="2"/>
  <c r="H285" i="2" l="1"/>
  <c r="D286" i="2" s="1"/>
  <c r="J285" i="2"/>
  <c r="E286" i="2" l="1"/>
  <c r="I286" i="2" l="1"/>
  <c r="F286" i="2"/>
  <c r="H286" i="2" l="1"/>
  <c r="D287" i="2" s="1"/>
  <c r="J286" i="2"/>
  <c r="I287" i="2" l="1"/>
  <c r="H287" i="2"/>
  <c r="D288" i="2" s="1"/>
  <c r="F287" i="2"/>
  <c r="J287" i="2" s="1"/>
  <c r="E287" i="2"/>
  <c r="E288" i="2" l="1"/>
  <c r="F288" i="2"/>
  <c r="H288" i="2"/>
  <c r="D289" i="2" s="1"/>
  <c r="I288" i="2"/>
  <c r="J288" i="2"/>
  <c r="E289" i="2" l="1"/>
  <c r="I289" i="2" s="1"/>
  <c r="F289" i="2"/>
  <c r="H289" i="2" l="1"/>
  <c r="D290" i="2" s="1"/>
  <c r="J289" i="2"/>
  <c r="I290" i="2" l="1"/>
  <c r="E290" i="2"/>
  <c r="F290" i="2" s="1"/>
  <c r="H290" i="2" l="1"/>
  <c r="D291" i="2" s="1"/>
  <c r="J290" i="2"/>
  <c r="E291" i="2" l="1"/>
  <c r="I291" i="2" l="1"/>
  <c r="F291" i="2"/>
  <c r="H291" i="2" l="1"/>
  <c r="D292" i="2" s="1"/>
  <c r="J291" i="2"/>
  <c r="J292" i="2" l="1"/>
  <c r="I292" i="2"/>
  <c r="H292" i="2"/>
  <c r="D293" i="2" s="1"/>
  <c r="F292" i="2"/>
  <c r="E292" i="2"/>
  <c r="E293" i="2" l="1"/>
  <c r="F293" i="2"/>
  <c r="H293" i="2"/>
  <c r="D294" i="2" s="1"/>
  <c r="I293" i="2"/>
  <c r="J293" i="2"/>
  <c r="E294" i="2" l="1"/>
  <c r="I294" i="2" s="1"/>
  <c r="F294" i="2"/>
  <c r="J294" i="2" l="1"/>
  <c r="H294" i="2"/>
  <c r="D295" i="2" s="1"/>
  <c r="I295" i="2" l="1"/>
  <c r="E295" i="2"/>
  <c r="F295" i="2" s="1"/>
  <c r="H295" i="2" l="1"/>
  <c r="D296" i="2" s="1"/>
  <c r="J295" i="2"/>
  <c r="I296" i="2" l="1"/>
  <c r="E296" i="2"/>
  <c r="F296" i="2" s="1"/>
  <c r="H296" i="2" l="1"/>
  <c r="D297" i="2" s="1"/>
  <c r="J296" i="2"/>
  <c r="E297" i="2" l="1"/>
  <c r="I297" i="2" l="1"/>
  <c r="F297" i="2"/>
  <c r="H297" i="2" l="1"/>
  <c r="D298" i="2" s="1"/>
  <c r="J297" i="2"/>
  <c r="E298" i="2" l="1"/>
  <c r="I298" i="2" l="1"/>
  <c r="F298" i="2"/>
  <c r="H298" i="2" l="1"/>
  <c r="D299" i="2" s="1"/>
  <c r="J298" i="2"/>
  <c r="E299" i="2" l="1"/>
  <c r="I299" i="2" l="1"/>
  <c r="F299" i="2"/>
  <c r="H299" i="2" l="1"/>
  <c r="D300" i="2" s="1"/>
  <c r="J299" i="2"/>
  <c r="E300" i="2" l="1"/>
  <c r="I300" i="2" l="1"/>
  <c r="F300" i="2"/>
  <c r="H300" i="2" l="1"/>
  <c r="D301" i="2" s="1"/>
  <c r="J300" i="2"/>
  <c r="I301" i="2" l="1"/>
  <c r="E301" i="2"/>
  <c r="F301" i="2" s="1"/>
  <c r="H301" i="2" l="1"/>
  <c r="D302" i="2" s="1"/>
  <c r="J301" i="2"/>
  <c r="E302" i="2" l="1"/>
  <c r="I302" i="2" l="1"/>
  <c r="F302" i="2"/>
  <c r="H302" i="2" l="1"/>
  <c r="D303" i="2" s="1"/>
  <c r="J302" i="2"/>
  <c r="E303" i="2" l="1"/>
  <c r="I303" i="2" l="1"/>
  <c r="F303" i="2"/>
  <c r="H303" i="2" l="1"/>
  <c r="D304" i="2" s="1"/>
  <c r="J303" i="2"/>
  <c r="I304" i="2" l="1"/>
  <c r="E304" i="2"/>
  <c r="F304" i="2" s="1"/>
  <c r="H304" i="2" l="1"/>
  <c r="D305" i="2" s="1"/>
  <c r="J304" i="2"/>
  <c r="I305" i="2" l="1"/>
  <c r="E305" i="2"/>
  <c r="F305" i="2" s="1"/>
  <c r="J305" i="2" l="1"/>
  <c r="H305" i="2"/>
  <c r="D306" i="2" s="1"/>
  <c r="E306" i="2" l="1"/>
  <c r="I306" i="2" l="1"/>
  <c r="F306" i="2"/>
  <c r="J306" i="2" l="1"/>
  <c r="H306" i="2"/>
  <c r="D307" i="2" s="1"/>
  <c r="E307" i="2" l="1"/>
  <c r="I307" i="2" l="1"/>
  <c r="F307" i="2"/>
  <c r="H307" i="2" l="1"/>
  <c r="D308" i="2" s="1"/>
  <c r="J307" i="2"/>
  <c r="I308" i="2" l="1"/>
  <c r="E308" i="2"/>
  <c r="F308" i="2" s="1"/>
  <c r="H308" i="2" l="1"/>
  <c r="D309" i="2" s="1"/>
  <c r="J308" i="2"/>
  <c r="J309" i="2" l="1"/>
  <c r="I309" i="2"/>
  <c r="H309" i="2"/>
  <c r="D310" i="2" s="1"/>
  <c r="F309" i="2"/>
  <c r="E309" i="2"/>
  <c r="E310" i="2" l="1"/>
  <c r="F310" i="2"/>
  <c r="H310" i="2"/>
  <c r="D311" i="2" s="1"/>
  <c r="I310" i="2"/>
  <c r="J310" i="2"/>
  <c r="E311" i="2" l="1"/>
  <c r="F311" i="2"/>
  <c r="H311" i="2"/>
  <c r="D312" i="2" s="1"/>
  <c r="I311" i="2"/>
  <c r="J311" i="2"/>
  <c r="E312" i="2" l="1"/>
  <c r="F312" i="2"/>
  <c r="H312" i="2"/>
  <c r="D313" i="2" s="1"/>
  <c r="I312" i="2"/>
  <c r="J312" i="2"/>
  <c r="E313" i="2" l="1"/>
  <c r="F313" i="2"/>
  <c r="H313" i="2"/>
  <c r="D314" i="2" s="1"/>
  <c r="I313" i="2"/>
  <c r="J313" i="2"/>
  <c r="E314" i="2" l="1"/>
  <c r="F314" i="2"/>
  <c r="H314" i="2"/>
  <c r="D315" i="2" s="1"/>
  <c r="I314" i="2"/>
  <c r="J314" i="2"/>
  <c r="E315" i="2" l="1"/>
  <c r="F315" i="2"/>
  <c r="H315" i="2"/>
  <c r="D316" i="2" s="1"/>
  <c r="I315" i="2"/>
  <c r="J315" i="2"/>
  <c r="E316" i="2" l="1"/>
  <c r="F316" i="2"/>
  <c r="H316" i="2"/>
  <c r="D317" i="2" s="1"/>
  <c r="I316" i="2"/>
  <c r="J316" i="2"/>
  <c r="E317" i="2" l="1"/>
  <c r="F317" i="2"/>
  <c r="H317" i="2"/>
  <c r="D318" i="2" s="1"/>
  <c r="I317" i="2"/>
  <c r="J317" i="2"/>
  <c r="E318" i="2" l="1"/>
  <c r="F318" i="2"/>
  <c r="H318" i="2"/>
  <c r="D319" i="2" s="1"/>
  <c r="I318" i="2"/>
  <c r="J318" i="2"/>
  <c r="E319" i="2" l="1"/>
  <c r="F319" i="2"/>
  <c r="H319" i="2"/>
  <c r="D320" i="2" s="1"/>
  <c r="I319" i="2"/>
  <c r="J319" i="2"/>
  <c r="E320" i="2" l="1"/>
  <c r="F320" i="2"/>
  <c r="H320" i="2"/>
  <c r="D321" i="2" s="1"/>
  <c r="I320" i="2"/>
  <c r="J320" i="2"/>
  <c r="E321" i="2" l="1"/>
  <c r="F321" i="2"/>
  <c r="H321" i="2"/>
  <c r="D322" i="2" s="1"/>
  <c r="I321" i="2"/>
  <c r="J321" i="2"/>
  <c r="E322" i="2" l="1"/>
  <c r="F322" i="2"/>
  <c r="H322" i="2"/>
  <c r="D323" i="2" s="1"/>
  <c r="I322" i="2"/>
  <c r="J322" i="2"/>
  <c r="E323" i="2" l="1"/>
  <c r="F323" i="2"/>
  <c r="H323" i="2"/>
  <c r="D324" i="2" s="1"/>
  <c r="I323" i="2"/>
  <c r="J323" i="2"/>
  <c r="E324" i="2" l="1"/>
  <c r="F324" i="2"/>
  <c r="H324" i="2"/>
  <c r="D325" i="2" s="1"/>
  <c r="I324" i="2"/>
  <c r="J324" i="2"/>
  <c r="E325" i="2" l="1"/>
  <c r="F325" i="2"/>
  <c r="H325" i="2"/>
  <c r="D326" i="2" s="1"/>
  <c r="I325" i="2"/>
  <c r="J325" i="2"/>
  <c r="E326" i="2" l="1"/>
  <c r="F326" i="2"/>
  <c r="H326" i="2"/>
  <c r="D327" i="2" s="1"/>
  <c r="I326" i="2"/>
  <c r="J326" i="2"/>
  <c r="E327" i="2" l="1"/>
  <c r="F327" i="2"/>
  <c r="H327" i="2"/>
  <c r="D328" i="2" s="1"/>
  <c r="I327" i="2"/>
  <c r="J327" i="2"/>
  <c r="E328" i="2" l="1"/>
  <c r="F328" i="2"/>
  <c r="H328" i="2"/>
  <c r="D329" i="2" s="1"/>
  <c r="I328" i="2"/>
  <c r="J328" i="2"/>
  <c r="E329" i="2" l="1"/>
  <c r="F329" i="2"/>
  <c r="H329" i="2"/>
  <c r="D330" i="2" s="1"/>
  <c r="I329" i="2"/>
  <c r="J329" i="2"/>
  <c r="E330" i="2" l="1"/>
  <c r="F330" i="2"/>
  <c r="H330" i="2"/>
  <c r="D331" i="2" s="1"/>
  <c r="I330" i="2"/>
  <c r="J330" i="2"/>
  <c r="E331" i="2" l="1"/>
  <c r="F331" i="2"/>
  <c r="H331" i="2"/>
  <c r="D332" i="2" s="1"/>
  <c r="I331" i="2"/>
  <c r="J331" i="2"/>
  <c r="E332" i="2" l="1"/>
  <c r="F332" i="2"/>
  <c r="H332" i="2"/>
  <c r="D333" i="2" s="1"/>
  <c r="I332" i="2"/>
  <c r="J332" i="2"/>
  <c r="E333" i="2" l="1"/>
  <c r="F333" i="2"/>
  <c r="H333" i="2"/>
  <c r="D334" i="2" s="1"/>
  <c r="I333" i="2"/>
  <c r="J333" i="2"/>
  <c r="E334" i="2" l="1"/>
  <c r="F334" i="2"/>
  <c r="H334" i="2"/>
  <c r="D335" i="2" s="1"/>
  <c r="I334" i="2"/>
  <c r="J334" i="2"/>
  <c r="E335" i="2" l="1"/>
  <c r="F335" i="2"/>
  <c r="H335" i="2"/>
  <c r="D336" i="2" s="1"/>
  <c r="I335" i="2"/>
  <c r="J335" i="2"/>
  <c r="E336" i="2" l="1"/>
  <c r="F336" i="2"/>
  <c r="H336" i="2"/>
  <c r="D337" i="2" s="1"/>
  <c r="I336" i="2"/>
  <c r="J336" i="2"/>
  <c r="E337" i="2" l="1"/>
  <c r="F337" i="2"/>
  <c r="H337" i="2"/>
  <c r="D338" i="2" s="1"/>
  <c r="I337" i="2"/>
  <c r="J337" i="2"/>
  <c r="E338" i="2" l="1"/>
  <c r="F338" i="2"/>
  <c r="H338" i="2"/>
  <c r="D339" i="2" s="1"/>
  <c r="I338" i="2"/>
  <c r="J338" i="2"/>
  <c r="E339" i="2" l="1"/>
  <c r="F339" i="2"/>
  <c r="H339" i="2"/>
  <c r="D340" i="2" s="1"/>
  <c r="I339" i="2"/>
  <c r="J339" i="2"/>
  <c r="E340" i="2" l="1"/>
  <c r="F340" i="2"/>
  <c r="H340" i="2"/>
  <c r="D341" i="2" s="1"/>
  <c r="I340" i="2"/>
  <c r="J340" i="2"/>
  <c r="E341" i="2" l="1"/>
  <c r="F341" i="2"/>
  <c r="H341" i="2"/>
  <c r="D342" i="2" s="1"/>
  <c r="I341" i="2"/>
  <c r="J341" i="2"/>
  <c r="E342" i="2" l="1"/>
  <c r="F342" i="2"/>
  <c r="H342" i="2"/>
  <c r="D343" i="2" s="1"/>
  <c r="I342" i="2"/>
  <c r="J342" i="2"/>
  <c r="E343" i="2" l="1"/>
  <c r="F343" i="2"/>
  <c r="H343" i="2"/>
  <c r="D344" i="2" s="1"/>
  <c r="I343" i="2"/>
  <c r="J343" i="2"/>
  <c r="E344" i="2" l="1"/>
  <c r="F344" i="2"/>
  <c r="H344" i="2"/>
  <c r="D345" i="2" s="1"/>
  <c r="I344" i="2"/>
  <c r="J344" i="2"/>
  <c r="E345" i="2" l="1"/>
  <c r="F345" i="2"/>
  <c r="H345" i="2"/>
  <c r="D346" i="2" s="1"/>
  <c r="I345" i="2"/>
  <c r="J345" i="2"/>
  <c r="E346" i="2" l="1"/>
  <c r="F346" i="2"/>
  <c r="H346" i="2"/>
  <c r="D347" i="2" s="1"/>
  <c r="I346" i="2"/>
  <c r="J346" i="2"/>
  <c r="E347" i="2" l="1"/>
  <c r="F347" i="2"/>
  <c r="H347" i="2"/>
  <c r="D348" i="2" s="1"/>
  <c r="I347" i="2"/>
  <c r="J347" i="2"/>
  <c r="E348" i="2" l="1"/>
  <c r="F348" i="2"/>
  <c r="H348" i="2"/>
  <c r="D349" i="2" s="1"/>
  <c r="I348" i="2"/>
  <c r="J348" i="2"/>
  <c r="E349" i="2" l="1"/>
  <c r="F349" i="2"/>
  <c r="H349" i="2"/>
  <c r="D350" i="2" s="1"/>
  <c r="I349" i="2"/>
  <c r="J349" i="2"/>
  <c r="E350" i="2" l="1"/>
  <c r="F350" i="2"/>
  <c r="H350" i="2"/>
  <c r="D351" i="2" s="1"/>
  <c r="I350" i="2"/>
  <c r="J350" i="2"/>
  <c r="E351" i="2" l="1"/>
  <c r="F351" i="2"/>
  <c r="H351" i="2"/>
  <c r="D352" i="2" s="1"/>
  <c r="I351" i="2"/>
  <c r="J351" i="2"/>
  <c r="E352" i="2" l="1"/>
  <c r="F352" i="2"/>
  <c r="H352" i="2"/>
  <c r="D353" i="2" s="1"/>
  <c r="I352" i="2"/>
  <c r="J352" i="2"/>
  <c r="E353" i="2" l="1"/>
  <c r="F353" i="2"/>
  <c r="H353" i="2"/>
  <c r="D354" i="2" s="1"/>
  <c r="I353" i="2"/>
  <c r="J353" i="2"/>
  <c r="E354" i="2" l="1"/>
  <c r="F354" i="2"/>
  <c r="H354" i="2"/>
  <c r="D355" i="2" s="1"/>
  <c r="I354" i="2"/>
  <c r="J354" i="2"/>
  <c r="E355" i="2" l="1"/>
  <c r="F355" i="2"/>
  <c r="H355" i="2"/>
  <c r="D356" i="2" s="1"/>
  <c r="I355" i="2"/>
  <c r="J355" i="2"/>
  <c r="E356" i="2" l="1"/>
  <c r="F356" i="2"/>
  <c r="H356" i="2"/>
  <c r="D357" i="2" s="1"/>
  <c r="I356" i="2"/>
  <c r="J356" i="2"/>
  <c r="E357" i="2" l="1"/>
  <c r="F357" i="2"/>
  <c r="H357" i="2"/>
  <c r="D358" i="2" s="1"/>
  <c r="I357" i="2"/>
  <c r="J357" i="2"/>
  <c r="E358" i="2" l="1"/>
  <c r="F358" i="2"/>
  <c r="H358" i="2"/>
  <c r="D359" i="2" s="1"/>
  <c r="I358" i="2"/>
  <c r="J358" i="2"/>
  <c r="E359" i="2" l="1"/>
  <c r="F359" i="2"/>
  <c r="H359" i="2"/>
  <c r="D360" i="2" s="1"/>
  <c r="I359" i="2"/>
  <c r="J359" i="2"/>
  <c r="E360" i="2" l="1"/>
  <c r="F360" i="2"/>
  <c r="H360" i="2"/>
  <c r="D361" i="2" s="1"/>
  <c r="I360" i="2"/>
  <c r="J360" i="2"/>
  <c r="E361" i="2" l="1"/>
  <c r="F361" i="2"/>
  <c r="H361" i="2"/>
  <c r="D362" i="2" s="1"/>
  <c r="I361" i="2"/>
  <c r="J361" i="2"/>
  <c r="E362" i="2" l="1"/>
  <c r="F362" i="2"/>
  <c r="H362" i="2"/>
  <c r="D363" i="2" s="1"/>
  <c r="I362" i="2"/>
  <c r="J362" i="2"/>
  <c r="E363" i="2" l="1"/>
  <c r="F363" i="2"/>
  <c r="H363" i="2"/>
  <c r="D364" i="2" s="1"/>
  <c r="I363" i="2"/>
  <c r="J363" i="2"/>
  <c r="E364" i="2" l="1"/>
  <c r="F364" i="2"/>
  <c r="H364" i="2"/>
  <c r="D365" i="2" s="1"/>
  <c r="I364" i="2"/>
  <c r="J364" i="2"/>
  <c r="E365" i="2" l="1"/>
  <c r="F365" i="2"/>
  <c r="H365" i="2"/>
  <c r="D366" i="2" s="1"/>
  <c r="I365" i="2"/>
  <c r="J365" i="2"/>
  <c r="E366" i="2" l="1"/>
  <c r="F366" i="2"/>
  <c r="H366" i="2"/>
  <c r="D367" i="2" s="1"/>
  <c r="I366" i="2"/>
  <c r="J366" i="2"/>
  <c r="E367" i="2" l="1"/>
  <c r="F367" i="2"/>
  <c r="H367" i="2"/>
  <c r="D368" i="2" s="1"/>
  <c r="I367" i="2"/>
  <c r="J367" i="2"/>
  <c r="E368" i="2" l="1"/>
  <c r="F368" i="2"/>
  <c r="H368" i="2"/>
  <c r="D369" i="2" s="1"/>
  <c r="I368" i="2"/>
  <c r="J368" i="2"/>
  <c r="E369" i="2" l="1"/>
  <c r="F369" i="2"/>
  <c r="H369" i="2"/>
  <c r="D370" i="2" s="1"/>
  <c r="I369" i="2"/>
  <c r="J369" i="2"/>
  <c r="E370" i="2" l="1"/>
  <c r="F370" i="2"/>
  <c r="H370" i="2"/>
  <c r="D371" i="2" s="1"/>
  <c r="I370" i="2"/>
  <c r="J370" i="2"/>
  <c r="E371" i="2" l="1"/>
  <c r="F371" i="2"/>
  <c r="H371" i="2"/>
  <c r="D372" i="2" s="1"/>
  <c r="I371" i="2"/>
  <c r="J371" i="2"/>
  <c r="E372" i="2" l="1"/>
  <c r="F372" i="2"/>
  <c r="H372" i="2"/>
  <c r="D373" i="2" s="1"/>
  <c r="I372" i="2"/>
  <c r="J372" i="2"/>
  <c r="E373" i="2" l="1"/>
  <c r="F373" i="2"/>
  <c r="H373" i="2"/>
  <c r="D374" i="2" s="1"/>
  <c r="I373" i="2"/>
  <c r="J373" i="2"/>
  <c r="E374" i="2" l="1"/>
  <c r="F374" i="2"/>
  <c r="H374" i="2"/>
  <c r="D375" i="2" s="1"/>
  <c r="I374" i="2"/>
  <c r="J374" i="2"/>
  <c r="E375" i="2" l="1"/>
  <c r="F375" i="2"/>
  <c r="H375" i="2"/>
  <c r="D376" i="2" s="1"/>
  <c r="I375" i="2"/>
  <c r="J375" i="2"/>
  <c r="E376" i="2" l="1"/>
  <c r="F376" i="2"/>
  <c r="H376" i="2"/>
  <c r="D377" i="2" s="1"/>
  <c r="I376" i="2"/>
  <c r="J376" i="2"/>
  <c r="E377" i="2" l="1"/>
  <c r="F377" i="2"/>
  <c r="H377" i="2"/>
  <c r="D378" i="2" s="1"/>
  <c r="I377" i="2"/>
  <c r="J377" i="2"/>
  <c r="E378" i="2" l="1"/>
  <c r="F378" i="2"/>
  <c r="H378" i="2"/>
  <c r="D379" i="2" s="1"/>
  <c r="I378" i="2"/>
  <c r="J378" i="2"/>
  <c r="E379" i="2" l="1"/>
  <c r="F379" i="2"/>
  <c r="H379" i="2"/>
  <c r="D380" i="2" s="1"/>
  <c r="I379" i="2"/>
  <c r="J379" i="2"/>
  <c r="E380" i="2" l="1"/>
  <c r="F380" i="2"/>
  <c r="H380" i="2"/>
  <c r="D381" i="2" s="1"/>
  <c r="I380" i="2"/>
  <c r="J380" i="2"/>
  <c r="E381" i="2" l="1"/>
  <c r="F381" i="2"/>
  <c r="H381" i="2"/>
  <c r="D382" i="2" s="1"/>
  <c r="I381" i="2"/>
  <c r="J381" i="2"/>
  <c r="E382" i="2" l="1"/>
  <c r="F382" i="2"/>
  <c r="H382" i="2"/>
  <c r="D383" i="2" s="1"/>
  <c r="I382" i="2"/>
  <c r="J382" i="2"/>
  <c r="E383" i="2" l="1"/>
  <c r="F383" i="2"/>
  <c r="H383" i="2"/>
  <c r="D384" i="2" s="1"/>
  <c r="I383" i="2"/>
  <c r="J383" i="2"/>
  <c r="E384" i="2" l="1"/>
  <c r="F384" i="2"/>
  <c r="H384" i="2"/>
  <c r="D385" i="2" s="1"/>
  <c r="I384" i="2"/>
  <c r="J384" i="2"/>
  <c r="E385" i="2" l="1"/>
  <c r="F385" i="2"/>
  <c r="H385" i="2"/>
  <c r="D386" i="2" s="1"/>
  <c r="I385" i="2"/>
  <c r="J385" i="2"/>
  <c r="E386" i="2" l="1"/>
  <c r="F386" i="2"/>
  <c r="H386" i="2"/>
  <c r="D387" i="2" s="1"/>
  <c r="I386" i="2"/>
  <c r="J386" i="2"/>
  <c r="E387" i="2" l="1"/>
  <c r="F387" i="2"/>
  <c r="H387" i="2"/>
  <c r="D388" i="2" s="1"/>
  <c r="I387" i="2"/>
  <c r="J387" i="2"/>
  <c r="E388" i="2" l="1"/>
  <c r="F388" i="2"/>
  <c r="H388" i="2"/>
  <c r="D389" i="2" s="1"/>
  <c r="I388" i="2"/>
  <c r="J388" i="2"/>
  <c r="E389" i="2" l="1"/>
  <c r="F389" i="2"/>
  <c r="H389" i="2"/>
  <c r="D390" i="2" s="1"/>
  <c r="I389" i="2"/>
  <c r="J389" i="2"/>
  <c r="E390" i="2" l="1"/>
  <c r="F390" i="2"/>
  <c r="H390" i="2"/>
  <c r="D391" i="2" s="1"/>
  <c r="I390" i="2"/>
  <c r="J390" i="2"/>
  <c r="E391" i="2" l="1"/>
  <c r="F391" i="2"/>
  <c r="H391" i="2"/>
  <c r="D392" i="2" s="1"/>
  <c r="I391" i="2"/>
  <c r="J391" i="2"/>
  <c r="E392" i="2" l="1"/>
  <c r="F392" i="2"/>
  <c r="H392" i="2"/>
  <c r="D393" i="2" s="1"/>
  <c r="I392" i="2"/>
  <c r="J392" i="2"/>
  <c r="E393" i="2" l="1"/>
  <c r="F393" i="2"/>
  <c r="H393" i="2"/>
  <c r="D394" i="2" s="1"/>
  <c r="I393" i="2"/>
  <c r="J393" i="2"/>
  <c r="E394" i="2" l="1"/>
  <c r="F394" i="2"/>
  <c r="H394" i="2"/>
  <c r="D395" i="2" s="1"/>
  <c r="I394" i="2"/>
  <c r="J394" i="2"/>
  <c r="E395" i="2" l="1"/>
  <c r="F395" i="2"/>
  <c r="H395" i="2"/>
  <c r="D396" i="2" s="1"/>
  <c r="I395" i="2"/>
  <c r="J395" i="2"/>
  <c r="E396" i="2" l="1"/>
  <c r="F396" i="2"/>
  <c r="H396" i="2"/>
  <c r="D397" i="2" s="1"/>
  <c r="I396" i="2"/>
  <c r="J396" i="2"/>
  <c r="E397" i="2" l="1"/>
  <c r="F397" i="2"/>
  <c r="H397" i="2"/>
  <c r="D398" i="2" s="1"/>
  <c r="I397" i="2"/>
  <c r="J397" i="2"/>
  <c r="E398" i="2" l="1"/>
  <c r="F398" i="2"/>
  <c r="H398" i="2"/>
  <c r="D399" i="2" s="1"/>
  <c r="I398" i="2"/>
  <c r="J398" i="2"/>
  <c r="E399" i="2" l="1"/>
  <c r="F399" i="2"/>
  <c r="H399" i="2"/>
  <c r="D400" i="2" s="1"/>
  <c r="I399" i="2"/>
  <c r="J399" i="2"/>
  <c r="E400" i="2" l="1"/>
  <c r="F400" i="2"/>
  <c r="H400" i="2"/>
  <c r="D401" i="2" s="1"/>
  <c r="I400" i="2"/>
  <c r="J400" i="2"/>
  <c r="F401" i="2" l="1"/>
  <c r="E401" i="2"/>
  <c r="H401" i="2"/>
  <c r="D402" i="2" s="1"/>
  <c r="I401" i="2"/>
  <c r="J401" i="2"/>
  <c r="F402" i="2" l="1"/>
  <c r="H402" i="2"/>
  <c r="D403" i="2" s="1"/>
  <c r="I402" i="2"/>
  <c r="J402" i="2"/>
  <c r="E402" i="2"/>
  <c r="F403" i="2" l="1"/>
  <c r="I403" i="2"/>
  <c r="J403" i="2"/>
  <c r="E403" i="2"/>
  <c r="H403" i="2"/>
  <c r="D404" i="2" s="1"/>
  <c r="F404" i="2" l="1"/>
  <c r="E404" i="2"/>
  <c r="H404" i="2"/>
  <c r="D405" i="2" s="1"/>
  <c r="I404" i="2"/>
  <c r="J404" i="2"/>
  <c r="F405" i="2" l="1"/>
  <c r="I405" i="2"/>
  <c r="J405" i="2"/>
  <c r="E405" i="2"/>
  <c r="H405" i="2"/>
  <c r="D406" i="2" s="1"/>
  <c r="F406" i="2" l="1"/>
  <c r="I406" i="2"/>
  <c r="J406" i="2"/>
  <c r="E406" i="2"/>
  <c r="H406" i="2"/>
  <c r="D407" i="2" s="1"/>
  <c r="F407" i="2" l="1"/>
  <c r="I407" i="2"/>
  <c r="J407" i="2"/>
  <c r="E407" i="2"/>
  <c r="H407" i="2"/>
  <c r="D408" i="2" s="1"/>
  <c r="F408" i="2" l="1"/>
  <c r="E408" i="2"/>
  <c r="H408" i="2"/>
  <c r="D409" i="2" s="1"/>
  <c r="I408" i="2"/>
  <c r="J408" i="2"/>
  <c r="F409" i="2" l="1"/>
  <c r="I409" i="2"/>
  <c r="J409" i="2"/>
  <c r="E409" i="2"/>
  <c r="H409" i="2"/>
  <c r="D410" i="2" s="1"/>
  <c r="F410" i="2" l="1"/>
  <c r="E410" i="2"/>
  <c r="H410" i="2"/>
  <c r="D411" i="2" s="1"/>
  <c r="I410" i="2"/>
  <c r="J410" i="2"/>
  <c r="F411" i="2" l="1"/>
  <c r="H411" i="2"/>
  <c r="D412" i="2" s="1"/>
  <c r="I411" i="2"/>
  <c r="J411" i="2"/>
  <c r="E411" i="2"/>
  <c r="F412" i="2" l="1"/>
  <c r="H412" i="2"/>
  <c r="D413" i="2" s="1"/>
  <c r="E412" i="2"/>
  <c r="I412" i="2"/>
  <c r="J412" i="2"/>
  <c r="F413" i="2" l="1"/>
  <c r="I413" i="2"/>
  <c r="J413" i="2"/>
  <c r="E413" i="2"/>
  <c r="H413" i="2"/>
  <c r="D414" i="2" s="1"/>
  <c r="E414" i="2" l="1"/>
  <c r="H414" i="2"/>
  <c r="D415" i="2" s="1"/>
  <c r="I414" i="2"/>
  <c r="J414" i="2"/>
  <c r="F414" i="2"/>
  <c r="F415" i="2" l="1"/>
  <c r="H415" i="2"/>
  <c r="D416" i="2" s="1"/>
  <c r="E415" i="2"/>
  <c r="I415" i="2"/>
  <c r="J415" i="2"/>
  <c r="F416" i="2" l="1"/>
  <c r="J416" i="2"/>
  <c r="E416" i="2"/>
  <c r="H416" i="2"/>
  <c r="D417" i="2" s="1"/>
  <c r="I416" i="2"/>
  <c r="F417" i="2" l="1"/>
  <c r="E417" i="2"/>
  <c r="H417" i="2"/>
  <c r="D418" i="2" s="1"/>
  <c r="I417" i="2"/>
  <c r="J417" i="2"/>
  <c r="F418" i="2" l="1"/>
  <c r="E418" i="2"/>
  <c r="H418" i="2"/>
  <c r="D419" i="2" s="1"/>
  <c r="I418" i="2"/>
  <c r="J418" i="2"/>
  <c r="F419" i="2" l="1"/>
  <c r="I419" i="2"/>
  <c r="J419" i="2"/>
  <c r="E419" i="2"/>
  <c r="H419" i="2"/>
  <c r="D420" i="2" s="1"/>
  <c r="F420" i="2" l="1"/>
  <c r="E420" i="2"/>
  <c r="H420" i="2"/>
  <c r="D421" i="2" s="1"/>
  <c r="I420" i="2"/>
  <c r="J420" i="2"/>
  <c r="F421" i="2" l="1"/>
  <c r="H421" i="2"/>
  <c r="D422" i="2" s="1"/>
  <c r="E421" i="2"/>
  <c r="I421" i="2"/>
  <c r="J421" i="2"/>
  <c r="E422" i="2" l="1"/>
  <c r="F422" i="2"/>
  <c r="H422" i="2"/>
  <c r="D423" i="2" s="1"/>
  <c r="I422" i="2"/>
  <c r="J422" i="2"/>
  <c r="E423" i="2" l="1"/>
  <c r="F423" i="2"/>
  <c r="H423" i="2"/>
  <c r="D424" i="2" s="1"/>
  <c r="I423" i="2"/>
  <c r="J423" i="2"/>
  <c r="E424" i="2" l="1"/>
  <c r="F424" i="2"/>
  <c r="H424" i="2"/>
  <c r="D425" i="2" s="1"/>
  <c r="I424" i="2"/>
  <c r="J424" i="2"/>
  <c r="E425" i="2" l="1"/>
  <c r="F425" i="2"/>
  <c r="H425" i="2"/>
  <c r="D426" i="2" s="1"/>
  <c r="I425" i="2"/>
  <c r="J425" i="2"/>
  <c r="E426" i="2" l="1"/>
  <c r="F426" i="2"/>
  <c r="H426" i="2"/>
  <c r="D427" i="2" s="1"/>
  <c r="I426" i="2"/>
  <c r="J426" i="2"/>
  <c r="E427" i="2" l="1"/>
  <c r="F427" i="2"/>
  <c r="H427" i="2"/>
  <c r="D428" i="2" s="1"/>
  <c r="I427" i="2"/>
  <c r="J427" i="2"/>
  <c r="E428" i="2" l="1"/>
  <c r="F428" i="2"/>
  <c r="H428" i="2"/>
  <c r="D429" i="2" s="1"/>
  <c r="I428" i="2"/>
  <c r="J428" i="2"/>
  <c r="E429" i="2" l="1"/>
  <c r="F429" i="2"/>
  <c r="H429" i="2"/>
  <c r="D430" i="2" s="1"/>
  <c r="I429" i="2"/>
  <c r="J429" i="2"/>
  <c r="E430" i="2" l="1"/>
  <c r="F430" i="2"/>
  <c r="H430" i="2"/>
  <c r="D431" i="2" s="1"/>
  <c r="I430" i="2"/>
  <c r="J430" i="2"/>
  <c r="E431" i="2" l="1"/>
  <c r="F431" i="2"/>
  <c r="H431" i="2"/>
  <c r="D432" i="2" s="1"/>
  <c r="I431" i="2"/>
  <c r="J431" i="2"/>
  <c r="E432" i="2" l="1"/>
  <c r="F432" i="2"/>
  <c r="H432" i="2"/>
  <c r="D433" i="2" s="1"/>
  <c r="I432" i="2"/>
  <c r="J432" i="2"/>
  <c r="E433" i="2" l="1"/>
  <c r="F433" i="2"/>
  <c r="H433" i="2"/>
  <c r="D434" i="2" s="1"/>
  <c r="I433" i="2"/>
  <c r="J433" i="2"/>
  <c r="E434" i="2" l="1"/>
  <c r="F434" i="2"/>
  <c r="H434" i="2"/>
  <c r="D435" i="2" s="1"/>
  <c r="I434" i="2"/>
  <c r="J434" i="2"/>
  <c r="E435" i="2" l="1"/>
  <c r="F435" i="2"/>
  <c r="H435" i="2"/>
  <c r="D436" i="2" s="1"/>
  <c r="I435" i="2"/>
  <c r="J435" i="2"/>
  <c r="E436" i="2" l="1"/>
  <c r="F436" i="2"/>
  <c r="H436" i="2"/>
  <c r="D437" i="2" s="1"/>
  <c r="I436" i="2"/>
  <c r="J436" i="2"/>
  <c r="E437" i="2" l="1"/>
  <c r="F437" i="2"/>
  <c r="H437" i="2"/>
  <c r="D438" i="2" s="1"/>
  <c r="I437" i="2"/>
  <c r="J437" i="2"/>
  <c r="E438" i="2" l="1"/>
  <c r="F438" i="2"/>
  <c r="H438" i="2"/>
  <c r="D439" i="2" s="1"/>
  <c r="I438" i="2"/>
  <c r="J438" i="2"/>
  <c r="E439" i="2" l="1"/>
  <c r="F439" i="2"/>
  <c r="H439" i="2"/>
  <c r="D440" i="2" s="1"/>
  <c r="I439" i="2"/>
  <c r="J439" i="2"/>
  <c r="E440" i="2" l="1"/>
  <c r="F440" i="2"/>
  <c r="H440" i="2"/>
  <c r="D441" i="2" s="1"/>
  <c r="I440" i="2"/>
  <c r="J440" i="2"/>
  <c r="E441" i="2" l="1"/>
  <c r="F441" i="2"/>
  <c r="H441" i="2"/>
  <c r="D442" i="2" s="1"/>
  <c r="I441" i="2"/>
  <c r="J441" i="2"/>
  <c r="E442" i="2" l="1"/>
  <c r="F442" i="2"/>
  <c r="H442" i="2"/>
  <c r="D443" i="2" s="1"/>
  <c r="I442" i="2"/>
  <c r="J442" i="2"/>
  <c r="E443" i="2" l="1"/>
  <c r="F443" i="2"/>
  <c r="H443" i="2"/>
  <c r="D444" i="2" s="1"/>
  <c r="I443" i="2"/>
  <c r="J443" i="2"/>
  <c r="E444" i="2" l="1"/>
  <c r="F444" i="2"/>
  <c r="H444" i="2"/>
  <c r="D445" i="2" s="1"/>
  <c r="I444" i="2"/>
  <c r="J444" i="2"/>
  <c r="E445" i="2" l="1"/>
  <c r="F445" i="2"/>
  <c r="H445" i="2"/>
  <c r="D446" i="2" s="1"/>
  <c r="I445" i="2"/>
  <c r="J445" i="2"/>
  <c r="E446" i="2" l="1"/>
  <c r="F446" i="2"/>
  <c r="H446" i="2"/>
  <c r="D447" i="2" s="1"/>
  <c r="I446" i="2"/>
  <c r="J446" i="2"/>
  <c r="E447" i="2" l="1"/>
  <c r="F447" i="2"/>
  <c r="H447" i="2"/>
  <c r="D448" i="2" s="1"/>
  <c r="I447" i="2"/>
  <c r="J447" i="2"/>
  <c r="E448" i="2" l="1"/>
  <c r="F448" i="2"/>
  <c r="H448" i="2"/>
  <c r="D449" i="2" s="1"/>
  <c r="I448" i="2"/>
  <c r="J448" i="2"/>
  <c r="E449" i="2" l="1"/>
  <c r="F449" i="2"/>
  <c r="H449" i="2"/>
  <c r="D450" i="2" s="1"/>
  <c r="I449" i="2"/>
  <c r="J449" i="2"/>
  <c r="E450" i="2" l="1"/>
  <c r="F450" i="2"/>
  <c r="H450" i="2"/>
  <c r="D451" i="2" s="1"/>
  <c r="I450" i="2"/>
  <c r="J450" i="2"/>
  <c r="E451" i="2" l="1"/>
  <c r="F451" i="2"/>
  <c r="H451" i="2"/>
  <c r="D452" i="2" s="1"/>
  <c r="I451" i="2"/>
  <c r="J451" i="2"/>
  <c r="E452" i="2" l="1"/>
  <c r="F452" i="2"/>
  <c r="H452" i="2"/>
  <c r="D453" i="2" s="1"/>
  <c r="I452" i="2"/>
  <c r="J452" i="2"/>
  <c r="E453" i="2" l="1"/>
  <c r="F453" i="2"/>
  <c r="H453" i="2"/>
  <c r="D454" i="2" s="1"/>
  <c r="I453" i="2"/>
  <c r="J453" i="2"/>
  <c r="E454" i="2" l="1"/>
  <c r="F454" i="2"/>
  <c r="H454" i="2"/>
  <c r="D455" i="2" s="1"/>
  <c r="I454" i="2"/>
  <c r="J454" i="2"/>
  <c r="E455" i="2" l="1"/>
  <c r="F455" i="2"/>
  <c r="H455" i="2"/>
  <c r="D456" i="2" s="1"/>
  <c r="I455" i="2"/>
  <c r="J455" i="2"/>
  <c r="E456" i="2" l="1"/>
  <c r="F456" i="2"/>
  <c r="H456" i="2"/>
  <c r="D457" i="2" s="1"/>
  <c r="I456" i="2"/>
  <c r="J456" i="2"/>
  <c r="E457" i="2" l="1"/>
  <c r="F457" i="2"/>
  <c r="H457" i="2"/>
  <c r="D458" i="2" s="1"/>
  <c r="I457" i="2"/>
  <c r="J457" i="2"/>
  <c r="E458" i="2" l="1"/>
  <c r="F458" i="2"/>
  <c r="H458" i="2"/>
  <c r="D459" i="2" s="1"/>
  <c r="I458" i="2"/>
  <c r="J458" i="2"/>
  <c r="E459" i="2" l="1"/>
  <c r="F459" i="2"/>
  <c r="H459" i="2"/>
  <c r="D460" i="2" s="1"/>
  <c r="I459" i="2"/>
  <c r="J459" i="2"/>
  <c r="E460" i="2" l="1"/>
  <c r="F460" i="2"/>
  <c r="H460" i="2"/>
  <c r="D461" i="2" s="1"/>
  <c r="I460" i="2"/>
  <c r="J460" i="2"/>
  <c r="E461" i="2" l="1"/>
  <c r="F461" i="2"/>
  <c r="H461" i="2"/>
  <c r="D462" i="2" s="1"/>
  <c r="I461" i="2"/>
  <c r="J461" i="2"/>
  <c r="E462" i="2" l="1"/>
  <c r="F462" i="2"/>
  <c r="H462" i="2"/>
  <c r="D463" i="2" s="1"/>
  <c r="I462" i="2"/>
  <c r="J462" i="2"/>
  <c r="E463" i="2" l="1"/>
  <c r="F463" i="2"/>
  <c r="H463" i="2"/>
  <c r="D464" i="2" s="1"/>
  <c r="I463" i="2"/>
  <c r="J463" i="2"/>
  <c r="E464" i="2" l="1"/>
  <c r="F464" i="2"/>
  <c r="H464" i="2"/>
  <c r="D465" i="2" s="1"/>
  <c r="I464" i="2"/>
  <c r="J464" i="2"/>
  <c r="E465" i="2" l="1"/>
  <c r="F465" i="2"/>
  <c r="H465" i="2"/>
  <c r="D466" i="2" s="1"/>
  <c r="I465" i="2"/>
  <c r="J465" i="2"/>
  <c r="E466" i="2" l="1"/>
  <c r="F466" i="2"/>
  <c r="H466" i="2"/>
  <c r="D467" i="2" s="1"/>
  <c r="I466" i="2"/>
  <c r="J466" i="2"/>
  <c r="E467" i="2" l="1"/>
  <c r="F467" i="2"/>
  <c r="H467" i="2"/>
  <c r="D468" i="2" s="1"/>
  <c r="I467" i="2"/>
  <c r="J467" i="2"/>
  <c r="E468" i="2" l="1"/>
  <c r="F468" i="2"/>
  <c r="H468" i="2"/>
  <c r="D469" i="2" s="1"/>
  <c r="I468" i="2"/>
  <c r="J468" i="2"/>
  <c r="E469" i="2" l="1"/>
  <c r="F469" i="2"/>
  <c r="H469" i="2"/>
  <c r="D470" i="2" s="1"/>
  <c r="I469" i="2"/>
  <c r="J469" i="2"/>
  <c r="E470" i="2" l="1"/>
  <c r="F470" i="2"/>
  <c r="H470" i="2"/>
  <c r="D471" i="2" s="1"/>
  <c r="I470" i="2"/>
  <c r="J470" i="2"/>
  <c r="E471" i="2" l="1"/>
  <c r="F471" i="2"/>
  <c r="H471" i="2"/>
  <c r="D472" i="2" s="1"/>
  <c r="I471" i="2"/>
  <c r="J471" i="2"/>
  <c r="E472" i="2" l="1"/>
  <c r="F472" i="2"/>
  <c r="H472" i="2"/>
  <c r="D473" i="2" s="1"/>
  <c r="I472" i="2"/>
  <c r="J472" i="2"/>
  <c r="E473" i="2" l="1"/>
  <c r="F473" i="2"/>
  <c r="H473" i="2"/>
  <c r="D474" i="2" s="1"/>
  <c r="I473" i="2"/>
  <c r="J473" i="2"/>
  <c r="E474" i="2" l="1"/>
  <c r="F474" i="2"/>
  <c r="H474" i="2"/>
  <c r="D475" i="2" s="1"/>
  <c r="I474" i="2"/>
  <c r="J474" i="2"/>
  <c r="E475" i="2" l="1"/>
  <c r="H475" i="2"/>
  <c r="D476" i="2" s="1"/>
  <c r="F475" i="2"/>
  <c r="I475" i="2"/>
  <c r="J475" i="2"/>
  <c r="E476" i="2" l="1"/>
  <c r="F476" i="2"/>
  <c r="H476" i="2"/>
  <c r="D477" i="2" s="1"/>
  <c r="I476" i="2"/>
  <c r="J476" i="2"/>
  <c r="E477" i="2" l="1"/>
  <c r="F477" i="2"/>
  <c r="H477" i="2"/>
  <c r="D478" i="2" s="1"/>
  <c r="I477" i="2"/>
  <c r="J477" i="2"/>
  <c r="E478" i="2" l="1"/>
  <c r="F478" i="2"/>
  <c r="H478" i="2"/>
  <c r="D479" i="2" s="1"/>
  <c r="I478" i="2"/>
  <c r="J478" i="2"/>
  <c r="E479" i="2" l="1"/>
  <c r="F479" i="2"/>
  <c r="H479" i="2"/>
  <c r="D480" i="2" s="1"/>
  <c r="I479" i="2"/>
  <c r="J479" i="2"/>
  <c r="E480" i="2" l="1"/>
  <c r="F480" i="2"/>
  <c r="H480" i="2"/>
  <c r="D481" i="2" s="1"/>
  <c r="I480" i="2"/>
  <c r="J480" i="2"/>
  <c r="F7" i="1" l="1"/>
  <c r="F11" i="1" s="1"/>
  <c r="E481" i="2"/>
  <c r="F481" i="2"/>
  <c r="H481" i="2"/>
  <c r="D482" i="2" s="1"/>
  <c r="I481" i="2"/>
  <c r="J481" i="2"/>
  <c r="C23" i="3" l="1"/>
  <c r="C40" i="3"/>
  <c r="C18" i="3"/>
  <c r="C10" i="3"/>
  <c r="C6" i="3"/>
  <c r="C32" i="3"/>
  <c r="C22" i="3"/>
  <c r="C24" i="3"/>
  <c r="C34" i="3"/>
  <c r="C35" i="3"/>
  <c r="C38" i="3"/>
  <c r="D12" i="3"/>
  <c r="D15" i="3"/>
  <c r="D8" i="3"/>
  <c r="D39" i="3"/>
  <c r="E482" i="2"/>
  <c r="F482" i="2"/>
  <c r="H482" i="2"/>
  <c r="I482" i="2"/>
  <c r="J482" i="2"/>
  <c r="C33" i="3" l="1"/>
  <c r="C17" i="3"/>
  <c r="F17" i="3" s="1"/>
  <c r="C41" i="3"/>
  <c r="F41" i="3" s="1"/>
  <c r="C15" i="3"/>
  <c r="F15" i="3" s="1"/>
  <c r="C28" i="3"/>
  <c r="C8" i="3"/>
  <c r="F8" i="3" s="1"/>
  <c r="C27" i="3"/>
  <c r="F27" i="3" s="1"/>
  <c r="C12" i="3"/>
  <c r="F12" i="3" s="1"/>
  <c r="C30" i="3"/>
  <c r="C29" i="3"/>
  <c r="C11" i="3"/>
  <c r="F11" i="3" s="1"/>
  <c r="C5" i="3"/>
  <c r="C21" i="3"/>
  <c r="C26" i="3"/>
  <c r="F26" i="3" s="1"/>
  <c r="C16" i="3"/>
  <c r="F16" i="3" s="1"/>
  <c r="C37" i="3"/>
  <c r="F37" i="3" s="1"/>
  <c r="C14" i="3"/>
  <c r="F14" i="3" s="1"/>
  <c r="C13" i="3"/>
  <c r="C7" i="3"/>
  <c r="F7" i="3" s="1"/>
  <c r="C39" i="3"/>
  <c r="F39" i="3" s="1"/>
  <c r="C43" i="3"/>
  <c r="C31" i="3"/>
  <c r="C25" i="3"/>
  <c r="C36" i="3"/>
  <c r="C42" i="3"/>
  <c r="C9" i="3"/>
  <c r="C20" i="3"/>
  <c r="C19" i="3"/>
  <c r="C44" i="3"/>
  <c r="F9" i="1"/>
  <c r="F10" i="1" s="1"/>
  <c r="D32" i="3"/>
  <c r="F32" i="3" s="1"/>
  <c r="D11" i="3"/>
  <c r="D29" i="3"/>
  <c r="D19" i="3"/>
  <c r="D35" i="3"/>
  <c r="F35" i="3" s="1"/>
  <c r="D30" i="3"/>
  <c r="D23" i="3"/>
  <c r="F23" i="3" s="1"/>
  <c r="D37" i="3"/>
  <c r="D9" i="3"/>
  <c r="D42" i="3"/>
  <c r="D13" i="3"/>
  <c r="D40" i="3"/>
  <c r="F40" i="3" s="1"/>
  <c r="D7" i="3"/>
  <c r="D10" i="3"/>
  <c r="F10" i="3" s="1"/>
  <c r="D28" i="3"/>
  <c r="D33" i="3"/>
  <c r="D14" i="3"/>
  <c r="D36" i="3"/>
  <c r="D25" i="3"/>
  <c r="D41" i="3"/>
  <c r="D27" i="3"/>
  <c r="D16" i="3"/>
  <c r="D17" i="3"/>
  <c r="D6" i="3"/>
  <c r="F6" i="3" s="1"/>
  <c r="D43" i="3"/>
  <c r="D26" i="3"/>
  <c r="D5" i="3"/>
  <c r="D34" i="3"/>
  <c r="F34" i="3" s="1"/>
  <c r="D24" i="3"/>
  <c r="F24" i="3" s="1"/>
  <c r="D38" i="3"/>
  <c r="F38" i="3" s="1"/>
  <c r="D20" i="3"/>
  <c r="D44" i="3"/>
  <c r="D22" i="3"/>
  <c r="F22" i="3" s="1"/>
  <c r="D31" i="3"/>
  <c r="D21" i="3"/>
  <c r="D18" i="3"/>
  <c r="F18" i="3" s="1"/>
  <c r="C45" i="3" l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F5" i="3"/>
  <c r="F33" i="3"/>
  <c r="F28" i="3"/>
  <c r="F30" i="3"/>
  <c r="F29" i="3"/>
  <c r="F21" i="3"/>
  <c r="F13" i="3"/>
  <c r="F43" i="3"/>
  <c r="F31" i="3"/>
  <c r="F25" i="3"/>
  <c r="F36" i="3"/>
  <c r="F42" i="3"/>
  <c r="F9" i="3"/>
  <c r="F20" i="3"/>
  <c r="F44" i="3"/>
  <c r="F19" i="3"/>
  <c r="D45" i="3"/>
  <c r="F45" i="3" l="1"/>
</calcChain>
</file>

<file path=xl/sharedStrings.xml><?xml version="1.0" encoding="utf-8"?>
<sst xmlns="http://schemas.openxmlformats.org/spreadsheetml/2006/main" count="63" uniqueCount="60">
  <si>
    <t>🏗   DARLEHENS-TILGUNGSRECHNER  —  Professionelle Finanzplanung</t>
  </si>
  <si>
    <t>📥  KREDITDATEN  —  Eingabe (blau/gelb = änderbar)</t>
  </si>
  <si>
    <t>📊  ERGEBNISSE  —  Automatisch</t>
  </si>
  <si>
    <t>Darlehensbetrag</t>
  </si>
  <si>
    <t>Monatliche Annuität</t>
  </si>
  <si>
    <t>Nominalzins (% p.a.)</t>
  </si>
  <si>
    <t>Laufzeit ohne Sondertilgung (Monate)</t>
  </si>
  <si>
    <t>Anfängl. Tilgung (% p.a.)</t>
  </si>
  <si>
    <t>Laufzeit mit Sondertilgung (Monate)</t>
  </si>
  <si>
    <t>Jährl. Sondertilgung (€)</t>
  </si>
  <si>
    <t>Gesamtzinsen ohne Sondertilgung</t>
  </si>
  <si>
    <t>Kreditbeginn (Jahr)</t>
  </si>
  <si>
    <t>Gesamtzinsen mit Sondertilgung</t>
  </si>
  <si>
    <t>Max. Sondertilgung (% p.a.)</t>
  </si>
  <si>
    <t>✅  Zinseinsparung durch Sondertilgung</t>
  </si>
  <si>
    <t>Berechnete Monatsrate (Annuität)</t>
  </si>
  <si>
    <t>Voraussichtliches Tilgungsende (Jahr)</t>
  </si>
  <si>
    <t>Höchstbetrag Sondertilgung p.a.</t>
  </si>
  <si>
    <t>Sondertilgungsprüfung</t>
  </si>
  <si>
    <t>📖  ANLEITUNG ZUR NUTZUNG</t>
  </si>
  <si>
    <t>🔵  Blau / Gelber Hintergrund = Eingabefelder im Tab »Kreditrechner«. Nur diese Zellen verändern.</t>
  </si>
  <si>
    <t>⚫  Alle anderen Felder = Formeln. Nicht überschreiben, da sonst Berechnungen verloren gehen.</t>
  </si>
  <si>
    <t>📋  Tab »Tilgungsplan«: Monatsgenaue Übersicht. Sondertilgungen in der gelben Spalte G eintragen.</t>
  </si>
  <si>
    <t>📊  Tab »Jahresübersicht«: Komprimierte Jahressicht + zwei interaktive Diagramme.</t>
  </si>
  <si>
    <t>🔀  Tab »Szenarien«: 5 Finanzierungsvarianten direkt vergleichen – ideal für Bankgespräche.</t>
  </si>
  <si>
    <t>⚠️  Sondertilgungen sind vertraglich häufig auf 5 % der Ursprungssumme p.a. begrenzt – Kreditvertrag prüfen!</t>
  </si>
  <si>
    <t>MONATLICHER TILGUNGSPLAN — Sondertilgungen in Spalte G (gelb) nach Bedarf eintragen</t>
  </si>
  <si>
    <t>Mon.</t>
  </si>
  <si>
    <t>Datum</t>
  </si>
  <si>
    <t>Restschuld
(Beginn) €</t>
  </si>
  <si>
    <t>Zinsen €</t>
  </si>
  <si>
    <t>Reguläre
Tilgung €</t>
  </si>
  <si>
    <t>Sonder-
tilgung €</t>
  </si>
  <si>
    <t>Restschuld
(Ende) €</t>
  </si>
  <si>
    <t>Kumulierte
Zinsen €</t>
  </si>
  <si>
    <t>Kumulierte
Tilgung €</t>
  </si>
  <si>
    <t>JAHRESÜBERSICHT — Tilgungs- und Zinsstruktur pro Kalenderjahr</t>
  </si>
  <si>
    <t>Jahr</t>
  </si>
  <si>
    <t>Zinsen (€)</t>
  </si>
  <si>
    <t>Reg. Tilgung (€)</t>
  </si>
  <si>
    <t>Sondertilgung (€)</t>
  </si>
  <si>
    <t>Jahresrate ges. (€)</t>
  </si>
  <si>
    <t>Restschuld
Jahresende (€)</t>
  </si>
  <si>
    <t>Kum. Zinsen (€)</t>
  </si>
  <si>
    <t>GESAMT</t>
  </si>
  <si>
    <t>🔀  SZENARIO-VERGLEICH — 5 Finanzierungsvarianten auf einen Blick</t>
  </si>
  <si>
    <t>Anleitung: Gelbe Felder anpassen – Ergebnisse aktualisieren sich automatisch. Ideal für den Vergleich verschiedener Angebote.</t>
  </si>
  <si>
    <t>Parameter</t>
  </si>
  <si>
    <t>Szenario 1
Basis (aktuell)</t>
  </si>
  <si>
    <t>Szenario 2
Zinsanstieg</t>
  </si>
  <si>
    <t>Szenario 3
Mehr Tilgung</t>
  </si>
  <si>
    <t>Szenario 4
Sondertilgung</t>
  </si>
  <si>
    <t>Szenario 5
Schnelltilger</t>
  </si>
  <si>
    <t>Darlehensbetrag (€)</t>
  </si>
  <si>
    <t>Monatliche Annuität (€)</t>
  </si>
  <si>
    <t>Laufzeit (Monate)</t>
  </si>
  <si>
    <t>Laufzeit (Jahre)</t>
  </si>
  <si>
    <t>Gesamtzinsen (€)</t>
  </si>
  <si>
    <t>Gesamtkosten (€)</t>
  </si>
  <si>
    <t>Hinweis: Sondertilgungen (Szenario 4) sind im Szenariovergleich als Einmaleffekt näherungsweise abgebildet. Für monatsgenäue Planung → Tab »Tilgungsplan«.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</si>
</sst>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;[Red]\-#,##0.00\ [$€-407]"/>
    <numFmt numFmtId="165" formatCode="mmm\ yyyy"/>
    <numFmt numFmtId="166" formatCode="0.0"/>
  </numFmts>
  <fonts count="14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00FF"/>
      <name val="Arial"/>
      <charset val="1"/>
    </font>
    <font>
      <b/>
      <sz val="10"/>
      <color rgb="FF375623"/>
      <name val="Arial"/>
      <charset val="1"/>
    </font>
    <font>
      <b/>
      <sz val="10"/>
      <color rgb="FF000000"/>
      <name val="Arial"/>
      <charset val="1"/>
    </font>
    <font>
      <sz val="9"/>
      <color rgb="FF444444"/>
      <name val="Arial"/>
      <charset val="1"/>
    </font>
    <font>
      <b/>
      <sz val="12"/>
      <color rgb="FFFFFFFF"/>
      <name val="Arial"/>
      <charset val="1"/>
    </font>
    <font>
      <b/>
      <sz val="10"/>
      <color rgb="FFFFFFFF"/>
      <name val="Arial"/>
      <charset val="1"/>
    </font>
    <font>
      <sz val="9"/>
      <color rgb="FF000000"/>
      <name val="Arial"/>
      <charset val="1"/>
    </font>
    <font>
      <b/>
      <sz val="14"/>
      <color rgb="FFFFFFFF"/>
      <name val="Arial"/>
      <charset val="1"/>
    </font>
    <font>
      <b/>
      <sz val="13"/>
      <color rgb="FFFFFFFF"/>
      <name val="Arial"/>
      <charset val="1"/>
    </font>
    <font>
      <i/>
      <sz val="9"/>
      <color rgb="FF595959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BDD7EE"/>
        <bgColor rgb="FFD9D9D9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3" fillId="4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10" fontId="4" fillId="5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left" vertical="center" wrapText="1"/>
    </xf>
    <xf numFmtId="164" fontId="5" fillId="7" borderId="2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vertical="center" wrapText="1"/>
    </xf>
    <xf numFmtId="164" fontId="6" fillId="8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166" fontId="3" fillId="6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2F2F2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1F3864"/>
      <rgbColor rgb="FF339966"/>
      <rgbColor rgb="FF003300"/>
      <rgbColor rgb="FF375623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Restschuld-Entwicklung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Jahresübersicht!$G$4</c:f>
              <c:strCache>
                <c:ptCount val="1"/>
                <c:pt idx="0">
                  <c:v>Restschuld
Jahresende (€)</c:v>
                </c:pt>
              </c:strCache>
            </c:strRef>
          </c:tx>
          <c:spPr>
            <a:ln w="20160">
              <a:solidFill>
                <a:srgbClr val="2E75B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Jahresübersicht!$B$5:$B$44</c:f>
              <c:numCache>
                <c:formatCode>0</c:formatCode>
                <c:ptCount val="4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</c:numCache>
            </c:numRef>
          </c:cat>
          <c:val>
            <c:numRef>
              <c:f>Jahresübersicht!$G$5:$G$44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FD-44DF-B8ED-5DBDE4E2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7537274"/>
        <c:axId val="87506378"/>
      </c:lineChart>
      <c:catAx>
        <c:axId val="175372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7506378"/>
        <c:crosses val="autoZero"/>
        <c:auto val="1"/>
        <c:lblAlgn val="ctr"/>
        <c:lblOffset val="100"/>
        <c:noMultiLvlLbl val="0"/>
      </c:catAx>
      <c:valAx>
        <c:axId val="875063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Restschuld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753727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Zins- vs. Tilgungsstruktur pro Jahr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Jahresübersicht!$C$4</c:f>
              <c:strCache>
                <c:ptCount val="1"/>
                <c:pt idx="0">
                  <c:v>Zinsen (€)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Jahresübersicht!$B$5:$B$44</c:f>
              <c:numCache>
                <c:formatCode>0</c:formatCode>
                <c:ptCount val="4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</c:numCache>
            </c:numRef>
          </c:cat>
          <c:val>
            <c:numRef>
              <c:f>Jahresübersicht!$C$5:$C$44</c:f>
              <c:numCache>
                <c:formatCode>General</c:formatCode>
                <c:ptCount val="40"/>
                <c:pt idx="0">
                  <c:v>6687.4699999999993</c:v>
                </c:pt>
                <c:pt idx="1">
                  <c:v>6471.44</c:v>
                </c:pt>
                <c:pt idx="2">
                  <c:v>6209.04</c:v>
                </c:pt>
                <c:pt idx="3">
                  <c:v>6051.03</c:v>
                </c:pt>
                <c:pt idx="4">
                  <c:v>5772.56</c:v>
                </c:pt>
                <c:pt idx="5">
                  <c:v>5502.5599999999995</c:v>
                </c:pt>
                <c:pt idx="6">
                  <c:v>5317.6100000000006</c:v>
                </c:pt>
                <c:pt idx="7">
                  <c:v>5068.41</c:v>
                </c:pt>
                <c:pt idx="8">
                  <c:v>4866.8799999999992</c:v>
                </c:pt>
                <c:pt idx="9">
                  <c:v>4657.7199999999993</c:v>
                </c:pt>
                <c:pt idx="10">
                  <c:v>4440.54</c:v>
                </c:pt>
                <c:pt idx="11">
                  <c:v>4215.08</c:v>
                </c:pt>
                <c:pt idx="12">
                  <c:v>3981.0400000000004</c:v>
                </c:pt>
                <c:pt idx="13">
                  <c:v>3738.0699999999997</c:v>
                </c:pt>
                <c:pt idx="14">
                  <c:v>3485.81</c:v>
                </c:pt>
                <c:pt idx="15">
                  <c:v>3223.92</c:v>
                </c:pt>
                <c:pt idx="16">
                  <c:v>2952.06</c:v>
                </c:pt>
                <c:pt idx="17">
                  <c:v>2669.79</c:v>
                </c:pt>
                <c:pt idx="18">
                  <c:v>2376.81</c:v>
                </c:pt>
                <c:pt idx="19">
                  <c:v>2072.61</c:v>
                </c:pt>
                <c:pt idx="20">
                  <c:v>1756.8399999999995</c:v>
                </c:pt>
                <c:pt idx="21">
                  <c:v>1428.97</c:v>
                </c:pt>
                <c:pt idx="22">
                  <c:v>1088.6300000000001</c:v>
                </c:pt>
                <c:pt idx="23">
                  <c:v>735.28</c:v>
                </c:pt>
                <c:pt idx="24">
                  <c:v>368.48</c:v>
                </c:pt>
                <c:pt idx="25">
                  <c:v>42.32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0-41BF-8C0C-CE1D42ABB0CF}"/>
            </c:ext>
          </c:extLst>
        </c:ser>
        <c:ser>
          <c:idx val="1"/>
          <c:order val="1"/>
          <c:tx>
            <c:strRef>
              <c:f>Jahresübersicht!$D$4</c:f>
              <c:strCache>
                <c:ptCount val="1"/>
                <c:pt idx="0">
                  <c:v>Reg. Tilgung (€)</c:v>
                </c:pt>
              </c:strCache>
            </c:strRef>
          </c:tx>
          <c:spPr>
            <a:solidFill>
              <a:srgbClr val="2E75B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Jahresübersicht!$B$5:$B$44</c:f>
              <c:numCache>
                <c:formatCode>0</c:formatCode>
                <c:ptCount val="4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</c:numCache>
            </c:numRef>
          </c:cat>
          <c:val>
            <c:numRef>
              <c:f>Jahresübersicht!$D$5:$D$44</c:f>
              <c:numCache>
                <c:formatCode>General</c:formatCode>
                <c:ptCount val="40"/>
                <c:pt idx="0">
                  <c:v>3662.53</c:v>
                </c:pt>
                <c:pt idx="1">
                  <c:v>3878.5600000000004</c:v>
                </c:pt>
                <c:pt idx="2">
                  <c:v>4140.96</c:v>
                </c:pt>
                <c:pt idx="3">
                  <c:v>4298.97</c:v>
                </c:pt>
                <c:pt idx="4">
                  <c:v>4577.4399999999996</c:v>
                </c:pt>
                <c:pt idx="5">
                  <c:v>4847.4400000000005</c:v>
                </c:pt>
                <c:pt idx="6">
                  <c:v>5032.3899999999994</c:v>
                </c:pt>
                <c:pt idx="7">
                  <c:v>5281.59</c:v>
                </c:pt>
                <c:pt idx="8">
                  <c:v>5483.12</c:v>
                </c:pt>
                <c:pt idx="9">
                  <c:v>5692.2800000000007</c:v>
                </c:pt>
                <c:pt idx="10">
                  <c:v>5909.46</c:v>
                </c:pt>
                <c:pt idx="11">
                  <c:v>6134.92</c:v>
                </c:pt>
                <c:pt idx="12">
                  <c:v>6368.96</c:v>
                </c:pt>
                <c:pt idx="13">
                  <c:v>6611.9299999999994</c:v>
                </c:pt>
                <c:pt idx="14">
                  <c:v>6864.19</c:v>
                </c:pt>
                <c:pt idx="15">
                  <c:v>7126.08</c:v>
                </c:pt>
                <c:pt idx="16">
                  <c:v>7397.94</c:v>
                </c:pt>
                <c:pt idx="17">
                  <c:v>7680.2100000000009</c:v>
                </c:pt>
                <c:pt idx="18">
                  <c:v>7973.1900000000005</c:v>
                </c:pt>
                <c:pt idx="19">
                  <c:v>8277.39</c:v>
                </c:pt>
                <c:pt idx="20">
                  <c:v>8593.1600000000017</c:v>
                </c:pt>
                <c:pt idx="21">
                  <c:v>8921.0300000000007</c:v>
                </c:pt>
                <c:pt idx="22">
                  <c:v>9261.3700000000008</c:v>
                </c:pt>
                <c:pt idx="23">
                  <c:v>9614.7199999999993</c:v>
                </c:pt>
                <c:pt idx="24">
                  <c:v>9981.5199999999986</c:v>
                </c:pt>
                <c:pt idx="25">
                  <c:v>4388.6500000000005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0-41BF-8C0C-CE1D42ABB0CF}"/>
            </c:ext>
          </c:extLst>
        </c:ser>
        <c:ser>
          <c:idx val="2"/>
          <c:order val="2"/>
          <c:tx>
            <c:strRef>
              <c:f>Jahresübersicht!$E$4</c:f>
              <c:strCache>
                <c:ptCount val="1"/>
                <c:pt idx="0">
                  <c:v>Sondertilgung (€)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Jahresübersicht!$B$5:$B$44</c:f>
              <c:numCache>
                <c:formatCode>0</c:formatCode>
                <c:ptCount val="4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</c:numCache>
            </c:numRef>
          </c:cat>
          <c:val>
            <c:numRef>
              <c:f>Jahresübersicht!$E$5:$E$44</c:f>
              <c:numCache>
                <c:formatCode>General</c:formatCode>
                <c:ptCount val="40"/>
                <c:pt idx="0">
                  <c:v>2000</c:v>
                </c:pt>
                <c:pt idx="1">
                  <c:v>3000</c:v>
                </c:pt>
                <c:pt idx="2">
                  <c:v>0</c:v>
                </c:pt>
                <c:pt idx="3">
                  <c:v>3000</c:v>
                </c:pt>
                <c:pt idx="4">
                  <c:v>2500</c:v>
                </c:pt>
                <c:pt idx="5">
                  <c:v>0</c:v>
                </c:pt>
                <c:pt idx="6">
                  <c:v>1500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0-41BF-8C0C-CE1D42AB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417166"/>
        <c:axId val="69092566"/>
      </c:barChart>
      <c:catAx>
        <c:axId val="944171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9092566"/>
        <c:crosses val="autoZero"/>
        <c:auto val="1"/>
        <c:lblAlgn val="ctr"/>
        <c:lblOffset val="100"/>
        <c:noMultiLvlLbl val="0"/>
      </c:catAx>
      <c:valAx>
        <c:axId val="690925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441716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6</xdr:col>
      <xdr:colOff>559080</xdr:colOff>
      <xdr:row>70</xdr:row>
      <xdr:rowOff>107640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19</xdr:col>
      <xdr:colOff>364680</xdr:colOff>
      <xdr:row>70</xdr:row>
      <xdr:rowOff>107640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F2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1" sqref="B21:F21"/>
    </sheetView>
  </sheetViews>
  <sheetFormatPr baseColWidth="10" defaultColWidth="8.7109375" defaultRowHeight="15" x14ac:dyDescent="0.25"/>
  <cols>
    <col min="1" max="1" width="2" customWidth="1"/>
    <col min="2" max="2" width="31.85546875" bestFit="1" customWidth="1"/>
    <col min="3" max="3" width="18" customWidth="1"/>
    <col min="4" max="4" width="3" customWidth="1"/>
    <col min="5" max="5" width="38.42578125" bestFit="1" customWidth="1"/>
    <col min="6" max="6" width="20" customWidth="1"/>
  </cols>
  <sheetData>
    <row r="1" spans="2:6" ht="6" customHeight="1" x14ac:dyDescent="0.25"/>
    <row r="2" spans="2:6" ht="37.5" customHeight="1" x14ac:dyDescent="0.25">
      <c r="B2" s="9" t="s">
        <v>0</v>
      </c>
      <c r="C2" s="9"/>
      <c r="D2" s="9"/>
      <c r="E2" s="9"/>
      <c r="F2" s="9"/>
    </row>
    <row r="3" spans="2:6" ht="7.5" customHeight="1" x14ac:dyDescent="0.25"/>
    <row r="4" spans="2:6" x14ac:dyDescent="0.25">
      <c r="B4" s="8" t="s">
        <v>1</v>
      </c>
      <c r="C4" s="8"/>
      <c r="E4" s="7" t="s">
        <v>2</v>
      </c>
      <c r="F4" s="7"/>
    </row>
    <row r="5" spans="2:6" x14ac:dyDescent="0.25">
      <c r="B5" s="10" t="s">
        <v>3</v>
      </c>
      <c r="C5" s="11">
        <v>180000</v>
      </c>
      <c r="E5" s="12" t="s">
        <v>4</v>
      </c>
      <c r="F5" s="13">
        <f>C11</f>
        <v>862.5</v>
      </c>
    </row>
    <row r="6" spans="2:6" ht="25.5" x14ac:dyDescent="0.25">
      <c r="B6" s="10" t="s">
        <v>5</v>
      </c>
      <c r="C6" s="14">
        <v>3.7499999999999999E-2</v>
      </c>
      <c r="E6" s="12" t="s">
        <v>6</v>
      </c>
      <c r="F6" s="15">
        <f>IFERROR(ROUNDUP(NPER(C6/12,-C11,-C5,0,0),0),480)</f>
        <v>-161</v>
      </c>
    </row>
    <row r="7" spans="2:6" ht="25.5" x14ac:dyDescent="0.25">
      <c r="B7" s="10" t="s">
        <v>7</v>
      </c>
      <c r="C7" s="14">
        <v>0.02</v>
      </c>
      <c r="E7" s="12" t="s">
        <v>8</v>
      </c>
      <c r="F7" s="15">
        <f>IFERROR(SUMPRODUCT((Tilgungsplan!D3:D482&gt;0.01)*1),F6)</f>
        <v>306</v>
      </c>
    </row>
    <row r="8" spans="2:6" x14ac:dyDescent="0.25">
      <c r="B8" s="10" t="s">
        <v>9</v>
      </c>
      <c r="C8" s="11">
        <v>3000</v>
      </c>
      <c r="E8" s="12" t="s">
        <v>10</v>
      </c>
      <c r="F8" s="13">
        <f>IFERROR(F6*C11-C5,0)</f>
        <v>-318862.5</v>
      </c>
    </row>
    <row r="9" spans="2:6" x14ac:dyDescent="0.25">
      <c r="B9" s="10" t="s">
        <v>11</v>
      </c>
      <c r="C9" s="16">
        <v>2025</v>
      </c>
      <c r="E9" s="12" t="s">
        <v>12</v>
      </c>
      <c r="F9" s="13">
        <f>IFERROR(SUM(Tilgungsplan!E3:E482),0)</f>
        <v>95180.970000000088</v>
      </c>
    </row>
    <row r="10" spans="2:6" x14ac:dyDescent="0.25">
      <c r="B10" s="10" t="s">
        <v>13</v>
      </c>
      <c r="C10" s="14">
        <v>0.05</v>
      </c>
      <c r="E10" s="17" t="s">
        <v>14</v>
      </c>
      <c r="F10" s="18">
        <f>IFERROR(F8-F9,0)</f>
        <v>-414043.47000000009</v>
      </c>
    </row>
    <row r="11" spans="2:6" x14ac:dyDescent="0.25">
      <c r="B11" s="19" t="s">
        <v>15</v>
      </c>
      <c r="C11" s="20">
        <f>ROUND((C5*C6/12)+(C5*C7/12),2)</f>
        <v>862.5</v>
      </c>
      <c r="E11" s="12" t="s">
        <v>16</v>
      </c>
      <c r="F11" s="15">
        <f>IFERROR(C9+ROUNDUP(F7/12,0),0)</f>
        <v>2051</v>
      </c>
    </row>
    <row r="12" spans="2:6" x14ac:dyDescent="0.25">
      <c r="B12" s="10" t="s">
        <v>17</v>
      </c>
      <c r="C12" s="21">
        <f>C5*C10</f>
        <v>9000</v>
      </c>
      <c r="E12" s="12" t="s">
        <v>18</v>
      </c>
      <c r="F12" s="22" t="str">
        <f>IF(C8&lt;=C12,"✅ Sondertilgung im vertraglichen Rahmen","⚠️ Limit überschritten – Vorfälligkeitsentschädigung möglich!")</f>
        <v>✅ Sondertilgung im vertraglichen Rahmen</v>
      </c>
    </row>
    <row r="14" spans="2:6" ht="7.5" customHeight="1" x14ac:dyDescent="0.25"/>
    <row r="15" spans="2:6" ht="21.75" customHeight="1" x14ac:dyDescent="0.25">
      <c r="B15" s="7" t="s">
        <v>19</v>
      </c>
      <c r="C15" s="7"/>
      <c r="D15" s="7"/>
      <c r="E15" s="7"/>
      <c r="F15" s="7"/>
    </row>
    <row r="16" spans="2:6" ht="18" customHeight="1" x14ac:dyDescent="0.25">
      <c r="B16" s="6" t="s">
        <v>20</v>
      </c>
      <c r="C16" s="6"/>
      <c r="D16" s="6"/>
      <c r="E16" s="6"/>
      <c r="F16" s="6"/>
    </row>
    <row r="17" spans="2:6" ht="18" customHeight="1" x14ac:dyDescent="0.25">
      <c r="B17" s="5" t="s">
        <v>21</v>
      </c>
      <c r="C17" s="5"/>
      <c r="D17" s="5"/>
      <c r="E17" s="5"/>
      <c r="F17" s="5"/>
    </row>
    <row r="18" spans="2:6" ht="18" customHeight="1" x14ac:dyDescent="0.25">
      <c r="B18" s="6" t="s">
        <v>22</v>
      </c>
      <c r="C18" s="6"/>
      <c r="D18" s="6"/>
      <c r="E18" s="6"/>
      <c r="F18" s="6"/>
    </row>
    <row r="19" spans="2:6" ht="18" customHeight="1" x14ac:dyDescent="0.25">
      <c r="B19" s="5" t="s">
        <v>23</v>
      </c>
      <c r="C19" s="5"/>
      <c r="D19" s="5"/>
      <c r="E19" s="5"/>
      <c r="F19" s="5"/>
    </row>
    <row r="20" spans="2:6" ht="18" customHeight="1" x14ac:dyDescent="0.25">
      <c r="B20" s="6" t="s">
        <v>24</v>
      </c>
      <c r="C20" s="6"/>
      <c r="D20" s="6"/>
      <c r="E20" s="6"/>
      <c r="F20" s="6"/>
    </row>
    <row r="21" spans="2:6" ht="18" customHeight="1" x14ac:dyDescent="0.25">
      <c r="B21" s="5" t="s">
        <v>25</v>
      </c>
      <c r="C21" s="5"/>
      <c r="D21" s="5"/>
      <c r="E21" s="5"/>
      <c r="F21" s="5"/>
    </row>
  </sheetData>
  <mergeCells count="10">
    <mergeCell ref="B17:F17"/>
    <mergeCell ref="B18:F18"/>
    <mergeCell ref="B19:F19"/>
    <mergeCell ref="B20:F20"/>
    <mergeCell ref="B21:F21"/>
    <mergeCell ref="B2:F2"/>
    <mergeCell ref="B4:C4"/>
    <mergeCell ref="E4:F4"/>
    <mergeCell ref="B15:F15"/>
    <mergeCell ref="B16:F1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J48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16" customWidth="1"/>
    <col min="4" max="6" width="18" customWidth="1"/>
    <col min="7" max="7" width="20" customWidth="1"/>
    <col min="8" max="10" width="18" customWidth="1"/>
  </cols>
  <sheetData>
    <row r="1" spans="1:10" ht="27.75" customHeight="1" x14ac:dyDescent="0.25">
      <c r="B1" s="4" t="s">
        <v>26</v>
      </c>
      <c r="C1" s="4"/>
      <c r="D1" s="4"/>
      <c r="E1" s="4"/>
      <c r="F1" s="4"/>
      <c r="G1" s="4"/>
      <c r="H1" s="4"/>
      <c r="I1" s="4"/>
      <c r="J1" s="4"/>
    </row>
    <row r="2" spans="1:10" ht="31.5" customHeight="1" x14ac:dyDescent="0.25">
      <c r="A2" s="23"/>
      <c r="B2" s="23" t="s">
        <v>27</v>
      </c>
      <c r="C2" s="23" t="s">
        <v>28</v>
      </c>
      <c r="D2" s="23" t="s">
        <v>29</v>
      </c>
      <c r="E2" s="23" t="s">
        <v>30</v>
      </c>
      <c r="F2" s="23" t="s">
        <v>31</v>
      </c>
      <c r="G2" s="23" t="s">
        <v>32</v>
      </c>
      <c r="H2" s="23" t="s">
        <v>33</v>
      </c>
      <c r="I2" s="23" t="s">
        <v>34</v>
      </c>
      <c r="J2" s="23" t="s">
        <v>35</v>
      </c>
    </row>
    <row r="3" spans="1:10" ht="15" customHeight="1" x14ac:dyDescent="0.25">
      <c r="B3" s="24">
        <v>1</v>
      </c>
      <c r="C3" s="25">
        <f>DATE(Kreditrechner!C9,1,1)</f>
        <v>45658</v>
      </c>
      <c r="D3" s="26">
        <f>Kreditrechner!C5</f>
        <v>180000</v>
      </c>
      <c r="E3" s="26">
        <f>IF(D3&gt;0.01,ROUND(D3*Kreditrechner!$C$6/12,2),0)</f>
        <v>562.5</v>
      </c>
      <c r="F3" s="26">
        <f>IF(D3&gt;0.01,ROUND(MIN(Kreditrechner!$C$11-E3,D3),2),0)</f>
        <v>300</v>
      </c>
      <c r="G3" s="11"/>
      <c r="H3" s="26">
        <f t="shared" ref="H3:H66" si="0">IF(D3&gt;0.01,ROUND(MAX(D3-F3-IF(ISNUMBER(G3),G3,0),0),2),0)</f>
        <v>179700</v>
      </c>
      <c r="I3" s="26">
        <f>E3</f>
        <v>562.5</v>
      </c>
      <c r="J3" s="26">
        <f>F3+IF(ISNUMBER(G3),G3,0)</f>
        <v>300</v>
      </c>
    </row>
    <row r="4" spans="1:10" ht="15" customHeight="1" x14ac:dyDescent="0.25">
      <c r="B4" s="27">
        <v>2</v>
      </c>
      <c r="C4" s="28">
        <f t="shared" ref="C4:C67" si="1">EDATE(C3,1)</f>
        <v>45689</v>
      </c>
      <c r="D4" s="29">
        <f t="shared" ref="D4:D67" si="2">IF(H3&gt;0.01,H3,0)</f>
        <v>179700</v>
      </c>
      <c r="E4" s="29">
        <f>IF(D4&gt;0.01,ROUND(D4*Kreditrechner!$C$6/12,2),0)</f>
        <v>561.55999999999995</v>
      </c>
      <c r="F4" s="29">
        <f>IF(D4&gt;0.01,ROUND(MIN(Kreditrechner!$C$11-E4,D4),2),0)</f>
        <v>300.94</v>
      </c>
      <c r="G4" s="11"/>
      <c r="H4" s="29">
        <f t="shared" si="0"/>
        <v>179399.06</v>
      </c>
      <c r="I4" s="29">
        <f t="shared" ref="I4:I67" si="3">IF(D4&gt;0.01,I3+E4,I3)</f>
        <v>1124.06</v>
      </c>
      <c r="J4" s="29">
        <f t="shared" ref="J4:J67" si="4">IF(D4&gt;0.01,J3+F4+IF(ISNUMBER(G4),G4,0),J3)</f>
        <v>600.94000000000005</v>
      </c>
    </row>
    <row r="5" spans="1:10" ht="15" customHeight="1" x14ac:dyDescent="0.25">
      <c r="B5" s="24">
        <v>3</v>
      </c>
      <c r="C5" s="25">
        <f t="shared" si="1"/>
        <v>45717</v>
      </c>
      <c r="D5" s="26">
        <f t="shared" si="2"/>
        <v>179399.06</v>
      </c>
      <c r="E5" s="26">
        <f>IF(D5&gt;0.01,ROUND(D5*Kreditrechner!$C$6/12,2),0)</f>
        <v>560.62</v>
      </c>
      <c r="F5" s="26">
        <f>IF(D5&gt;0.01,ROUND(MIN(Kreditrechner!$C$11-E5,D5),2),0)</f>
        <v>301.88</v>
      </c>
      <c r="G5" s="11"/>
      <c r="H5" s="26">
        <f t="shared" si="0"/>
        <v>179097.18</v>
      </c>
      <c r="I5" s="26">
        <f t="shared" si="3"/>
        <v>1684.6799999999998</v>
      </c>
      <c r="J5" s="26">
        <f t="shared" si="4"/>
        <v>902.82</v>
      </c>
    </row>
    <row r="6" spans="1:10" ht="15" customHeight="1" x14ac:dyDescent="0.25">
      <c r="B6" s="27">
        <v>4</v>
      </c>
      <c r="C6" s="28">
        <f t="shared" si="1"/>
        <v>45748</v>
      </c>
      <c r="D6" s="29">
        <f t="shared" si="2"/>
        <v>179097.18</v>
      </c>
      <c r="E6" s="29">
        <f>IF(D6&gt;0.01,ROUND(D6*Kreditrechner!$C$6/12,2),0)</f>
        <v>559.67999999999995</v>
      </c>
      <c r="F6" s="29">
        <f>IF(D6&gt;0.01,ROUND(MIN(Kreditrechner!$C$11-E6,D6),2),0)</f>
        <v>302.82</v>
      </c>
      <c r="G6" s="11"/>
      <c r="H6" s="29">
        <f t="shared" si="0"/>
        <v>178794.36</v>
      </c>
      <c r="I6" s="29">
        <f t="shared" si="3"/>
        <v>2244.3599999999997</v>
      </c>
      <c r="J6" s="29">
        <f t="shared" si="4"/>
        <v>1205.6400000000001</v>
      </c>
    </row>
    <row r="7" spans="1:10" ht="15" customHeight="1" x14ac:dyDescent="0.25">
      <c r="B7" s="24">
        <v>5</v>
      </c>
      <c r="C7" s="25">
        <f t="shared" si="1"/>
        <v>45778</v>
      </c>
      <c r="D7" s="26">
        <f t="shared" si="2"/>
        <v>178794.36</v>
      </c>
      <c r="E7" s="26">
        <f>IF(D7&gt;0.01,ROUND(D7*Kreditrechner!$C$6/12,2),0)</f>
        <v>558.73</v>
      </c>
      <c r="F7" s="26">
        <f>IF(D7&gt;0.01,ROUND(MIN(Kreditrechner!$C$11-E7,D7),2),0)</f>
        <v>303.77</v>
      </c>
      <c r="G7" s="11"/>
      <c r="H7" s="26">
        <f t="shared" si="0"/>
        <v>178490.59</v>
      </c>
      <c r="I7" s="26">
        <f t="shared" si="3"/>
        <v>2803.0899999999997</v>
      </c>
      <c r="J7" s="26">
        <f t="shared" si="4"/>
        <v>1509.41</v>
      </c>
    </row>
    <row r="8" spans="1:10" ht="15" customHeight="1" x14ac:dyDescent="0.25">
      <c r="B8" s="27">
        <v>6</v>
      </c>
      <c r="C8" s="28">
        <f t="shared" si="1"/>
        <v>45809</v>
      </c>
      <c r="D8" s="29">
        <f t="shared" si="2"/>
        <v>178490.59</v>
      </c>
      <c r="E8" s="29">
        <f>IF(D8&gt;0.01,ROUND(D8*Kreditrechner!$C$6/12,2),0)</f>
        <v>557.78</v>
      </c>
      <c r="F8" s="29">
        <f>IF(D8&gt;0.01,ROUND(MIN(Kreditrechner!$C$11-E8,D8),2),0)</f>
        <v>304.72000000000003</v>
      </c>
      <c r="G8" s="11"/>
      <c r="H8" s="29">
        <f t="shared" si="0"/>
        <v>178185.87</v>
      </c>
      <c r="I8" s="29">
        <f t="shared" si="3"/>
        <v>3360.87</v>
      </c>
      <c r="J8" s="29">
        <f t="shared" si="4"/>
        <v>1814.13</v>
      </c>
    </row>
    <row r="9" spans="1:10" ht="15" customHeight="1" x14ac:dyDescent="0.25">
      <c r="B9" s="24">
        <v>7</v>
      </c>
      <c r="C9" s="25">
        <f t="shared" si="1"/>
        <v>45839</v>
      </c>
      <c r="D9" s="26">
        <f t="shared" si="2"/>
        <v>178185.87</v>
      </c>
      <c r="E9" s="26">
        <f>IF(D9&gt;0.01,ROUND(D9*Kreditrechner!$C$6/12,2),0)</f>
        <v>556.83000000000004</v>
      </c>
      <c r="F9" s="26">
        <f>IF(D9&gt;0.01,ROUND(MIN(Kreditrechner!$C$11-E9,D9),2),0)</f>
        <v>305.67</v>
      </c>
      <c r="G9" s="11"/>
      <c r="H9" s="26">
        <f t="shared" si="0"/>
        <v>177880.2</v>
      </c>
      <c r="I9" s="26">
        <f t="shared" si="3"/>
        <v>3917.7</v>
      </c>
      <c r="J9" s="26">
        <f t="shared" si="4"/>
        <v>2119.8000000000002</v>
      </c>
    </row>
    <row r="10" spans="1:10" ht="15" customHeight="1" x14ac:dyDescent="0.25">
      <c r="B10" s="27">
        <v>8</v>
      </c>
      <c r="C10" s="28">
        <f t="shared" si="1"/>
        <v>45870</v>
      </c>
      <c r="D10" s="29">
        <f t="shared" si="2"/>
        <v>177880.2</v>
      </c>
      <c r="E10" s="29">
        <f>IF(D10&gt;0.01,ROUND(D10*Kreditrechner!$C$6/12,2),0)</f>
        <v>555.88</v>
      </c>
      <c r="F10" s="29">
        <f>IF(D10&gt;0.01,ROUND(MIN(Kreditrechner!$C$11-E10,D10),2),0)</f>
        <v>306.62</v>
      </c>
      <c r="G10" s="11"/>
      <c r="H10" s="29">
        <f t="shared" si="0"/>
        <v>177573.58</v>
      </c>
      <c r="I10" s="29">
        <f t="shared" si="3"/>
        <v>4473.58</v>
      </c>
      <c r="J10" s="29">
        <f t="shared" si="4"/>
        <v>2426.42</v>
      </c>
    </row>
    <row r="11" spans="1:10" ht="15" customHeight="1" x14ac:dyDescent="0.25">
      <c r="B11" s="24">
        <v>9</v>
      </c>
      <c r="C11" s="25">
        <f t="shared" si="1"/>
        <v>45901</v>
      </c>
      <c r="D11" s="26">
        <f t="shared" si="2"/>
        <v>177573.58</v>
      </c>
      <c r="E11" s="26">
        <f>IF(D11&gt;0.01,ROUND(D11*Kreditrechner!$C$6/12,2),0)</f>
        <v>554.91999999999996</v>
      </c>
      <c r="F11" s="26">
        <f>IF(D11&gt;0.01,ROUND(MIN(Kreditrechner!$C$11-E11,D11),2),0)</f>
        <v>307.58</v>
      </c>
      <c r="G11" s="11"/>
      <c r="H11" s="26">
        <f t="shared" si="0"/>
        <v>177266</v>
      </c>
      <c r="I11" s="26">
        <f t="shared" si="3"/>
        <v>5028.5</v>
      </c>
      <c r="J11" s="26">
        <f t="shared" si="4"/>
        <v>2734</v>
      </c>
    </row>
    <row r="12" spans="1:10" ht="15" customHeight="1" x14ac:dyDescent="0.25">
      <c r="B12" s="27">
        <v>10</v>
      </c>
      <c r="C12" s="28">
        <f t="shared" si="1"/>
        <v>45931</v>
      </c>
      <c r="D12" s="29">
        <f t="shared" si="2"/>
        <v>177266</v>
      </c>
      <c r="E12" s="29">
        <f>IF(D12&gt;0.01,ROUND(D12*Kreditrechner!$C$6/12,2),0)</f>
        <v>553.96</v>
      </c>
      <c r="F12" s="29">
        <f>IF(D12&gt;0.01,ROUND(MIN(Kreditrechner!$C$11-E12,D12),2),0)</f>
        <v>308.54000000000002</v>
      </c>
      <c r="G12" s="11"/>
      <c r="H12" s="29">
        <f t="shared" si="0"/>
        <v>176957.46</v>
      </c>
      <c r="I12" s="29">
        <f t="shared" si="3"/>
        <v>5582.46</v>
      </c>
      <c r="J12" s="29">
        <f t="shared" si="4"/>
        <v>3042.54</v>
      </c>
    </row>
    <row r="13" spans="1:10" ht="15" customHeight="1" x14ac:dyDescent="0.25">
      <c r="B13" s="24">
        <v>11</v>
      </c>
      <c r="C13" s="25">
        <f t="shared" si="1"/>
        <v>45962</v>
      </c>
      <c r="D13" s="26">
        <f t="shared" si="2"/>
        <v>176957.46</v>
      </c>
      <c r="E13" s="26">
        <f>IF(D13&gt;0.01,ROUND(D13*Kreditrechner!$C$6/12,2),0)</f>
        <v>552.99</v>
      </c>
      <c r="F13" s="26">
        <f>IF(D13&gt;0.01,ROUND(MIN(Kreditrechner!$C$11-E13,D13),2),0)</f>
        <v>309.51</v>
      </c>
      <c r="G13" s="11"/>
      <c r="H13" s="26">
        <f t="shared" si="0"/>
        <v>176647.95</v>
      </c>
      <c r="I13" s="26">
        <f t="shared" si="3"/>
        <v>6135.45</v>
      </c>
      <c r="J13" s="26">
        <f t="shared" si="4"/>
        <v>3352.05</v>
      </c>
    </row>
    <row r="14" spans="1:10" ht="15" customHeight="1" x14ac:dyDescent="0.25">
      <c r="B14" s="27">
        <v>12</v>
      </c>
      <c r="C14" s="28">
        <f t="shared" si="1"/>
        <v>45992</v>
      </c>
      <c r="D14" s="29">
        <f t="shared" si="2"/>
        <v>176647.95</v>
      </c>
      <c r="E14" s="29">
        <f>IF(D14&gt;0.01,ROUND(D14*Kreditrechner!$C$6/12,2),0)</f>
        <v>552.02</v>
      </c>
      <c r="F14" s="29">
        <f>IF(D14&gt;0.01,ROUND(MIN(Kreditrechner!$C$11-E14,D14),2),0)</f>
        <v>310.48</v>
      </c>
      <c r="G14" s="11">
        <v>2000</v>
      </c>
      <c r="H14" s="29">
        <f t="shared" si="0"/>
        <v>174337.47</v>
      </c>
      <c r="I14" s="29">
        <f t="shared" si="3"/>
        <v>6687.4699999999993</v>
      </c>
      <c r="J14" s="29">
        <f t="shared" si="4"/>
        <v>5662.5300000000007</v>
      </c>
    </row>
    <row r="15" spans="1:10" ht="15" customHeight="1" x14ac:dyDescent="0.25">
      <c r="B15" s="24">
        <v>13</v>
      </c>
      <c r="C15" s="25">
        <f t="shared" si="1"/>
        <v>46023</v>
      </c>
      <c r="D15" s="26">
        <f t="shared" si="2"/>
        <v>174337.47</v>
      </c>
      <c r="E15" s="26">
        <f>IF(D15&gt;0.01,ROUND(D15*Kreditrechner!$C$6/12,2),0)</f>
        <v>544.79999999999995</v>
      </c>
      <c r="F15" s="26">
        <f>IF(D15&gt;0.01,ROUND(MIN(Kreditrechner!$C$11-E15,D15),2),0)</f>
        <v>317.7</v>
      </c>
      <c r="G15" s="11"/>
      <c r="H15" s="26">
        <f t="shared" si="0"/>
        <v>174019.77</v>
      </c>
      <c r="I15" s="26">
        <f t="shared" si="3"/>
        <v>7232.2699999999995</v>
      </c>
      <c r="J15" s="26">
        <f t="shared" si="4"/>
        <v>5980.2300000000005</v>
      </c>
    </row>
    <row r="16" spans="1:10" ht="15" customHeight="1" x14ac:dyDescent="0.25">
      <c r="B16" s="27">
        <v>14</v>
      </c>
      <c r="C16" s="28">
        <f t="shared" si="1"/>
        <v>46054</v>
      </c>
      <c r="D16" s="29">
        <f t="shared" si="2"/>
        <v>174019.77</v>
      </c>
      <c r="E16" s="29">
        <f>IF(D16&gt;0.01,ROUND(D16*Kreditrechner!$C$6/12,2),0)</f>
        <v>543.80999999999995</v>
      </c>
      <c r="F16" s="29">
        <f>IF(D16&gt;0.01,ROUND(MIN(Kreditrechner!$C$11-E16,D16),2),0)</f>
        <v>318.69</v>
      </c>
      <c r="G16" s="11"/>
      <c r="H16" s="29">
        <f t="shared" si="0"/>
        <v>173701.08</v>
      </c>
      <c r="I16" s="29">
        <f t="shared" si="3"/>
        <v>7776.08</v>
      </c>
      <c r="J16" s="29">
        <f t="shared" si="4"/>
        <v>6298.92</v>
      </c>
    </row>
    <row r="17" spans="2:10" ht="15" customHeight="1" x14ac:dyDescent="0.25">
      <c r="B17" s="24">
        <v>15</v>
      </c>
      <c r="C17" s="25">
        <f t="shared" si="1"/>
        <v>46082</v>
      </c>
      <c r="D17" s="26">
        <f t="shared" si="2"/>
        <v>173701.08</v>
      </c>
      <c r="E17" s="26">
        <f>IF(D17&gt;0.01,ROUND(D17*Kreditrechner!$C$6/12,2),0)</f>
        <v>542.82000000000005</v>
      </c>
      <c r="F17" s="26">
        <f>IF(D17&gt;0.01,ROUND(MIN(Kreditrechner!$C$11-E17,D17),2),0)</f>
        <v>319.68</v>
      </c>
      <c r="G17" s="11"/>
      <c r="H17" s="26">
        <f t="shared" si="0"/>
        <v>173381.4</v>
      </c>
      <c r="I17" s="26">
        <f t="shared" si="3"/>
        <v>8318.9</v>
      </c>
      <c r="J17" s="26">
        <f t="shared" si="4"/>
        <v>6618.6</v>
      </c>
    </row>
    <row r="18" spans="2:10" ht="15" customHeight="1" x14ac:dyDescent="0.25">
      <c r="B18" s="27">
        <v>16</v>
      </c>
      <c r="C18" s="28">
        <f t="shared" si="1"/>
        <v>46113</v>
      </c>
      <c r="D18" s="29">
        <f t="shared" si="2"/>
        <v>173381.4</v>
      </c>
      <c r="E18" s="29">
        <f>IF(D18&gt;0.01,ROUND(D18*Kreditrechner!$C$6/12,2),0)</f>
        <v>541.82000000000005</v>
      </c>
      <c r="F18" s="29">
        <f>IF(D18&gt;0.01,ROUND(MIN(Kreditrechner!$C$11-E18,D18),2),0)</f>
        <v>320.68</v>
      </c>
      <c r="G18" s="11"/>
      <c r="H18" s="29">
        <f t="shared" si="0"/>
        <v>173060.72</v>
      </c>
      <c r="I18" s="29">
        <f t="shared" si="3"/>
        <v>8860.7199999999993</v>
      </c>
      <c r="J18" s="29">
        <f t="shared" si="4"/>
        <v>6939.2800000000007</v>
      </c>
    </row>
    <row r="19" spans="2:10" ht="15" customHeight="1" x14ac:dyDescent="0.25">
      <c r="B19" s="24">
        <v>17</v>
      </c>
      <c r="C19" s="25">
        <f t="shared" si="1"/>
        <v>46143</v>
      </c>
      <c r="D19" s="26">
        <f t="shared" si="2"/>
        <v>173060.72</v>
      </c>
      <c r="E19" s="26">
        <f>IF(D19&gt;0.01,ROUND(D19*Kreditrechner!$C$6/12,2),0)</f>
        <v>540.80999999999995</v>
      </c>
      <c r="F19" s="26">
        <f>IF(D19&gt;0.01,ROUND(MIN(Kreditrechner!$C$11-E19,D19),2),0)</f>
        <v>321.69</v>
      </c>
      <c r="G19" s="11"/>
      <c r="H19" s="26">
        <f t="shared" si="0"/>
        <v>172739.03</v>
      </c>
      <c r="I19" s="26">
        <f t="shared" si="3"/>
        <v>9401.5299999999988</v>
      </c>
      <c r="J19" s="26">
        <f t="shared" si="4"/>
        <v>7260.97</v>
      </c>
    </row>
    <row r="20" spans="2:10" ht="15" customHeight="1" x14ac:dyDescent="0.25">
      <c r="B20" s="27">
        <v>18</v>
      </c>
      <c r="C20" s="28">
        <f t="shared" si="1"/>
        <v>46174</v>
      </c>
      <c r="D20" s="29">
        <f t="shared" si="2"/>
        <v>172739.03</v>
      </c>
      <c r="E20" s="29">
        <f>IF(D20&gt;0.01,ROUND(D20*Kreditrechner!$C$6/12,2),0)</f>
        <v>539.80999999999995</v>
      </c>
      <c r="F20" s="29">
        <f>IF(D20&gt;0.01,ROUND(MIN(Kreditrechner!$C$11-E20,D20),2),0)</f>
        <v>322.69</v>
      </c>
      <c r="G20" s="11"/>
      <c r="H20" s="29">
        <f t="shared" si="0"/>
        <v>172416.34</v>
      </c>
      <c r="I20" s="29">
        <f t="shared" si="3"/>
        <v>9941.3399999999983</v>
      </c>
      <c r="J20" s="29">
        <f t="shared" si="4"/>
        <v>7583.66</v>
      </c>
    </row>
    <row r="21" spans="2:10" ht="15" customHeight="1" x14ac:dyDescent="0.25">
      <c r="B21" s="24">
        <v>19</v>
      </c>
      <c r="C21" s="25">
        <f t="shared" si="1"/>
        <v>46204</v>
      </c>
      <c r="D21" s="26">
        <f t="shared" si="2"/>
        <v>172416.34</v>
      </c>
      <c r="E21" s="26">
        <f>IF(D21&gt;0.01,ROUND(D21*Kreditrechner!$C$6/12,2),0)</f>
        <v>538.79999999999995</v>
      </c>
      <c r="F21" s="26">
        <f>IF(D21&gt;0.01,ROUND(MIN(Kreditrechner!$C$11-E21,D21),2),0)</f>
        <v>323.7</v>
      </c>
      <c r="G21" s="11"/>
      <c r="H21" s="26">
        <f t="shared" si="0"/>
        <v>172092.64</v>
      </c>
      <c r="I21" s="26">
        <f t="shared" si="3"/>
        <v>10480.139999999998</v>
      </c>
      <c r="J21" s="26">
        <f t="shared" si="4"/>
        <v>7907.36</v>
      </c>
    </row>
    <row r="22" spans="2:10" ht="15" customHeight="1" x14ac:dyDescent="0.25">
      <c r="B22" s="27">
        <v>20</v>
      </c>
      <c r="C22" s="28">
        <f t="shared" si="1"/>
        <v>46235</v>
      </c>
      <c r="D22" s="29">
        <f t="shared" si="2"/>
        <v>172092.64</v>
      </c>
      <c r="E22" s="29">
        <f>IF(D22&gt;0.01,ROUND(D22*Kreditrechner!$C$6/12,2),0)</f>
        <v>537.79</v>
      </c>
      <c r="F22" s="29">
        <f>IF(D22&gt;0.01,ROUND(MIN(Kreditrechner!$C$11-E22,D22),2),0)</f>
        <v>324.70999999999998</v>
      </c>
      <c r="G22" s="11"/>
      <c r="H22" s="29">
        <f t="shared" si="0"/>
        <v>171767.93</v>
      </c>
      <c r="I22" s="29">
        <f t="shared" si="3"/>
        <v>11017.929999999997</v>
      </c>
      <c r="J22" s="29">
        <f t="shared" si="4"/>
        <v>8232.07</v>
      </c>
    </row>
    <row r="23" spans="2:10" ht="15" customHeight="1" x14ac:dyDescent="0.25">
      <c r="B23" s="24">
        <v>21</v>
      </c>
      <c r="C23" s="25">
        <f t="shared" si="1"/>
        <v>46266</v>
      </c>
      <c r="D23" s="26">
        <f t="shared" si="2"/>
        <v>171767.93</v>
      </c>
      <c r="E23" s="26">
        <f>IF(D23&gt;0.01,ROUND(D23*Kreditrechner!$C$6/12,2),0)</f>
        <v>536.77</v>
      </c>
      <c r="F23" s="26">
        <f>IF(D23&gt;0.01,ROUND(MIN(Kreditrechner!$C$11-E23,D23),2),0)</f>
        <v>325.73</v>
      </c>
      <c r="G23" s="11"/>
      <c r="H23" s="26">
        <f t="shared" si="0"/>
        <v>171442.2</v>
      </c>
      <c r="I23" s="26">
        <f t="shared" si="3"/>
        <v>11554.699999999997</v>
      </c>
      <c r="J23" s="26">
        <f t="shared" si="4"/>
        <v>8557.7999999999993</v>
      </c>
    </row>
    <row r="24" spans="2:10" ht="15" customHeight="1" x14ac:dyDescent="0.25">
      <c r="B24" s="27">
        <v>22</v>
      </c>
      <c r="C24" s="28">
        <f t="shared" si="1"/>
        <v>46296</v>
      </c>
      <c r="D24" s="29">
        <f t="shared" si="2"/>
        <v>171442.2</v>
      </c>
      <c r="E24" s="29">
        <f>IF(D24&gt;0.01,ROUND(D24*Kreditrechner!$C$6/12,2),0)</f>
        <v>535.76</v>
      </c>
      <c r="F24" s="29">
        <f>IF(D24&gt;0.01,ROUND(MIN(Kreditrechner!$C$11-E24,D24),2),0)</f>
        <v>326.74</v>
      </c>
      <c r="G24" s="11"/>
      <c r="H24" s="29">
        <f t="shared" si="0"/>
        <v>171115.46</v>
      </c>
      <c r="I24" s="29">
        <f t="shared" si="3"/>
        <v>12090.459999999997</v>
      </c>
      <c r="J24" s="29">
        <f t="shared" si="4"/>
        <v>8884.5399999999991</v>
      </c>
    </row>
    <row r="25" spans="2:10" ht="15" customHeight="1" x14ac:dyDescent="0.25">
      <c r="B25" s="24">
        <v>23</v>
      </c>
      <c r="C25" s="25">
        <f t="shared" si="1"/>
        <v>46327</v>
      </c>
      <c r="D25" s="26">
        <f t="shared" si="2"/>
        <v>171115.46</v>
      </c>
      <c r="E25" s="26">
        <f>IF(D25&gt;0.01,ROUND(D25*Kreditrechner!$C$6/12,2),0)</f>
        <v>534.74</v>
      </c>
      <c r="F25" s="26">
        <f>IF(D25&gt;0.01,ROUND(MIN(Kreditrechner!$C$11-E25,D25),2),0)</f>
        <v>327.76</v>
      </c>
      <c r="G25" s="11"/>
      <c r="H25" s="26">
        <f t="shared" si="0"/>
        <v>170787.7</v>
      </c>
      <c r="I25" s="26">
        <f t="shared" si="3"/>
        <v>12625.199999999997</v>
      </c>
      <c r="J25" s="26">
        <f t="shared" si="4"/>
        <v>9212.2999999999993</v>
      </c>
    </row>
    <row r="26" spans="2:10" ht="15" customHeight="1" x14ac:dyDescent="0.25">
      <c r="B26" s="27">
        <v>24</v>
      </c>
      <c r="C26" s="28">
        <f t="shared" si="1"/>
        <v>46357</v>
      </c>
      <c r="D26" s="29">
        <f t="shared" si="2"/>
        <v>170787.7</v>
      </c>
      <c r="E26" s="29">
        <f>IF(D26&gt;0.01,ROUND(D26*Kreditrechner!$C$6/12,2),0)</f>
        <v>533.71</v>
      </c>
      <c r="F26" s="29">
        <f>IF(D26&gt;0.01,ROUND(MIN(Kreditrechner!$C$11-E26,D26),2),0)</f>
        <v>328.79</v>
      </c>
      <c r="G26" s="11">
        <v>3000</v>
      </c>
      <c r="H26" s="29">
        <f t="shared" si="0"/>
        <v>167458.91</v>
      </c>
      <c r="I26" s="29">
        <f t="shared" si="3"/>
        <v>13158.909999999996</v>
      </c>
      <c r="J26" s="29">
        <f t="shared" si="4"/>
        <v>12541.09</v>
      </c>
    </row>
    <row r="27" spans="2:10" ht="15" customHeight="1" x14ac:dyDescent="0.25">
      <c r="B27" s="24">
        <v>25</v>
      </c>
      <c r="C27" s="25">
        <f t="shared" si="1"/>
        <v>46388</v>
      </c>
      <c r="D27" s="26">
        <f t="shared" si="2"/>
        <v>167458.91</v>
      </c>
      <c r="E27" s="26">
        <f>IF(D27&gt;0.01,ROUND(D27*Kreditrechner!$C$6/12,2),0)</f>
        <v>523.30999999999995</v>
      </c>
      <c r="F27" s="26">
        <f>IF(D27&gt;0.01,ROUND(MIN(Kreditrechner!$C$11-E27,D27),2),0)</f>
        <v>339.19</v>
      </c>
      <c r="G27" s="11"/>
      <c r="H27" s="26">
        <f t="shared" si="0"/>
        <v>167119.72</v>
      </c>
      <c r="I27" s="26">
        <f t="shared" si="3"/>
        <v>13682.219999999996</v>
      </c>
      <c r="J27" s="26">
        <f t="shared" si="4"/>
        <v>12880.28</v>
      </c>
    </row>
    <row r="28" spans="2:10" ht="15" customHeight="1" x14ac:dyDescent="0.25">
      <c r="B28" s="27">
        <v>26</v>
      </c>
      <c r="C28" s="28">
        <f t="shared" si="1"/>
        <v>46419</v>
      </c>
      <c r="D28" s="29">
        <f t="shared" si="2"/>
        <v>167119.72</v>
      </c>
      <c r="E28" s="29">
        <f>IF(D28&gt;0.01,ROUND(D28*Kreditrechner!$C$6/12,2),0)</f>
        <v>522.25</v>
      </c>
      <c r="F28" s="29">
        <f>IF(D28&gt;0.01,ROUND(MIN(Kreditrechner!$C$11-E28,D28),2),0)</f>
        <v>340.25</v>
      </c>
      <c r="G28" s="11"/>
      <c r="H28" s="29">
        <f t="shared" si="0"/>
        <v>166779.47</v>
      </c>
      <c r="I28" s="29">
        <f t="shared" si="3"/>
        <v>14204.469999999996</v>
      </c>
      <c r="J28" s="29">
        <f t="shared" si="4"/>
        <v>13220.53</v>
      </c>
    </row>
    <row r="29" spans="2:10" ht="15" customHeight="1" x14ac:dyDescent="0.25">
      <c r="B29" s="24">
        <v>27</v>
      </c>
      <c r="C29" s="25">
        <f t="shared" si="1"/>
        <v>46447</v>
      </c>
      <c r="D29" s="26">
        <f t="shared" si="2"/>
        <v>166779.47</v>
      </c>
      <c r="E29" s="26">
        <f>IF(D29&gt;0.01,ROUND(D29*Kreditrechner!$C$6/12,2),0)</f>
        <v>521.19000000000005</v>
      </c>
      <c r="F29" s="26">
        <f>IF(D29&gt;0.01,ROUND(MIN(Kreditrechner!$C$11-E29,D29),2),0)</f>
        <v>341.31</v>
      </c>
      <c r="G29" s="11"/>
      <c r="H29" s="26">
        <f t="shared" si="0"/>
        <v>166438.16</v>
      </c>
      <c r="I29" s="26">
        <f t="shared" si="3"/>
        <v>14725.659999999996</v>
      </c>
      <c r="J29" s="26">
        <f t="shared" si="4"/>
        <v>13561.84</v>
      </c>
    </row>
    <row r="30" spans="2:10" ht="15" customHeight="1" x14ac:dyDescent="0.25">
      <c r="B30" s="27">
        <v>28</v>
      </c>
      <c r="C30" s="28">
        <f t="shared" si="1"/>
        <v>46478</v>
      </c>
      <c r="D30" s="29">
        <f t="shared" si="2"/>
        <v>166438.16</v>
      </c>
      <c r="E30" s="29">
        <f>IF(D30&gt;0.01,ROUND(D30*Kreditrechner!$C$6/12,2),0)</f>
        <v>520.12</v>
      </c>
      <c r="F30" s="29">
        <f>IF(D30&gt;0.01,ROUND(MIN(Kreditrechner!$C$11-E30,D30),2),0)</f>
        <v>342.38</v>
      </c>
      <c r="G30" s="11"/>
      <c r="H30" s="29">
        <f t="shared" si="0"/>
        <v>166095.78</v>
      </c>
      <c r="I30" s="29">
        <f t="shared" si="3"/>
        <v>15245.779999999997</v>
      </c>
      <c r="J30" s="29">
        <f t="shared" si="4"/>
        <v>13904.22</v>
      </c>
    </row>
    <row r="31" spans="2:10" ht="15" customHeight="1" x14ac:dyDescent="0.25">
      <c r="B31" s="24">
        <v>29</v>
      </c>
      <c r="C31" s="25">
        <f t="shared" si="1"/>
        <v>46508</v>
      </c>
      <c r="D31" s="26">
        <f t="shared" si="2"/>
        <v>166095.78</v>
      </c>
      <c r="E31" s="26">
        <f>IF(D31&gt;0.01,ROUND(D31*Kreditrechner!$C$6/12,2),0)</f>
        <v>519.04999999999995</v>
      </c>
      <c r="F31" s="26">
        <f>IF(D31&gt;0.01,ROUND(MIN(Kreditrechner!$C$11-E31,D31),2),0)</f>
        <v>343.45</v>
      </c>
      <c r="G31" s="11"/>
      <c r="H31" s="26">
        <f t="shared" si="0"/>
        <v>165752.32999999999</v>
      </c>
      <c r="I31" s="26">
        <f t="shared" si="3"/>
        <v>15764.829999999996</v>
      </c>
      <c r="J31" s="26">
        <f t="shared" si="4"/>
        <v>14247.67</v>
      </c>
    </row>
    <row r="32" spans="2:10" ht="15" customHeight="1" x14ac:dyDescent="0.25">
      <c r="B32" s="27">
        <v>30</v>
      </c>
      <c r="C32" s="28">
        <f t="shared" si="1"/>
        <v>46539</v>
      </c>
      <c r="D32" s="29">
        <f t="shared" si="2"/>
        <v>165752.32999999999</v>
      </c>
      <c r="E32" s="29">
        <f>IF(D32&gt;0.01,ROUND(D32*Kreditrechner!$C$6/12,2),0)</f>
        <v>517.98</v>
      </c>
      <c r="F32" s="29">
        <f>IF(D32&gt;0.01,ROUND(MIN(Kreditrechner!$C$11-E32,D32),2),0)</f>
        <v>344.52</v>
      </c>
      <c r="G32" s="11"/>
      <c r="H32" s="29">
        <f t="shared" si="0"/>
        <v>165407.81</v>
      </c>
      <c r="I32" s="29">
        <f t="shared" si="3"/>
        <v>16282.809999999996</v>
      </c>
      <c r="J32" s="29">
        <f t="shared" si="4"/>
        <v>14592.19</v>
      </c>
    </row>
    <row r="33" spans="2:10" ht="15" customHeight="1" x14ac:dyDescent="0.25">
      <c r="B33" s="24">
        <v>31</v>
      </c>
      <c r="C33" s="25">
        <f t="shared" si="1"/>
        <v>46569</v>
      </c>
      <c r="D33" s="26">
        <f t="shared" si="2"/>
        <v>165407.81</v>
      </c>
      <c r="E33" s="26">
        <f>IF(D33&gt;0.01,ROUND(D33*Kreditrechner!$C$6/12,2),0)</f>
        <v>516.9</v>
      </c>
      <c r="F33" s="26">
        <f>IF(D33&gt;0.01,ROUND(MIN(Kreditrechner!$C$11-E33,D33),2),0)</f>
        <v>345.6</v>
      </c>
      <c r="G33" s="11"/>
      <c r="H33" s="26">
        <f t="shared" si="0"/>
        <v>165062.21</v>
      </c>
      <c r="I33" s="26">
        <f t="shared" si="3"/>
        <v>16799.709999999995</v>
      </c>
      <c r="J33" s="26">
        <f t="shared" si="4"/>
        <v>14937.79</v>
      </c>
    </row>
    <row r="34" spans="2:10" ht="15" customHeight="1" x14ac:dyDescent="0.25">
      <c r="B34" s="27">
        <v>32</v>
      </c>
      <c r="C34" s="28">
        <f t="shared" si="1"/>
        <v>46600</v>
      </c>
      <c r="D34" s="29">
        <f t="shared" si="2"/>
        <v>165062.21</v>
      </c>
      <c r="E34" s="29">
        <f>IF(D34&gt;0.01,ROUND(D34*Kreditrechner!$C$6/12,2),0)</f>
        <v>515.82000000000005</v>
      </c>
      <c r="F34" s="29">
        <f>IF(D34&gt;0.01,ROUND(MIN(Kreditrechner!$C$11-E34,D34),2),0)</f>
        <v>346.68</v>
      </c>
      <c r="G34" s="11"/>
      <c r="H34" s="29">
        <f t="shared" si="0"/>
        <v>164715.53</v>
      </c>
      <c r="I34" s="29">
        <f t="shared" si="3"/>
        <v>17315.529999999995</v>
      </c>
      <c r="J34" s="29">
        <f t="shared" si="4"/>
        <v>15284.470000000001</v>
      </c>
    </row>
    <row r="35" spans="2:10" ht="15" customHeight="1" x14ac:dyDescent="0.25">
      <c r="B35" s="24">
        <v>33</v>
      </c>
      <c r="C35" s="25">
        <f t="shared" si="1"/>
        <v>46631</v>
      </c>
      <c r="D35" s="26">
        <f t="shared" si="2"/>
        <v>164715.53</v>
      </c>
      <c r="E35" s="26">
        <f>IF(D35&gt;0.01,ROUND(D35*Kreditrechner!$C$6/12,2),0)</f>
        <v>514.74</v>
      </c>
      <c r="F35" s="26">
        <f>IF(D35&gt;0.01,ROUND(MIN(Kreditrechner!$C$11-E35,D35),2),0)</f>
        <v>347.76</v>
      </c>
      <c r="G35" s="11"/>
      <c r="H35" s="26">
        <f t="shared" si="0"/>
        <v>164367.76999999999</v>
      </c>
      <c r="I35" s="26">
        <f t="shared" si="3"/>
        <v>17830.269999999997</v>
      </c>
      <c r="J35" s="26">
        <f t="shared" si="4"/>
        <v>15632.230000000001</v>
      </c>
    </row>
    <row r="36" spans="2:10" ht="15" customHeight="1" x14ac:dyDescent="0.25">
      <c r="B36" s="27">
        <v>34</v>
      </c>
      <c r="C36" s="28">
        <f t="shared" si="1"/>
        <v>46661</v>
      </c>
      <c r="D36" s="29">
        <f t="shared" si="2"/>
        <v>164367.76999999999</v>
      </c>
      <c r="E36" s="29">
        <f>IF(D36&gt;0.01,ROUND(D36*Kreditrechner!$C$6/12,2),0)</f>
        <v>513.65</v>
      </c>
      <c r="F36" s="29">
        <f>IF(D36&gt;0.01,ROUND(MIN(Kreditrechner!$C$11-E36,D36),2),0)</f>
        <v>348.85</v>
      </c>
      <c r="G36" s="11"/>
      <c r="H36" s="29">
        <f t="shared" si="0"/>
        <v>164018.92000000001</v>
      </c>
      <c r="I36" s="29">
        <f t="shared" si="3"/>
        <v>18343.919999999998</v>
      </c>
      <c r="J36" s="29">
        <f t="shared" si="4"/>
        <v>15981.080000000002</v>
      </c>
    </row>
    <row r="37" spans="2:10" ht="15" customHeight="1" x14ac:dyDescent="0.25">
      <c r="B37" s="24">
        <v>35</v>
      </c>
      <c r="C37" s="25">
        <f t="shared" si="1"/>
        <v>46692</v>
      </c>
      <c r="D37" s="26">
        <f t="shared" si="2"/>
        <v>164018.92000000001</v>
      </c>
      <c r="E37" s="26">
        <f>IF(D37&gt;0.01,ROUND(D37*Kreditrechner!$C$6/12,2),0)</f>
        <v>512.55999999999995</v>
      </c>
      <c r="F37" s="26">
        <f>IF(D37&gt;0.01,ROUND(MIN(Kreditrechner!$C$11-E37,D37),2),0)</f>
        <v>349.94</v>
      </c>
      <c r="G37" s="11"/>
      <c r="H37" s="26">
        <f t="shared" si="0"/>
        <v>163668.98000000001</v>
      </c>
      <c r="I37" s="26">
        <f t="shared" si="3"/>
        <v>18856.48</v>
      </c>
      <c r="J37" s="26">
        <f t="shared" si="4"/>
        <v>16331.020000000002</v>
      </c>
    </row>
    <row r="38" spans="2:10" ht="15" customHeight="1" x14ac:dyDescent="0.25">
      <c r="B38" s="27">
        <v>36</v>
      </c>
      <c r="C38" s="28">
        <f t="shared" si="1"/>
        <v>46722</v>
      </c>
      <c r="D38" s="29">
        <f t="shared" si="2"/>
        <v>163668.98000000001</v>
      </c>
      <c r="E38" s="29">
        <f>IF(D38&gt;0.01,ROUND(D38*Kreditrechner!$C$6/12,2),0)</f>
        <v>511.47</v>
      </c>
      <c r="F38" s="29">
        <f>IF(D38&gt;0.01,ROUND(MIN(Kreditrechner!$C$11-E38,D38),2),0)</f>
        <v>351.03</v>
      </c>
      <c r="G38" s="11"/>
      <c r="H38" s="29">
        <f t="shared" si="0"/>
        <v>163317.95000000001</v>
      </c>
      <c r="I38" s="29">
        <f t="shared" si="3"/>
        <v>19367.95</v>
      </c>
      <c r="J38" s="29">
        <f t="shared" si="4"/>
        <v>16682.050000000003</v>
      </c>
    </row>
    <row r="39" spans="2:10" ht="15" customHeight="1" x14ac:dyDescent="0.25">
      <c r="B39" s="24">
        <v>37</v>
      </c>
      <c r="C39" s="25">
        <f t="shared" si="1"/>
        <v>46753</v>
      </c>
      <c r="D39" s="26">
        <f t="shared" si="2"/>
        <v>163317.95000000001</v>
      </c>
      <c r="E39" s="26">
        <f>IF(D39&gt;0.01,ROUND(D39*Kreditrechner!$C$6/12,2),0)</f>
        <v>510.37</v>
      </c>
      <c r="F39" s="26">
        <f>IF(D39&gt;0.01,ROUND(MIN(Kreditrechner!$C$11-E39,D39),2),0)</f>
        <v>352.13</v>
      </c>
      <c r="G39" s="11"/>
      <c r="H39" s="26">
        <f t="shared" si="0"/>
        <v>162965.82</v>
      </c>
      <c r="I39" s="26">
        <f t="shared" si="3"/>
        <v>19878.32</v>
      </c>
      <c r="J39" s="26">
        <f t="shared" si="4"/>
        <v>17034.180000000004</v>
      </c>
    </row>
    <row r="40" spans="2:10" ht="15" customHeight="1" x14ac:dyDescent="0.25">
      <c r="B40" s="27">
        <v>38</v>
      </c>
      <c r="C40" s="28">
        <f t="shared" si="1"/>
        <v>46784</v>
      </c>
      <c r="D40" s="29">
        <f t="shared" si="2"/>
        <v>162965.82</v>
      </c>
      <c r="E40" s="29">
        <f>IF(D40&gt;0.01,ROUND(D40*Kreditrechner!$C$6/12,2),0)</f>
        <v>509.27</v>
      </c>
      <c r="F40" s="29">
        <f>IF(D40&gt;0.01,ROUND(MIN(Kreditrechner!$C$11-E40,D40),2),0)</f>
        <v>353.23</v>
      </c>
      <c r="G40" s="11"/>
      <c r="H40" s="29">
        <f t="shared" si="0"/>
        <v>162612.59</v>
      </c>
      <c r="I40" s="29">
        <f t="shared" si="3"/>
        <v>20387.59</v>
      </c>
      <c r="J40" s="29">
        <f t="shared" si="4"/>
        <v>17387.410000000003</v>
      </c>
    </row>
    <row r="41" spans="2:10" ht="15" customHeight="1" x14ac:dyDescent="0.25">
      <c r="B41" s="24">
        <v>39</v>
      </c>
      <c r="C41" s="25">
        <f t="shared" si="1"/>
        <v>46813</v>
      </c>
      <c r="D41" s="26">
        <f t="shared" si="2"/>
        <v>162612.59</v>
      </c>
      <c r="E41" s="26">
        <f>IF(D41&gt;0.01,ROUND(D41*Kreditrechner!$C$6/12,2),0)</f>
        <v>508.16</v>
      </c>
      <c r="F41" s="26">
        <f>IF(D41&gt;0.01,ROUND(MIN(Kreditrechner!$C$11-E41,D41),2),0)</f>
        <v>354.34</v>
      </c>
      <c r="G41" s="11"/>
      <c r="H41" s="26">
        <f t="shared" si="0"/>
        <v>162258.25</v>
      </c>
      <c r="I41" s="26">
        <f t="shared" si="3"/>
        <v>20895.75</v>
      </c>
      <c r="J41" s="26">
        <f t="shared" si="4"/>
        <v>17741.750000000004</v>
      </c>
    </row>
    <row r="42" spans="2:10" ht="15" customHeight="1" x14ac:dyDescent="0.25">
      <c r="B42" s="27">
        <v>40</v>
      </c>
      <c r="C42" s="28">
        <f t="shared" si="1"/>
        <v>46844</v>
      </c>
      <c r="D42" s="29">
        <f t="shared" si="2"/>
        <v>162258.25</v>
      </c>
      <c r="E42" s="29">
        <f>IF(D42&gt;0.01,ROUND(D42*Kreditrechner!$C$6/12,2),0)</f>
        <v>507.06</v>
      </c>
      <c r="F42" s="29">
        <f>IF(D42&gt;0.01,ROUND(MIN(Kreditrechner!$C$11-E42,D42),2),0)</f>
        <v>355.44</v>
      </c>
      <c r="G42" s="11"/>
      <c r="H42" s="29">
        <f t="shared" si="0"/>
        <v>161902.81</v>
      </c>
      <c r="I42" s="29">
        <f t="shared" si="3"/>
        <v>21402.81</v>
      </c>
      <c r="J42" s="29">
        <f t="shared" si="4"/>
        <v>18097.190000000002</v>
      </c>
    </row>
    <row r="43" spans="2:10" ht="15" customHeight="1" x14ac:dyDescent="0.25">
      <c r="B43" s="24">
        <v>41</v>
      </c>
      <c r="C43" s="25">
        <f t="shared" si="1"/>
        <v>46874</v>
      </c>
      <c r="D43" s="26">
        <f t="shared" si="2"/>
        <v>161902.81</v>
      </c>
      <c r="E43" s="26">
        <f>IF(D43&gt;0.01,ROUND(D43*Kreditrechner!$C$6/12,2),0)</f>
        <v>505.95</v>
      </c>
      <c r="F43" s="26">
        <f>IF(D43&gt;0.01,ROUND(MIN(Kreditrechner!$C$11-E43,D43),2),0)</f>
        <v>356.55</v>
      </c>
      <c r="G43" s="11"/>
      <c r="H43" s="26">
        <f t="shared" si="0"/>
        <v>161546.26</v>
      </c>
      <c r="I43" s="26">
        <f t="shared" si="3"/>
        <v>21908.760000000002</v>
      </c>
      <c r="J43" s="26">
        <f t="shared" si="4"/>
        <v>18453.740000000002</v>
      </c>
    </row>
    <row r="44" spans="2:10" ht="15" customHeight="1" x14ac:dyDescent="0.25">
      <c r="B44" s="27">
        <v>42</v>
      </c>
      <c r="C44" s="28">
        <f t="shared" si="1"/>
        <v>46905</v>
      </c>
      <c r="D44" s="29">
        <f t="shared" si="2"/>
        <v>161546.26</v>
      </c>
      <c r="E44" s="29">
        <f>IF(D44&gt;0.01,ROUND(D44*Kreditrechner!$C$6/12,2),0)</f>
        <v>504.83</v>
      </c>
      <c r="F44" s="29">
        <f>IF(D44&gt;0.01,ROUND(MIN(Kreditrechner!$C$11-E44,D44),2),0)</f>
        <v>357.67</v>
      </c>
      <c r="G44" s="11"/>
      <c r="H44" s="29">
        <f t="shared" si="0"/>
        <v>161188.59</v>
      </c>
      <c r="I44" s="29">
        <f t="shared" si="3"/>
        <v>22413.590000000004</v>
      </c>
      <c r="J44" s="29">
        <f t="shared" si="4"/>
        <v>18811.41</v>
      </c>
    </row>
    <row r="45" spans="2:10" ht="15" customHeight="1" x14ac:dyDescent="0.25">
      <c r="B45" s="24">
        <v>43</v>
      </c>
      <c r="C45" s="25">
        <f t="shared" si="1"/>
        <v>46935</v>
      </c>
      <c r="D45" s="26">
        <f t="shared" si="2"/>
        <v>161188.59</v>
      </c>
      <c r="E45" s="26">
        <f>IF(D45&gt;0.01,ROUND(D45*Kreditrechner!$C$6/12,2),0)</f>
        <v>503.71</v>
      </c>
      <c r="F45" s="26">
        <f>IF(D45&gt;0.01,ROUND(MIN(Kreditrechner!$C$11-E45,D45),2),0)</f>
        <v>358.79</v>
      </c>
      <c r="G45" s="11"/>
      <c r="H45" s="26">
        <f t="shared" si="0"/>
        <v>160829.79999999999</v>
      </c>
      <c r="I45" s="26">
        <f t="shared" si="3"/>
        <v>22917.300000000003</v>
      </c>
      <c r="J45" s="26">
        <f t="shared" si="4"/>
        <v>19170.2</v>
      </c>
    </row>
    <row r="46" spans="2:10" ht="15" customHeight="1" x14ac:dyDescent="0.25">
      <c r="B46" s="27">
        <v>44</v>
      </c>
      <c r="C46" s="28">
        <f t="shared" si="1"/>
        <v>46966</v>
      </c>
      <c r="D46" s="29">
        <f t="shared" si="2"/>
        <v>160829.79999999999</v>
      </c>
      <c r="E46" s="29">
        <f>IF(D46&gt;0.01,ROUND(D46*Kreditrechner!$C$6/12,2),0)</f>
        <v>502.59</v>
      </c>
      <c r="F46" s="29">
        <f>IF(D46&gt;0.01,ROUND(MIN(Kreditrechner!$C$11-E46,D46),2),0)</f>
        <v>359.91</v>
      </c>
      <c r="G46" s="11"/>
      <c r="H46" s="29">
        <f t="shared" si="0"/>
        <v>160469.89000000001</v>
      </c>
      <c r="I46" s="29">
        <f t="shared" si="3"/>
        <v>23419.890000000003</v>
      </c>
      <c r="J46" s="29">
        <f t="shared" si="4"/>
        <v>19530.11</v>
      </c>
    </row>
    <row r="47" spans="2:10" ht="15" customHeight="1" x14ac:dyDescent="0.25">
      <c r="B47" s="24">
        <v>45</v>
      </c>
      <c r="C47" s="25">
        <f t="shared" si="1"/>
        <v>46997</v>
      </c>
      <c r="D47" s="26">
        <f t="shared" si="2"/>
        <v>160469.89000000001</v>
      </c>
      <c r="E47" s="26">
        <f>IF(D47&gt;0.01,ROUND(D47*Kreditrechner!$C$6/12,2),0)</f>
        <v>501.47</v>
      </c>
      <c r="F47" s="26">
        <f>IF(D47&gt;0.01,ROUND(MIN(Kreditrechner!$C$11-E47,D47),2),0)</f>
        <v>361.03</v>
      </c>
      <c r="G47" s="11"/>
      <c r="H47" s="26">
        <f t="shared" si="0"/>
        <v>160108.85999999999</v>
      </c>
      <c r="I47" s="26">
        <f t="shared" si="3"/>
        <v>23921.360000000004</v>
      </c>
      <c r="J47" s="26">
        <f t="shared" si="4"/>
        <v>19891.14</v>
      </c>
    </row>
    <row r="48" spans="2:10" ht="15" customHeight="1" x14ac:dyDescent="0.25">
      <c r="B48" s="27">
        <v>46</v>
      </c>
      <c r="C48" s="28">
        <f t="shared" si="1"/>
        <v>47027</v>
      </c>
      <c r="D48" s="29">
        <f t="shared" si="2"/>
        <v>160108.85999999999</v>
      </c>
      <c r="E48" s="29">
        <f>IF(D48&gt;0.01,ROUND(D48*Kreditrechner!$C$6/12,2),0)</f>
        <v>500.34</v>
      </c>
      <c r="F48" s="29">
        <f>IF(D48&gt;0.01,ROUND(MIN(Kreditrechner!$C$11-E48,D48),2),0)</f>
        <v>362.16</v>
      </c>
      <c r="G48" s="11"/>
      <c r="H48" s="29">
        <f t="shared" si="0"/>
        <v>159746.70000000001</v>
      </c>
      <c r="I48" s="29">
        <f t="shared" si="3"/>
        <v>24421.700000000004</v>
      </c>
      <c r="J48" s="29">
        <f t="shared" si="4"/>
        <v>20253.3</v>
      </c>
    </row>
    <row r="49" spans="2:10" ht="15" customHeight="1" x14ac:dyDescent="0.25">
      <c r="B49" s="24">
        <v>47</v>
      </c>
      <c r="C49" s="25">
        <f t="shared" si="1"/>
        <v>47058</v>
      </c>
      <c r="D49" s="26">
        <f t="shared" si="2"/>
        <v>159746.70000000001</v>
      </c>
      <c r="E49" s="26">
        <f>IF(D49&gt;0.01,ROUND(D49*Kreditrechner!$C$6/12,2),0)</f>
        <v>499.21</v>
      </c>
      <c r="F49" s="26">
        <f>IF(D49&gt;0.01,ROUND(MIN(Kreditrechner!$C$11-E49,D49),2),0)</f>
        <v>363.29</v>
      </c>
      <c r="G49" s="11"/>
      <c r="H49" s="26">
        <f t="shared" si="0"/>
        <v>159383.41</v>
      </c>
      <c r="I49" s="26">
        <f t="shared" si="3"/>
        <v>24920.910000000003</v>
      </c>
      <c r="J49" s="26">
        <f t="shared" si="4"/>
        <v>20616.59</v>
      </c>
    </row>
    <row r="50" spans="2:10" ht="15" customHeight="1" x14ac:dyDescent="0.25">
      <c r="B50" s="27">
        <v>48</v>
      </c>
      <c r="C50" s="28">
        <f t="shared" si="1"/>
        <v>47088</v>
      </c>
      <c r="D50" s="29">
        <f t="shared" si="2"/>
        <v>159383.41</v>
      </c>
      <c r="E50" s="29">
        <f>IF(D50&gt;0.01,ROUND(D50*Kreditrechner!$C$6/12,2),0)</f>
        <v>498.07</v>
      </c>
      <c r="F50" s="29">
        <f>IF(D50&gt;0.01,ROUND(MIN(Kreditrechner!$C$11-E50,D50),2),0)</f>
        <v>364.43</v>
      </c>
      <c r="G50" s="11">
        <v>3000</v>
      </c>
      <c r="H50" s="29">
        <f t="shared" si="0"/>
        <v>156018.98000000001</v>
      </c>
      <c r="I50" s="29">
        <f t="shared" si="3"/>
        <v>25418.980000000003</v>
      </c>
      <c r="J50" s="29">
        <f t="shared" si="4"/>
        <v>23981.02</v>
      </c>
    </row>
    <row r="51" spans="2:10" ht="15" customHeight="1" x14ac:dyDescent="0.25">
      <c r="B51" s="24">
        <v>49</v>
      </c>
      <c r="C51" s="25">
        <f t="shared" si="1"/>
        <v>47119</v>
      </c>
      <c r="D51" s="26">
        <f t="shared" si="2"/>
        <v>156018.98000000001</v>
      </c>
      <c r="E51" s="26">
        <f>IF(D51&gt;0.01,ROUND(D51*Kreditrechner!$C$6/12,2),0)</f>
        <v>487.56</v>
      </c>
      <c r="F51" s="26">
        <f>IF(D51&gt;0.01,ROUND(MIN(Kreditrechner!$C$11-E51,D51),2),0)</f>
        <v>374.94</v>
      </c>
      <c r="G51" s="11"/>
      <c r="H51" s="26">
        <f t="shared" si="0"/>
        <v>155644.04</v>
      </c>
      <c r="I51" s="26">
        <f t="shared" si="3"/>
        <v>25906.540000000005</v>
      </c>
      <c r="J51" s="26">
        <f t="shared" si="4"/>
        <v>24355.96</v>
      </c>
    </row>
    <row r="52" spans="2:10" ht="15" customHeight="1" x14ac:dyDescent="0.25">
      <c r="B52" s="27">
        <v>50</v>
      </c>
      <c r="C52" s="28">
        <f t="shared" si="1"/>
        <v>47150</v>
      </c>
      <c r="D52" s="29">
        <f t="shared" si="2"/>
        <v>155644.04</v>
      </c>
      <c r="E52" s="29">
        <f>IF(D52&gt;0.01,ROUND(D52*Kreditrechner!$C$6/12,2),0)</f>
        <v>486.39</v>
      </c>
      <c r="F52" s="29">
        <f>IF(D52&gt;0.01,ROUND(MIN(Kreditrechner!$C$11-E52,D52),2),0)</f>
        <v>376.11</v>
      </c>
      <c r="G52" s="11"/>
      <c r="H52" s="29">
        <f t="shared" si="0"/>
        <v>155267.93</v>
      </c>
      <c r="I52" s="29">
        <f t="shared" si="3"/>
        <v>26392.930000000004</v>
      </c>
      <c r="J52" s="29">
        <f t="shared" si="4"/>
        <v>24732.07</v>
      </c>
    </row>
    <row r="53" spans="2:10" ht="15" customHeight="1" x14ac:dyDescent="0.25">
      <c r="B53" s="24">
        <v>51</v>
      </c>
      <c r="C53" s="25">
        <f t="shared" si="1"/>
        <v>47178</v>
      </c>
      <c r="D53" s="26">
        <f t="shared" si="2"/>
        <v>155267.93</v>
      </c>
      <c r="E53" s="26">
        <f>IF(D53&gt;0.01,ROUND(D53*Kreditrechner!$C$6/12,2),0)</f>
        <v>485.21</v>
      </c>
      <c r="F53" s="26">
        <f>IF(D53&gt;0.01,ROUND(MIN(Kreditrechner!$C$11-E53,D53),2),0)</f>
        <v>377.29</v>
      </c>
      <c r="G53" s="11"/>
      <c r="H53" s="26">
        <f t="shared" si="0"/>
        <v>154890.64000000001</v>
      </c>
      <c r="I53" s="26">
        <f t="shared" si="3"/>
        <v>26878.140000000003</v>
      </c>
      <c r="J53" s="26">
        <f t="shared" si="4"/>
        <v>25109.360000000001</v>
      </c>
    </row>
    <row r="54" spans="2:10" ht="15" customHeight="1" x14ac:dyDescent="0.25">
      <c r="B54" s="27">
        <v>52</v>
      </c>
      <c r="C54" s="28">
        <f t="shared" si="1"/>
        <v>47209</v>
      </c>
      <c r="D54" s="29">
        <f t="shared" si="2"/>
        <v>154890.64000000001</v>
      </c>
      <c r="E54" s="29">
        <f>IF(D54&gt;0.01,ROUND(D54*Kreditrechner!$C$6/12,2),0)</f>
        <v>484.03</v>
      </c>
      <c r="F54" s="29">
        <f>IF(D54&gt;0.01,ROUND(MIN(Kreditrechner!$C$11-E54,D54),2),0)</f>
        <v>378.47</v>
      </c>
      <c r="G54" s="11"/>
      <c r="H54" s="29">
        <f t="shared" si="0"/>
        <v>154512.17000000001</v>
      </c>
      <c r="I54" s="29">
        <f t="shared" si="3"/>
        <v>27362.170000000002</v>
      </c>
      <c r="J54" s="29">
        <f t="shared" si="4"/>
        <v>25487.83</v>
      </c>
    </row>
    <row r="55" spans="2:10" ht="15" customHeight="1" x14ac:dyDescent="0.25">
      <c r="B55" s="24">
        <v>53</v>
      </c>
      <c r="C55" s="25">
        <f t="shared" si="1"/>
        <v>47239</v>
      </c>
      <c r="D55" s="26">
        <f t="shared" si="2"/>
        <v>154512.17000000001</v>
      </c>
      <c r="E55" s="26">
        <f>IF(D55&gt;0.01,ROUND(D55*Kreditrechner!$C$6/12,2),0)</f>
        <v>482.85</v>
      </c>
      <c r="F55" s="26">
        <f>IF(D55&gt;0.01,ROUND(MIN(Kreditrechner!$C$11-E55,D55),2),0)</f>
        <v>379.65</v>
      </c>
      <c r="G55" s="11"/>
      <c r="H55" s="26">
        <f t="shared" si="0"/>
        <v>154132.51999999999</v>
      </c>
      <c r="I55" s="26">
        <f t="shared" si="3"/>
        <v>27845.02</v>
      </c>
      <c r="J55" s="26">
        <f t="shared" si="4"/>
        <v>25867.480000000003</v>
      </c>
    </row>
    <row r="56" spans="2:10" ht="15" customHeight="1" x14ac:dyDescent="0.25">
      <c r="B56" s="27">
        <v>54</v>
      </c>
      <c r="C56" s="28">
        <f t="shared" si="1"/>
        <v>47270</v>
      </c>
      <c r="D56" s="29">
        <f t="shared" si="2"/>
        <v>154132.51999999999</v>
      </c>
      <c r="E56" s="29">
        <f>IF(D56&gt;0.01,ROUND(D56*Kreditrechner!$C$6/12,2),0)</f>
        <v>481.66</v>
      </c>
      <c r="F56" s="29">
        <f>IF(D56&gt;0.01,ROUND(MIN(Kreditrechner!$C$11-E56,D56),2),0)</f>
        <v>380.84</v>
      </c>
      <c r="G56" s="11"/>
      <c r="H56" s="29">
        <f t="shared" si="0"/>
        <v>153751.67999999999</v>
      </c>
      <c r="I56" s="29">
        <f t="shared" si="3"/>
        <v>28326.68</v>
      </c>
      <c r="J56" s="29">
        <f t="shared" si="4"/>
        <v>26248.320000000003</v>
      </c>
    </row>
    <row r="57" spans="2:10" ht="15" customHeight="1" x14ac:dyDescent="0.25">
      <c r="B57" s="24">
        <v>55</v>
      </c>
      <c r="C57" s="25">
        <f t="shared" si="1"/>
        <v>47300</v>
      </c>
      <c r="D57" s="26">
        <f t="shared" si="2"/>
        <v>153751.67999999999</v>
      </c>
      <c r="E57" s="26">
        <f>IF(D57&gt;0.01,ROUND(D57*Kreditrechner!$C$6/12,2),0)</f>
        <v>480.47</v>
      </c>
      <c r="F57" s="26">
        <f>IF(D57&gt;0.01,ROUND(MIN(Kreditrechner!$C$11-E57,D57),2),0)</f>
        <v>382.03</v>
      </c>
      <c r="G57" s="11"/>
      <c r="H57" s="26">
        <f t="shared" si="0"/>
        <v>153369.65</v>
      </c>
      <c r="I57" s="26">
        <f t="shared" si="3"/>
        <v>28807.15</v>
      </c>
      <c r="J57" s="26">
        <f t="shared" si="4"/>
        <v>26630.350000000002</v>
      </c>
    </row>
    <row r="58" spans="2:10" ht="15" customHeight="1" x14ac:dyDescent="0.25">
      <c r="B58" s="27">
        <v>56</v>
      </c>
      <c r="C58" s="28">
        <f t="shared" si="1"/>
        <v>47331</v>
      </c>
      <c r="D58" s="29">
        <f t="shared" si="2"/>
        <v>153369.65</v>
      </c>
      <c r="E58" s="29">
        <f>IF(D58&gt;0.01,ROUND(D58*Kreditrechner!$C$6/12,2),0)</f>
        <v>479.28</v>
      </c>
      <c r="F58" s="29">
        <f>IF(D58&gt;0.01,ROUND(MIN(Kreditrechner!$C$11-E58,D58),2),0)</f>
        <v>383.22</v>
      </c>
      <c r="G58" s="11"/>
      <c r="H58" s="29">
        <f t="shared" si="0"/>
        <v>152986.43</v>
      </c>
      <c r="I58" s="29">
        <f t="shared" si="3"/>
        <v>29286.43</v>
      </c>
      <c r="J58" s="29">
        <f t="shared" si="4"/>
        <v>27013.570000000003</v>
      </c>
    </row>
    <row r="59" spans="2:10" ht="15" customHeight="1" x14ac:dyDescent="0.25">
      <c r="B59" s="24">
        <v>57</v>
      </c>
      <c r="C59" s="25">
        <f t="shared" si="1"/>
        <v>47362</v>
      </c>
      <c r="D59" s="26">
        <f t="shared" si="2"/>
        <v>152986.43</v>
      </c>
      <c r="E59" s="26">
        <f>IF(D59&gt;0.01,ROUND(D59*Kreditrechner!$C$6/12,2),0)</f>
        <v>478.08</v>
      </c>
      <c r="F59" s="26">
        <f>IF(D59&gt;0.01,ROUND(MIN(Kreditrechner!$C$11-E59,D59),2),0)</f>
        <v>384.42</v>
      </c>
      <c r="G59" s="11"/>
      <c r="H59" s="26">
        <f t="shared" si="0"/>
        <v>152602.01</v>
      </c>
      <c r="I59" s="26">
        <f t="shared" si="3"/>
        <v>29764.510000000002</v>
      </c>
      <c r="J59" s="26">
        <f t="shared" si="4"/>
        <v>27397.99</v>
      </c>
    </row>
    <row r="60" spans="2:10" ht="15" customHeight="1" x14ac:dyDescent="0.25">
      <c r="B60" s="27">
        <v>58</v>
      </c>
      <c r="C60" s="28">
        <f t="shared" si="1"/>
        <v>47392</v>
      </c>
      <c r="D60" s="29">
        <f t="shared" si="2"/>
        <v>152602.01</v>
      </c>
      <c r="E60" s="29">
        <f>IF(D60&gt;0.01,ROUND(D60*Kreditrechner!$C$6/12,2),0)</f>
        <v>476.88</v>
      </c>
      <c r="F60" s="29">
        <f>IF(D60&gt;0.01,ROUND(MIN(Kreditrechner!$C$11-E60,D60),2),0)</f>
        <v>385.62</v>
      </c>
      <c r="G60" s="11"/>
      <c r="H60" s="29">
        <f t="shared" si="0"/>
        <v>152216.39000000001</v>
      </c>
      <c r="I60" s="29">
        <f t="shared" si="3"/>
        <v>30241.390000000003</v>
      </c>
      <c r="J60" s="29">
        <f t="shared" si="4"/>
        <v>27783.61</v>
      </c>
    </row>
    <row r="61" spans="2:10" ht="15" customHeight="1" x14ac:dyDescent="0.25">
      <c r="B61" s="24">
        <v>59</v>
      </c>
      <c r="C61" s="25">
        <f t="shared" si="1"/>
        <v>47423</v>
      </c>
      <c r="D61" s="26">
        <f t="shared" si="2"/>
        <v>152216.39000000001</v>
      </c>
      <c r="E61" s="26">
        <f>IF(D61&gt;0.01,ROUND(D61*Kreditrechner!$C$6/12,2),0)</f>
        <v>475.68</v>
      </c>
      <c r="F61" s="26">
        <f>IF(D61&gt;0.01,ROUND(MIN(Kreditrechner!$C$11-E61,D61),2),0)</f>
        <v>386.82</v>
      </c>
      <c r="G61" s="11"/>
      <c r="H61" s="26">
        <f t="shared" si="0"/>
        <v>151829.57</v>
      </c>
      <c r="I61" s="26">
        <f t="shared" si="3"/>
        <v>30717.070000000003</v>
      </c>
      <c r="J61" s="26">
        <f t="shared" si="4"/>
        <v>28170.43</v>
      </c>
    </row>
    <row r="62" spans="2:10" ht="15" customHeight="1" x14ac:dyDescent="0.25">
      <c r="B62" s="27">
        <v>60</v>
      </c>
      <c r="C62" s="28">
        <f t="shared" si="1"/>
        <v>47453</v>
      </c>
      <c r="D62" s="29">
        <f t="shared" si="2"/>
        <v>151829.57</v>
      </c>
      <c r="E62" s="29">
        <f>IF(D62&gt;0.01,ROUND(D62*Kreditrechner!$C$6/12,2),0)</f>
        <v>474.47</v>
      </c>
      <c r="F62" s="29">
        <f>IF(D62&gt;0.01,ROUND(MIN(Kreditrechner!$C$11-E62,D62),2),0)</f>
        <v>388.03</v>
      </c>
      <c r="G62" s="11">
        <v>2500</v>
      </c>
      <c r="H62" s="29">
        <f t="shared" si="0"/>
        <v>148941.54</v>
      </c>
      <c r="I62" s="29">
        <f t="shared" si="3"/>
        <v>31191.540000000005</v>
      </c>
      <c r="J62" s="29">
        <f t="shared" si="4"/>
        <v>31058.46</v>
      </c>
    </row>
    <row r="63" spans="2:10" ht="15" customHeight="1" x14ac:dyDescent="0.25">
      <c r="B63" s="24">
        <v>61</v>
      </c>
      <c r="C63" s="25">
        <f t="shared" si="1"/>
        <v>47484</v>
      </c>
      <c r="D63" s="26">
        <f t="shared" si="2"/>
        <v>148941.54</v>
      </c>
      <c r="E63" s="26">
        <f>IF(D63&gt;0.01,ROUND(D63*Kreditrechner!$C$6/12,2),0)</f>
        <v>465.44</v>
      </c>
      <c r="F63" s="26">
        <f>IF(D63&gt;0.01,ROUND(MIN(Kreditrechner!$C$11-E63,D63),2),0)</f>
        <v>397.06</v>
      </c>
      <c r="G63" s="11"/>
      <c r="H63" s="26">
        <f t="shared" si="0"/>
        <v>148544.48000000001</v>
      </c>
      <c r="I63" s="26">
        <f t="shared" si="3"/>
        <v>31656.980000000003</v>
      </c>
      <c r="J63" s="26">
        <f t="shared" si="4"/>
        <v>31455.52</v>
      </c>
    </row>
    <row r="64" spans="2:10" ht="15" customHeight="1" x14ac:dyDescent="0.25">
      <c r="B64" s="27">
        <v>62</v>
      </c>
      <c r="C64" s="28">
        <f t="shared" si="1"/>
        <v>47515</v>
      </c>
      <c r="D64" s="29">
        <f t="shared" si="2"/>
        <v>148544.48000000001</v>
      </c>
      <c r="E64" s="29">
        <f>IF(D64&gt;0.01,ROUND(D64*Kreditrechner!$C$6/12,2),0)</f>
        <v>464.2</v>
      </c>
      <c r="F64" s="29">
        <f>IF(D64&gt;0.01,ROUND(MIN(Kreditrechner!$C$11-E64,D64),2),0)</f>
        <v>398.3</v>
      </c>
      <c r="G64" s="11"/>
      <c r="H64" s="29">
        <f t="shared" si="0"/>
        <v>148146.18</v>
      </c>
      <c r="I64" s="29">
        <f t="shared" si="3"/>
        <v>32121.180000000004</v>
      </c>
      <c r="J64" s="29">
        <f t="shared" si="4"/>
        <v>31853.82</v>
      </c>
    </row>
    <row r="65" spans="2:10" ht="15" customHeight="1" x14ac:dyDescent="0.25">
      <c r="B65" s="24">
        <v>63</v>
      </c>
      <c r="C65" s="25">
        <f t="shared" si="1"/>
        <v>47543</v>
      </c>
      <c r="D65" s="26">
        <f t="shared" si="2"/>
        <v>148146.18</v>
      </c>
      <c r="E65" s="26">
        <f>IF(D65&gt;0.01,ROUND(D65*Kreditrechner!$C$6/12,2),0)</f>
        <v>462.96</v>
      </c>
      <c r="F65" s="26">
        <f>IF(D65&gt;0.01,ROUND(MIN(Kreditrechner!$C$11-E65,D65),2),0)</f>
        <v>399.54</v>
      </c>
      <c r="G65" s="11"/>
      <c r="H65" s="26">
        <f t="shared" si="0"/>
        <v>147746.64000000001</v>
      </c>
      <c r="I65" s="26">
        <f t="shared" si="3"/>
        <v>32584.140000000003</v>
      </c>
      <c r="J65" s="26">
        <f t="shared" si="4"/>
        <v>32253.360000000001</v>
      </c>
    </row>
    <row r="66" spans="2:10" ht="15" customHeight="1" x14ac:dyDescent="0.25">
      <c r="B66" s="27">
        <v>64</v>
      </c>
      <c r="C66" s="28">
        <f t="shared" si="1"/>
        <v>47574</v>
      </c>
      <c r="D66" s="29">
        <f t="shared" si="2"/>
        <v>147746.64000000001</v>
      </c>
      <c r="E66" s="29">
        <f>IF(D66&gt;0.01,ROUND(D66*Kreditrechner!$C$6/12,2),0)</f>
        <v>461.71</v>
      </c>
      <c r="F66" s="29">
        <f>IF(D66&gt;0.01,ROUND(MIN(Kreditrechner!$C$11-E66,D66),2),0)</f>
        <v>400.79</v>
      </c>
      <c r="G66" s="11"/>
      <c r="H66" s="29">
        <f t="shared" si="0"/>
        <v>147345.85</v>
      </c>
      <c r="I66" s="29">
        <f t="shared" si="3"/>
        <v>33045.850000000006</v>
      </c>
      <c r="J66" s="29">
        <f t="shared" si="4"/>
        <v>32654.15</v>
      </c>
    </row>
    <row r="67" spans="2:10" ht="15" customHeight="1" x14ac:dyDescent="0.25">
      <c r="B67" s="24">
        <v>65</v>
      </c>
      <c r="C67" s="25">
        <f t="shared" si="1"/>
        <v>47604</v>
      </c>
      <c r="D67" s="26">
        <f t="shared" si="2"/>
        <v>147345.85</v>
      </c>
      <c r="E67" s="26">
        <f>IF(D67&gt;0.01,ROUND(D67*Kreditrechner!$C$6/12,2),0)</f>
        <v>460.46</v>
      </c>
      <c r="F67" s="26">
        <f>IF(D67&gt;0.01,ROUND(MIN(Kreditrechner!$C$11-E67,D67),2),0)</f>
        <v>402.04</v>
      </c>
      <c r="G67" s="11"/>
      <c r="H67" s="26">
        <f t="shared" ref="H67:H130" si="5">IF(D67&gt;0.01,ROUND(MAX(D67-F67-IF(ISNUMBER(G67),G67,0),0),2),0)</f>
        <v>146943.81</v>
      </c>
      <c r="I67" s="26">
        <f t="shared" si="3"/>
        <v>33506.310000000005</v>
      </c>
      <c r="J67" s="26">
        <f t="shared" si="4"/>
        <v>33056.19</v>
      </c>
    </row>
    <row r="68" spans="2:10" ht="15" customHeight="1" x14ac:dyDescent="0.25">
      <c r="B68" s="27">
        <v>66</v>
      </c>
      <c r="C68" s="28">
        <f t="shared" ref="C68:C131" si="6">EDATE(C67,1)</f>
        <v>47635</v>
      </c>
      <c r="D68" s="29">
        <f t="shared" ref="D68:D131" si="7">IF(H67&gt;0.01,H67,0)</f>
        <v>146943.81</v>
      </c>
      <c r="E68" s="29">
        <f>IF(D68&gt;0.01,ROUND(D68*Kreditrechner!$C$6/12,2),0)</f>
        <v>459.2</v>
      </c>
      <c r="F68" s="29">
        <f>IF(D68&gt;0.01,ROUND(MIN(Kreditrechner!$C$11-E68,D68),2),0)</f>
        <v>403.3</v>
      </c>
      <c r="G68" s="11"/>
      <c r="H68" s="29">
        <f t="shared" si="5"/>
        <v>146540.51</v>
      </c>
      <c r="I68" s="29">
        <f t="shared" ref="I68:I131" si="8">IF(D68&gt;0.01,I67+E68,I67)</f>
        <v>33965.51</v>
      </c>
      <c r="J68" s="29">
        <f t="shared" ref="J68:J131" si="9">IF(D68&gt;0.01,J67+F68+IF(ISNUMBER(G68),G68,0),J67)</f>
        <v>33459.490000000005</v>
      </c>
    </row>
    <row r="69" spans="2:10" ht="15" customHeight="1" x14ac:dyDescent="0.25">
      <c r="B69" s="24">
        <v>67</v>
      </c>
      <c r="C69" s="25">
        <f t="shared" si="6"/>
        <v>47665</v>
      </c>
      <c r="D69" s="26">
        <f t="shared" si="7"/>
        <v>146540.51</v>
      </c>
      <c r="E69" s="26">
        <f>IF(D69&gt;0.01,ROUND(D69*Kreditrechner!$C$6/12,2),0)</f>
        <v>457.94</v>
      </c>
      <c r="F69" s="26">
        <f>IF(D69&gt;0.01,ROUND(MIN(Kreditrechner!$C$11-E69,D69),2),0)</f>
        <v>404.56</v>
      </c>
      <c r="G69" s="11"/>
      <c r="H69" s="26">
        <f t="shared" si="5"/>
        <v>146135.95000000001</v>
      </c>
      <c r="I69" s="26">
        <f t="shared" si="8"/>
        <v>34423.450000000004</v>
      </c>
      <c r="J69" s="26">
        <f t="shared" si="9"/>
        <v>33864.050000000003</v>
      </c>
    </row>
    <row r="70" spans="2:10" ht="15" customHeight="1" x14ac:dyDescent="0.25">
      <c r="B70" s="27">
        <v>68</v>
      </c>
      <c r="C70" s="28">
        <f t="shared" si="6"/>
        <v>47696</v>
      </c>
      <c r="D70" s="29">
        <f t="shared" si="7"/>
        <v>146135.95000000001</v>
      </c>
      <c r="E70" s="29">
        <f>IF(D70&gt;0.01,ROUND(D70*Kreditrechner!$C$6/12,2),0)</f>
        <v>456.67</v>
      </c>
      <c r="F70" s="29">
        <f>IF(D70&gt;0.01,ROUND(MIN(Kreditrechner!$C$11-E70,D70),2),0)</f>
        <v>405.83</v>
      </c>
      <c r="G70" s="11"/>
      <c r="H70" s="29">
        <f t="shared" si="5"/>
        <v>145730.12</v>
      </c>
      <c r="I70" s="29">
        <f t="shared" si="8"/>
        <v>34880.120000000003</v>
      </c>
      <c r="J70" s="29">
        <f t="shared" si="9"/>
        <v>34269.880000000005</v>
      </c>
    </row>
    <row r="71" spans="2:10" ht="15" customHeight="1" x14ac:dyDescent="0.25">
      <c r="B71" s="24">
        <v>69</v>
      </c>
      <c r="C71" s="25">
        <f t="shared" si="6"/>
        <v>47727</v>
      </c>
      <c r="D71" s="26">
        <f t="shared" si="7"/>
        <v>145730.12</v>
      </c>
      <c r="E71" s="26">
        <f>IF(D71&gt;0.01,ROUND(D71*Kreditrechner!$C$6/12,2),0)</f>
        <v>455.41</v>
      </c>
      <c r="F71" s="26">
        <f>IF(D71&gt;0.01,ROUND(MIN(Kreditrechner!$C$11-E71,D71),2),0)</f>
        <v>407.09</v>
      </c>
      <c r="G71" s="11"/>
      <c r="H71" s="26">
        <f t="shared" si="5"/>
        <v>145323.03</v>
      </c>
      <c r="I71" s="26">
        <f t="shared" si="8"/>
        <v>35335.530000000006</v>
      </c>
      <c r="J71" s="26">
        <f t="shared" si="9"/>
        <v>34676.97</v>
      </c>
    </row>
    <row r="72" spans="2:10" ht="15" customHeight="1" x14ac:dyDescent="0.25">
      <c r="B72" s="27">
        <v>70</v>
      </c>
      <c r="C72" s="28">
        <f t="shared" si="6"/>
        <v>47757</v>
      </c>
      <c r="D72" s="29">
        <f t="shared" si="7"/>
        <v>145323.03</v>
      </c>
      <c r="E72" s="29">
        <f>IF(D72&gt;0.01,ROUND(D72*Kreditrechner!$C$6/12,2),0)</f>
        <v>454.13</v>
      </c>
      <c r="F72" s="29">
        <f>IF(D72&gt;0.01,ROUND(MIN(Kreditrechner!$C$11-E72,D72),2),0)</f>
        <v>408.37</v>
      </c>
      <c r="G72" s="11"/>
      <c r="H72" s="29">
        <f t="shared" si="5"/>
        <v>144914.66</v>
      </c>
      <c r="I72" s="29">
        <f t="shared" si="8"/>
        <v>35789.660000000003</v>
      </c>
      <c r="J72" s="29">
        <f t="shared" si="9"/>
        <v>35085.340000000004</v>
      </c>
    </row>
    <row r="73" spans="2:10" ht="15" customHeight="1" x14ac:dyDescent="0.25">
      <c r="B73" s="24">
        <v>71</v>
      </c>
      <c r="C73" s="25">
        <f t="shared" si="6"/>
        <v>47788</v>
      </c>
      <c r="D73" s="26">
        <f t="shared" si="7"/>
        <v>144914.66</v>
      </c>
      <c r="E73" s="26">
        <f>IF(D73&gt;0.01,ROUND(D73*Kreditrechner!$C$6/12,2),0)</f>
        <v>452.86</v>
      </c>
      <c r="F73" s="26">
        <f>IF(D73&gt;0.01,ROUND(MIN(Kreditrechner!$C$11-E73,D73),2),0)</f>
        <v>409.64</v>
      </c>
      <c r="G73" s="11"/>
      <c r="H73" s="26">
        <f t="shared" si="5"/>
        <v>144505.01999999999</v>
      </c>
      <c r="I73" s="26">
        <f t="shared" si="8"/>
        <v>36242.520000000004</v>
      </c>
      <c r="J73" s="26">
        <f t="shared" si="9"/>
        <v>35494.980000000003</v>
      </c>
    </row>
    <row r="74" spans="2:10" ht="15" customHeight="1" x14ac:dyDescent="0.25">
      <c r="B74" s="27">
        <v>72</v>
      </c>
      <c r="C74" s="28">
        <f t="shared" si="6"/>
        <v>47818</v>
      </c>
      <c r="D74" s="29">
        <f t="shared" si="7"/>
        <v>144505.01999999999</v>
      </c>
      <c r="E74" s="29">
        <f>IF(D74&gt;0.01,ROUND(D74*Kreditrechner!$C$6/12,2),0)</f>
        <v>451.58</v>
      </c>
      <c r="F74" s="29">
        <f>IF(D74&gt;0.01,ROUND(MIN(Kreditrechner!$C$11-E74,D74),2),0)</f>
        <v>410.92</v>
      </c>
      <c r="G74" s="11"/>
      <c r="H74" s="29">
        <f t="shared" si="5"/>
        <v>144094.1</v>
      </c>
      <c r="I74" s="29">
        <f t="shared" si="8"/>
        <v>36694.100000000006</v>
      </c>
      <c r="J74" s="29">
        <f t="shared" si="9"/>
        <v>35905.9</v>
      </c>
    </row>
    <row r="75" spans="2:10" ht="15" customHeight="1" x14ac:dyDescent="0.25">
      <c r="B75" s="24">
        <v>73</v>
      </c>
      <c r="C75" s="25">
        <f t="shared" si="6"/>
        <v>47849</v>
      </c>
      <c r="D75" s="26">
        <f t="shared" si="7"/>
        <v>144094.1</v>
      </c>
      <c r="E75" s="26">
        <f>IF(D75&gt;0.01,ROUND(D75*Kreditrechner!$C$6/12,2),0)</f>
        <v>450.29</v>
      </c>
      <c r="F75" s="26">
        <f>IF(D75&gt;0.01,ROUND(MIN(Kreditrechner!$C$11-E75,D75),2),0)</f>
        <v>412.21</v>
      </c>
      <c r="G75" s="11"/>
      <c r="H75" s="26">
        <f t="shared" si="5"/>
        <v>143681.89000000001</v>
      </c>
      <c r="I75" s="26">
        <f t="shared" si="8"/>
        <v>37144.390000000007</v>
      </c>
      <c r="J75" s="26">
        <f t="shared" si="9"/>
        <v>36318.11</v>
      </c>
    </row>
    <row r="76" spans="2:10" ht="15" customHeight="1" x14ac:dyDescent="0.25">
      <c r="B76" s="27">
        <v>74</v>
      </c>
      <c r="C76" s="28">
        <f t="shared" si="6"/>
        <v>47880</v>
      </c>
      <c r="D76" s="29">
        <f t="shared" si="7"/>
        <v>143681.89000000001</v>
      </c>
      <c r="E76" s="29">
        <f>IF(D76&gt;0.01,ROUND(D76*Kreditrechner!$C$6/12,2),0)</f>
        <v>449.01</v>
      </c>
      <c r="F76" s="29">
        <f>IF(D76&gt;0.01,ROUND(MIN(Kreditrechner!$C$11-E76,D76),2),0)</f>
        <v>413.49</v>
      </c>
      <c r="G76" s="11"/>
      <c r="H76" s="29">
        <f t="shared" si="5"/>
        <v>143268.4</v>
      </c>
      <c r="I76" s="29">
        <f t="shared" si="8"/>
        <v>37593.400000000009</v>
      </c>
      <c r="J76" s="29">
        <f t="shared" si="9"/>
        <v>36731.599999999999</v>
      </c>
    </row>
    <row r="77" spans="2:10" ht="15" customHeight="1" x14ac:dyDescent="0.25">
      <c r="B77" s="24">
        <v>75</v>
      </c>
      <c r="C77" s="25">
        <f t="shared" si="6"/>
        <v>47908</v>
      </c>
      <c r="D77" s="26">
        <f t="shared" si="7"/>
        <v>143268.4</v>
      </c>
      <c r="E77" s="26">
        <f>IF(D77&gt;0.01,ROUND(D77*Kreditrechner!$C$6/12,2),0)</f>
        <v>447.71</v>
      </c>
      <c r="F77" s="26">
        <f>IF(D77&gt;0.01,ROUND(MIN(Kreditrechner!$C$11-E77,D77),2),0)</f>
        <v>414.79</v>
      </c>
      <c r="G77" s="11"/>
      <c r="H77" s="26">
        <f t="shared" si="5"/>
        <v>142853.60999999999</v>
      </c>
      <c r="I77" s="26">
        <f t="shared" si="8"/>
        <v>38041.110000000008</v>
      </c>
      <c r="J77" s="26">
        <f t="shared" si="9"/>
        <v>37146.39</v>
      </c>
    </row>
    <row r="78" spans="2:10" ht="15" customHeight="1" x14ac:dyDescent="0.25">
      <c r="B78" s="27">
        <v>76</v>
      </c>
      <c r="C78" s="28">
        <f t="shared" si="6"/>
        <v>47939</v>
      </c>
      <c r="D78" s="29">
        <f t="shared" si="7"/>
        <v>142853.60999999999</v>
      </c>
      <c r="E78" s="29">
        <f>IF(D78&gt;0.01,ROUND(D78*Kreditrechner!$C$6/12,2),0)</f>
        <v>446.42</v>
      </c>
      <c r="F78" s="29">
        <f>IF(D78&gt;0.01,ROUND(MIN(Kreditrechner!$C$11-E78,D78),2),0)</f>
        <v>416.08</v>
      </c>
      <c r="G78" s="11"/>
      <c r="H78" s="29">
        <f t="shared" si="5"/>
        <v>142437.53</v>
      </c>
      <c r="I78" s="29">
        <f t="shared" si="8"/>
        <v>38487.530000000006</v>
      </c>
      <c r="J78" s="29">
        <f t="shared" si="9"/>
        <v>37562.47</v>
      </c>
    </row>
    <row r="79" spans="2:10" ht="15" customHeight="1" x14ac:dyDescent="0.25">
      <c r="B79" s="24">
        <v>77</v>
      </c>
      <c r="C79" s="25">
        <f t="shared" si="6"/>
        <v>47969</v>
      </c>
      <c r="D79" s="26">
        <f t="shared" si="7"/>
        <v>142437.53</v>
      </c>
      <c r="E79" s="26">
        <f>IF(D79&gt;0.01,ROUND(D79*Kreditrechner!$C$6/12,2),0)</f>
        <v>445.12</v>
      </c>
      <c r="F79" s="26">
        <f>IF(D79&gt;0.01,ROUND(MIN(Kreditrechner!$C$11-E79,D79),2),0)</f>
        <v>417.38</v>
      </c>
      <c r="G79" s="11"/>
      <c r="H79" s="26">
        <f t="shared" si="5"/>
        <v>142020.15</v>
      </c>
      <c r="I79" s="26">
        <f t="shared" si="8"/>
        <v>38932.650000000009</v>
      </c>
      <c r="J79" s="26">
        <f t="shared" si="9"/>
        <v>37979.85</v>
      </c>
    </row>
    <row r="80" spans="2:10" ht="15" customHeight="1" x14ac:dyDescent="0.25">
      <c r="B80" s="27">
        <v>78</v>
      </c>
      <c r="C80" s="28">
        <f t="shared" si="6"/>
        <v>48000</v>
      </c>
      <c r="D80" s="29">
        <f t="shared" si="7"/>
        <v>142020.15</v>
      </c>
      <c r="E80" s="29">
        <f>IF(D80&gt;0.01,ROUND(D80*Kreditrechner!$C$6/12,2),0)</f>
        <v>443.81</v>
      </c>
      <c r="F80" s="29">
        <f>IF(D80&gt;0.01,ROUND(MIN(Kreditrechner!$C$11-E80,D80),2),0)</f>
        <v>418.69</v>
      </c>
      <c r="G80" s="11"/>
      <c r="H80" s="29">
        <f t="shared" si="5"/>
        <v>141601.46</v>
      </c>
      <c r="I80" s="29">
        <f t="shared" si="8"/>
        <v>39376.460000000006</v>
      </c>
      <c r="J80" s="29">
        <f t="shared" si="9"/>
        <v>38398.54</v>
      </c>
    </row>
    <row r="81" spans="2:10" ht="15" customHeight="1" x14ac:dyDescent="0.25">
      <c r="B81" s="24">
        <v>79</v>
      </c>
      <c r="C81" s="25">
        <f t="shared" si="6"/>
        <v>48030</v>
      </c>
      <c r="D81" s="26">
        <f t="shared" si="7"/>
        <v>141601.46</v>
      </c>
      <c r="E81" s="26">
        <f>IF(D81&gt;0.01,ROUND(D81*Kreditrechner!$C$6/12,2),0)</f>
        <v>442.5</v>
      </c>
      <c r="F81" s="26">
        <f>IF(D81&gt;0.01,ROUND(MIN(Kreditrechner!$C$11-E81,D81),2),0)</f>
        <v>420</v>
      </c>
      <c r="G81" s="11"/>
      <c r="H81" s="26">
        <f t="shared" si="5"/>
        <v>141181.46</v>
      </c>
      <c r="I81" s="26">
        <f t="shared" si="8"/>
        <v>39818.960000000006</v>
      </c>
      <c r="J81" s="26">
        <f t="shared" si="9"/>
        <v>38818.54</v>
      </c>
    </row>
    <row r="82" spans="2:10" ht="15" customHeight="1" x14ac:dyDescent="0.25">
      <c r="B82" s="27">
        <v>80</v>
      </c>
      <c r="C82" s="28">
        <f t="shared" si="6"/>
        <v>48061</v>
      </c>
      <c r="D82" s="29">
        <f t="shared" si="7"/>
        <v>141181.46</v>
      </c>
      <c r="E82" s="29">
        <f>IF(D82&gt;0.01,ROUND(D82*Kreditrechner!$C$6/12,2),0)</f>
        <v>441.19</v>
      </c>
      <c r="F82" s="29">
        <f>IF(D82&gt;0.01,ROUND(MIN(Kreditrechner!$C$11-E82,D82),2),0)</f>
        <v>421.31</v>
      </c>
      <c r="G82" s="11"/>
      <c r="H82" s="29">
        <f t="shared" si="5"/>
        <v>140760.15</v>
      </c>
      <c r="I82" s="29">
        <f t="shared" si="8"/>
        <v>40260.150000000009</v>
      </c>
      <c r="J82" s="29">
        <f t="shared" si="9"/>
        <v>39239.85</v>
      </c>
    </row>
    <row r="83" spans="2:10" ht="15" customHeight="1" x14ac:dyDescent="0.25">
      <c r="B83" s="24">
        <v>81</v>
      </c>
      <c r="C83" s="25">
        <f t="shared" si="6"/>
        <v>48092</v>
      </c>
      <c r="D83" s="26">
        <f t="shared" si="7"/>
        <v>140760.15</v>
      </c>
      <c r="E83" s="26">
        <f>IF(D83&gt;0.01,ROUND(D83*Kreditrechner!$C$6/12,2),0)</f>
        <v>439.88</v>
      </c>
      <c r="F83" s="26">
        <f>IF(D83&gt;0.01,ROUND(MIN(Kreditrechner!$C$11-E83,D83),2),0)</f>
        <v>422.62</v>
      </c>
      <c r="G83" s="11"/>
      <c r="H83" s="26">
        <f t="shared" si="5"/>
        <v>140337.53</v>
      </c>
      <c r="I83" s="26">
        <f t="shared" si="8"/>
        <v>40700.030000000006</v>
      </c>
      <c r="J83" s="26">
        <f t="shared" si="9"/>
        <v>39662.47</v>
      </c>
    </row>
    <row r="84" spans="2:10" ht="15" customHeight="1" x14ac:dyDescent="0.25">
      <c r="B84" s="27">
        <v>82</v>
      </c>
      <c r="C84" s="28">
        <f t="shared" si="6"/>
        <v>48122</v>
      </c>
      <c r="D84" s="29">
        <f t="shared" si="7"/>
        <v>140337.53</v>
      </c>
      <c r="E84" s="29">
        <f>IF(D84&gt;0.01,ROUND(D84*Kreditrechner!$C$6/12,2),0)</f>
        <v>438.55</v>
      </c>
      <c r="F84" s="29">
        <f>IF(D84&gt;0.01,ROUND(MIN(Kreditrechner!$C$11-E84,D84),2),0)</f>
        <v>423.95</v>
      </c>
      <c r="G84" s="11"/>
      <c r="H84" s="29">
        <f t="shared" si="5"/>
        <v>139913.57999999999</v>
      </c>
      <c r="I84" s="29">
        <f t="shared" si="8"/>
        <v>41138.580000000009</v>
      </c>
      <c r="J84" s="29">
        <f t="shared" si="9"/>
        <v>40086.42</v>
      </c>
    </row>
    <row r="85" spans="2:10" ht="15" customHeight="1" x14ac:dyDescent="0.25">
      <c r="B85" s="24">
        <v>83</v>
      </c>
      <c r="C85" s="25">
        <f t="shared" si="6"/>
        <v>48153</v>
      </c>
      <c r="D85" s="26">
        <f t="shared" si="7"/>
        <v>139913.57999999999</v>
      </c>
      <c r="E85" s="26">
        <f>IF(D85&gt;0.01,ROUND(D85*Kreditrechner!$C$6/12,2),0)</f>
        <v>437.23</v>
      </c>
      <c r="F85" s="26">
        <f>IF(D85&gt;0.01,ROUND(MIN(Kreditrechner!$C$11-E85,D85),2),0)</f>
        <v>425.27</v>
      </c>
      <c r="G85" s="11"/>
      <c r="H85" s="26">
        <f t="shared" si="5"/>
        <v>139488.31</v>
      </c>
      <c r="I85" s="26">
        <f t="shared" si="8"/>
        <v>41575.810000000012</v>
      </c>
      <c r="J85" s="26">
        <f t="shared" si="9"/>
        <v>40511.689999999995</v>
      </c>
    </row>
    <row r="86" spans="2:10" ht="15" customHeight="1" x14ac:dyDescent="0.25">
      <c r="B86" s="27">
        <v>84</v>
      </c>
      <c r="C86" s="28">
        <f t="shared" si="6"/>
        <v>48183</v>
      </c>
      <c r="D86" s="29">
        <f t="shared" si="7"/>
        <v>139488.31</v>
      </c>
      <c r="E86" s="29">
        <f>IF(D86&gt;0.01,ROUND(D86*Kreditrechner!$C$6/12,2),0)</f>
        <v>435.9</v>
      </c>
      <c r="F86" s="29">
        <f>IF(D86&gt;0.01,ROUND(MIN(Kreditrechner!$C$11-E86,D86),2),0)</f>
        <v>426.6</v>
      </c>
      <c r="G86" s="11">
        <v>1500</v>
      </c>
      <c r="H86" s="29">
        <f t="shared" si="5"/>
        <v>137561.71</v>
      </c>
      <c r="I86" s="29">
        <f t="shared" si="8"/>
        <v>42011.710000000014</v>
      </c>
      <c r="J86" s="29">
        <f t="shared" si="9"/>
        <v>42438.289999999994</v>
      </c>
    </row>
    <row r="87" spans="2:10" ht="15" customHeight="1" x14ac:dyDescent="0.25">
      <c r="B87" s="24">
        <v>85</v>
      </c>
      <c r="C87" s="25">
        <f t="shared" si="6"/>
        <v>48214</v>
      </c>
      <c r="D87" s="26">
        <f t="shared" si="7"/>
        <v>137561.71</v>
      </c>
      <c r="E87" s="26">
        <f>IF(D87&gt;0.01,ROUND(D87*Kreditrechner!$C$6/12,2),0)</f>
        <v>429.88</v>
      </c>
      <c r="F87" s="26">
        <f>IF(D87&gt;0.01,ROUND(MIN(Kreditrechner!$C$11-E87,D87),2),0)</f>
        <v>432.62</v>
      </c>
      <c r="G87" s="11"/>
      <c r="H87" s="26">
        <f t="shared" si="5"/>
        <v>137129.09</v>
      </c>
      <c r="I87" s="26">
        <f t="shared" si="8"/>
        <v>42441.590000000011</v>
      </c>
      <c r="J87" s="26">
        <f t="shared" si="9"/>
        <v>42870.909999999996</v>
      </c>
    </row>
    <row r="88" spans="2:10" ht="15" customHeight="1" x14ac:dyDescent="0.25">
      <c r="B88" s="27">
        <v>86</v>
      </c>
      <c r="C88" s="28">
        <f t="shared" si="6"/>
        <v>48245</v>
      </c>
      <c r="D88" s="29">
        <f t="shared" si="7"/>
        <v>137129.09</v>
      </c>
      <c r="E88" s="29">
        <f>IF(D88&gt;0.01,ROUND(D88*Kreditrechner!$C$6/12,2),0)</f>
        <v>428.53</v>
      </c>
      <c r="F88" s="29">
        <f>IF(D88&gt;0.01,ROUND(MIN(Kreditrechner!$C$11-E88,D88),2),0)</f>
        <v>433.97</v>
      </c>
      <c r="G88" s="11"/>
      <c r="H88" s="29">
        <f t="shared" si="5"/>
        <v>136695.12</v>
      </c>
      <c r="I88" s="29">
        <f t="shared" si="8"/>
        <v>42870.12000000001</v>
      </c>
      <c r="J88" s="29">
        <f t="shared" si="9"/>
        <v>43304.88</v>
      </c>
    </row>
    <row r="89" spans="2:10" ht="15" customHeight="1" x14ac:dyDescent="0.25">
      <c r="B89" s="24">
        <v>87</v>
      </c>
      <c r="C89" s="25">
        <f t="shared" si="6"/>
        <v>48274</v>
      </c>
      <c r="D89" s="26">
        <f t="shared" si="7"/>
        <v>136695.12</v>
      </c>
      <c r="E89" s="26">
        <f>IF(D89&gt;0.01,ROUND(D89*Kreditrechner!$C$6/12,2),0)</f>
        <v>427.17</v>
      </c>
      <c r="F89" s="26">
        <f>IF(D89&gt;0.01,ROUND(MIN(Kreditrechner!$C$11-E89,D89),2),0)</f>
        <v>435.33</v>
      </c>
      <c r="G89" s="11"/>
      <c r="H89" s="26">
        <f t="shared" si="5"/>
        <v>136259.79</v>
      </c>
      <c r="I89" s="26">
        <f t="shared" si="8"/>
        <v>43297.290000000008</v>
      </c>
      <c r="J89" s="26">
        <f t="shared" si="9"/>
        <v>43740.21</v>
      </c>
    </row>
    <row r="90" spans="2:10" ht="15" customHeight="1" x14ac:dyDescent="0.25">
      <c r="B90" s="27">
        <v>88</v>
      </c>
      <c r="C90" s="28">
        <f t="shared" si="6"/>
        <v>48305</v>
      </c>
      <c r="D90" s="29">
        <f t="shared" si="7"/>
        <v>136259.79</v>
      </c>
      <c r="E90" s="29">
        <f>IF(D90&gt;0.01,ROUND(D90*Kreditrechner!$C$6/12,2),0)</f>
        <v>425.81</v>
      </c>
      <c r="F90" s="29">
        <f>IF(D90&gt;0.01,ROUND(MIN(Kreditrechner!$C$11-E90,D90),2),0)</f>
        <v>436.69</v>
      </c>
      <c r="G90" s="11"/>
      <c r="H90" s="29">
        <f t="shared" si="5"/>
        <v>135823.1</v>
      </c>
      <c r="I90" s="29">
        <f t="shared" si="8"/>
        <v>43723.100000000006</v>
      </c>
      <c r="J90" s="29">
        <f t="shared" si="9"/>
        <v>44176.9</v>
      </c>
    </row>
    <row r="91" spans="2:10" ht="15" customHeight="1" x14ac:dyDescent="0.25">
      <c r="B91" s="24">
        <v>89</v>
      </c>
      <c r="C91" s="25">
        <f t="shared" si="6"/>
        <v>48335</v>
      </c>
      <c r="D91" s="26">
        <f t="shared" si="7"/>
        <v>135823.1</v>
      </c>
      <c r="E91" s="26">
        <f>IF(D91&gt;0.01,ROUND(D91*Kreditrechner!$C$6/12,2),0)</f>
        <v>424.45</v>
      </c>
      <c r="F91" s="26">
        <f>IF(D91&gt;0.01,ROUND(MIN(Kreditrechner!$C$11-E91,D91),2),0)</f>
        <v>438.05</v>
      </c>
      <c r="G91" s="11"/>
      <c r="H91" s="26">
        <f t="shared" si="5"/>
        <v>135385.04999999999</v>
      </c>
      <c r="I91" s="26">
        <f t="shared" si="8"/>
        <v>44147.55</v>
      </c>
      <c r="J91" s="26">
        <f t="shared" si="9"/>
        <v>44614.950000000004</v>
      </c>
    </row>
    <row r="92" spans="2:10" ht="15" customHeight="1" x14ac:dyDescent="0.25">
      <c r="B92" s="27">
        <v>90</v>
      </c>
      <c r="C92" s="28">
        <f t="shared" si="6"/>
        <v>48366</v>
      </c>
      <c r="D92" s="29">
        <f t="shared" si="7"/>
        <v>135385.04999999999</v>
      </c>
      <c r="E92" s="29">
        <f>IF(D92&gt;0.01,ROUND(D92*Kreditrechner!$C$6/12,2),0)</f>
        <v>423.08</v>
      </c>
      <c r="F92" s="29">
        <f>IF(D92&gt;0.01,ROUND(MIN(Kreditrechner!$C$11-E92,D92),2),0)</f>
        <v>439.42</v>
      </c>
      <c r="G92" s="11"/>
      <c r="H92" s="29">
        <f t="shared" si="5"/>
        <v>134945.63</v>
      </c>
      <c r="I92" s="29">
        <f t="shared" si="8"/>
        <v>44570.630000000005</v>
      </c>
      <c r="J92" s="29">
        <f t="shared" si="9"/>
        <v>45054.37</v>
      </c>
    </row>
    <row r="93" spans="2:10" ht="15" customHeight="1" x14ac:dyDescent="0.25">
      <c r="B93" s="24">
        <v>91</v>
      </c>
      <c r="C93" s="25">
        <f t="shared" si="6"/>
        <v>48396</v>
      </c>
      <c r="D93" s="26">
        <f t="shared" si="7"/>
        <v>134945.63</v>
      </c>
      <c r="E93" s="26">
        <f>IF(D93&gt;0.01,ROUND(D93*Kreditrechner!$C$6/12,2),0)</f>
        <v>421.71</v>
      </c>
      <c r="F93" s="26">
        <f>IF(D93&gt;0.01,ROUND(MIN(Kreditrechner!$C$11-E93,D93),2),0)</f>
        <v>440.79</v>
      </c>
      <c r="G93" s="11"/>
      <c r="H93" s="26">
        <f t="shared" si="5"/>
        <v>134504.84</v>
      </c>
      <c r="I93" s="26">
        <f t="shared" si="8"/>
        <v>44992.340000000004</v>
      </c>
      <c r="J93" s="26">
        <f t="shared" si="9"/>
        <v>45495.16</v>
      </c>
    </row>
    <row r="94" spans="2:10" ht="15" customHeight="1" x14ac:dyDescent="0.25">
      <c r="B94" s="27">
        <v>92</v>
      </c>
      <c r="C94" s="28">
        <f t="shared" si="6"/>
        <v>48427</v>
      </c>
      <c r="D94" s="29">
        <f t="shared" si="7"/>
        <v>134504.84</v>
      </c>
      <c r="E94" s="29">
        <f>IF(D94&gt;0.01,ROUND(D94*Kreditrechner!$C$6/12,2),0)</f>
        <v>420.33</v>
      </c>
      <c r="F94" s="29">
        <f>IF(D94&gt;0.01,ROUND(MIN(Kreditrechner!$C$11-E94,D94),2),0)</f>
        <v>442.17</v>
      </c>
      <c r="G94" s="11"/>
      <c r="H94" s="29">
        <f t="shared" si="5"/>
        <v>134062.67000000001</v>
      </c>
      <c r="I94" s="29">
        <f t="shared" si="8"/>
        <v>45412.670000000006</v>
      </c>
      <c r="J94" s="29">
        <f t="shared" si="9"/>
        <v>45937.33</v>
      </c>
    </row>
    <row r="95" spans="2:10" ht="15" customHeight="1" x14ac:dyDescent="0.25">
      <c r="B95" s="24">
        <v>93</v>
      </c>
      <c r="C95" s="25">
        <f t="shared" si="6"/>
        <v>48458</v>
      </c>
      <c r="D95" s="26">
        <f t="shared" si="7"/>
        <v>134062.67000000001</v>
      </c>
      <c r="E95" s="26">
        <f>IF(D95&gt;0.01,ROUND(D95*Kreditrechner!$C$6/12,2),0)</f>
        <v>418.95</v>
      </c>
      <c r="F95" s="26">
        <f>IF(D95&gt;0.01,ROUND(MIN(Kreditrechner!$C$11-E95,D95),2),0)</f>
        <v>443.55</v>
      </c>
      <c r="G95" s="11"/>
      <c r="H95" s="26">
        <f t="shared" si="5"/>
        <v>133619.12</v>
      </c>
      <c r="I95" s="26">
        <f t="shared" si="8"/>
        <v>45831.62</v>
      </c>
      <c r="J95" s="26">
        <f t="shared" si="9"/>
        <v>46380.880000000005</v>
      </c>
    </row>
    <row r="96" spans="2:10" ht="15" customHeight="1" x14ac:dyDescent="0.25">
      <c r="B96" s="27">
        <v>94</v>
      </c>
      <c r="C96" s="28">
        <f t="shared" si="6"/>
        <v>48488</v>
      </c>
      <c r="D96" s="29">
        <f t="shared" si="7"/>
        <v>133619.12</v>
      </c>
      <c r="E96" s="29">
        <f>IF(D96&gt;0.01,ROUND(D96*Kreditrechner!$C$6/12,2),0)</f>
        <v>417.56</v>
      </c>
      <c r="F96" s="29">
        <f>IF(D96&gt;0.01,ROUND(MIN(Kreditrechner!$C$11-E96,D96),2),0)</f>
        <v>444.94</v>
      </c>
      <c r="G96" s="11"/>
      <c r="H96" s="29">
        <f t="shared" si="5"/>
        <v>133174.18</v>
      </c>
      <c r="I96" s="29">
        <f t="shared" si="8"/>
        <v>46249.18</v>
      </c>
      <c r="J96" s="29">
        <f t="shared" si="9"/>
        <v>46825.820000000007</v>
      </c>
    </row>
    <row r="97" spans="2:10" ht="15" customHeight="1" x14ac:dyDescent="0.25">
      <c r="B97" s="24">
        <v>95</v>
      </c>
      <c r="C97" s="25">
        <f t="shared" si="6"/>
        <v>48519</v>
      </c>
      <c r="D97" s="26">
        <f t="shared" si="7"/>
        <v>133174.18</v>
      </c>
      <c r="E97" s="26">
        <f>IF(D97&gt;0.01,ROUND(D97*Kreditrechner!$C$6/12,2),0)</f>
        <v>416.17</v>
      </c>
      <c r="F97" s="26">
        <f>IF(D97&gt;0.01,ROUND(MIN(Kreditrechner!$C$11-E97,D97),2),0)</f>
        <v>446.33</v>
      </c>
      <c r="G97" s="11"/>
      <c r="H97" s="26">
        <f t="shared" si="5"/>
        <v>132727.85</v>
      </c>
      <c r="I97" s="26">
        <f t="shared" si="8"/>
        <v>46665.35</v>
      </c>
      <c r="J97" s="26">
        <f t="shared" si="9"/>
        <v>47272.150000000009</v>
      </c>
    </row>
    <row r="98" spans="2:10" ht="15" customHeight="1" x14ac:dyDescent="0.25">
      <c r="B98" s="27">
        <v>96</v>
      </c>
      <c r="C98" s="28">
        <f t="shared" si="6"/>
        <v>48549</v>
      </c>
      <c r="D98" s="29">
        <f t="shared" si="7"/>
        <v>132727.85</v>
      </c>
      <c r="E98" s="29">
        <f>IF(D98&gt;0.01,ROUND(D98*Kreditrechner!$C$6/12,2),0)</f>
        <v>414.77</v>
      </c>
      <c r="F98" s="29">
        <f>IF(D98&gt;0.01,ROUND(MIN(Kreditrechner!$C$11-E98,D98),2),0)</f>
        <v>447.73</v>
      </c>
      <c r="G98" s="11"/>
      <c r="H98" s="29">
        <f t="shared" si="5"/>
        <v>132280.12</v>
      </c>
      <c r="I98" s="29">
        <f t="shared" si="8"/>
        <v>47080.119999999995</v>
      </c>
      <c r="J98" s="29">
        <f t="shared" si="9"/>
        <v>47719.880000000012</v>
      </c>
    </row>
    <row r="99" spans="2:10" ht="15" customHeight="1" x14ac:dyDescent="0.25">
      <c r="B99" s="24">
        <v>97</v>
      </c>
      <c r="C99" s="25">
        <f t="shared" si="6"/>
        <v>48580</v>
      </c>
      <c r="D99" s="26">
        <f t="shared" si="7"/>
        <v>132280.12</v>
      </c>
      <c r="E99" s="26">
        <f>IF(D99&gt;0.01,ROUND(D99*Kreditrechner!$C$6/12,2),0)</f>
        <v>413.38</v>
      </c>
      <c r="F99" s="26">
        <f>IF(D99&gt;0.01,ROUND(MIN(Kreditrechner!$C$11-E99,D99),2),0)</f>
        <v>449.12</v>
      </c>
      <c r="G99" s="11"/>
      <c r="H99" s="26">
        <f t="shared" si="5"/>
        <v>131831</v>
      </c>
      <c r="I99" s="26">
        <f t="shared" si="8"/>
        <v>47493.499999999993</v>
      </c>
      <c r="J99" s="26">
        <f t="shared" si="9"/>
        <v>48169.000000000015</v>
      </c>
    </row>
    <row r="100" spans="2:10" ht="15" customHeight="1" x14ac:dyDescent="0.25">
      <c r="B100" s="27">
        <v>98</v>
      </c>
      <c r="C100" s="28">
        <f t="shared" si="6"/>
        <v>48611</v>
      </c>
      <c r="D100" s="29">
        <f t="shared" si="7"/>
        <v>131831</v>
      </c>
      <c r="E100" s="29">
        <f>IF(D100&gt;0.01,ROUND(D100*Kreditrechner!$C$6/12,2),0)</f>
        <v>411.97</v>
      </c>
      <c r="F100" s="29">
        <f>IF(D100&gt;0.01,ROUND(MIN(Kreditrechner!$C$11-E100,D100),2),0)</f>
        <v>450.53</v>
      </c>
      <c r="G100" s="11"/>
      <c r="H100" s="29">
        <f t="shared" si="5"/>
        <v>131380.47</v>
      </c>
      <c r="I100" s="29">
        <f t="shared" si="8"/>
        <v>47905.469999999994</v>
      </c>
      <c r="J100" s="29">
        <f t="shared" si="9"/>
        <v>48619.530000000013</v>
      </c>
    </row>
    <row r="101" spans="2:10" ht="15" customHeight="1" x14ac:dyDescent="0.25">
      <c r="B101" s="24">
        <v>99</v>
      </c>
      <c r="C101" s="25">
        <f t="shared" si="6"/>
        <v>48639</v>
      </c>
      <c r="D101" s="26">
        <f t="shared" si="7"/>
        <v>131380.47</v>
      </c>
      <c r="E101" s="26">
        <f>IF(D101&gt;0.01,ROUND(D101*Kreditrechner!$C$6/12,2),0)</f>
        <v>410.56</v>
      </c>
      <c r="F101" s="26">
        <f>IF(D101&gt;0.01,ROUND(MIN(Kreditrechner!$C$11-E101,D101),2),0)</f>
        <v>451.94</v>
      </c>
      <c r="G101" s="11"/>
      <c r="H101" s="26">
        <f t="shared" si="5"/>
        <v>130928.53</v>
      </c>
      <c r="I101" s="26">
        <f t="shared" si="8"/>
        <v>48316.029999999992</v>
      </c>
      <c r="J101" s="26">
        <f t="shared" si="9"/>
        <v>49071.470000000016</v>
      </c>
    </row>
    <row r="102" spans="2:10" ht="15" customHeight="1" x14ac:dyDescent="0.25">
      <c r="B102" s="27">
        <v>100</v>
      </c>
      <c r="C102" s="28">
        <f t="shared" si="6"/>
        <v>48670</v>
      </c>
      <c r="D102" s="29">
        <f t="shared" si="7"/>
        <v>130928.53</v>
      </c>
      <c r="E102" s="29">
        <f>IF(D102&gt;0.01,ROUND(D102*Kreditrechner!$C$6/12,2),0)</f>
        <v>409.15</v>
      </c>
      <c r="F102" s="29">
        <f>IF(D102&gt;0.01,ROUND(MIN(Kreditrechner!$C$11-E102,D102),2),0)</f>
        <v>453.35</v>
      </c>
      <c r="G102" s="11"/>
      <c r="H102" s="29">
        <f t="shared" si="5"/>
        <v>130475.18</v>
      </c>
      <c r="I102" s="29">
        <f t="shared" si="8"/>
        <v>48725.179999999993</v>
      </c>
      <c r="J102" s="29">
        <f t="shared" si="9"/>
        <v>49524.820000000014</v>
      </c>
    </row>
    <row r="103" spans="2:10" ht="15" customHeight="1" x14ac:dyDescent="0.25">
      <c r="B103" s="24">
        <v>101</v>
      </c>
      <c r="C103" s="25">
        <f t="shared" si="6"/>
        <v>48700</v>
      </c>
      <c r="D103" s="26">
        <f t="shared" si="7"/>
        <v>130475.18</v>
      </c>
      <c r="E103" s="26">
        <f>IF(D103&gt;0.01,ROUND(D103*Kreditrechner!$C$6/12,2),0)</f>
        <v>407.73</v>
      </c>
      <c r="F103" s="26">
        <f>IF(D103&gt;0.01,ROUND(MIN(Kreditrechner!$C$11-E103,D103),2),0)</f>
        <v>454.77</v>
      </c>
      <c r="G103" s="11"/>
      <c r="H103" s="26">
        <f t="shared" si="5"/>
        <v>130020.41</v>
      </c>
      <c r="I103" s="26">
        <f t="shared" si="8"/>
        <v>49132.909999999996</v>
      </c>
      <c r="J103" s="26">
        <f t="shared" si="9"/>
        <v>49979.590000000011</v>
      </c>
    </row>
    <row r="104" spans="2:10" ht="15" customHeight="1" x14ac:dyDescent="0.25">
      <c r="B104" s="27">
        <v>102</v>
      </c>
      <c r="C104" s="28">
        <f t="shared" si="6"/>
        <v>48731</v>
      </c>
      <c r="D104" s="29">
        <f t="shared" si="7"/>
        <v>130020.41</v>
      </c>
      <c r="E104" s="29">
        <f>IF(D104&gt;0.01,ROUND(D104*Kreditrechner!$C$6/12,2),0)</f>
        <v>406.31</v>
      </c>
      <c r="F104" s="29">
        <f>IF(D104&gt;0.01,ROUND(MIN(Kreditrechner!$C$11-E104,D104),2),0)</f>
        <v>456.19</v>
      </c>
      <c r="G104" s="11"/>
      <c r="H104" s="29">
        <f t="shared" si="5"/>
        <v>129564.22</v>
      </c>
      <c r="I104" s="29">
        <f t="shared" si="8"/>
        <v>49539.219999999994</v>
      </c>
      <c r="J104" s="29">
        <f t="shared" si="9"/>
        <v>50435.780000000013</v>
      </c>
    </row>
    <row r="105" spans="2:10" ht="15" customHeight="1" x14ac:dyDescent="0.25">
      <c r="B105" s="24">
        <v>103</v>
      </c>
      <c r="C105" s="25">
        <f t="shared" si="6"/>
        <v>48761</v>
      </c>
      <c r="D105" s="26">
        <f t="shared" si="7"/>
        <v>129564.22</v>
      </c>
      <c r="E105" s="26">
        <f>IF(D105&gt;0.01,ROUND(D105*Kreditrechner!$C$6/12,2),0)</f>
        <v>404.89</v>
      </c>
      <c r="F105" s="26">
        <f>IF(D105&gt;0.01,ROUND(MIN(Kreditrechner!$C$11-E105,D105),2),0)</f>
        <v>457.61</v>
      </c>
      <c r="G105" s="11"/>
      <c r="H105" s="26">
        <f t="shared" si="5"/>
        <v>129106.61</v>
      </c>
      <c r="I105" s="26">
        <f t="shared" si="8"/>
        <v>49944.109999999993</v>
      </c>
      <c r="J105" s="26">
        <f t="shared" si="9"/>
        <v>50893.390000000014</v>
      </c>
    </row>
    <row r="106" spans="2:10" ht="15" customHeight="1" x14ac:dyDescent="0.25">
      <c r="B106" s="27">
        <v>104</v>
      </c>
      <c r="C106" s="28">
        <f t="shared" si="6"/>
        <v>48792</v>
      </c>
      <c r="D106" s="29">
        <f t="shared" si="7"/>
        <v>129106.61</v>
      </c>
      <c r="E106" s="29">
        <f>IF(D106&gt;0.01,ROUND(D106*Kreditrechner!$C$6/12,2),0)</f>
        <v>403.46</v>
      </c>
      <c r="F106" s="29">
        <f>IF(D106&gt;0.01,ROUND(MIN(Kreditrechner!$C$11-E106,D106),2),0)</f>
        <v>459.04</v>
      </c>
      <c r="G106" s="11"/>
      <c r="H106" s="29">
        <f t="shared" si="5"/>
        <v>128647.57</v>
      </c>
      <c r="I106" s="29">
        <f t="shared" si="8"/>
        <v>50347.569999999992</v>
      </c>
      <c r="J106" s="29">
        <f t="shared" si="9"/>
        <v>51352.430000000015</v>
      </c>
    </row>
    <row r="107" spans="2:10" ht="15" customHeight="1" x14ac:dyDescent="0.25">
      <c r="B107" s="24">
        <v>105</v>
      </c>
      <c r="C107" s="25">
        <f t="shared" si="6"/>
        <v>48823</v>
      </c>
      <c r="D107" s="26">
        <f t="shared" si="7"/>
        <v>128647.57</v>
      </c>
      <c r="E107" s="26">
        <f>IF(D107&gt;0.01,ROUND(D107*Kreditrechner!$C$6/12,2),0)</f>
        <v>402.02</v>
      </c>
      <c r="F107" s="26">
        <f>IF(D107&gt;0.01,ROUND(MIN(Kreditrechner!$C$11-E107,D107),2),0)</f>
        <v>460.48</v>
      </c>
      <c r="G107" s="11"/>
      <c r="H107" s="26">
        <f t="shared" si="5"/>
        <v>128187.09</v>
      </c>
      <c r="I107" s="26">
        <f t="shared" si="8"/>
        <v>50749.589999999989</v>
      </c>
      <c r="J107" s="26">
        <f t="shared" si="9"/>
        <v>51812.910000000018</v>
      </c>
    </row>
    <row r="108" spans="2:10" ht="15" customHeight="1" x14ac:dyDescent="0.25">
      <c r="B108" s="27">
        <v>106</v>
      </c>
      <c r="C108" s="28">
        <f t="shared" si="6"/>
        <v>48853</v>
      </c>
      <c r="D108" s="29">
        <f t="shared" si="7"/>
        <v>128187.09</v>
      </c>
      <c r="E108" s="29">
        <f>IF(D108&gt;0.01,ROUND(D108*Kreditrechner!$C$6/12,2),0)</f>
        <v>400.58</v>
      </c>
      <c r="F108" s="29">
        <f>IF(D108&gt;0.01,ROUND(MIN(Kreditrechner!$C$11-E108,D108),2),0)</f>
        <v>461.92</v>
      </c>
      <c r="G108" s="11"/>
      <c r="H108" s="29">
        <f t="shared" si="5"/>
        <v>127725.17</v>
      </c>
      <c r="I108" s="29">
        <f t="shared" si="8"/>
        <v>51150.169999999991</v>
      </c>
      <c r="J108" s="29">
        <f t="shared" si="9"/>
        <v>52274.830000000016</v>
      </c>
    </row>
    <row r="109" spans="2:10" ht="15" customHeight="1" x14ac:dyDescent="0.25">
      <c r="B109" s="24">
        <v>107</v>
      </c>
      <c r="C109" s="25">
        <f t="shared" si="6"/>
        <v>48884</v>
      </c>
      <c r="D109" s="26">
        <f t="shared" si="7"/>
        <v>127725.17</v>
      </c>
      <c r="E109" s="26">
        <f>IF(D109&gt;0.01,ROUND(D109*Kreditrechner!$C$6/12,2),0)</f>
        <v>399.14</v>
      </c>
      <c r="F109" s="26">
        <f>IF(D109&gt;0.01,ROUND(MIN(Kreditrechner!$C$11-E109,D109),2),0)</f>
        <v>463.36</v>
      </c>
      <c r="G109" s="11"/>
      <c r="H109" s="26">
        <f t="shared" si="5"/>
        <v>127261.81</v>
      </c>
      <c r="I109" s="26">
        <f t="shared" si="8"/>
        <v>51549.30999999999</v>
      </c>
      <c r="J109" s="26">
        <f t="shared" si="9"/>
        <v>52738.190000000017</v>
      </c>
    </row>
    <row r="110" spans="2:10" ht="15" customHeight="1" x14ac:dyDescent="0.25">
      <c r="B110" s="27">
        <v>108</v>
      </c>
      <c r="C110" s="28">
        <f t="shared" si="6"/>
        <v>48914</v>
      </c>
      <c r="D110" s="29">
        <f t="shared" si="7"/>
        <v>127261.81</v>
      </c>
      <c r="E110" s="29">
        <f>IF(D110&gt;0.01,ROUND(D110*Kreditrechner!$C$6/12,2),0)</f>
        <v>397.69</v>
      </c>
      <c r="F110" s="29">
        <f>IF(D110&gt;0.01,ROUND(MIN(Kreditrechner!$C$11-E110,D110),2),0)</f>
        <v>464.81</v>
      </c>
      <c r="G110" s="11"/>
      <c r="H110" s="29">
        <f t="shared" si="5"/>
        <v>126797</v>
      </c>
      <c r="I110" s="29">
        <f t="shared" si="8"/>
        <v>51946.999999999993</v>
      </c>
      <c r="J110" s="29">
        <f t="shared" si="9"/>
        <v>53203.000000000015</v>
      </c>
    </row>
    <row r="111" spans="2:10" ht="15" customHeight="1" x14ac:dyDescent="0.25">
      <c r="B111" s="24">
        <v>109</v>
      </c>
      <c r="C111" s="25">
        <f t="shared" si="6"/>
        <v>48945</v>
      </c>
      <c r="D111" s="26">
        <f t="shared" si="7"/>
        <v>126797</v>
      </c>
      <c r="E111" s="26">
        <f>IF(D111&gt;0.01,ROUND(D111*Kreditrechner!$C$6/12,2),0)</f>
        <v>396.24</v>
      </c>
      <c r="F111" s="26">
        <f>IF(D111&gt;0.01,ROUND(MIN(Kreditrechner!$C$11-E111,D111),2),0)</f>
        <v>466.26</v>
      </c>
      <c r="G111" s="11"/>
      <c r="H111" s="26">
        <f t="shared" si="5"/>
        <v>126330.74</v>
      </c>
      <c r="I111" s="26">
        <f t="shared" si="8"/>
        <v>52343.239999999991</v>
      </c>
      <c r="J111" s="26">
        <f t="shared" si="9"/>
        <v>53669.260000000017</v>
      </c>
    </row>
    <row r="112" spans="2:10" ht="15" customHeight="1" x14ac:dyDescent="0.25">
      <c r="B112" s="27">
        <v>110</v>
      </c>
      <c r="C112" s="28">
        <f t="shared" si="6"/>
        <v>48976</v>
      </c>
      <c r="D112" s="29">
        <f t="shared" si="7"/>
        <v>126330.74</v>
      </c>
      <c r="E112" s="29">
        <f>IF(D112&gt;0.01,ROUND(D112*Kreditrechner!$C$6/12,2),0)</f>
        <v>394.78</v>
      </c>
      <c r="F112" s="29">
        <f>IF(D112&gt;0.01,ROUND(MIN(Kreditrechner!$C$11-E112,D112),2),0)</f>
        <v>467.72</v>
      </c>
      <c r="G112" s="11"/>
      <c r="H112" s="29">
        <f t="shared" si="5"/>
        <v>125863.02</v>
      </c>
      <c r="I112" s="29">
        <f t="shared" si="8"/>
        <v>52738.01999999999</v>
      </c>
      <c r="J112" s="29">
        <f t="shared" si="9"/>
        <v>54136.980000000018</v>
      </c>
    </row>
    <row r="113" spans="2:10" ht="15" customHeight="1" x14ac:dyDescent="0.25">
      <c r="B113" s="24">
        <v>111</v>
      </c>
      <c r="C113" s="25">
        <f t="shared" si="6"/>
        <v>49004</v>
      </c>
      <c r="D113" s="26">
        <f t="shared" si="7"/>
        <v>125863.02</v>
      </c>
      <c r="E113" s="26">
        <f>IF(D113&gt;0.01,ROUND(D113*Kreditrechner!$C$6/12,2),0)</f>
        <v>393.32</v>
      </c>
      <c r="F113" s="26">
        <f>IF(D113&gt;0.01,ROUND(MIN(Kreditrechner!$C$11-E113,D113),2),0)</f>
        <v>469.18</v>
      </c>
      <c r="G113" s="11"/>
      <c r="H113" s="26">
        <f t="shared" si="5"/>
        <v>125393.84</v>
      </c>
      <c r="I113" s="26">
        <f t="shared" si="8"/>
        <v>53131.339999999989</v>
      </c>
      <c r="J113" s="26">
        <f t="shared" si="9"/>
        <v>54606.160000000018</v>
      </c>
    </row>
    <row r="114" spans="2:10" ht="15" customHeight="1" x14ac:dyDescent="0.25">
      <c r="B114" s="27">
        <v>112</v>
      </c>
      <c r="C114" s="28">
        <f t="shared" si="6"/>
        <v>49035</v>
      </c>
      <c r="D114" s="29">
        <f t="shared" si="7"/>
        <v>125393.84</v>
      </c>
      <c r="E114" s="29">
        <f>IF(D114&gt;0.01,ROUND(D114*Kreditrechner!$C$6/12,2),0)</f>
        <v>391.86</v>
      </c>
      <c r="F114" s="29">
        <f>IF(D114&gt;0.01,ROUND(MIN(Kreditrechner!$C$11-E114,D114),2),0)</f>
        <v>470.64</v>
      </c>
      <c r="G114" s="11"/>
      <c r="H114" s="29">
        <f t="shared" si="5"/>
        <v>124923.2</v>
      </c>
      <c r="I114" s="29">
        <f t="shared" si="8"/>
        <v>53523.19999999999</v>
      </c>
      <c r="J114" s="29">
        <f t="shared" si="9"/>
        <v>55076.800000000017</v>
      </c>
    </row>
    <row r="115" spans="2:10" ht="15" customHeight="1" x14ac:dyDescent="0.25">
      <c r="B115" s="24">
        <v>113</v>
      </c>
      <c r="C115" s="25">
        <f t="shared" si="6"/>
        <v>49065</v>
      </c>
      <c r="D115" s="26">
        <f t="shared" si="7"/>
        <v>124923.2</v>
      </c>
      <c r="E115" s="26">
        <f>IF(D115&gt;0.01,ROUND(D115*Kreditrechner!$C$6/12,2),0)</f>
        <v>390.39</v>
      </c>
      <c r="F115" s="26">
        <f>IF(D115&gt;0.01,ROUND(MIN(Kreditrechner!$C$11-E115,D115),2),0)</f>
        <v>472.11</v>
      </c>
      <c r="G115" s="11"/>
      <c r="H115" s="26">
        <f t="shared" si="5"/>
        <v>124451.09</v>
      </c>
      <c r="I115" s="26">
        <f t="shared" si="8"/>
        <v>53913.589999999989</v>
      </c>
      <c r="J115" s="26">
        <f t="shared" si="9"/>
        <v>55548.910000000018</v>
      </c>
    </row>
    <row r="116" spans="2:10" ht="15" customHeight="1" x14ac:dyDescent="0.25">
      <c r="B116" s="27">
        <v>114</v>
      </c>
      <c r="C116" s="28">
        <f t="shared" si="6"/>
        <v>49096</v>
      </c>
      <c r="D116" s="29">
        <f t="shared" si="7"/>
        <v>124451.09</v>
      </c>
      <c r="E116" s="29">
        <f>IF(D116&gt;0.01,ROUND(D116*Kreditrechner!$C$6/12,2),0)</f>
        <v>388.91</v>
      </c>
      <c r="F116" s="29">
        <f>IF(D116&gt;0.01,ROUND(MIN(Kreditrechner!$C$11-E116,D116),2),0)</f>
        <v>473.59</v>
      </c>
      <c r="G116" s="11"/>
      <c r="H116" s="29">
        <f t="shared" si="5"/>
        <v>123977.5</v>
      </c>
      <c r="I116" s="29">
        <f t="shared" si="8"/>
        <v>54302.499999999993</v>
      </c>
      <c r="J116" s="29">
        <f t="shared" si="9"/>
        <v>56022.500000000015</v>
      </c>
    </row>
    <row r="117" spans="2:10" ht="15" customHeight="1" x14ac:dyDescent="0.25">
      <c r="B117" s="24">
        <v>115</v>
      </c>
      <c r="C117" s="25">
        <f t="shared" si="6"/>
        <v>49126</v>
      </c>
      <c r="D117" s="26">
        <f t="shared" si="7"/>
        <v>123977.5</v>
      </c>
      <c r="E117" s="26">
        <f>IF(D117&gt;0.01,ROUND(D117*Kreditrechner!$C$6/12,2),0)</f>
        <v>387.43</v>
      </c>
      <c r="F117" s="26">
        <f>IF(D117&gt;0.01,ROUND(MIN(Kreditrechner!$C$11-E117,D117),2),0)</f>
        <v>475.07</v>
      </c>
      <c r="G117" s="11"/>
      <c r="H117" s="26">
        <f t="shared" si="5"/>
        <v>123502.43</v>
      </c>
      <c r="I117" s="26">
        <f t="shared" si="8"/>
        <v>54689.929999999993</v>
      </c>
      <c r="J117" s="26">
        <f t="shared" si="9"/>
        <v>56497.570000000014</v>
      </c>
    </row>
    <row r="118" spans="2:10" ht="15" customHeight="1" x14ac:dyDescent="0.25">
      <c r="B118" s="27">
        <v>116</v>
      </c>
      <c r="C118" s="28">
        <f t="shared" si="6"/>
        <v>49157</v>
      </c>
      <c r="D118" s="29">
        <f t="shared" si="7"/>
        <v>123502.43</v>
      </c>
      <c r="E118" s="29">
        <f>IF(D118&gt;0.01,ROUND(D118*Kreditrechner!$C$6/12,2),0)</f>
        <v>385.95</v>
      </c>
      <c r="F118" s="29">
        <f>IF(D118&gt;0.01,ROUND(MIN(Kreditrechner!$C$11-E118,D118),2),0)</f>
        <v>476.55</v>
      </c>
      <c r="G118" s="11"/>
      <c r="H118" s="29">
        <f t="shared" si="5"/>
        <v>123025.88</v>
      </c>
      <c r="I118" s="29">
        <f t="shared" si="8"/>
        <v>55075.87999999999</v>
      </c>
      <c r="J118" s="29">
        <f t="shared" si="9"/>
        <v>56974.120000000017</v>
      </c>
    </row>
    <row r="119" spans="2:10" ht="15" customHeight="1" x14ac:dyDescent="0.25">
      <c r="B119" s="24">
        <v>117</v>
      </c>
      <c r="C119" s="25">
        <f t="shared" si="6"/>
        <v>49188</v>
      </c>
      <c r="D119" s="26">
        <f t="shared" si="7"/>
        <v>123025.88</v>
      </c>
      <c r="E119" s="26">
        <f>IF(D119&gt;0.01,ROUND(D119*Kreditrechner!$C$6/12,2),0)</f>
        <v>384.46</v>
      </c>
      <c r="F119" s="26">
        <f>IF(D119&gt;0.01,ROUND(MIN(Kreditrechner!$C$11-E119,D119),2),0)</f>
        <v>478.04</v>
      </c>
      <c r="G119" s="11"/>
      <c r="H119" s="26">
        <f t="shared" si="5"/>
        <v>122547.84</v>
      </c>
      <c r="I119" s="26">
        <f t="shared" si="8"/>
        <v>55460.339999999989</v>
      </c>
      <c r="J119" s="26">
        <f t="shared" si="9"/>
        <v>57452.160000000018</v>
      </c>
    </row>
    <row r="120" spans="2:10" ht="15" customHeight="1" x14ac:dyDescent="0.25">
      <c r="B120" s="27">
        <v>118</v>
      </c>
      <c r="C120" s="28">
        <f t="shared" si="6"/>
        <v>49218</v>
      </c>
      <c r="D120" s="29">
        <f t="shared" si="7"/>
        <v>122547.84</v>
      </c>
      <c r="E120" s="29">
        <f>IF(D120&gt;0.01,ROUND(D120*Kreditrechner!$C$6/12,2),0)</f>
        <v>382.96</v>
      </c>
      <c r="F120" s="29">
        <f>IF(D120&gt;0.01,ROUND(MIN(Kreditrechner!$C$11-E120,D120),2),0)</f>
        <v>479.54</v>
      </c>
      <c r="G120" s="11"/>
      <c r="H120" s="29">
        <f t="shared" si="5"/>
        <v>122068.3</v>
      </c>
      <c r="I120" s="29">
        <f t="shared" si="8"/>
        <v>55843.299999999988</v>
      </c>
      <c r="J120" s="29">
        <f t="shared" si="9"/>
        <v>57931.700000000019</v>
      </c>
    </row>
    <row r="121" spans="2:10" ht="15" customHeight="1" x14ac:dyDescent="0.25">
      <c r="B121" s="24">
        <v>119</v>
      </c>
      <c r="C121" s="25">
        <f t="shared" si="6"/>
        <v>49249</v>
      </c>
      <c r="D121" s="26">
        <f t="shared" si="7"/>
        <v>122068.3</v>
      </c>
      <c r="E121" s="26">
        <f>IF(D121&gt;0.01,ROUND(D121*Kreditrechner!$C$6/12,2),0)</f>
        <v>381.46</v>
      </c>
      <c r="F121" s="26">
        <f>IF(D121&gt;0.01,ROUND(MIN(Kreditrechner!$C$11-E121,D121),2),0)</f>
        <v>481.04</v>
      </c>
      <c r="G121" s="11"/>
      <c r="H121" s="26">
        <f t="shared" si="5"/>
        <v>121587.26</v>
      </c>
      <c r="I121" s="26">
        <f t="shared" si="8"/>
        <v>56224.759999999987</v>
      </c>
      <c r="J121" s="26">
        <f t="shared" si="9"/>
        <v>58412.74000000002</v>
      </c>
    </row>
    <row r="122" spans="2:10" ht="15" customHeight="1" x14ac:dyDescent="0.25">
      <c r="B122" s="27">
        <v>120</v>
      </c>
      <c r="C122" s="28">
        <f t="shared" si="6"/>
        <v>49279</v>
      </c>
      <c r="D122" s="29">
        <f t="shared" si="7"/>
        <v>121587.26</v>
      </c>
      <c r="E122" s="29">
        <f>IF(D122&gt;0.01,ROUND(D122*Kreditrechner!$C$6/12,2),0)</f>
        <v>379.96</v>
      </c>
      <c r="F122" s="29">
        <f>IF(D122&gt;0.01,ROUND(MIN(Kreditrechner!$C$11-E122,D122),2),0)</f>
        <v>482.54</v>
      </c>
      <c r="G122" s="11"/>
      <c r="H122" s="29">
        <f t="shared" si="5"/>
        <v>121104.72</v>
      </c>
      <c r="I122" s="29">
        <f t="shared" si="8"/>
        <v>56604.719999999987</v>
      </c>
      <c r="J122" s="29">
        <f t="shared" si="9"/>
        <v>58895.280000000021</v>
      </c>
    </row>
    <row r="123" spans="2:10" ht="15" customHeight="1" x14ac:dyDescent="0.25">
      <c r="B123" s="24">
        <v>121</v>
      </c>
      <c r="C123" s="25">
        <f t="shared" si="6"/>
        <v>49310</v>
      </c>
      <c r="D123" s="26">
        <f t="shared" si="7"/>
        <v>121104.72</v>
      </c>
      <c r="E123" s="26">
        <f>IF(D123&gt;0.01,ROUND(D123*Kreditrechner!$C$6/12,2),0)</f>
        <v>378.45</v>
      </c>
      <c r="F123" s="26">
        <f>IF(D123&gt;0.01,ROUND(MIN(Kreditrechner!$C$11-E123,D123),2),0)</f>
        <v>484.05</v>
      </c>
      <c r="G123" s="11"/>
      <c r="H123" s="26">
        <f t="shared" si="5"/>
        <v>120620.67</v>
      </c>
      <c r="I123" s="26">
        <f t="shared" si="8"/>
        <v>56983.169999999984</v>
      </c>
      <c r="J123" s="26">
        <f t="shared" si="9"/>
        <v>59379.330000000024</v>
      </c>
    </row>
    <row r="124" spans="2:10" ht="15" customHeight="1" x14ac:dyDescent="0.25">
      <c r="B124" s="27">
        <v>122</v>
      </c>
      <c r="C124" s="28">
        <f t="shared" si="6"/>
        <v>49341</v>
      </c>
      <c r="D124" s="29">
        <f t="shared" si="7"/>
        <v>120620.67</v>
      </c>
      <c r="E124" s="29">
        <f>IF(D124&gt;0.01,ROUND(D124*Kreditrechner!$C$6/12,2),0)</f>
        <v>376.94</v>
      </c>
      <c r="F124" s="29">
        <f>IF(D124&gt;0.01,ROUND(MIN(Kreditrechner!$C$11-E124,D124),2),0)</f>
        <v>485.56</v>
      </c>
      <c r="G124" s="11"/>
      <c r="H124" s="29">
        <f t="shared" si="5"/>
        <v>120135.11</v>
      </c>
      <c r="I124" s="29">
        <f t="shared" si="8"/>
        <v>57360.109999999986</v>
      </c>
      <c r="J124" s="29">
        <f t="shared" si="9"/>
        <v>59864.890000000021</v>
      </c>
    </row>
    <row r="125" spans="2:10" ht="15" customHeight="1" x14ac:dyDescent="0.25">
      <c r="B125" s="24">
        <v>123</v>
      </c>
      <c r="C125" s="25">
        <f t="shared" si="6"/>
        <v>49369</v>
      </c>
      <c r="D125" s="26">
        <f t="shared" si="7"/>
        <v>120135.11</v>
      </c>
      <c r="E125" s="26">
        <f>IF(D125&gt;0.01,ROUND(D125*Kreditrechner!$C$6/12,2),0)</f>
        <v>375.42</v>
      </c>
      <c r="F125" s="26">
        <f>IF(D125&gt;0.01,ROUND(MIN(Kreditrechner!$C$11-E125,D125),2),0)</f>
        <v>487.08</v>
      </c>
      <c r="G125" s="11"/>
      <c r="H125" s="26">
        <f t="shared" si="5"/>
        <v>119648.03</v>
      </c>
      <c r="I125" s="26">
        <f t="shared" si="8"/>
        <v>57735.529999999984</v>
      </c>
      <c r="J125" s="26">
        <f t="shared" si="9"/>
        <v>60351.970000000023</v>
      </c>
    </row>
    <row r="126" spans="2:10" ht="15" customHeight="1" x14ac:dyDescent="0.25">
      <c r="B126" s="27">
        <v>124</v>
      </c>
      <c r="C126" s="28">
        <f t="shared" si="6"/>
        <v>49400</v>
      </c>
      <c r="D126" s="29">
        <f t="shared" si="7"/>
        <v>119648.03</v>
      </c>
      <c r="E126" s="29">
        <f>IF(D126&gt;0.01,ROUND(D126*Kreditrechner!$C$6/12,2),0)</f>
        <v>373.9</v>
      </c>
      <c r="F126" s="29">
        <f>IF(D126&gt;0.01,ROUND(MIN(Kreditrechner!$C$11-E126,D126),2),0)</f>
        <v>488.6</v>
      </c>
      <c r="G126" s="11"/>
      <c r="H126" s="29">
        <f t="shared" si="5"/>
        <v>119159.43</v>
      </c>
      <c r="I126" s="29">
        <f t="shared" si="8"/>
        <v>58109.429999999986</v>
      </c>
      <c r="J126" s="29">
        <f t="shared" si="9"/>
        <v>60840.570000000022</v>
      </c>
    </row>
    <row r="127" spans="2:10" ht="15" customHeight="1" x14ac:dyDescent="0.25">
      <c r="B127" s="24">
        <v>125</v>
      </c>
      <c r="C127" s="25">
        <f t="shared" si="6"/>
        <v>49430</v>
      </c>
      <c r="D127" s="26">
        <f t="shared" si="7"/>
        <v>119159.43</v>
      </c>
      <c r="E127" s="26">
        <f>IF(D127&gt;0.01,ROUND(D127*Kreditrechner!$C$6/12,2),0)</f>
        <v>372.37</v>
      </c>
      <c r="F127" s="26">
        <f>IF(D127&gt;0.01,ROUND(MIN(Kreditrechner!$C$11-E127,D127),2),0)</f>
        <v>490.13</v>
      </c>
      <c r="G127" s="11"/>
      <c r="H127" s="26">
        <f t="shared" si="5"/>
        <v>118669.3</v>
      </c>
      <c r="I127" s="26">
        <f t="shared" si="8"/>
        <v>58481.799999999988</v>
      </c>
      <c r="J127" s="26">
        <f t="shared" si="9"/>
        <v>61330.700000000019</v>
      </c>
    </row>
    <row r="128" spans="2:10" ht="15" customHeight="1" x14ac:dyDescent="0.25">
      <c r="B128" s="27">
        <v>126</v>
      </c>
      <c r="C128" s="28">
        <f t="shared" si="6"/>
        <v>49461</v>
      </c>
      <c r="D128" s="29">
        <f t="shared" si="7"/>
        <v>118669.3</v>
      </c>
      <c r="E128" s="29">
        <f>IF(D128&gt;0.01,ROUND(D128*Kreditrechner!$C$6/12,2),0)</f>
        <v>370.84</v>
      </c>
      <c r="F128" s="29">
        <f>IF(D128&gt;0.01,ROUND(MIN(Kreditrechner!$C$11-E128,D128),2),0)</f>
        <v>491.66</v>
      </c>
      <c r="G128" s="11"/>
      <c r="H128" s="29">
        <f t="shared" si="5"/>
        <v>118177.64</v>
      </c>
      <c r="I128" s="29">
        <f t="shared" si="8"/>
        <v>58852.639999999985</v>
      </c>
      <c r="J128" s="29">
        <f t="shared" si="9"/>
        <v>61822.360000000022</v>
      </c>
    </row>
    <row r="129" spans="2:10" ht="15" customHeight="1" x14ac:dyDescent="0.25">
      <c r="B129" s="24">
        <v>127</v>
      </c>
      <c r="C129" s="25">
        <f t="shared" si="6"/>
        <v>49491</v>
      </c>
      <c r="D129" s="26">
        <f t="shared" si="7"/>
        <v>118177.64</v>
      </c>
      <c r="E129" s="26">
        <f>IF(D129&gt;0.01,ROUND(D129*Kreditrechner!$C$6/12,2),0)</f>
        <v>369.31</v>
      </c>
      <c r="F129" s="26">
        <f>IF(D129&gt;0.01,ROUND(MIN(Kreditrechner!$C$11-E129,D129),2),0)</f>
        <v>493.19</v>
      </c>
      <c r="G129" s="11"/>
      <c r="H129" s="26">
        <f t="shared" si="5"/>
        <v>117684.45</v>
      </c>
      <c r="I129" s="26">
        <f t="shared" si="8"/>
        <v>59221.949999999983</v>
      </c>
      <c r="J129" s="26">
        <f t="shared" si="9"/>
        <v>62315.550000000025</v>
      </c>
    </row>
    <row r="130" spans="2:10" ht="15" customHeight="1" x14ac:dyDescent="0.25">
      <c r="B130" s="27">
        <v>128</v>
      </c>
      <c r="C130" s="28">
        <f t="shared" si="6"/>
        <v>49522</v>
      </c>
      <c r="D130" s="29">
        <f t="shared" si="7"/>
        <v>117684.45</v>
      </c>
      <c r="E130" s="29">
        <f>IF(D130&gt;0.01,ROUND(D130*Kreditrechner!$C$6/12,2),0)</f>
        <v>367.76</v>
      </c>
      <c r="F130" s="29">
        <f>IF(D130&gt;0.01,ROUND(MIN(Kreditrechner!$C$11-E130,D130),2),0)</f>
        <v>494.74</v>
      </c>
      <c r="G130" s="11"/>
      <c r="H130" s="29">
        <f t="shared" si="5"/>
        <v>117189.71</v>
      </c>
      <c r="I130" s="29">
        <f t="shared" si="8"/>
        <v>59589.709999999985</v>
      </c>
      <c r="J130" s="29">
        <f t="shared" si="9"/>
        <v>62810.290000000023</v>
      </c>
    </row>
    <row r="131" spans="2:10" ht="15" customHeight="1" x14ac:dyDescent="0.25">
      <c r="B131" s="24">
        <v>129</v>
      </c>
      <c r="C131" s="25">
        <f t="shared" si="6"/>
        <v>49553</v>
      </c>
      <c r="D131" s="26">
        <f t="shared" si="7"/>
        <v>117189.71</v>
      </c>
      <c r="E131" s="26">
        <f>IF(D131&gt;0.01,ROUND(D131*Kreditrechner!$C$6/12,2),0)</f>
        <v>366.22</v>
      </c>
      <c r="F131" s="26">
        <f>IF(D131&gt;0.01,ROUND(MIN(Kreditrechner!$C$11-E131,D131),2),0)</f>
        <v>496.28</v>
      </c>
      <c r="G131" s="11"/>
      <c r="H131" s="26">
        <f t="shared" ref="H131:H194" si="10">IF(D131&gt;0.01,ROUND(MAX(D131-F131-IF(ISNUMBER(G131),G131,0),0),2),0)</f>
        <v>116693.43</v>
      </c>
      <c r="I131" s="26">
        <f t="shared" si="8"/>
        <v>59955.929999999986</v>
      </c>
      <c r="J131" s="26">
        <f t="shared" si="9"/>
        <v>63306.570000000022</v>
      </c>
    </row>
    <row r="132" spans="2:10" ht="15" customHeight="1" x14ac:dyDescent="0.25">
      <c r="B132" s="27">
        <v>130</v>
      </c>
      <c r="C132" s="28">
        <f t="shared" ref="C132:C195" si="11">EDATE(C131,1)</f>
        <v>49583</v>
      </c>
      <c r="D132" s="29">
        <f t="shared" ref="D132:D195" si="12">IF(H131&gt;0.01,H131,0)</f>
        <v>116693.43</v>
      </c>
      <c r="E132" s="29">
        <f>IF(D132&gt;0.01,ROUND(D132*Kreditrechner!$C$6/12,2),0)</f>
        <v>364.67</v>
      </c>
      <c r="F132" s="29">
        <f>IF(D132&gt;0.01,ROUND(MIN(Kreditrechner!$C$11-E132,D132),2),0)</f>
        <v>497.83</v>
      </c>
      <c r="G132" s="11"/>
      <c r="H132" s="29">
        <f t="shared" si="10"/>
        <v>116195.6</v>
      </c>
      <c r="I132" s="29">
        <f t="shared" ref="I132:I195" si="13">IF(D132&gt;0.01,I131+E132,I131)</f>
        <v>60320.599999999984</v>
      </c>
      <c r="J132" s="29">
        <f t="shared" ref="J132:J195" si="14">IF(D132&gt;0.01,J131+F132+IF(ISNUMBER(G132),G132,0),J131)</f>
        <v>63804.400000000023</v>
      </c>
    </row>
    <row r="133" spans="2:10" ht="15" customHeight="1" x14ac:dyDescent="0.25">
      <c r="B133" s="24">
        <v>131</v>
      </c>
      <c r="C133" s="25">
        <f t="shared" si="11"/>
        <v>49614</v>
      </c>
      <c r="D133" s="26">
        <f t="shared" si="12"/>
        <v>116195.6</v>
      </c>
      <c r="E133" s="26">
        <f>IF(D133&gt;0.01,ROUND(D133*Kreditrechner!$C$6/12,2),0)</f>
        <v>363.11</v>
      </c>
      <c r="F133" s="26">
        <f>IF(D133&gt;0.01,ROUND(MIN(Kreditrechner!$C$11-E133,D133),2),0)</f>
        <v>499.39</v>
      </c>
      <c r="G133" s="11"/>
      <c r="H133" s="26">
        <f t="shared" si="10"/>
        <v>115696.21</v>
      </c>
      <c r="I133" s="26">
        <f t="shared" si="13"/>
        <v>60683.709999999985</v>
      </c>
      <c r="J133" s="26">
        <f t="shared" si="14"/>
        <v>64303.790000000023</v>
      </c>
    </row>
    <row r="134" spans="2:10" ht="15" customHeight="1" x14ac:dyDescent="0.25">
      <c r="B134" s="27">
        <v>132</v>
      </c>
      <c r="C134" s="28">
        <f t="shared" si="11"/>
        <v>49644</v>
      </c>
      <c r="D134" s="29">
        <f t="shared" si="12"/>
        <v>115696.21</v>
      </c>
      <c r="E134" s="29">
        <f>IF(D134&gt;0.01,ROUND(D134*Kreditrechner!$C$6/12,2),0)</f>
        <v>361.55</v>
      </c>
      <c r="F134" s="29">
        <f>IF(D134&gt;0.01,ROUND(MIN(Kreditrechner!$C$11-E134,D134),2),0)</f>
        <v>500.95</v>
      </c>
      <c r="G134" s="11"/>
      <c r="H134" s="29">
        <f t="shared" si="10"/>
        <v>115195.26</v>
      </c>
      <c r="I134" s="29">
        <f t="shared" si="13"/>
        <v>61045.259999999987</v>
      </c>
      <c r="J134" s="29">
        <f t="shared" si="14"/>
        <v>64804.74000000002</v>
      </c>
    </row>
    <row r="135" spans="2:10" ht="15" customHeight="1" x14ac:dyDescent="0.25">
      <c r="B135" s="24">
        <v>133</v>
      </c>
      <c r="C135" s="25">
        <f t="shared" si="11"/>
        <v>49675</v>
      </c>
      <c r="D135" s="26">
        <f t="shared" si="12"/>
        <v>115195.26</v>
      </c>
      <c r="E135" s="26">
        <f>IF(D135&gt;0.01,ROUND(D135*Kreditrechner!$C$6/12,2),0)</f>
        <v>359.99</v>
      </c>
      <c r="F135" s="26">
        <f>IF(D135&gt;0.01,ROUND(MIN(Kreditrechner!$C$11-E135,D135),2),0)</f>
        <v>502.51</v>
      </c>
      <c r="G135" s="11"/>
      <c r="H135" s="26">
        <f t="shared" si="10"/>
        <v>114692.75</v>
      </c>
      <c r="I135" s="26">
        <f t="shared" si="13"/>
        <v>61405.249999999985</v>
      </c>
      <c r="J135" s="26">
        <f t="shared" si="14"/>
        <v>65307.250000000022</v>
      </c>
    </row>
    <row r="136" spans="2:10" ht="15" customHeight="1" x14ac:dyDescent="0.25">
      <c r="B136" s="27">
        <v>134</v>
      </c>
      <c r="C136" s="28">
        <f t="shared" si="11"/>
        <v>49706</v>
      </c>
      <c r="D136" s="29">
        <f t="shared" si="12"/>
        <v>114692.75</v>
      </c>
      <c r="E136" s="29">
        <f>IF(D136&gt;0.01,ROUND(D136*Kreditrechner!$C$6/12,2),0)</f>
        <v>358.41</v>
      </c>
      <c r="F136" s="29">
        <f>IF(D136&gt;0.01,ROUND(MIN(Kreditrechner!$C$11-E136,D136),2),0)</f>
        <v>504.09</v>
      </c>
      <c r="G136" s="11"/>
      <c r="H136" s="29">
        <f t="shared" si="10"/>
        <v>114188.66</v>
      </c>
      <c r="I136" s="29">
        <f t="shared" si="13"/>
        <v>61763.659999999989</v>
      </c>
      <c r="J136" s="29">
        <f t="shared" si="14"/>
        <v>65811.340000000026</v>
      </c>
    </row>
    <row r="137" spans="2:10" ht="15" customHeight="1" x14ac:dyDescent="0.25">
      <c r="B137" s="24">
        <v>135</v>
      </c>
      <c r="C137" s="25">
        <f t="shared" si="11"/>
        <v>49735</v>
      </c>
      <c r="D137" s="26">
        <f t="shared" si="12"/>
        <v>114188.66</v>
      </c>
      <c r="E137" s="26">
        <f>IF(D137&gt;0.01,ROUND(D137*Kreditrechner!$C$6/12,2),0)</f>
        <v>356.84</v>
      </c>
      <c r="F137" s="26">
        <f>IF(D137&gt;0.01,ROUND(MIN(Kreditrechner!$C$11-E137,D137),2),0)</f>
        <v>505.66</v>
      </c>
      <c r="G137" s="11"/>
      <c r="H137" s="26">
        <f t="shared" si="10"/>
        <v>113683</v>
      </c>
      <c r="I137" s="26">
        <f t="shared" si="13"/>
        <v>62120.499999999985</v>
      </c>
      <c r="J137" s="26">
        <f t="shared" si="14"/>
        <v>66317.000000000029</v>
      </c>
    </row>
    <row r="138" spans="2:10" ht="15" customHeight="1" x14ac:dyDescent="0.25">
      <c r="B138" s="27">
        <v>136</v>
      </c>
      <c r="C138" s="28">
        <f t="shared" si="11"/>
        <v>49766</v>
      </c>
      <c r="D138" s="29">
        <f t="shared" si="12"/>
        <v>113683</v>
      </c>
      <c r="E138" s="29">
        <f>IF(D138&gt;0.01,ROUND(D138*Kreditrechner!$C$6/12,2),0)</f>
        <v>355.26</v>
      </c>
      <c r="F138" s="29">
        <f>IF(D138&gt;0.01,ROUND(MIN(Kreditrechner!$C$11-E138,D138),2),0)</f>
        <v>507.24</v>
      </c>
      <c r="G138" s="11"/>
      <c r="H138" s="29">
        <f t="shared" si="10"/>
        <v>113175.76</v>
      </c>
      <c r="I138" s="29">
        <f t="shared" si="13"/>
        <v>62475.759999999987</v>
      </c>
      <c r="J138" s="29">
        <f t="shared" si="14"/>
        <v>66824.240000000034</v>
      </c>
    </row>
    <row r="139" spans="2:10" ht="15" customHeight="1" x14ac:dyDescent="0.25">
      <c r="B139" s="24">
        <v>137</v>
      </c>
      <c r="C139" s="25">
        <f t="shared" si="11"/>
        <v>49796</v>
      </c>
      <c r="D139" s="26">
        <f t="shared" si="12"/>
        <v>113175.76</v>
      </c>
      <c r="E139" s="26">
        <f>IF(D139&gt;0.01,ROUND(D139*Kreditrechner!$C$6/12,2),0)</f>
        <v>353.67</v>
      </c>
      <c r="F139" s="26">
        <f>IF(D139&gt;0.01,ROUND(MIN(Kreditrechner!$C$11-E139,D139),2),0)</f>
        <v>508.83</v>
      </c>
      <c r="G139" s="11"/>
      <c r="H139" s="26">
        <f t="shared" si="10"/>
        <v>112666.93</v>
      </c>
      <c r="I139" s="26">
        <f t="shared" si="13"/>
        <v>62829.429999999986</v>
      </c>
      <c r="J139" s="26">
        <f t="shared" si="14"/>
        <v>67333.070000000036</v>
      </c>
    </row>
    <row r="140" spans="2:10" ht="15" customHeight="1" x14ac:dyDescent="0.25">
      <c r="B140" s="27">
        <v>138</v>
      </c>
      <c r="C140" s="28">
        <f t="shared" si="11"/>
        <v>49827</v>
      </c>
      <c r="D140" s="29">
        <f t="shared" si="12"/>
        <v>112666.93</v>
      </c>
      <c r="E140" s="29">
        <f>IF(D140&gt;0.01,ROUND(D140*Kreditrechner!$C$6/12,2),0)</f>
        <v>352.08</v>
      </c>
      <c r="F140" s="29">
        <f>IF(D140&gt;0.01,ROUND(MIN(Kreditrechner!$C$11-E140,D140),2),0)</f>
        <v>510.42</v>
      </c>
      <c r="G140" s="11"/>
      <c r="H140" s="29">
        <f t="shared" si="10"/>
        <v>112156.51</v>
      </c>
      <c r="I140" s="29">
        <f t="shared" si="13"/>
        <v>63181.509999999987</v>
      </c>
      <c r="J140" s="29">
        <f t="shared" si="14"/>
        <v>67843.490000000034</v>
      </c>
    </row>
    <row r="141" spans="2:10" ht="15" customHeight="1" x14ac:dyDescent="0.25">
      <c r="B141" s="24">
        <v>139</v>
      </c>
      <c r="C141" s="25">
        <f t="shared" si="11"/>
        <v>49857</v>
      </c>
      <c r="D141" s="26">
        <f t="shared" si="12"/>
        <v>112156.51</v>
      </c>
      <c r="E141" s="26">
        <f>IF(D141&gt;0.01,ROUND(D141*Kreditrechner!$C$6/12,2),0)</f>
        <v>350.49</v>
      </c>
      <c r="F141" s="26">
        <f>IF(D141&gt;0.01,ROUND(MIN(Kreditrechner!$C$11-E141,D141),2),0)</f>
        <v>512.01</v>
      </c>
      <c r="G141" s="11"/>
      <c r="H141" s="26">
        <f t="shared" si="10"/>
        <v>111644.5</v>
      </c>
      <c r="I141" s="26">
        <f t="shared" si="13"/>
        <v>63531.999999999985</v>
      </c>
      <c r="J141" s="26">
        <f t="shared" si="14"/>
        <v>68355.500000000029</v>
      </c>
    </row>
    <row r="142" spans="2:10" ht="15" customHeight="1" x14ac:dyDescent="0.25">
      <c r="B142" s="27">
        <v>140</v>
      </c>
      <c r="C142" s="28">
        <f t="shared" si="11"/>
        <v>49888</v>
      </c>
      <c r="D142" s="29">
        <f t="shared" si="12"/>
        <v>111644.5</v>
      </c>
      <c r="E142" s="29">
        <f>IF(D142&gt;0.01,ROUND(D142*Kreditrechner!$C$6/12,2),0)</f>
        <v>348.89</v>
      </c>
      <c r="F142" s="29">
        <f>IF(D142&gt;0.01,ROUND(MIN(Kreditrechner!$C$11-E142,D142),2),0)</f>
        <v>513.61</v>
      </c>
      <c r="G142" s="11"/>
      <c r="H142" s="29">
        <f t="shared" si="10"/>
        <v>111130.89</v>
      </c>
      <c r="I142" s="29">
        <f t="shared" si="13"/>
        <v>63880.889999999985</v>
      </c>
      <c r="J142" s="29">
        <f t="shared" si="14"/>
        <v>68869.11000000003</v>
      </c>
    </row>
    <row r="143" spans="2:10" ht="15" customHeight="1" x14ac:dyDescent="0.25">
      <c r="B143" s="24">
        <v>141</v>
      </c>
      <c r="C143" s="25">
        <f t="shared" si="11"/>
        <v>49919</v>
      </c>
      <c r="D143" s="26">
        <f t="shared" si="12"/>
        <v>111130.89</v>
      </c>
      <c r="E143" s="26">
        <f>IF(D143&gt;0.01,ROUND(D143*Kreditrechner!$C$6/12,2),0)</f>
        <v>347.28</v>
      </c>
      <c r="F143" s="26">
        <f>IF(D143&gt;0.01,ROUND(MIN(Kreditrechner!$C$11-E143,D143),2),0)</f>
        <v>515.22</v>
      </c>
      <c r="G143" s="11"/>
      <c r="H143" s="26">
        <f t="shared" si="10"/>
        <v>110615.67</v>
      </c>
      <c r="I143" s="26">
        <f t="shared" si="13"/>
        <v>64228.169999999984</v>
      </c>
      <c r="J143" s="26">
        <f t="shared" si="14"/>
        <v>69384.330000000031</v>
      </c>
    </row>
    <row r="144" spans="2:10" ht="15" customHeight="1" x14ac:dyDescent="0.25">
      <c r="B144" s="27">
        <v>142</v>
      </c>
      <c r="C144" s="28">
        <f t="shared" si="11"/>
        <v>49949</v>
      </c>
      <c r="D144" s="29">
        <f t="shared" si="12"/>
        <v>110615.67</v>
      </c>
      <c r="E144" s="29">
        <f>IF(D144&gt;0.01,ROUND(D144*Kreditrechner!$C$6/12,2),0)</f>
        <v>345.67</v>
      </c>
      <c r="F144" s="29">
        <f>IF(D144&gt;0.01,ROUND(MIN(Kreditrechner!$C$11-E144,D144),2),0)</f>
        <v>516.83000000000004</v>
      </c>
      <c r="G144" s="11"/>
      <c r="H144" s="29">
        <f t="shared" si="10"/>
        <v>110098.84</v>
      </c>
      <c r="I144" s="29">
        <f t="shared" si="13"/>
        <v>64573.839999999982</v>
      </c>
      <c r="J144" s="29">
        <f t="shared" si="14"/>
        <v>69901.160000000033</v>
      </c>
    </row>
    <row r="145" spans="2:10" ht="15" customHeight="1" x14ac:dyDescent="0.25">
      <c r="B145" s="24">
        <v>143</v>
      </c>
      <c r="C145" s="25">
        <f t="shared" si="11"/>
        <v>49980</v>
      </c>
      <c r="D145" s="26">
        <f t="shared" si="12"/>
        <v>110098.84</v>
      </c>
      <c r="E145" s="26">
        <f>IF(D145&gt;0.01,ROUND(D145*Kreditrechner!$C$6/12,2),0)</f>
        <v>344.06</v>
      </c>
      <c r="F145" s="26">
        <f>IF(D145&gt;0.01,ROUND(MIN(Kreditrechner!$C$11-E145,D145),2),0)</f>
        <v>518.44000000000005</v>
      </c>
      <c r="G145" s="11"/>
      <c r="H145" s="26">
        <f t="shared" si="10"/>
        <v>109580.4</v>
      </c>
      <c r="I145" s="26">
        <f t="shared" si="13"/>
        <v>64917.89999999998</v>
      </c>
      <c r="J145" s="26">
        <f t="shared" si="14"/>
        <v>70419.600000000035</v>
      </c>
    </row>
    <row r="146" spans="2:10" ht="15" customHeight="1" x14ac:dyDescent="0.25">
      <c r="B146" s="27">
        <v>144</v>
      </c>
      <c r="C146" s="28">
        <f t="shared" si="11"/>
        <v>50010</v>
      </c>
      <c r="D146" s="29">
        <f t="shared" si="12"/>
        <v>109580.4</v>
      </c>
      <c r="E146" s="29">
        <f>IF(D146&gt;0.01,ROUND(D146*Kreditrechner!$C$6/12,2),0)</f>
        <v>342.44</v>
      </c>
      <c r="F146" s="29">
        <f>IF(D146&gt;0.01,ROUND(MIN(Kreditrechner!$C$11-E146,D146),2),0)</f>
        <v>520.05999999999995</v>
      </c>
      <c r="G146" s="11"/>
      <c r="H146" s="29">
        <f t="shared" si="10"/>
        <v>109060.34</v>
      </c>
      <c r="I146" s="29">
        <f t="shared" si="13"/>
        <v>65260.339999999982</v>
      </c>
      <c r="J146" s="29">
        <f t="shared" si="14"/>
        <v>70939.660000000033</v>
      </c>
    </row>
    <row r="147" spans="2:10" ht="15" customHeight="1" x14ac:dyDescent="0.25">
      <c r="B147" s="24">
        <v>145</v>
      </c>
      <c r="C147" s="25">
        <f t="shared" si="11"/>
        <v>50041</v>
      </c>
      <c r="D147" s="26">
        <f t="shared" si="12"/>
        <v>109060.34</v>
      </c>
      <c r="E147" s="26">
        <f>IF(D147&gt;0.01,ROUND(D147*Kreditrechner!$C$6/12,2),0)</f>
        <v>340.81</v>
      </c>
      <c r="F147" s="26">
        <f>IF(D147&gt;0.01,ROUND(MIN(Kreditrechner!$C$11-E147,D147),2),0)</f>
        <v>521.69000000000005</v>
      </c>
      <c r="G147" s="11"/>
      <c r="H147" s="26">
        <f t="shared" si="10"/>
        <v>108538.65</v>
      </c>
      <c r="I147" s="26">
        <f t="shared" si="13"/>
        <v>65601.14999999998</v>
      </c>
      <c r="J147" s="26">
        <f t="shared" si="14"/>
        <v>71461.350000000035</v>
      </c>
    </row>
    <row r="148" spans="2:10" ht="15" customHeight="1" x14ac:dyDescent="0.25">
      <c r="B148" s="27">
        <v>146</v>
      </c>
      <c r="C148" s="28">
        <f t="shared" si="11"/>
        <v>50072</v>
      </c>
      <c r="D148" s="29">
        <f t="shared" si="12"/>
        <v>108538.65</v>
      </c>
      <c r="E148" s="29">
        <f>IF(D148&gt;0.01,ROUND(D148*Kreditrechner!$C$6/12,2),0)</f>
        <v>339.18</v>
      </c>
      <c r="F148" s="29">
        <f>IF(D148&gt;0.01,ROUND(MIN(Kreditrechner!$C$11-E148,D148),2),0)</f>
        <v>523.32000000000005</v>
      </c>
      <c r="G148" s="11"/>
      <c r="H148" s="29">
        <f t="shared" si="10"/>
        <v>108015.33</v>
      </c>
      <c r="I148" s="29">
        <f t="shared" si="13"/>
        <v>65940.329999999973</v>
      </c>
      <c r="J148" s="29">
        <f t="shared" si="14"/>
        <v>71984.670000000042</v>
      </c>
    </row>
    <row r="149" spans="2:10" ht="15" customHeight="1" x14ac:dyDescent="0.25">
      <c r="B149" s="24">
        <v>147</v>
      </c>
      <c r="C149" s="25">
        <f t="shared" si="11"/>
        <v>50100</v>
      </c>
      <c r="D149" s="26">
        <f t="shared" si="12"/>
        <v>108015.33</v>
      </c>
      <c r="E149" s="26">
        <f>IF(D149&gt;0.01,ROUND(D149*Kreditrechner!$C$6/12,2),0)</f>
        <v>337.55</v>
      </c>
      <c r="F149" s="26">
        <f>IF(D149&gt;0.01,ROUND(MIN(Kreditrechner!$C$11-E149,D149),2),0)</f>
        <v>524.95000000000005</v>
      </c>
      <c r="G149" s="11"/>
      <c r="H149" s="26">
        <f t="shared" si="10"/>
        <v>107490.38</v>
      </c>
      <c r="I149" s="26">
        <f t="shared" si="13"/>
        <v>66277.879999999976</v>
      </c>
      <c r="J149" s="26">
        <f t="shared" si="14"/>
        <v>72509.620000000039</v>
      </c>
    </row>
    <row r="150" spans="2:10" ht="15" customHeight="1" x14ac:dyDescent="0.25">
      <c r="B150" s="27">
        <v>148</v>
      </c>
      <c r="C150" s="28">
        <f t="shared" si="11"/>
        <v>50131</v>
      </c>
      <c r="D150" s="29">
        <f t="shared" si="12"/>
        <v>107490.38</v>
      </c>
      <c r="E150" s="29">
        <f>IF(D150&gt;0.01,ROUND(D150*Kreditrechner!$C$6/12,2),0)</f>
        <v>335.91</v>
      </c>
      <c r="F150" s="29">
        <f>IF(D150&gt;0.01,ROUND(MIN(Kreditrechner!$C$11-E150,D150),2),0)</f>
        <v>526.59</v>
      </c>
      <c r="G150" s="11"/>
      <c r="H150" s="29">
        <f t="shared" si="10"/>
        <v>106963.79</v>
      </c>
      <c r="I150" s="29">
        <f t="shared" si="13"/>
        <v>66613.789999999979</v>
      </c>
      <c r="J150" s="29">
        <f t="shared" si="14"/>
        <v>73036.210000000036</v>
      </c>
    </row>
    <row r="151" spans="2:10" ht="15" customHeight="1" x14ac:dyDescent="0.25">
      <c r="B151" s="24">
        <v>149</v>
      </c>
      <c r="C151" s="25">
        <f t="shared" si="11"/>
        <v>50161</v>
      </c>
      <c r="D151" s="26">
        <f t="shared" si="12"/>
        <v>106963.79</v>
      </c>
      <c r="E151" s="26">
        <f>IF(D151&gt;0.01,ROUND(D151*Kreditrechner!$C$6/12,2),0)</f>
        <v>334.26</v>
      </c>
      <c r="F151" s="26">
        <f>IF(D151&gt;0.01,ROUND(MIN(Kreditrechner!$C$11-E151,D151),2),0)</f>
        <v>528.24</v>
      </c>
      <c r="G151" s="11"/>
      <c r="H151" s="26">
        <f t="shared" si="10"/>
        <v>106435.55</v>
      </c>
      <c r="I151" s="26">
        <f t="shared" si="13"/>
        <v>66948.049999999974</v>
      </c>
      <c r="J151" s="26">
        <f t="shared" si="14"/>
        <v>73564.450000000041</v>
      </c>
    </row>
    <row r="152" spans="2:10" ht="15" customHeight="1" x14ac:dyDescent="0.25">
      <c r="B152" s="27">
        <v>150</v>
      </c>
      <c r="C152" s="28">
        <f t="shared" si="11"/>
        <v>50192</v>
      </c>
      <c r="D152" s="29">
        <f t="shared" si="12"/>
        <v>106435.55</v>
      </c>
      <c r="E152" s="29">
        <f>IF(D152&gt;0.01,ROUND(D152*Kreditrechner!$C$6/12,2),0)</f>
        <v>332.61</v>
      </c>
      <c r="F152" s="29">
        <f>IF(D152&gt;0.01,ROUND(MIN(Kreditrechner!$C$11-E152,D152),2),0)</f>
        <v>529.89</v>
      </c>
      <c r="G152" s="11"/>
      <c r="H152" s="29">
        <f t="shared" si="10"/>
        <v>105905.66</v>
      </c>
      <c r="I152" s="29">
        <f t="shared" si="13"/>
        <v>67280.659999999974</v>
      </c>
      <c r="J152" s="29">
        <f t="shared" si="14"/>
        <v>74094.34000000004</v>
      </c>
    </row>
    <row r="153" spans="2:10" ht="15" customHeight="1" x14ac:dyDescent="0.25">
      <c r="B153" s="24">
        <v>151</v>
      </c>
      <c r="C153" s="25">
        <f t="shared" si="11"/>
        <v>50222</v>
      </c>
      <c r="D153" s="26">
        <f t="shared" si="12"/>
        <v>105905.66</v>
      </c>
      <c r="E153" s="26">
        <f>IF(D153&gt;0.01,ROUND(D153*Kreditrechner!$C$6/12,2),0)</f>
        <v>330.96</v>
      </c>
      <c r="F153" s="26">
        <f>IF(D153&gt;0.01,ROUND(MIN(Kreditrechner!$C$11-E153,D153),2),0)</f>
        <v>531.54</v>
      </c>
      <c r="G153" s="11"/>
      <c r="H153" s="26">
        <f t="shared" si="10"/>
        <v>105374.12</v>
      </c>
      <c r="I153" s="26">
        <f t="shared" si="13"/>
        <v>67611.619999999981</v>
      </c>
      <c r="J153" s="26">
        <f t="shared" si="14"/>
        <v>74625.880000000034</v>
      </c>
    </row>
    <row r="154" spans="2:10" ht="15" customHeight="1" x14ac:dyDescent="0.25">
      <c r="B154" s="27">
        <v>152</v>
      </c>
      <c r="C154" s="28">
        <f t="shared" si="11"/>
        <v>50253</v>
      </c>
      <c r="D154" s="29">
        <f t="shared" si="12"/>
        <v>105374.12</v>
      </c>
      <c r="E154" s="29">
        <f>IF(D154&gt;0.01,ROUND(D154*Kreditrechner!$C$6/12,2),0)</f>
        <v>329.29</v>
      </c>
      <c r="F154" s="29">
        <f>IF(D154&gt;0.01,ROUND(MIN(Kreditrechner!$C$11-E154,D154),2),0)</f>
        <v>533.21</v>
      </c>
      <c r="G154" s="11"/>
      <c r="H154" s="29">
        <f t="shared" si="10"/>
        <v>104840.91</v>
      </c>
      <c r="I154" s="29">
        <f t="shared" si="13"/>
        <v>67940.909999999974</v>
      </c>
      <c r="J154" s="29">
        <f t="shared" si="14"/>
        <v>75159.09000000004</v>
      </c>
    </row>
    <row r="155" spans="2:10" ht="15" customHeight="1" x14ac:dyDescent="0.25">
      <c r="B155" s="24">
        <v>153</v>
      </c>
      <c r="C155" s="25">
        <f t="shared" si="11"/>
        <v>50284</v>
      </c>
      <c r="D155" s="26">
        <f t="shared" si="12"/>
        <v>104840.91</v>
      </c>
      <c r="E155" s="26">
        <f>IF(D155&gt;0.01,ROUND(D155*Kreditrechner!$C$6/12,2),0)</f>
        <v>327.63</v>
      </c>
      <c r="F155" s="26">
        <f>IF(D155&gt;0.01,ROUND(MIN(Kreditrechner!$C$11-E155,D155),2),0)</f>
        <v>534.87</v>
      </c>
      <c r="G155" s="11"/>
      <c r="H155" s="26">
        <f t="shared" si="10"/>
        <v>104306.04</v>
      </c>
      <c r="I155" s="26">
        <f t="shared" si="13"/>
        <v>68268.539999999979</v>
      </c>
      <c r="J155" s="26">
        <f t="shared" si="14"/>
        <v>75693.960000000036</v>
      </c>
    </row>
    <row r="156" spans="2:10" ht="15" customHeight="1" x14ac:dyDescent="0.25">
      <c r="B156" s="27">
        <v>154</v>
      </c>
      <c r="C156" s="28">
        <f t="shared" si="11"/>
        <v>50314</v>
      </c>
      <c r="D156" s="29">
        <f t="shared" si="12"/>
        <v>104306.04</v>
      </c>
      <c r="E156" s="29">
        <f>IF(D156&gt;0.01,ROUND(D156*Kreditrechner!$C$6/12,2),0)</f>
        <v>325.95999999999998</v>
      </c>
      <c r="F156" s="29">
        <f>IF(D156&gt;0.01,ROUND(MIN(Kreditrechner!$C$11-E156,D156),2),0)</f>
        <v>536.54</v>
      </c>
      <c r="G156" s="11"/>
      <c r="H156" s="29">
        <f t="shared" si="10"/>
        <v>103769.5</v>
      </c>
      <c r="I156" s="29">
        <f t="shared" si="13"/>
        <v>68594.499999999985</v>
      </c>
      <c r="J156" s="29">
        <f t="shared" si="14"/>
        <v>76230.500000000029</v>
      </c>
    </row>
    <row r="157" spans="2:10" ht="15" customHeight="1" x14ac:dyDescent="0.25">
      <c r="B157" s="24">
        <v>155</v>
      </c>
      <c r="C157" s="25">
        <f t="shared" si="11"/>
        <v>50345</v>
      </c>
      <c r="D157" s="26">
        <f t="shared" si="12"/>
        <v>103769.5</v>
      </c>
      <c r="E157" s="26">
        <f>IF(D157&gt;0.01,ROUND(D157*Kreditrechner!$C$6/12,2),0)</f>
        <v>324.27999999999997</v>
      </c>
      <c r="F157" s="26">
        <f>IF(D157&gt;0.01,ROUND(MIN(Kreditrechner!$C$11-E157,D157),2),0)</f>
        <v>538.22</v>
      </c>
      <c r="G157" s="11"/>
      <c r="H157" s="26">
        <f t="shared" si="10"/>
        <v>103231.28</v>
      </c>
      <c r="I157" s="26">
        <f t="shared" si="13"/>
        <v>68918.779999999984</v>
      </c>
      <c r="J157" s="26">
        <f t="shared" si="14"/>
        <v>76768.72000000003</v>
      </c>
    </row>
    <row r="158" spans="2:10" ht="15" customHeight="1" x14ac:dyDescent="0.25">
      <c r="B158" s="27">
        <v>156</v>
      </c>
      <c r="C158" s="28">
        <f t="shared" si="11"/>
        <v>50375</v>
      </c>
      <c r="D158" s="29">
        <f t="shared" si="12"/>
        <v>103231.28</v>
      </c>
      <c r="E158" s="29">
        <f>IF(D158&gt;0.01,ROUND(D158*Kreditrechner!$C$6/12,2),0)</f>
        <v>322.60000000000002</v>
      </c>
      <c r="F158" s="29">
        <f>IF(D158&gt;0.01,ROUND(MIN(Kreditrechner!$C$11-E158,D158),2),0)</f>
        <v>539.9</v>
      </c>
      <c r="G158" s="11"/>
      <c r="H158" s="29">
        <f t="shared" si="10"/>
        <v>102691.38</v>
      </c>
      <c r="I158" s="29">
        <f t="shared" si="13"/>
        <v>69241.37999999999</v>
      </c>
      <c r="J158" s="29">
        <f t="shared" si="14"/>
        <v>77308.620000000024</v>
      </c>
    </row>
    <row r="159" spans="2:10" ht="15" customHeight="1" x14ac:dyDescent="0.25">
      <c r="B159" s="24">
        <v>157</v>
      </c>
      <c r="C159" s="25">
        <f t="shared" si="11"/>
        <v>50406</v>
      </c>
      <c r="D159" s="26">
        <f t="shared" si="12"/>
        <v>102691.38</v>
      </c>
      <c r="E159" s="26">
        <f>IF(D159&gt;0.01,ROUND(D159*Kreditrechner!$C$6/12,2),0)</f>
        <v>320.91000000000003</v>
      </c>
      <c r="F159" s="26">
        <f>IF(D159&gt;0.01,ROUND(MIN(Kreditrechner!$C$11-E159,D159),2),0)</f>
        <v>541.59</v>
      </c>
      <c r="G159" s="11"/>
      <c r="H159" s="26">
        <f t="shared" si="10"/>
        <v>102149.79</v>
      </c>
      <c r="I159" s="26">
        <f t="shared" si="13"/>
        <v>69562.289999999994</v>
      </c>
      <c r="J159" s="26">
        <f t="shared" si="14"/>
        <v>77850.210000000021</v>
      </c>
    </row>
    <row r="160" spans="2:10" ht="15" customHeight="1" x14ac:dyDescent="0.25">
      <c r="B160" s="27">
        <v>158</v>
      </c>
      <c r="C160" s="28">
        <f t="shared" si="11"/>
        <v>50437</v>
      </c>
      <c r="D160" s="29">
        <f t="shared" si="12"/>
        <v>102149.79</v>
      </c>
      <c r="E160" s="29">
        <f>IF(D160&gt;0.01,ROUND(D160*Kreditrechner!$C$6/12,2),0)</f>
        <v>319.22000000000003</v>
      </c>
      <c r="F160" s="29">
        <f>IF(D160&gt;0.01,ROUND(MIN(Kreditrechner!$C$11-E160,D160),2),0)</f>
        <v>543.28</v>
      </c>
      <c r="G160" s="11"/>
      <c r="H160" s="29">
        <f t="shared" si="10"/>
        <v>101606.51</v>
      </c>
      <c r="I160" s="29">
        <f t="shared" si="13"/>
        <v>69881.509999999995</v>
      </c>
      <c r="J160" s="29">
        <f t="shared" si="14"/>
        <v>78393.49000000002</v>
      </c>
    </row>
    <row r="161" spans="2:10" ht="15" customHeight="1" x14ac:dyDescent="0.25">
      <c r="B161" s="24">
        <v>159</v>
      </c>
      <c r="C161" s="25">
        <f t="shared" si="11"/>
        <v>50465</v>
      </c>
      <c r="D161" s="26">
        <f t="shared" si="12"/>
        <v>101606.51</v>
      </c>
      <c r="E161" s="26">
        <f>IF(D161&gt;0.01,ROUND(D161*Kreditrechner!$C$6/12,2),0)</f>
        <v>317.52</v>
      </c>
      <c r="F161" s="26">
        <f>IF(D161&gt;0.01,ROUND(MIN(Kreditrechner!$C$11-E161,D161),2),0)</f>
        <v>544.98</v>
      </c>
      <c r="G161" s="11"/>
      <c r="H161" s="26">
        <f t="shared" si="10"/>
        <v>101061.53</v>
      </c>
      <c r="I161" s="26">
        <f t="shared" si="13"/>
        <v>70199.03</v>
      </c>
      <c r="J161" s="26">
        <f t="shared" si="14"/>
        <v>78938.470000000016</v>
      </c>
    </row>
    <row r="162" spans="2:10" ht="15" customHeight="1" x14ac:dyDescent="0.25">
      <c r="B162" s="27">
        <v>160</v>
      </c>
      <c r="C162" s="28">
        <f t="shared" si="11"/>
        <v>50496</v>
      </c>
      <c r="D162" s="29">
        <f t="shared" si="12"/>
        <v>101061.53</v>
      </c>
      <c r="E162" s="29">
        <f>IF(D162&gt;0.01,ROUND(D162*Kreditrechner!$C$6/12,2),0)</f>
        <v>315.82</v>
      </c>
      <c r="F162" s="29">
        <f>IF(D162&gt;0.01,ROUND(MIN(Kreditrechner!$C$11-E162,D162),2),0)</f>
        <v>546.67999999999995</v>
      </c>
      <c r="G162" s="11"/>
      <c r="H162" s="29">
        <f t="shared" si="10"/>
        <v>100514.85</v>
      </c>
      <c r="I162" s="29">
        <f t="shared" si="13"/>
        <v>70514.850000000006</v>
      </c>
      <c r="J162" s="29">
        <f t="shared" si="14"/>
        <v>79485.150000000009</v>
      </c>
    </row>
    <row r="163" spans="2:10" ht="15" customHeight="1" x14ac:dyDescent="0.25">
      <c r="B163" s="24">
        <v>161</v>
      </c>
      <c r="C163" s="25">
        <f t="shared" si="11"/>
        <v>50526</v>
      </c>
      <c r="D163" s="26">
        <f t="shared" si="12"/>
        <v>100514.85</v>
      </c>
      <c r="E163" s="26">
        <f>IF(D163&gt;0.01,ROUND(D163*Kreditrechner!$C$6/12,2),0)</f>
        <v>314.11</v>
      </c>
      <c r="F163" s="26">
        <f>IF(D163&gt;0.01,ROUND(MIN(Kreditrechner!$C$11-E163,D163),2),0)</f>
        <v>548.39</v>
      </c>
      <c r="G163" s="11"/>
      <c r="H163" s="26">
        <f t="shared" si="10"/>
        <v>99966.46</v>
      </c>
      <c r="I163" s="26">
        <f t="shared" si="13"/>
        <v>70828.960000000006</v>
      </c>
      <c r="J163" s="26">
        <f t="shared" si="14"/>
        <v>80033.540000000008</v>
      </c>
    </row>
    <row r="164" spans="2:10" ht="15" customHeight="1" x14ac:dyDescent="0.25">
      <c r="B164" s="27">
        <v>162</v>
      </c>
      <c r="C164" s="28">
        <f t="shared" si="11"/>
        <v>50557</v>
      </c>
      <c r="D164" s="29">
        <f t="shared" si="12"/>
        <v>99966.46</v>
      </c>
      <c r="E164" s="29">
        <f>IF(D164&gt;0.01,ROUND(D164*Kreditrechner!$C$6/12,2),0)</f>
        <v>312.39999999999998</v>
      </c>
      <c r="F164" s="29">
        <f>IF(D164&gt;0.01,ROUND(MIN(Kreditrechner!$C$11-E164,D164),2),0)</f>
        <v>550.1</v>
      </c>
      <c r="G164" s="11"/>
      <c r="H164" s="29">
        <f t="shared" si="10"/>
        <v>99416.36</v>
      </c>
      <c r="I164" s="29">
        <f t="shared" si="13"/>
        <v>71141.36</v>
      </c>
      <c r="J164" s="29">
        <f t="shared" si="14"/>
        <v>80583.640000000014</v>
      </c>
    </row>
    <row r="165" spans="2:10" ht="15" customHeight="1" x14ac:dyDescent="0.25">
      <c r="B165" s="24">
        <v>163</v>
      </c>
      <c r="C165" s="25">
        <f t="shared" si="11"/>
        <v>50587</v>
      </c>
      <c r="D165" s="26">
        <f t="shared" si="12"/>
        <v>99416.36</v>
      </c>
      <c r="E165" s="26">
        <f>IF(D165&gt;0.01,ROUND(D165*Kreditrechner!$C$6/12,2),0)</f>
        <v>310.68</v>
      </c>
      <c r="F165" s="26">
        <f>IF(D165&gt;0.01,ROUND(MIN(Kreditrechner!$C$11-E165,D165),2),0)</f>
        <v>551.82000000000005</v>
      </c>
      <c r="G165" s="11"/>
      <c r="H165" s="26">
        <f t="shared" si="10"/>
        <v>98864.54</v>
      </c>
      <c r="I165" s="26">
        <f t="shared" si="13"/>
        <v>71452.039999999994</v>
      </c>
      <c r="J165" s="26">
        <f t="shared" si="14"/>
        <v>81135.460000000021</v>
      </c>
    </row>
    <row r="166" spans="2:10" ht="15" customHeight="1" x14ac:dyDescent="0.25">
      <c r="B166" s="27">
        <v>164</v>
      </c>
      <c r="C166" s="28">
        <f t="shared" si="11"/>
        <v>50618</v>
      </c>
      <c r="D166" s="29">
        <f t="shared" si="12"/>
        <v>98864.54</v>
      </c>
      <c r="E166" s="29">
        <f>IF(D166&gt;0.01,ROUND(D166*Kreditrechner!$C$6/12,2),0)</f>
        <v>308.95</v>
      </c>
      <c r="F166" s="29">
        <f>IF(D166&gt;0.01,ROUND(MIN(Kreditrechner!$C$11-E166,D166),2),0)</f>
        <v>553.54999999999995</v>
      </c>
      <c r="G166" s="11"/>
      <c r="H166" s="29">
        <f t="shared" si="10"/>
        <v>98310.99</v>
      </c>
      <c r="I166" s="29">
        <f t="shared" si="13"/>
        <v>71760.989999999991</v>
      </c>
      <c r="J166" s="29">
        <f t="shared" si="14"/>
        <v>81689.010000000024</v>
      </c>
    </row>
    <row r="167" spans="2:10" ht="15" customHeight="1" x14ac:dyDescent="0.25">
      <c r="B167" s="24">
        <v>165</v>
      </c>
      <c r="C167" s="25">
        <f t="shared" si="11"/>
        <v>50649</v>
      </c>
      <c r="D167" s="26">
        <f t="shared" si="12"/>
        <v>98310.99</v>
      </c>
      <c r="E167" s="26">
        <f>IF(D167&gt;0.01,ROUND(D167*Kreditrechner!$C$6/12,2),0)</f>
        <v>307.22000000000003</v>
      </c>
      <c r="F167" s="26">
        <f>IF(D167&gt;0.01,ROUND(MIN(Kreditrechner!$C$11-E167,D167),2),0)</f>
        <v>555.28</v>
      </c>
      <c r="G167" s="11"/>
      <c r="H167" s="26">
        <f t="shared" si="10"/>
        <v>97755.71</v>
      </c>
      <c r="I167" s="26">
        <f t="shared" si="13"/>
        <v>72068.209999999992</v>
      </c>
      <c r="J167" s="26">
        <f t="shared" si="14"/>
        <v>82244.290000000023</v>
      </c>
    </row>
    <row r="168" spans="2:10" ht="15" customHeight="1" x14ac:dyDescent="0.25">
      <c r="B168" s="27">
        <v>166</v>
      </c>
      <c r="C168" s="28">
        <f t="shared" si="11"/>
        <v>50679</v>
      </c>
      <c r="D168" s="29">
        <f t="shared" si="12"/>
        <v>97755.71</v>
      </c>
      <c r="E168" s="29">
        <f>IF(D168&gt;0.01,ROUND(D168*Kreditrechner!$C$6/12,2),0)</f>
        <v>305.49</v>
      </c>
      <c r="F168" s="29">
        <f>IF(D168&gt;0.01,ROUND(MIN(Kreditrechner!$C$11-E168,D168),2),0)</f>
        <v>557.01</v>
      </c>
      <c r="G168" s="11"/>
      <c r="H168" s="29">
        <f t="shared" si="10"/>
        <v>97198.7</v>
      </c>
      <c r="I168" s="29">
        <f t="shared" si="13"/>
        <v>72373.7</v>
      </c>
      <c r="J168" s="29">
        <f t="shared" si="14"/>
        <v>82801.300000000017</v>
      </c>
    </row>
    <row r="169" spans="2:10" ht="15" customHeight="1" x14ac:dyDescent="0.25">
      <c r="B169" s="24">
        <v>167</v>
      </c>
      <c r="C169" s="25">
        <f t="shared" si="11"/>
        <v>50710</v>
      </c>
      <c r="D169" s="26">
        <f t="shared" si="12"/>
        <v>97198.7</v>
      </c>
      <c r="E169" s="26">
        <f>IF(D169&gt;0.01,ROUND(D169*Kreditrechner!$C$6/12,2),0)</f>
        <v>303.75</v>
      </c>
      <c r="F169" s="26">
        <f>IF(D169&gt;0.01,ROUND(MIN(Kreditrechner!$C$11-E169,D169),2),0)</f>
        <v>558.75</v>
      </c>
      <c r="G169" s="11"/>
      <c r="H169" s="26">
        <f t="shared" si="10"/>
        <v>96639.95</v>
      </c>
      <c r="I169" s="26">
        <f t="shared" si="13"/>
        <v>72677.45</v>
      </c>
      <c r="J169" s="26">
        <f t="shared" si="14"/>
        <v>83360.050000000017</v>
      </c>
    </row>
    <row r="170" spans="2:10" ht="15" customHeight="1" x14ac:dyDescent="0.25">
      <c r="B170" s="27">
        <v>168</v>
      </c>
      <c r="C170" s="28">
        <f t="shared" si="11"/>
        <v>50740</v>
      </c>
      <c r="D170" s="29">
        <f t="shared" si="12"/>
        <v>96639.95</v>
      </c>
      <c r="E170" s="29">
        <f>IF(D170&gt;0.01,ROUND(D170*Kreditrechner!$C$6/12,2),0)</f>
        <v>302</v>
      </c>
      <c r="F170" s="29">
        <f>IF(D170&gt;0.01,ROUND(MIN(Kreditrechner!$C$11-E170,D170),2),0)</f>
        <v>560.5</v>
      </c>
      <c r="G170" s="11"/>
      <c r="H170" s="29">
        <f t="shared" si="10"/>
        <v>96079.45</v>
      </c>
      <c r="I170" s="29">
        <f t="shared" si="13"/>
        <v>72979.45</v>
      </c>
      <c r="J170" s="29">
        <f t="shared" si="14"/>
        <v>83920.550000000017</v>
      </c>
    </row>
    <row r="171" spans="2:10" ht="15" customHeight="1" x14ac:dyDescent="0.25">
      <c r="B171" s="24">
        <v>169</v>
      </c>
      <c r="C171" s="25">
        <f t="shared" si="11"/>
        <v>50771</v>
      </c>
      <c r="D171" s="26">
        <f t="shared" si="12"/>
        <v>96079.45</v>
      </c>
      <c r="E171" s="26">
        <f>IF(D171&gt;0.01,ROUND(D171*Kreditrechner!$C$6/12,2),0)</f>
        <v>300.25</v>
      </c>
      <c r="F171" s="26">
        <f>IF(D171&gt;0.01,ROUND(MIN(Kreditrechner!$C$11-E171,D171),2),0)</f>
        <v>562.25</v>
      </c>
      <c r="G171" s="11"/>
      <c r="H171" s="26">
        <f t="shared" si="10"/>
        <v>95517.2</v>
      </c>
      <c r="I171" s="26">
        <f t="shared" si="13"/>
        <v>73279.7</v>
      </c>
      <c r="J171" s="26">
        <f t="shared" si="14"/>
        <v>84482.800000000017</v>
      </c>
    </row>
    <row r="172" spans="2:10" ht="15" customHeight="1" x14ac:dyDescent="0.25">
      <c r="B172" s="27">
        <v>170</v>
      </c>
      <c r="C172" s="28">
        <f t="shared" si="11"/>
        <v>50802</v>
      </c>
      <c r="D172" s="29">
        <f t="shared" si="12"/>
        <v>95517.2</v>
      </c>
      <c r="E172" s="29">
        <f>IF(D172&gt;0.01,ROUND(D172*Kreditrechner!$C$6/12,2),0)</f>
        <v>298.49</v>
      </c>
      <c r="F172" s="29">
        <f>IF(D172&gt;0.01,ROUND(MIN(Kreditrechner!$C$11-E172,D172),2),0)</f>
        <v>564.01</v>
      </c>
      <c r="G172" s="11"/>
      <c r="H172" s="29">
        <f t="shared" si="10"/>
        <v>94953.19</v>
      </c>
      <c r="I172" s="29">
        <f t="shared" si="13"/>
        <v>73578.19</v>
      </c>
      <c r="J172" s="29">
        <f t="shared" si="14"/>
        <v>85046.810000000012</v>
      </c>
    </row>
    <row r="173" spans="2:10" ht="15" customHeight="1" x14ac:dyDescent="0.25">
      <c r="B173" s="24">
        <v>171</v>
      </c>
      <c r="C173" s="25">
        <f t="shared" si="11"/>
        <v>50830</v>
      </c>
      <c r="D173" s="26">
        <f t="shared" si="12"/>
        <v>94953.19</v>
      </c>
      <c r="E173" s="26">
        <f>IF(D173&gt;0.01,ROUND(D173*Kreditrechner!$C$6/12,2),0)</f>
        <v>296.73</v>
      </c>
      <c r="F173" s="26">
        <f>IF(D173&gt;0.01,ROUND(MIN(Kreditrechner!$C$11-E173,D173),2),0)</f>
        <v>565.77</v>
      </c>
      <c r="G173" s="11"/>
      <c r="H173" s="26">
        <f t="shared" si="10"/>
        <v>94387.42</v>
      </c>
      <c r="I173" s="26">
        <f t="shared" si="13"/>
        <v>73874.92</v>
      </c>
      <c r="J173" s="26">
        <f t="shared" si="14"/>
        <v>85612.580000000016</v>
      </c>
    </row>
    <row r="174" spans="2:10" ht="15" customHeight="1" x14ac:dyDescent="0.25">
      <c r="B174" s="27">
        <v>172</v>
      </c>
      <c r="C174" s="28">
        <f t="shared" si="11"/>
        <v>50861</v>
      </c>
      <c r="D174" s="29">
        <f t="shared" si="12"/>
        <v>94387.42</v>
      </c>
      <c r="E174" s="29">
        <f>IF(D174&gt;0.01,ROUND(D174*Kreditrechner!$C$6/12,2),0)</f>
        <v>294.95999999999998</v>
      </c>
      <c r="F174" s="29">
        <f>IF(D174&gt;0.01,ROUND(MIN(Kreditrechner!$C$11-E174,D174),2),0)</f>
        <v>567.54</v>
      </c>
      <c r="G174" s="11"/>
      <c r="H174" s="29">
        <f t="shared" si="10"/>
        <v>93819.88</v>
      </c>
      <c r="I174" s="29">
        <f t="shared" si="13"/>
        <v>74169.88</v>
      </c>
      <c r="J174" s="29">
        <f t="shared" si="14"/>
        <v>86180.12000000001</v>
      </c>
    </row>
    <row r="175" spans="2:10" ht="15" customHeight="1" x14ac:dyDescent="0.25">
      <c r="B175" s="24">
        <v>173</v>
      </c>
      <c r="C175" s="25">
        <f t="shared" si="11"/>
        <v>50891</v>
      </c>
      <c r="D175" s="26">
        <f t="shared" si="12"/>
        <v>93819.88</v>
      </c>
      <c r="E175" s="26">
        <f>IF(D175&gt;0.01,ROUND(D175*Kreditrechner!$C$6/12,2),0)</f>
        <v>293.19</v>
      </c>
      <c r="F175" s="26">
        <f>IF(D175&gt;0.01,ROUND(MIN(Kreditrechner!$C$11-E175,D175),2),0)</f>
        <v>569.30999999999995</v>
      </c>
      <c r="G175" s="11"/>
      <c r="H175" s="26">
        <f t="shared" si="10"/>
        <v>93250.57</v>
      </c>
      <c r="I175" s="26">
        <f t="shared" si="13"/>
        <v>74463.070000000007</v>
      </c>
      <c r="J175" s="26">
        <f t="shared" si="14"/>
        <v>86749.430000000008</v>
      </c>
    </row>
    <row r="176" spans="2:10" ht="15" customHeight="1" x14ac:dyDescent="0.25">
      <c r="B176" s="27">
        <v>174</v>
      </c>
      <c r="C176" s="28">
        <f t="shared" si="11"/>
        <v>50922</v>
      </c>
      <c r="D176" s="29">
        <f t="shared" si="12"/>
        <v>93250.57</v>
      </c>
      <c r="E176" s="29">
        <f>IF(D176&gt;0.01,ROUND(D176*Kreditrechner!$C$6/12,2),0)</f>
        <v>291.41000000000003</v>
      </c>
      <c r="F176" s="29">
        <f>IF(D176&gt;0.01,ROUND(MIN(Kreditrechner!$C$11-E176,D176),2),0)</f>
        <v>571.09</v>
      </c>
      <c r="G176" s="11"/>
      <c r="H176" s="29">
        <f t="shared" si="10"/>
        <v>92679.48</v>
      </c>
      <c r="I176" s="29">
        <f t="shared" si="13"/>
        <v>74754.48000000001</v>
      </c>
      <c r="J176" s="29">
        <f t="shared" si="14"/>
        <v>87320.52</v>
      </c>
    </row>
    <row r="177" spans="2:10" ht="15" customHeight="1" x14ac:dyDescent="0.25">
      <c r="B177" s="24">
        <v>175</v>
      </c>
      <c r="C177" s="25">
        <f t="shared" si="11"/>
        <v>50952</v>
      </c>
      <c r="D177" s="26">
        <f t="shared" si="12"/>
        <v>92679.48</v>
      </c>
      <c r="E177" s="26">
        <f>IF(D177&gt;0.01,ROUND(D177*Kreditrechner!$C$6/12,2),0)</f>
        <v>289.62</v>
      </c>
      <c r="F177" s="26">
        <f>IF(D177&gt;0.01,ROUND(MIN(Kreditrechner!$C$11-E177,D177),2),0)</f>
        <v>572.88</v>
      </c>
      <c r="G177" s="11"/>
      <c r="H177" s="26">
        <f t="shared" si="10"/>
        <v>92106.6</v>
      </c>
      <c r="I177" s="26">
        <f t="shared" si="13"/>
        <v>75044.100000000006</v>
      </c>
      <c r="J177" s="26">
        <f t="shared" si="14"/>
        <v>87893.400000000009</v>
      </c>
    </row>
    <row r="178" spans="2:10" ht="15" customHeight="1" x14ac:dyDescent="0.25">
      <c r="B178" s="27">
        <v>176</v>
      </c>
      <c r="C178" s="28">
        <f t="shared" si="11"/>
        <v>50983</v>
      </c>
      <c r="D178" s="29">
        <f t="shared" si="12"/>
        <v>92106.6</v>
      </c>
      <c r="E178" s="29">
        <f>IF(D178&gt;0.01,ROUND(D178*Kreditrechner!$C$6/12,2),0)</f>
        <v>287.83</v>
      </c>
      <c r="F178" s="29">
        <f>IF(D178&gt;0.01,ROUND(MIN(Kreditrechner!$C$11-E178,D178),2),0)</f>
        <v>574.66999999999996</v>
      </c>
      <c r="G178" s="11"/>
      <c r="H178" s="29">
        <f t="shared" si="10"/>
        <v>91531.93</v>
      </c>
      <c r="I178" s="29">
        <f t="shared" si="13"/>
        <v>75331.930000000008</v>
      </c>
      <c r="J178" s="29">
        <f t="shared" si="14"/>
        <v>88468.07</v>
      </c>
    </row>
    <row r="179" spans="2:10" ht="15" customHeight="1" x14ac:dyDescent="0.25">
      <c r="B179" s="24">
        <v>177</v>
      </c>
      <c r="C179" s="25">
        <f t="shared" si="11"/>
        <v>51014</v>
      </c>
      <c r="D179" s="26">
        <f t="shared" si="12"/>
        <v>91531.93</v>
      </c>
      <c r="E179" s="26">
        <f>IF(D179&gt;0.01,ROUND(D179*Kreditrechner!$C$6/12,2),0)</f>
        <v>286.04000000000002</v>
      </c>
      <c r="F179" s="26">
        <f>IF(D179&gt;0.01,ROUND(MIN(Kreditrechner!$C$11-E179,D179),2),0)</f>
        <v>576.46</v>
      </c>
      <c r="G179" s="11"/>
      <c r="H179" s="26">
        <f t="shared" si="10"/>
        <v>90955.47</v>
      </c>
      <c r="I179" s="26">
        <f t="shared" si="13"/>
        <v>75617.97</v>
      </c>
      <c r="J179" s="26">
        <f t="shared" si="14"/>
        <v>89044.530000000013</v>
      </c>
    </row>
    <row r="180" spans="2:10" ht="15" customHeight="1" x14ac:dyDescent="0.25">
      <c r="B180" s="27">
        <v>178</v>
      </c>
      <c r="C180" s="28">
        <f t="shared" si="11"/>
        <v>51044</v>
      </c>
      <c r="D180" s="29">
        <f t="shared" si="12"/>
        <v>90955.47</v>
      </c>
      <c r="E180" s="29">
        <f>IF(D180&gt;0.01,ROUND(D180*Kreditrechner!$C$6/12,2),0)</f>
        <v>284.24</v>
      </c>
      <c r="F180" s="29">
        <f>IF(D180&gt;0.01,ROUND(MIN(Kreditrechner!$C$11-E180,D180),2),0)</f>
        <v>578.26</v>
      </c>
      <c r="G180" s="11"/>
      <c r="H180" s="29">
        <f t="shared" si="10"/>
        <v>90377.21</v>
      </c>
      <c r="I180" s="29">
        <f t="shared" si="13"/>
        <v>75902.210000000006</v>
      </c>
      <c r="J180" s="29">
        <f t="shared" si="14"/>
        <v>89622.790000000008</v>
      </c>
    </row>
    <row r="181" spans="2:10" ht="15" customHeight="1" x14ac:dyDescent="0.25">
      <c r="B181" s="24">
        <v>179</v>
      </c>
      <c r="C181" s="25">
        <f t="shared" si="11"/>
        <v>51075</v>
      </c>
      <c r="D181" s="26">
        <f t="shared" si="12"/>
        <v>90377.21</v>
      </c>
      <c r="E181" s="26">
        <f>IF(D181&gt;0.01,ROUND(D181*Kreditrechner!$C$6/12,2),0)</f>
        <v>282.43</v>
      </c>
      <c r="F181" s="26">
        <f>IF(D181&gt;0.01,ROUND(MIN(Kreditrechner!$C$11-E181,D181),2),0)</f>
        <v>580.07000000000005</v>
      </c>
      <c r="G181" s="11"/>
      <c r="H181" s="26">
        <f t="shared" si="10"/>
        <v>89797.14</v>
      </c>
      <c r="I181" s="26">
        <f t="shared" si="13"/>
        <v>76184.639999999999</v>
      </c>
      <c r="J181" s="26">
        <f t="shared" si="14"/>
        <v>90202.860000000015</v>
      </c>
    </row>
    <row r="182" spans="2:10" ht="15" customHeight="1" x14ac:dyDescent="0.25">
      <c r="B182" s="27">
        <v>180</v>
      </c>
      <c r="C182" s="28">
        <f t="shared" si="11"/>
        <v>51105</v>
      </c>
      <c r="D182" s="29">
        <f t="shared" si="12"/>
        <v>89797.14</v>
      </c>
      <c r="E182" s="29">
        <f>IF(D182&gt;0.01,ROUND(D182*Kreditrechner!$C$6/12,2),0)</f>
        <v>280.62</v>
      </c>
      <c r="F182" s="29">
        <f>IF(D182&gt;0.01,ROUND(MIN(Kreditrechner!$C$11-E182,D182),2),0)</f>
        <v>581.88</v>
      </c>
      <c r="G182" s="11"/>
      <c r="H182" s="29">
        <f t="shared" si="10"/>
        <v>89215.26</v>
      </c>
      <c r="I182" s="29">
        <f t="shared" si="13"/>
        <v>76465.259999999995</v>
      </c>
      <c r="J182" s="29">
        <f t="shared" si="14"/>
        <v>90784.74000000002</v>
      </c>
    </row>
    <row r="183" spans="2:10" ht="15" customHeight="1" x14ac:dyDescent="0.25">
      <c r="B183" s="24">
        <v>181</v>
      </c>
      <c r="C183" s="25">
        <f t="shared" si="11"/>
        <v>51136</v>
      </c>
      <c r="D183" s="26">
        <f t="shared" si="12"/>
        <v>89215.26</v>
      </c>
      <c r="E183" s="26">
        <f>IF(D183&gt;0.01,ROUND(D183*Kreditrechner!$C$6/12,2),0)</f>
        <v>278.8</v>
      </c>
      <c r="F183" s="26">
        <f>IF(D183&gt;0.01,ROUND(MIN(Kreditrechner!$C$11-E183,D183),2),0)</f>
        <v>583.70000000000005</v>
      </c>
      <c r="G183" s="11"/>
      <c r="H183" s="26">
        <f t="shared" si="10"/>
        <v>88631.56</v>
      </c>
      <c r="I183" s="26">
        <f t="shared" si="13"/>
        <v>76744.06</v>
      </c>
      <c r="J183" s="26">
        <f t="shared" si="14"/>
        <v>91368.440000000017</v>
      </c>
    </row>
    <row r="184" spans="2:10" ht="15" customHeight="1" x14ac:dyDescent="0.25">
      <c r="B184" s="27">
        <v>182</v>
      </c>
      <c r="C184" s="28">
        <f t="shared" si="11"/>
        <v>51167</v>
      </c>
      <c r="D184" s="29">
        <f t="shared" si="12"/>
        <v>88631.56</v>
      </c>
      <c r="E184" s="29">
        <f>IF(D184&gt;0.01,ROUND(D184*Kreditrechner!$C$6/12,2),0)</f>
        <v>276.97000000000003</v>
      </c>
      <c r="F184" s="29">
        <f>IF(D184&gt;0.01,ROUND(MIN(Kreditrechner!$C$11-E184,D184),2),0)</f>
        <v>585.53</v>
      </c>
      <c r="G184" s="11"/>
      <c r="H184" s="29">
        <f t="shared" si="10"/>
        <v>88046.03</v>
      </c>
      <c r="I184" s="29">
        <f t="shared" si="13"/>
        <v>77021.03</v>
      </c>
      <c r="J184" s="29">
        <f t="shared" si="14"/>
        <v>91953.970000000016</v>
      </c>
    </row>
    <row r="185" spans="2:10" ht="15" customHeight="1" x14ac:dyDescent="0.25">
      <c r="B185" s="24">
        <v>183</v>
      </c>
      <c r="C185" s="25">
        <f t="shared" si="11"/>
        <v>51196</v>
      </c>
      <c r="D185" s="26">
        <f t="shared" si="12"/>
        <v>88046.03</v>
      </c>
      <c r="E185" s="26">
        <f>IF(D185&gt;0.01,ROUND(D185*Kreditrechner!$C$6/12,2),0)</f>
        <v>275.14</v>
      </c>
      <c r="F185" s="26">
        <f>IF(D185&gt;0.01,ROUND(MIN(Kreditrechner!$C$11-E185,D185),2),0)</f>
        <v>587.36</v>
      </c>
      <c r="G185" s="11"/>
      <c r="H185" s="26">
        <f t="shared" si="10"/>
        <v>87458.67</v>
      </c>
      <c r="I185" s="26">
        <f t="shared" si="13"/>
        <v>77296.17</v>
      </c>
      <c r="J185" s="26">
        <f t="shared" si="14"/>
        <v>92541.330000000016</v>
      </c>
    </row>
    <row r="186" spans="2:10" ht="15" customHeight="1" x14ac:dyDescent="0.25">
      <c r="B186" s="27">
        <v>184</v>
      </c>
      <c r="C186" s="28">
        <f t="shared" si="11"/>
        <v>51227</v>
      </c>
      <c r="D186" s="29">
        <f t="shared" si="12"/>
        <v>87458.67</v>
      </c>
      <c r="E186" s="29">
        <f>IF(D186&gt;0.01,ROUND(D186*Kreditrechner!$C$6/12,2),0)</f>
        <v>273.31</v>
      </c>
      <c r="F186" s="29">
        <f>IF(D186&gt;0.01,ROUND(MIN(Kreditrechner!$C$11-E186,D186),2),0)</f>
        <v>589.19000000000005</v>
      </c>
      <c r="G186" s="11"/>
      <c r="H186" s="29">
        <f t="shared" si="10"/>
        <v>86869.48</v>
      </c>
      <c r="I186" s="29">
        <f t="shared" si="13"/>
        <v>77569.48</v>
      </c>
      <c r="J186" s="29">
        <f t="shared" si="14"/>
        <v>93130.520000000019</v>
      </c>
    </row>
    <row r="187" spans="2:10" ht="15" customHeight="1" x14ac:dyDescent="0.25">
      <c r="B187" s="24">
        <v>185</v>
      </c>
      <c r="C187" s="25">
        <f t="shared" si="11"/>
        <v>51257</v>
      </c>
      <c r="D187" s="26">
        <f t="shared" si="12"/>
        <v>86869.48</v>
      </c>
      <c r="E187" s="26">
        <f>IF(D187&gt;0.01,ROUND(D187*Kreditrechner!$C$6/12,2),0)</f>
        <v>271.47000000000003</v>
      </c>
      <c r="F187" s="26">
        <f>IF(D187&gt;0.01,ROUND(MIN(Kreditrechner!$C$11-E187,D187),2),0)</f>
        <v>591.03</v>
      </c>
      <c r="G187" s="11"/>
      <c r="H187" s="26">
        <f t="shared" si="10"/>
        <v>86278.45</v>
      </c>
      <c r="I187" s="26">
        <f t="shared" si="13"/>
        <v>77840.95</v>
      </c>
      <c r="J187" s="26">
        <f t="shared" si="14"/>
        <v>93721.550000000017</v>
      </c>
    </row>
    <row r="188" spans="2:10" ht="15" customHeight="1" x14ac:dyDescent="0.25">
      <c r="B188" s="27">
        <v>186</v>
      </c>
      <c r="C188" s="28">
        <f t="shared" si="11"/>
        <v>51288</v>
      </c>
      <c r="D188" s="29">
        <f t="shared" si="12"/>
        <v>86278.45</v>
      </c>
      <c r="E188" s="29">
        <f>IF(D188&gt;0.01,ROUND(D188*Kreditrechner!$C$6/12,2),0)</f>
        <v>269.62</v>
      </c>
      <c r="F188" s="29">
        <f>IF(D188&gt;0.01,ROUND(MIN(Kreditrechner!$C$11-E188,D188),2),0)</f>
        <v>592.88</v>
      </c>
      <c r="G188" s="11"/>
      <c r="H188" s="29">
        <f t="shared" si="10"/>
        <v>85685.57</v>
      </c>
      <c r="I188" s="29">
        <f t="shared" si="13"/>
        <v>78110.569999999992</v>
      </c>
      <c r="J188" s="29">
        <f t="shared" si="14"/>
        <v>94314.430000000022</v>
      </c>
    </row>
    <row r="189" spans="2:10" ht="15" customHeight="1" x14ac:dyDescent="0.25">
      <c r="B189" s="24">
        <v>187</v>
      </c>
      <c r="C189" s="25">
        <f t="shared" si="11"/>
        <v>51318</v>
      </c>
      <c r="D189" s="26">
        <f t="shared" si="12"/>
        <v>85685.57</v>
      </c>
      <c r="E189" s="26">
        <f>IF(D189&gt;0.01,ROUND(D189*Kreditrechner!$C$6/12,2),0)</f>
        <v>267.77</v>
      </c>
      <c r="F189" s="26">
        <f>IF(D189&gt;0.01,ROUND(MIN(Kreditrechner!$C$11-E189,D189),2),0)</f>
        <v>594.73</v>
      </c>
      <c r="G189" s="11"/>
      <c r="H189" s="26">
        <f t="shared" si="10"/>
        <v>85090.84</v>
      </c>
      <c r="I189" s="26">
        <f t="shared" si="13"/>
        <v>78378.34</v>
      </c>
      <c r="J189" s="26">
        <f t="shared" si="14"/>
        <v>94909.160000000018</v>
      </c>
    </row>
    <row r="190" spans="2:10" ht="15" customHeight="1" x14ac:dyDescent="0.25">
      <c r="B190" s="27">
        <v>188</v>
      </c>
      <c r="C190" s="28">
        <f t="shared" si="11"/>
        <v>51349</v>
      </c>
      <c r="D190" s="29">
        <f t="shared" si="12"/>
        <v>85090.84</v>
      </c>
      <c r="E190" s="29">
        <f>IF(D190&gt;0.01,ROUND(D190*Kreditrechner!$C$6/12,2),0)</f>
        <v>265.91000000000003</v>
      </c>
      <c r="F190" s="29">
        <f>IF(D190&gt;0.01,ROUND(MIN(Kreditrechner!$C$11-E190,D190),2),0)</f>
        <v>596.59</v>
      </c>
      <c r="G190" s="11"/>
      <c r="H190" s="29">
        <f t="shared" si="10"/>
        <v>84494.25</v>
      </c>
      <c r="I190" s="29">
        <f t="shared" si="13"/>
        <v>78644.25</v>
      </c>
      <c r="J190" s="29">
        <f t="shared" si="14"/>
        <v>95505.750000000015</v>
      </c>
    </row>
    <row r="191" spans="2:10" ht="15" customHeight="1" x14ac:dyDescent="0.25">
      <c r="B191" s="24">
        <v>189</v>
      </c>
      <c r="C191" s="25">
        <f t="shared" si="11"/>
        <v>51380</v>
      </c>
      <c r="D191" s="26">
        <f t="shared" si="12"/>
        <v>84494.25</v>
      </c>
      <c r="E191" s="26">
        <f>IF(D191&gt;0.01,ROUND(D191*Kreditrechner!$C$6/12,2),0)</f>
        <v>264.04000000000002</v>
      </c>
      <c r="F191" s="26">
        <f>IF(D191&gt;0.01,ROUND(MIN(Kreditrechner!$C$11-E191,D191),2),0)</f>
        <v>598.46</v>
      </c>
      <c r="G191" s="11"/>
      <c r="H191" s="26">
        <f t="shared" si="10"/>
        <v>83895.79</v>
      </c>
      <c r="I191" s="26">
        <f t="shared" si="13"/>
        <v>78908.289999999994</v>
      </c>
      <c r="J191" s="26">
        <f t="shared" si="14"/>
        <v>96104.210000000021</v>
      </c>
    </row>
    <row r="192" spans="2:10" ht="15" customHeight="1" x14ac:dyDescent="0.25">
      <c r="B192" s="27">
        <v>190</v>
      </c>
      <c r="C192" s="28">
        <f t="shared" si="11"/>
        <v>51410</v>
      </c>
      <c r="D192" s="29">
        <f t="shared" si="12"/>
        <v>83895.79</v>
      </c>
      <c r="E192" s="29">
        <f>IF(D192&gt;0.01,ROUND(D192*Kreditrechner!$C$6/12,2),0)</f>
        <v>262.17</v>
      </c>
      <c r="F192" s="29">
        <f>IF(D192&gt;0.01,ROUND(MIN(Kreditrechner!$C$11-E192,D192),2),0)</f>
        <v>600.33000000000004</v>
      </c>
      <c r="G192" s="11"/>
      <c r="H192" s="29">
        <f t="shared" si="10"/>
        <v>83295.460000000006</v>
      </c>
      <c r="I192" s="29">
        <f t="shared" si="13"/>
        <v>79170.459999999992</v>
      </c>
      <c r="J192" s="29">
        <f t="shared" si="14"/>
        <v>96704.540000000023</v>
      </c>
    </row>
    <row r="193" spans="2:10" ht="15" customHeight="1" x14ac:dyDescent="0.25">
      <c r="B193" s="24">
        <v>191</v>
      </c>
      <c r="C193" s="25">
        <f t="shared" si="11"/>
        <v>51441</v>
      </c>
      <c r="D193" s="26">
        <f t="shared" si="12"/>
        <v>83295.460000000006</v>
      </c>
      <c r="E193" s="26">
        <f>IF(D193&gt;0.01,ROUND(D193*Kreditrechner!$C$6/12,2),0)</f>
        <v>260.3</v>
      </c>
      <c r="F193" s="26">
        <f>IF(D193&gt;0.01,ROUND(MIN(Kreditrechner!$C$11-E193,D193),2),0)</f>
        <v>602.20000000000005</v>
      </c>
      <c r="G193" s="11"/>
      <c r="H193" s="26">
        <f t="shared" si="10"/>
        <v>82693.259999999995</v>
      </c>
      <c r="I193" s="26">
        <f t="shared" si="13"/>
        <v>79430.759999999995</v>
      </c>
      <c r="J193" s="26">
        <f t="shared" si="14"/>
        <v>97306.74000000002</v>
      </c>
    </row>
    <row r="194" spans="2:10" ht="15" customHeight="1" x14ac:dyDescent="0.25">
      <c r="B194" s="27">
        <v>192</v>
      </c>
      <c r="C194" s="28">
        <f t="shared" si="11"/>
        <v>51471</v>
      </c>
      <c r="D194" s="29">
        <f t="shared" si="12"/>
        <v>82693.259999999995</v>
      </c>
      <c r="E194" s="29">
        <f>IF(D194&gt;0.01,ROUND(D194*Kreditrechner!$C$6/12,2),0)</f>
        <v>258.42</v>
      </c>
      <c r="F194" s="29">
        <f>IF(D194&gt;0.01,ROUND(MIN(Kreditrechner!$C$11-E194,D194),2),0)</f>
        <v>604.08000000000004</v>
      </c>
      <c r="G194" s="11"/>
      <c r="H194" s="29">
        <f t="shared" si="10"/>
        <v>82089.179999999993</v>
      </c>
      <c r="I194" s="29">
        <f t="shared" si="13"/>
        <v>79689.179999999993</v>
      </c>
      <c r="J194" s="29">
        <f t="shared" si="14"/>
        <v>97910.820000000022</v>
      </c>
    </row>
    <row r="195" spans="2:10" ht="15" customHeight="1" x14ac:dyDescent="0.25">
      <c r="B195" s="24">
        <v>193</v>
      </c>
      <c r="C195" s="25">
        <f t="shared" si="11"/>
        <v>51502</v>
      </c>
      <c r="D195" s="26">
        <f t="shared" si="12"/>
        <v>82089.179999999993</v>
      </c>
      <c r="E195" s="26">
        <f>IF(D195&gt;0.01,ROUND(D195*Kreditrechner!$C$6/12,2),0)</f>
        <v>256.52999999999997</v>
      </c>
      <c r="F195" s="26">
        <f>IF(D195&gt;0.01,ROUND(MIN(Kreditrechner!$C$11-E195,D195),2),0)</f>
        <v>605.97</v>
      </c>
      <c r="G195" s="11"/>
      <c r="H195" s="26">
        <f t="shared" ref="H195:H258" si="15">IF(D195&gt;0.01,ROUND(MAX(D195-F195-IF(ISNUMBER(G195),G195,0),0),2),0)</f>
        <v>81483.210000000006</v>
      </c>
      <c r="I195" s="26">
        <f t="shared" si="13"/>
        <v>79945.709999999992</v>
      </c>
      <c r="J195" s="26">
        <f t="shared" si="14"/>
        <v>98516.790000000023</v>
      </c>
    </row>
    <row r="196" spans="2:10" ht="15" customHeight="1" x14ac:dyDescent="0.25">
      <c r="B196" s="27">
        <v>194</v>
      </c>
      <c r="C196" s="28">
        <f t="shared" ref="C196:C259" si="16">EDATE(C195,1)</f>
        <v>51533</v>
      </c>
      <c r="D196" s="29">
        <f t="shared" ref="D196:D259" si="17">IF(H195&gt;0.01,H195,0)</f>
        <v>81483.210000000006</v>
      </c>
      <c r="E196" s="29">
        <f>IF(D196&gt;0.01,ROUND(D196*Kreditrechner!$C$6/12,2),0)</f>
        <v>254.64</v>
      </c>
      <c r="F196" s="29">
        <f>IF(D196&gt;0.01,ROUND(MIN(Kreditrechner!$C$11-E196,D196),2),0)</f>
        <v>607.86</v>
      </c>
      <c r="G196" s="11"/>
      <c r="H196" s="29">
        <f t="shared" si="15"/>
        <v>80875.350000000006</v>
      </c>
      <c r="I196" s="29">
        <f t="shared" ref="I196:I259" si="18">IF(D196&gt;0.01,I195+E196,I195)</f>
        <v>80200.349999999991</v>
      </c>
      <c r="J196" s="29">
        <f t="shared" ref="J196:J259" si="19">IF(D196&gt;0.01,J195+F196+IF(ISNUMBER(G196),G196,0),J195)</f>
        <v>99124.650000000023</v>
      </c>
    </row>
    <row r="197" spans="2:10" ht="15" customHeight="1" x14ac:dyDescent="0.25">
      <c r="B197" s="24">
        <v>195</v>
      </c>
      <c r="C197" s="25">
        <f t="shared" si="16"/>
        <v>51561</v>
      </c>
      <c r="D197" s="26">
        <f t="shared" si="17"/>
        <v>80875.350000000006</v>
      </c>
      <c r="E197" s="26">
        <f>IF(D197&gt;0.01,ROUND(D197*Kreditrechner!$C$6/12,2),0)</f>
        <v>252.74</v>
      </c>
      <c r="F197" s="26">
        <f>IF(D197&gt;0.01,ROUND(MIN(Kreditrechner!$C$11-E197,D197),2),0)</f>
        <v>609.76</v>
      </c>
      <c r="G197" s="11"/>
      <c r="H197" s="26">
        <f t="shared" si="15"/>
        <v>80265.59</v>
      </c>
      <c r="I197" s="26">
        <f t="shared" si="18"/>
        <v>80453.09</v>
      </c>
      <c r="J197" s="26">
        <f t="shared" si="19"/>
        <v>99734.410000000018</v>
      </c>
    </row>
    <row r="198" spans="2:10" ht="15" customHeight="1" x14ac:dyDescent="0.25">
      <c r="B198" s="27">
        <v>196</v>
      </c>
      <c r="C198" s="28">
        <f t="shared" si="16"/>
        <v>51592</v>
      </c>
      <c r="D198" s="29">
        <f t="shared" si="17"/>
        <v>80265.59</v>
      </c>
      <c r="E198" s="29">
        <f>IF(D198&gt;0.01,ROUND(D198*Kreditrechner!$C$6/12,2),0)</f>
        <v>250.83</v>
      </c>
      <c r="F198" s="29">
        <f>IF(D198&gt;0.01,ROUND(MIN(Kreditrechner!$C$11-E198,D198),2),0)</f>
        <v>611.66999999999996</v>
      </c>
      <c r="G198" s="11"/>
      <c r="H198" s="29">
        <f t="shared" si="15"/>
        <v>79653.919999999998</v>
      </c>
      <c r="I198" s="29">
        <f t="shared" si="18"/>
        <v>80703.92</v>
      </c>
      <c r="J198" s="29">
        <f t="shared" si="19"/>
        <v>100346.08000000002</v>
      </c>
    </row>
    <row r="199" spans="2:10" ht="15" customHeight="1" x14ac:dyDescent="0.25">
      <c r="B199" s="24">
        <v>197</v>
      </c>
      <c r="C199" s="25">
        <f t="shared" si="16"/>
        <v>51622</v>
      </c>
      <c r="D199" s="26">
        <f t="shared" si="17"/>
        <v>79653.919999999998</v>
      </c>
      <c r="E199" s="26">
        <f>IF(D199&gt;0.01,ROUND(D199*Kreditrechner!$C$6/12,2),0)</f>
        <v>248.92</v>
      </c>
      <c r="F199" s="26">
        <f>IF(D199&gt;0.01,ROUND(MIN(Kreditrechner!$C$11-E199,D199),2),0)</f>
        <v>613.58000000000004</v>
      </c>
      <c r="G199" s="11"/>
      <c r="H199" s="26">
        <f t="shared" si="15"/>
        <v>79040.34</v>
      </c>
      <c r="I199" s="26">
        <f t="shared" si="18"/>
        <v>80952.84</v>
      </c>
      <c r="J199" s="26">
        <f t="shared" si="19"/>
        <v>100959.66000000002</v>
      </c>
    </row>
    <row r="200" spans="2:10" ht="15" customHeight="1" x14ac:dyDescent="0.25">
      <c r="B200" s="27">
        <v>198</v>
      </c>
      <c r="C200" s="28">
        <f t="shared" si="16"/>
        <v>51653</v>
      </c>
      <c r="D200" s="29">
        <f t="shared" si="17"/>
        <v>79040.34</v>
      </c>
      <c r="E200" s="29">
        <f>IF(D200&gt;0.01,ROUND(D200*Kreditrechner!$C$6/12,2),0)</f>
        <v>247</v>
      </c>
      <c r="F200" s="29">
        <f>IF(D200&gt;0.01,ROUND(MIN(Kreditrechner!$C$11-E200,D200),2),0)</f>
        <v>615.5</v>
      </c>
      <c r="G200" s="11"/>
      <c r="H200" s="29">
        <f t="shared" si="15"/>
        <v>78424.84</v>
      </c>
      <c r="I200" s="29">
        <f t="shared" si="18"/>
        <v>81199.839999999997</v>
      </c>
      <c r="J200" s="29">
        <f t="shared" si="19"/>
        <v>101575.16000000002</v>
      </c>
    </row>
    <row r="201" spans="2:10" ht="15" customHeight="1" x14ac:dyDescent="0.25">
      <c r="B201" s="24">
        <v>199</v>
      </c>
      <c r="C201" s="25">
        <f t="shared" si="16"/>
        <v>51683</v>
      </c>
      <c r="D201" s="26">
        <f t="shared" si="17"/>
        <v>78424.84</v>
      </c>
      <c r="E201" s="26">
        <f>IF(D201&gt;0.01,ROUND(D201*Kreditrechner!$C$6/12,2),0)</f>
        <v>245.08</v>
      </c>
      <c r="F201" s="26">
        <f>IF(D201&gt;0.01,ROUND(MIN(Kreditrechner!$C$11-E201,D201),2),0)</f>
        <v>617.41999999999996</v>
      </c>
      <c r="G201" s="11"/>
      <c r="H201" s="26">
        <f t="shared" si="15"/>
        <v>77807.42</v>
      </c>
      <c r="I201" s="26">
        <f t="shared" si="18"/>
        <v>81444.92</v>
      </c>
      <c r="J201" s="26">
        <f t="shared" si="19"/>
        <v>102192.58000000002</v>
      </c>
    </row>
    <row r="202" spans="2:10" ht="15" customHeight="1" x14ac:dyDescent="0.25">
      <c r="B202" s="27">
        <v>200</v>
      </c>
      <c r="C202" s="28">
        <f t="shared" si="16"/>
        <v>51714</v>
      </c>
      <c r="D202" s="29">
        <f t="shared" si="17"/>
        <v>77807.42</v>
      </c>
      <c r="E202" s="29">
        <f>IF(D202&gt;0.01,ROUND(D202*Kreditrechner!$C$6/12,2),0)</f>
        <v>243.15</v>
      </c>
      <c r="F202" s="29">
        <f>IF(D202&gt;0.01,ROUND(MIN(Kreditrechner!$C$11-E202,D202),2),0)</f>
        <v>619.35</v>
      </c>
      <c r="G202" s="11"/>
      <c r="H202" s="29">
        <f t="shared" si="15"/>
        <v>77188.070000000007</v>
      </c>
      <c r="I202" s="29">
        <f t="shared" si="18"/>
        <v>81688.069999999992</v>
      </c>
      <c r="J202" s="29">
        <f t="shared" si="19"/>
        <v>102811.93000000002</v>
      </c>
    </row>
    <row r="203" spans="2:10" ht="15" customHeight="1" x14ac:dyDescent="0.25">
      <c r="B203" s="24">
        <v>201</v>
      </c>
      <c r="C203" s="25">
        <f t="shared" si="16"/>
        <v>51745</v>
      </c>
      <c r="D203" s="26">
        <f t="shared" si="17"/>
        <v>77188.070000000007</v>
      </c>
      <c r="E203" s="26">
        <f>IF(D203&gt;0.01,ROUND(D203*Kreditrechner!$C$6/12,2),0)</f>
        <v>241.21</v>
      </c>
      <c r="F203" s="26">
        <f>IF(D203&gt;0.01,ROUND(MIN(Kreditrechner!$C$11-E203,D203),2),0)</f>
        <v>621.29</v>
      </c>
      <c r="G203" s="11"/>
      <c r="H203" s="26">
        <f t="shared" si="15"/>
        <v>76566.78</v>
      </c>
      <c r="I203" s="26">
        <f t="shared" si="18"/>
        <v>81929.279999999999</v>
      </c>
      <c r="J203" s="26">
        <f t="shared" si="19"/>
        <v>103433.22000000002</v>
      </c>
    </row>
    <row r="204" spans="2:10" ht="15" customHeight="1" x14ac:dyDescent="0.25">
      <c r="B204" s="27">
        <v>202</v>
      </c>
      <c r="C204" s="28">
        <f t="shared" si="16"/>
        <v>51775</v>
      </c>
      <c r="D204" s="29">
        <f t="shared" si="17"/>
        <v>76566.78</v>
      </c>
      <c r="E204" s="29">
        <f>IF(D204&gt;0.01,ROUND(D204*Kreditrechner!$C$6/12,2),0)</f>
        <v>239.27</v>
      </c>
      <c r="F204" s="29">
        <f>IF(D204&gt;0.01,ROUND(MIN(Kreditrechner!$C$11-E204,D204),2),0)</f>
        <v>623.23</v>
      </c>
      <c r="G204" s="11"/>
      <c r="H204" s="29">
        <f t="shared" si="15"/>
        <v>75943.55</v>
      </c>
      <c r="I204" s="29">
        <f t="shared" si="18"/>
        <v>82168.55</v>
      </c>
      <c r="J204" s="29">
        <f t="shared" si="19"/>
        <v>104056.45000000001</v>
      </c>
    </row>
    <row r="205" spans="2:10" ht="15" customHeight="1" x14ac:dyDescent="0.25">
      <c r="B205" s="24">
        <v>203</v>
      </c>
      <c r="C205" s="25">
        <f t="shared" si="16"/>
        <v>51806</v>
      </c>
      <c r="D205" s="26">
        <f t="shared" si="17"/>
        <v>75943.55</v>
      </c>
      <c r="E205" s="26">
        <f>IF(D205&gt;0.01,ROUND(D205*Kreditrechner!$C$6/12,2),0)</f>
        <v>237.32</v>
      </c>
      <c r="F205" s="26">
        <f>IF(D205&gt;0.01,ROUND(MIN(Kreditrechner!$C$11-E205,D205),2),0)</f>
        <v>625.17999999999995</v>
      </c>
      <c r="G205" s="11"/>
      <c r="H205" s="26">
        <f t="shared" si="15"/>
        <v>75318.37</v>
      </c>
      <c r="I205" s="26">
        <f t="shared" si="18"/>
        <v>82405.87000000001</v>
      </c>
      <c r="J205" s="26">
        <f t="shared" si="19"/>
        <v>104681.63</v>
      </c>
    </row>
    <row r="206" spans="2:10" ht="15" customHeight="1" x14ac:dyDescent="0.25">
      <c r="B206" s="27">
        <v>204</v>
      </c>
      <c r="C206" s="28">
        <f t="shared" si="16"/>
        <v>51836</v>
      </c>
      <c r="D206" s="29">
        <f t="shared" si="17"/>
        <v>75318.37</v>
      </c>
      <c r="E206" s="29">
        <f>IF(D206&gt;0.01,ROUND(D206*Kreditrechner!$C$6/12,2),0)</f>
        <v>235.37</v>
      </c>
      <c r="F206" s="29">
        <f>IF(D206&gt;0.01,ROUND(MIN(Kreditrechner!$C$11-E206,D206),2),0)</f>
        <v>627.13</v>
      </c>
      <c r="G206" s="11"/>
      <c r="H206" s="29">
        <f t="shared" si="15"/>
        <v>74691.240000000005</v>
      </c>
      <c r="I206" s="29">
        <f t="shared" si="18"/>
        <v>82641.240000000005</v>
      </c>
      <c r="J206" s="29">
        <f t="shared" si="19"/>
        <v>105308.76000000001</v>
      </c>
    </row>
    <row r="207" spans="2:10" ht="15" customHeight="1" x14ac:dyDescent="0.25">
      <c r="B207" s="24">
        <v>205</v>
      </c>
      <c r="C207" s="25">
        <f t="shared" si="16"/>
        <v>51867</v>
      </c>
      <c r="D207" s="26">
        <f t="shared" si="17"/>
        <v>74691.240000000005</v>
      </c>
      <c r="E207" s="26">
        <f>IF(D207&gt;0.01,ROUND(D207*Kreditrechner!$C$6/12,2),0)</f>
        <v>233.41</v>
      </c>
      <c r="F207" s="26">
        <f>IF(D207&gt;0.01,ROUND(MIN(Kreditrechner!$C$11-E207,D207),2),0)</f>
        <v>629.09</v>
      </c>
      <c r="G207" s="11"/>
      <c r="H207" s="26">
        <f t="shared" si="15"/>
        <v>74062.149999999994</v>
      </c>
      <c r="I207" s="26">
        <f t="shared" si="18"/>
        <v>82874.650000000009</v>
      </c>
      <c r="J207" s="26">
        <f t="shared" si="19"/>
        <v>105937.85</v>
      </c>
    </row>
    <row r="208" spans="2:10" ht="15" customHeight="1" x14ac:dyDescent="0.25">
      <c r="B208" s="27">
        <v>206</v>
      </c>
      <c r="C208" s="28">
        <f t="shared" si="16"/>
        <v>51898</v>
      </c>
      <c r="D208" s="29">
        <f t="shared" si="17"/>
        <v>74062.149999999994</v>
      </c>
      <c r="E208" s="29">
        <f>IF(D208&gt;0.01,ROUND(D208*Kreditrechner!$C$6/12,2),0)</f>
        <v>231.44</v>
      </c>
      <c r="F208" s="29">
        <f>IF(D208&gt;0.01,ROUND(MIN(Kreditrechner!$C$11-E208,D208),2),0)</f>
        <v>631.05999999999995</v>
      </c>
      <c r="G208" s="11"/>
      <c r="H208" s="29">
        <f t="shared" si="15"/>
        <v>73431.09</v>
      </c>
      <c r="I208" s="29">
        <f t="shared" si="18"/>
        <v>83106.090000000011</v>
      </c>
      <c r="J208" s="29">
        <f t="shared" si="19"/>
        <v>106568.91</v>
      </c>
    </row>
    <row r="209" spans="2:10" ht="15" customHeight="1" x14ac:dyDescent="0.25">
      <c r="B209" s="24">
        <v>207</v>
      </c>
      <c r="C209" s="25">
        <f t="shared" si="16"/>
        <v>51926</v>
      </c>
      <c r="D209" s="26">
        <f t="shared" si="17"/>
        <v>73431.09</v>
      </c>
      <c r="E209" s="26">
        <f>IF(D209&gt;0.01,ROUND(D209*Kreditrechner!$C$6/12,2),0)</f>
        <v>229.47</v>
      </c>
      <c r="F209" s="26">
        <f>IF(D209&gt;0.01,ROUND(MIN(Kreditrechner!$C$11-E209,D209),2),0)</f>
        <v>633.03</v>
      </c>
      <c r="G209" s="11"/>
      <c r="H209" s="26">
        <f t="shared" si="15"/>
        <v>72798.06</v>
      </c>
      <c r="I209" s="26">
        <f t="shared" si="18"/>
        <v>83335.560000000012</v>
      </c>
      <c r="J209" s="26">
        <f t="shared" si="19"/>
        <v>107201.94</v>
      </c>
    </row>
    <row r="210" spans="2:10" ht="15" customHeight="1" x14ac:dyDescent="0.25">
      <c r="B210" s="27">
        <v>208</v>
      </c>
      <c r="C210" s="28">
        <f t="shared" si="16"/>
        <v>51957</v>
      </c>
      <c r="D210" s="29">
        <f t="shared" si="17"/>
        <v>72798.06</v>
      </c>
      <c r="E210" s="29">
        <f>IF(D210&gt;0.01,ROUND(D210*Kreditrechner!$C$6/12,2),0)</f>
        <v>227.49</v>
      </c>
      <c r="F210" s="29">
        <f>IF(D210&gt;0.01,ROUND(MIN(Kreditrechner!$C$11-E210,D210),2),0)</f>
        <v>635.01</v>
      </c>
      <c r="G210" s="11"/>
      <c r="H210" s="29">
        <f t="shared" si="15"/>
        <v>72163.05</v>
      </c>
      <c r="I210" s="29">
        <f t="shared" si="18"/>
        <v>83563.050000000017</v>
      </c>
      <c r="J210" s="29">
        <f t="shared" si="19"/>
        <v>107836.95</v>
      </c>
    </row>
    <row r="211" spans="2:10" ht="15" customHeight="1" x14ac:dyDescent="0.25">
      <c r="B211" s="24">
        <v>209</v>
      </c>
      <c r="C211" s="25">
        <f t="shared" si="16"/>
        <v>51987</v>
      </c>
      <c r="D211" s="26">
        <f t="shared" si="17"/>
        <v>72163.05</v>
      </c>
      <c r="E211" s="26">
        <f>IF(D211&gt;0.01,ROUND(D211*Kreditrechner!$C$6/12,2),0)</f>
        <v>225.51</v>
      </c>
      <c r="F211" s="26">
        <f>IF(D211&gt;0.01,ROUND(MIN(Kreditrechner!$C$11-E211,D211),2),0)</f>
        <v>636.99</v>
      </c>
      <c r="G211" s="11"/>
      <c r="H211" s="26">
        <f t="shared" si="15"/>
        <v>71526.06</v>
      </c>
      <c r="I211" s="26">
        <f t="shared" si="18"/>
        <v>83788.560000000012</v>
      </c>
      <c r="J211" s="26">
        <f t="shared" si="19"/>
        <v>108473.94</v>
      </c>
    </row>
    <row r="212" spans="2:10" ht="15" customHeight="1" x14ac:dyDescent="0.25">
      <c r="B212" s="27">
        <v>210</v>
      </c>
      <c r="C212" s="28">
        <f t="shared" si="16"/>
        <v>52018</v>
      </c>
      <c r="D212" s="29">
        <f t="shared" si="17"/>
        <v>71526.06</v>
      </c>
      <c r="E212" s="29">
        <f>IF(D212&gt;0.01,ROUND(D212*Kreditrechner!$C$6/12,2),0)</f>
        <v>223.52</v>
      </c>
      <c r="F212" s="29">
        <f>IF(D212&gt;0.01,ROUND(MIN(Kreditrechner!$C$11-E212,D212),2),0)</f>
        <v>638.98</v>
      </c>
      <c r="G212" s="11"/>
      <c r="H212" s="29">
        <f t="shared" si="15"/>
        <v>70887.08</v>
      </c>
      <c r="I212" s="29">
        <f t="shared" si="18"/>
        <v>84012.080000000016</v>
      </c>
      <c r="J212" s="29">
        <f t="shared" si="19"/>
        <v>109112.92</v>
      </c>
    </row>
    <row r="213" spans="2:10" ht="15" customHeight="1" x14ac:dyDescent="0.25">
      <c r="B213" s="24">
        <v>211</v>
      </c>
      <c r="C213" s="25">
        <f t="shared" si="16"/>
        <v>52048</v>
      </c>
      <c r="D213" s="26">
        <f t="shared" si="17"/>
        <v>70887.08</v>
      </c>
      <c r="E213" s="26">
        <f>IF(D213&gt;0.01,ROUND(D213*Kreditrechner!$C$6/12,2),0)</f>
        <v>221.52</v>
      </c>
      <c r="F213" s="26">
        <f>IF(D213&gt;0.01,ROUND(MIN(Kreditrechner!$C$11-E213,D213),2),0)</f>
        <v>640.98</v>
      </c>
      <c r="G213" s="11"/>
      <c r="H213" s="26">
        <f t="shared" si="15"/>
        <v>70246.100000000006</v>
      </c>
      <c r="I213" s="26">
        <f t="shared" si="18"/>
        <v>84233.60000000002</v>
      </c>
      <c r="J213" s="26">
        <f t="shared" si="19"/>
        <v>109753.9</v>
      </c>
    </row>
    <row r="214" spans="2:10" ht="15" customHeight="1" x14ac:dyDescent="0.25">
      <c r="B214" s="27">
        <v>212</v>
      </c>
      <c r="C214" s="28">
        <f t="shared" si="16"/>
        <v>52079</v>
      </c>
      <c r="D214" s="29">
        <f t="shared" si="17"/>
        <v>70246.100000000006</v>
      </c>
      <c r="E214" s="29">
        <f>IF(D214&gt;0.01,ROUND(D214*Kreditrechner!$C$6/12,2),0)</f>
        <v>219.52</v>
      </c>
      <c r="F214" s="29">
        <f>IF(D214&gt;0.01,ROUND(MIN(Kreditrechner!$C$11-E214,D214),2),0)</f>
        <v>642.98</v>
      </c>
      <c r="G214" s="11"/>
      <c r="H214" s="29">
        <f t="shared" si="15"/>
        <v>69603.12</v>
      </c>
      <c r="I214" s="29">
        <f t="shared" si="18"/>
        <v>84453.120000000024</v>
      </c>
      <c r="J214" s="29">
        <f t="shared" si="19"/>
        <v>110396.87999999999</v>
      </c>
    </row>
    <row r="215" spans="2:10" ht="15" customHeight="1" x14ac:dyDescent="0.25">
      <c r="B215" s="24">
        <v>213</v>
      </c>
      <c r="C215" s="25">
        <f t="shared" si="16"/>
        <v>52110</v>
      </c>
      <c r="D215" s="26">
        <f t="shared" si="17"/>
        <v>69603.12</v>
      </c>
      <c r="E215" s="26">
        <f>IF(D215&gt;0.01,ROUND(D215*Kreditrechner!$C$6/12,2),0)</f>
        <v>217.51</v>
      </c>
      <c r="F215" s="26">
        <f>IF(D215&gt;0.01,ROUND(MIN(Kreditrechner!$C$11-E215,D215),2),0)</f>
        <v>644.99</v>
      </c>
      <c r="G215" s="11"/>
      <c r="H215" s="26">
        <f t="shared" si="15"/>
        <v>68958.13</v>
      </c>
      <c r="I215" s="26">
        <f t="shared" si="18"/>
        <v>84670.630000000019</v>
      </c>
      <c r="J215" s="26">
        <f t="shared" si="19"/>
        <v>111041.87</v>
      </c>
    </row>
    <row r="216" spans="2:10" ht="15" customHeight="1" x14ac:dyDescent="0.25">
      <c r="B216" s="27">
        <v>214</v>
      </c>
      <c r="C216" s="28">
        <f t="shared" si="16"/>
        <v>52140</v>
      </c>
      <c r="D216" s="29">
        <f t="shared" si="17"/>
        <v>68958.13</v>
      </c>
      <c r="E216" s="29">
        <f>IF(D216&gt;0.01,ROUND(D216*Kreditrechner!$C$6/12,2),0)</f>
        <v>215.49</v>
      </c>
      <c r="F216" s="29">
        <f>IF(D216&gt;0.01,ROUND(MIN(Kreditrechner!$C$11-E216,D216),2),0)</f>
        <v>647.01</v>
      </c>
      <c r="G216" s="11"/>
      <c r="H216" s="29">
        <f t="shared" si="15"/>
        <v>68311.12</v>
      </c>
      <c r="I216" s="29">
        <f t="shared" si="18"/>
        <v>84886.120000000024</v>
      </c>
      <c r="J216" s="29">
        <f t="shared" si="19"/>
        <v>111688.87999999999</v>
      </c>
    </row>
    <row r="217" spans="2:10" ht="15" customHeight="1" x14ac:dyDescent="0.25">
      <c r="B217" s="24">
        <v>215</v>
      </c>
      <c r="C217" s="25">
        <f t="shared" si="16"/>
        <v>52171</v>
      </c>
      <c r="D217" s="26">
        <f t="shared" si="17"/>
        <v>68311.12</v>
      </c>
      <c r="E217" s="26">
        <f>IF(D217&gt;0.01,ROUND(D217*Kreditrechner!$C$6/12,2),0)</f>
        <v>213.47</v>
      </c>
      <c r="F217" s="26">
        <f>IF(D217&gt;0.01,ROUND(MIN(Kreditrechner!$C$11-E217,D217),2),0)</f>
        <v>649.03</v>
      </c>
      <c r="G217" s="11"/>
      <c r="H217" s="26">
        <f t="shared" si="15"/>
        <v>67662.09</v>
      </c>
      <c r="I217" s="26">
        <f t="shared" si="18"/>
        <v>85099.590000000026</v>
      </c>
      <c r="J217" s="26">
        <f t="shared" si="19"/>
        <v>112337.90999999999</v>
      </c>
    </row>
    <row r="218" spans="2:10" ht="15" customHeight="1" x14ac:dyDescent="0.25">
      <c r="B218" s="27">
        <v>216</v>
      </c>
      <c r="C218" s="28">
        <f t="shared" si="16"/>
        <v>52201</v>
      </c>
      <c r="D218" s="29">
        <f t="shared" si="17"/>
        <v>67662.09</v>
      </c>
      <c r="E218" s="29">
        <f>IF(D218&gt;0.01,ROUND(D218*Kreditrechner!$C$6/12,2),0)</f>
        <v>211.44</v>
      </c>
      <c r="F218" s="29">
        <f>IF(D218&gt;0.01,ROUND(MIN(Kreditrechner!$C$11-E218,D218),2),0)</f>
        <v>651.05999999999995</v>
      </c>
      <c r="G218" s="11"/>
      <c r="H218" s="29">
        <f t="shared" si="15"/>
        <v>67011.03</v>
      </c>
      <c r="I218" s="29">
        <f t="shared" si="18"/>
        <v>85311.030000000028</v>
      </c>
      <c r="J218" s="29">
        <f t="shared" si="19"/>
        <v>112988.96999999999</v>
      </c>
    </row>
    <row r="219" spans="2:10" ht="15" customHeight="1" x14ac:dyDescent="0.25">
      <c r="B219" s="24">
        <v>217</v>
      </c>
      <c r="C219" s="25">
        <f t="shared" si="16"/>
        <v>52232</v>
      </c>
      <c r="D219" s="26">
        <f t="shared" si="17"/>
        <v>67011.03</v>
      </c>
      <c r="E219" s="26">
        <f>IF(D219&gt;0.01,ROUND(D219*Kreditrechner!$C$6/12,2),0)</f>
        <v>209.41</v>
      </c>
      <c r="F219" s="26">
        <f>IF(D219&gt;0.01,ROUND(MIN(Kreditrechner!$C$11-E219,D219),2),0)</f>
        <v>653.09</v>
      </c>
      <c r="G219" s="11"/>
      <c r="H219" s="26">
        <f t="shared" si="15"/>
        <v>66357.94</v>
      </c>
      <c r="I219" s="26">
        <f t="shared" si="18"/>
        <v>85520.440000000031</v>
      </c>
      <c r="J219" s="26">
        <f t="shared" si="19"/>
        <v>113642.05999999998</v>
      </c>
    </row>
    <row r="220" spans="2:10" ht="15" customHeight="1" x14ac:dyDescent="0.25">
      <c r="B220" s="27">
        <v>218</v>
      </c>
      <c r="C220" s="28">
        <f t="shared" si="16"/>
        <v>52263</v>
      </c>
      <c r="D220" s="29">
        <f t="shared" si="17"/>
        <v>66357.94</v>
      </c>
      <c r="E220" s="29">
        <f>IF(D220&gt;0.01,ROUND(D220*Kreditrechner!$C$6/12,2),0)</f>
        <v>207.37</v>
      </c>
      <c r="F220" s="29">
        <f>IF(D220&gt;0.01,ROUND(MIN(Kreditrechner!$C$11-E220,D220),2),0)</f>
        <v>655.13</v>
      </c>
      <c r="G220" s="11"/>
      <c r="H220" s="29">
        <f t="shared" si="15"/>
        <v>65702.81</v>
      </c>
      <c r="I220" s="29">
        <f t="shared" si="18"/>
        <v>85727.810000000027</v>
      </c>
      <c r="J220" s="29">
        <f t="shared" si="19"/>
        <v>114297.18999999999</v>
      </c>
    </row>
    <row r="221" spans="2:10" ht="15" customHeight="1" x14ac:dyDescent="0.25">
      <c r="B221" s="24">
        <v>219</v>
      </c>
      <c r="C221" s="25">
        <f t="shared" si="16"/>
        <v>52291</v>
      </c>
      <c r="D221" s="26">
        <f t="shared" si="17"/>
        <v>65702.81</v>
      </c>
      <c r="E221" s="26">
        <f>IF(D221&gt;0.01,ROUND(D221*Kreditrechner!$C$6/12,2),0)</f>
        <v>205.32</v>
      </c>
      <c r="F221" s="26">
        <f>IF(D221&gt;0.01,ROUND(MIN(Kreditrechner!$C$11-E221,D221),2),0)</f>
        <v>657.18</v>
      </c>
      <c r="G221" s="11"/>
      <c r="H221" s="26">
        <f t="shared" si="15"/>
        <v>65045.63</v>
      </c>
      <c r="I221" s="26">
        <f t="shared" si="18"/>
        <v>85933.130000000034</v>
      </c>
      <c r="J221" s="26">
        <f t="shared" si="19"/>
        <v>114954.36999999998</v>
      </c>
    </row>
    <row r="222" spans="2:10" ht="15" customHeight="1" x14ac:dyDescent="0.25">
      <c r="B222" s="27">
        <v>220</v>
      </c>
      <c r="C222" s="28">
        <f t="shared" si="16"/>
        <v>52322</v>
      </c>
      <c r="D222" s="29">
        <f t="shared" si="17"/>
        <v>65045.63</v>
      </c>
      <c r="E222" s="29">
        <f>IF(D222&gt;0.01,ROUND(D222*Kreditrechner!$C$6/12,2),0)</f>
        <v>203.27</v>
      </c>
      <c r="F222" s="29">
        <f>IF(D222&gt;0.01,ROUND(MIN(Kreditrechner!$C$11-E222,D222),2),0)</f>
        <v>659.23</v>
      </c>
      <c r="G222" s="11"/>
      <c r="H222" s="29">
        <f t="shared" si="15"/>
        <v>64386.400000000001</v>
      </c>
      <c r="I222" s="29">
        <f t="shared" si="18"/>
        <v>86136.400000000038</v>
      </c>
      <c r="J222" s="29">
        <f t="shared" si="19"/>
        <v>115613.59999999998</v>
      </c>
    </row>
    <row r="223" spans="2:10" ht="15" customHeight="1" x14ac:dyDescent="0.25">
      <c r="B223" s="24">
        <v>221</v>
      </c>
      <c r="C223" s="25">
        <f t="shared" si="16"/>
        <v>52352</v>
      </c>
      <c r="D223" s="26">
        <f t="shared" si="17"/>
        <v>64386.400000000001</v>
      </c>
      <c r="E223" s="26">
        <f>IF(D223&gt;0.01,ROUND(D223*Kreditrechner!$C$6/12,2),0)</f>
        <v>201.21</v>
      </c>
      <c r="F223" s="26">
        <f>IF(D223&gt;0.01,ROUND(MIN(Kreditrechner!$C$11-E223,D223),2),0)</f>
        <v>661.29</v>
      </c>
      <c r="G223" s="11"/>
      <c r="H223" s="26">
        <f t="shared" si="15"/>
        <v>63725.11</v>
      </c>
      <c r="I223" s="26">
        <f t="shared" si="18"/>
        <v>86337.610000000044</v>
      </c>
      <c r="J223" s="26">
        <f t="shared" si="19"/>
        <v>116274.88999999997</v>
      </c>
    </row>
    <row r="224" spans="2:10" ht="15" customHeight="1" x14ac:dyDescent="0.25">
      <c r="B224" s="27">
        <v>222</v>
      </c>
      <c r="C224" s="28">
        <f t="shared" si="16"/>
        <v>52383</v>
      </c>
      <c r="D224" s="29">
        <f t="shared" si="17"/>
        <v>63725.11</v>
      </c>
      <c r="E224" s="29">
        <f>IF(D224&gt;0.01,ROUND(D224*Kreditrechner!$C$6/12,2),0)</f>
        <v>199.14</v>
      </c>
      <c r="F224" s="29">
        <f>IF(D224&gt;0.01,ROUND(MIN(Kreditrechner!$C$11-E224,D224),2),0)</f>
        <v>663.36</v>
      </c>
      <c r="G224" s="11"/>
      <c r="H224" s="29">
        <f t="shared" si="15"/>
        <v>63061.75</v>
      </c>
      <c r="I224" s="29">
        <f t="shared" si="18"/>
        <v>86536.750000000044</v>
      </c>
      <c r="J224" s="29">
        <f t="shared" si="19"/>
        <v>116938.24999999997</v>
      </c>
    </row>
    <row r="225" spans="2:10" ht="15" customHeight="1" x14ac:dyDescent="0.25">
      <c r="B225" s="24">
        <v>223</v>
      </c>
      <c r="C225" s="25">
        <f t="shared" si="16"/>
        <v>52413</v>
      </c>
      <c r="D225" s="26">
        <f t="shared" si="17"/>
        <v>63061.75</v>
      </c>
      <c r="E225" s="26">
        <f>IF(D225&gt;0.01,ROUND(D225*Kreditrechner!$C$6/12,2),0)</f>
        <v>197.07</v>
      </c>
      <c r="F225" s="26">
        <f>IF(D225&gt;0.01,ROUND(MIN(Kreditrechner!$C$11-E225,D225),2),0)</f>
        <v>665.43</v>
      </c>
      <c r="G225" s="11"/>
      <c r="H225" s="26">
        <f t="shared" si="15"/>
        <v>62396.32</v>
      </c>
      <c r="I225" s="26">
        <f t="shared" si="18"/>
        <v>86733.820000000051</v>
      </c>
      <c r="J225" s="26">
        <f t="shared" si="19"/>
        <v>117603.67999999996</v>
      </c>
    </row>
    <row r="226" spans="2:10" ht="15" customHeight="1" x14ac:dyDescent="0.25">
      <c r="B226" s="27">
        <v>224</v>
      </c>
      <c r="C226" s="28">
        <f t="shared" si="16"/>
        <v>52444</v>
      </c>
      <c r="D226" s="29">
        <f t="shared" si="17"/>
        <v>62396.32</v>
      </c>
      <c r="E226" s="29">
        <f>IF(D226&gt;0.01,ROUND(D226*Kreditrechner!$C$6/12,2),0)</f>
        <v>194.99</v>
      </c>
      <c r="F226" s="29">
        <f>IF(D226&gt;0.01,ROUND(MIN(Kreditrechner!$C$11-E226,D226),2),0)</f>
        <v>667.51</v>
      </c>
      <c r="G226" s="11"/>
      <c r="H226" s="29">
        <f t="shared" si="15"/>
        <v>61728.81</v>
      </c>
      <c r="I226" s="29">
        <f t="shared" si="18"/>
        <v>86928.810000000056</v>
      </c>
      <c r="J226" s="29">
        <f t="shared" si="19"/>
        <v>118271.18999999996</v>
      </c>
    </row>
    <row r="227" spans="2:10" ht="15" customHeight="1" x14ac:dyDescent="0.25">
      <c r="B227" s="24">
        <v>225</v>
      </c>
      <c r="C227" s="25">
        <f t="shared" si="16"/>
        <v>52475</v>
      </c>
      <c r="D227" s="26">
        <f t="shared" si="17"/>
        <v>61728.81</v>
      </c>
      <c r="E227" s="26">
        <f>IF(D227&gt;0.01,ROUND(D227*Kreditrechner!$C$6/12,2),0)</f>
        <v>192.9</v>
      </c>
      <c r="F227" s="26">
        <f>IF(D227&gt;0.01,ROUND(MIN(Kreditrechner!$C$11-E227,D227),2),0)</f>
        <v>669.6</v>
      </c>
      <c r="G227" s="11"/>
      <c r="H227" s="26">
        <f t="shared" si="15"/>
        <v>61059.21</v>
      </c>
      <c r="I227" s="26">
        <f t="shared" si="18"/>
        <v>87121.71000000005</v>
      </c>
      <c r="J227" s="26">
        <f t="shared" si="19"/>
        <v>118940.78999999996</v>
      </c>
    </row>
    <row r="228" spans="2:10" ht="15" customHeight="1" x14ac:dyDescent="0.25">
      <c r="B228" s="27">
        <v>226</v>
      </c>
      <c r="C228" s="28">
        <f t="shared" si="16"/>
        <v>52505</v>
      </c>
      <c r="D228" s="29">
        <f t="shared" si="17"/>
        <v>61059.21</v>
      </c>
      <c r="E228" s="29">
        <f>IF(D228&gt;0.01,ROUND(D228*Kreditrechner!$C$6/12,2),0)</f>
        <v>190.81</v>
      </c>
      <c r="F228" s="29">
        <f>IF(D228&gt;0.01,ROUND(MIN(Kreditrechner!$C$11-E228,D228),2),0)</f>
        <v>671.69</v>
      </c>
      <c r="G228" s="11"/>
      <c r="H228" s="29">
        <f t="shared" si="15"/>
        <v>60387.519999999997</v>
      </c>
      <c r="I228" s="29">
        <f t="shared" si="18"/>
        <v>87312.520000000048</v>
      </c>
      <c r="J228" s="29">
        <f t="shared" si="19"/>
        <v>119612.47999999997</v>
      </c>
    </row>
    <row r="229" spans="2:10" ht="15" customHeight="1" x14ac:dyDescent="0.25">
      <c r="B229" s="24">
        <v>227</v>
      </c>
      <c r="C229" s="25">
        <f t="shared" si="16"/>
        <v>52536</v>
      </c>
      <c r="D229" s="26">
        <f t="shared" si="17"/>
        <v>60387.519999999997</v>
      </c>
      <c r="E229" s="26">
        <f>IF(D229&gt;0.01,ROUND(D229*Kreditrechner!$C$6/12,2),0)</f>
        <v>188.71</v>
      </c>
      <c r="F229" s="26">
        <f>IF(D229&gt;0.01,ROUND(MIN(Kreditrechner!$C$11-E229,D229),2),0)</f>
        <v>673.79</v>
      </c>
      <c r="G229" s="11"/>
      <c r="H229" s="26">
        <f t="shared" si="15"/>
        <v>59713.73</v>
      </c>
      <c r="I229" s="26">
        <f t="shared" si="18"/>
        <v>87501.230000000054</v>
      </c>
      <c r="J229" s="26">
        <f t="shared" si="19"/>
        <v>120286.26999999996</v>
      </c>
    </row>
    <row r="230" spans="2:10" ht="15" customHeight="1" x14ac:dyDescent="0.25">
      <c r="B230" s="27">
        <v>228</v>
      </c>
      <c r="C230" s="28">
        <f t="shared" si="16"/>
        <v>52566</v>
      </c>
      <c r="D230" s="29">
        <f t="shared" si="17"/>
        <v>59713.73</v>
      </c>
      <c r="E230" s="29">
        <f>IF(D230&gt;0.01,ROUND(D230*Kreditrechner!$C$6/12,2),0)</f>
        <v>186.61</v>
      </c>
      <c r="F230" s="29">
        <f>IF(D230&gt;0.01,ROUND(MIN(Kreditrechner!$C$11-E230,D230),2),0)</f>
        <v>675.89</v>
      </c>
      <c r="G230" s="11"/>
      <c r="H230" s="29">
        <f t="shared" si="15"/>
        <v>59037.84</v>
      </c>
      <c r="I230" s="29">
        <f t="shared" si="18"/>
        <v>87687.840000000055</v>
      </c>
      <c r="J230" s="29">
        <f t="shared" si="19"/>
        <v>120962.15999999996</v>
      </c>
    </row>
    <row r="231" spans="2:10" ht="15" customHeight="1" x14ac:dyDescent="0.25">
      <c r="B231" s="24">
        <v>229</v>
      </c>
      <c r="C231" s="25">
        <f t="shared" si="16"/>
        <v>52597</v>
      </c>
      <c r="D231" s="26">
        <f t="shared" si="17"/>
        <v>59037.84</v>
      </c>
      <c r="E231" s="26">
        <f>IF(D231&gt;0.01,ROUND(D231*Kreditrechner!$C$6/12,2),0)</f>
        <v>184.49</v>
      </c>
      <c r="F231" s="26">
        <f>IF(D231&gt;0.01,ROUND(MIN(Kreditrechner!$C$11-E231,D231),2),0)</f>
        <v>678.01</v>
      </c>
      <c r="G231" s="11"/>
      <c r="H231" s="26">
        <f t="shared" si="15"/>
        <v>58359.83</v>
      </c>
      <c r="I231" s="26">
        <f t="shared" si="18"/>
        <v>87872.33000000006</v>
      </c>
      <c r="J231" s="26">
        <f t="shared" si="19"/>
        <v>121640.16999999995</v>
      </c>
    </row>
    <row r="232" spans="2:10" ht="15" customHeight="1" x14ac:dyDescent="0.25">
      <c r="B232" s="27">
        <v>230</v>
      </c>
      <c r="C232" s="28">
        <f t="shared" si="16"/>
        <v>52628</v>
      </c>
      <c r="D232" s="29">
        <f t="shared" si="17"/>
        <v>58359.83</v>
      </c>
      <c r="E232" s="29">
        <f>IF(D232&gt;0.01,ROUND(D232*Kreditrechner!$C$6/12,2),0)</f>
        <v>182.37</v>
      </c>
      <c r="F232" s="29">
        <f>IF(D232&gt;0.01,ROUND(MIN(Kreditrechner!$C$11-E232,D232),2),0)</f>
        <v>680.13</v>
      </c>
      <c r="G232" s="11"/>
      <c r="H232" s="29">
        <f t="shared" si="15"/>
        <v>57679.7</v>
      </c>
      <c r="I232" s="29">
        <f t="shared" si="18"/>
        <v>88054.700000000055</v>
      </c>
      <c r="J232" s="29">
        <f t="shared" si="19"/>
        <v>122320.29999999996</v>
      </c>
    </row>
    <row r="233" spans="2:10" ht="15" customHeight="1" x14ac:dyDescent="0.25">
      <c r="B233" s="24">
        <v>231</v>
      </c>
      <c r="C233" s="25">
        <f t="shared" si="16"/>
        <v>52657</v>
      </c>
      <c r="D233" s="26">
        <f t="shared" si="17"/>
        <v>57679.7</v>
      </c>
      <c r="E233" s="26">
        <f>IF(D233&gt;0.01,ROUND(D233*Kreditrechner!$C$6/12,2),0)</f>
        <v>180.25</v>
      </c>
      <c r="F233" s="26">
        <f>IF(D233&gt;0.01,ROUND(MIN(Kreditrechner!$C$11-E233,D233),2),0)</f>
        <v>682.25</v>
      </c>
      <c r="G233" s="11"/>
      <c r="H233" s="26">
        <f t="shared" si="15"/>
        <v>56997.45</v>
      </c>
      <c r="I233" s="26">
        <f t="shared" si="18"/>
        <v>88234.950000000055</v>
      </c>
      <c r="J233" s="26">
        <f t="shared" si="19"/>
        <v>123002.54999999996</v>
      </c>
    </row>
    <row r="234" spans="2:10" ht="15" customHeight="1" x14ac:dyDescent="0.25">
      <c r="B234" s="27">
        <v>232</v>
      </c>
      <c r="C234" s="28">
        <f t="shared" si="16"/>
        <v>52688</v>
      </c>
      <c r="D234" s="29">
        <f t="shared" si="17"/>
        <v>56997.45</v>
      </c>
      <c r="E234" s="29">
        <f>IF(D234&gt;0.01,ROUND(D234*Kreditrechner!$C$6/12,2),0)</f>
        <v>178.12</v>
      </c>
      <c r="F234" s="29">
        <f>IF(D234&gt;0.01,ROUND(MIN(Kreditrechner!$C$11-E234,D234),2),0)</f>
        <v>684.38</v>
      </c>
      <c r="G234" s="11"/>
      <c r="H234" s="29">
        <f t="shared" si="15"/>
        <v>56313.07</v>
      </c>
      <c r="I234" s="29">
        <f t="shared" si="18"/>
        <v>88413.070000000051</v>
      </c>
      <c r="J234" s="29">
        <f t="shared" si="19"/>
        <v>123686.92999999996</v>
      </c>
    </row>
    <row r="235" spans="2:10" ht="15" customHeight="1" x14ac:dyDescent="0.25">
      <c r="B235" s="24">
        <v>233</v>
      </c>
      <c r="C235" s="25">
        <f t="shared" si="16"/>
        <v>52718</v>
      </c>
      <c r="D235" s="26">
        <f t="shared" si="17"/>
        <v>56313.07</v>
      </c>
      <c r="E235" s="26">
        <f>IF(D235&gt;0.01,ROUND(D235*Kreditrechner!$C$6/12,2),0)</f>
        <v>175.98</v>
      </c>
      <c r="F235" s="26">
        <f>IF(D235&gt;0.01,ROUND(MIN(Kreditrechner!$C$11-E235,D235),2),0)</f>
        <v>686.52</v>
      </c>
      <c r="G235" s="11"/>
      <c r="H235" s="26">
        <f t="shared" si="15"/>
        <v>55626.55</v>
      </c>
      <c r="I235" s="26">
        <f t="shared" si="18"/>
        <v>88589.050000000047</v>
      </c>
      <c r="J235" s="26">
        <f t="shared" si="19"/>
        <v>124373.44999999997</v>
      </c>
    </row>
    <row r="236" spans="2:10" ht="15" customHeight="1" x14ac:dyDescent="0.25">
      <c r="B236" s="27">
        <v>234</v>
      </c>
      <c r="C236" s="28">
        <f t="shared" si="16"/>
        <v>52749</v>
      </c>
      <c r="D236" s="29">
        <f t="shared" si="17"/>
        <v>55626.55</v>
      </c>
      <c r="E236" s="29">
        <f>IF(D236&gt;0.01,ROUND(D236*Kreditrechner!$C$6/12,2),0)</f>
        <v>173.83</v>
      </c>
      <c r="F236" s="29">
        <f>IF(D236&gt;0.01,ROUND(MIN(Kreditrechner!$C$11-E236,D236),2),0)</f>
        <v>688.67</v>
      </c>
      <c r="G236" s="11"/>
      <c r="H236" s="29">
        <f t="shared" si="15"/>
        <v>54937.88</v>
      </c>
      <c r="I236" s="29">
        <f t="shared" si="18"/>
        <v>88762.880000000048</v>
      </c>
      <c r="J236" s="29">
        <f t="shared" si="19"/>
        <v>125062.11999999997</v>
      </c>
    </row>
    <row r="237" spans="2:10" ht="15" customHeight="1" x14ac:dyDescent="0.25">
      <c r="B237" s="24">
        <v>235</v>
      </c>
      <c r="C237" s="25">
        <f t="shared" si="16"/>
        <v>52779</v>
      </c>
      <c r="D237" s="26">
        <f t="shared" si="17"/>
        <v>54937.88</v>
      </c>
      <c r="E237" s="26">
        <f>IF(D237&gt;0.01,ROUND(D237*Kreditrechner!$C$6/12,2),0)</f>
        <v>171.68</v>
      </c>
      <c r="F237" s="26">
        <f>IF(D237&gt;0.01,ROUND(MIN(Kreditrechner!$C$11-E237,D237),2),0)</f>
        <v>690.82</v>
      </c>
      <c r="G237" s="11"/>
      <c r="H237" s="26">
        <f t="shared" si="15"/>
        <v>54247.06</v>
      </c>
      <c r="I237" s="26">
        <f t="shared" si="18"/>
        <v>88934.560000000041</v>
      </c>
      <c r="J237" s="26">
        <f t="shared" si="19"/>
        <v>125752.93999999997</v>
      </c>
    </row>
    <row r="238" spans="2:10" ht="15" customHeight="1" x14ac:dyDescent="0.25">
      <c r="B238" s="27">
        <v>236</v>
      </c>
      <c r="C238" s="28">
        <f t="shared" si="16"/>
        <v>52810</v>
      </c>
      <c r="D238" s="29">
        <f t="shared" si="17"/>
        <v>54247.06</v>
      </c>
      <c r="E238" s="29">
        <f>IF(D238&gt;0.01,ROUND(D238*Kreditrechner!$C$6/12,2),0)</f>
        <v>169.52</v>
      </c>
      <c r="F238" s="29">
        <f>IF(D238&gt;0.01,ROUND(MIN(Kreditrechner!$C$11-E238,D238),2),0)</f>
        <v>692.98</v>
      </c>
      <c r="G238" s="11"/>
      <c r="H238" s="29">
        <f t="shared" si="15"/>
        <v>53554.080000000002</v>
      </c>
      <c r="I238" s="29">
        <f t="shared" si="18"/>
        <v>89104.080000000045</v>
      </c>
      <c r="J238" s="29">
        <f t="shared" si="19"/>
        <v>126445.91999999997</v>
      </c>
    </row>
    <row r="239" spans="2:10" ht="15" customHeight="1" x14ac:dyDescent="0.25">
      <c r="B239" s="24">
        <v>237</v>
      </c>
      <c r="C239" s="25">
        <f t="shared" si="16"/>
        <v>52841</v>
      </c>
      <c r="D239" s="26">
        <f t="shared" si="17"/>
        <v>53554.080000000002</v>
      </c>
      <c r="E239" s="26">
        <f>IF(D239&gt;0.01,ROUND(D239*Kreditrechner!$C$6/12,2),0)</f>
        <v>167.36</v>
      </c>
      <c r="F239" s="26">
        <f>IF(D239&gt;0.01,ROUND(MIN(Kreditrechner!$C$11-E239,D239),2),0)</f>
        <v>695.14</v>
      </c>
      <c r="G239" s="11"/>
      <c r="H239" s="26">
        <f t="shared" si="15"/>
        <v>52858.94</v>
      </c>
      <c r="I239" s="26">
        <f t="shared" si="18"/>
        <v>89271.440000000046</v>
      </c>
      <c r="J239" s="26">
        <f t="shared" si="19"/>
        <v>127141.05999999997</v>
      </c>
    </row>
    <row r="240" spans="2:10" ht="15" customHeight="1" x14ac:dyDescent="0.25">
      <c r="B240" s="27">
        <v>238</v>
      </c>
      <c r="C240" s="28">
        <f t="shared" si="16"/>
        <v>52871</v>
      </c>
      <c r="D240" s="29">
        <f t="shared" si="17"/>
        <v>52858.94</v>
      </c>
      <c r="E240" s="29">
        <f>IF(D240&gt;0.01,ROUND(D240*Kreditrechner!$C$6/12,2),0)</f>
        <v>165.18</v>
      </c>
      <c r="F240" s="29">
        <f>IF(D240&gt;0.01,ROUND(MIN(Kreditrechner!$C$11-E240,D240),2),0)</f>
        <v>697.32</v>
      </c>
      <c r="G240" s="11"/>
      <c r="H240" s="29">
        <f t="shared" si="15"/>
        <v>52161.62</v>
      </c>
      <c r="I240" s="29">
        <f t="shared" si="18"/>
        <v>89436.620000000039</v>
      </c>
      <c r="J240" s="29">
        <f t="shared" si="19"/>
        <v>127838.37999999998</v>
      </c>
    </row>
    <row r="241" spans="2:10" ht="15" customHeight="1" x14ac:dyDescent="0.25">
      <c r="B241" s="24">
        <v>239</v>
      </c>
      <c r="C241" s="25">
        <f t="shared" si="16"/>
        <v>52902</v>
      </c>
      <c r="D241" s="26">
        <f t="shared" si="17"/>
        <v>52161.62</v>
      </c>
      <c r="E241" s="26">
        <f>IF(D241&gt;0.01,ROUND(D241*Kreditrechner!$C$6/12,2),0)</f>
        <v>163.01</v>
      </c>
      <c r="F241" s="26">
        <f>IF(D241&gt;0.01,ROUND(MIN(Kreditrechner!$C$11-E241,D241),2),0)</f>
        <v>699.49</v>
      </c>
      <c r="G241" s="11"/>
      <c r="H241" s="26">
        <f t="shared" si="15"/>
        <v>51462.13</v>
      </c>
      <c r="I241" s="26">
        <f t="shared" si="18"/>
        <v>89599.630000000034</v>
      </c>
      <c r="J241" s="26">
        <f t="shared" si="19"/>
        <v>128537.86999999998</v>
      </c>
    </row>
    <row r="242" spans="2:10" ht="15" customHeight="1" x14ac:dyDescent="0.25">
      <c r="B242" s="27">
        <v>240</v>
      </c>
      <c r="C242" s="28">
        <f t="shared" si="16"/>
        <v>52932</v>
      </c>
      <c r="D242" s="29">
        <f t="shared" si="17"/>
        <v>51462.13</v>
      </c>
      <c r="E242" s="29">
        <f>IF(D242&gt;0.01,ROUND(D242*Kreditrechner!$C$6/12,2),0)</f>
        <v>160.82</v>
      </c>
      <c r="F242" s="29">
        <f>IF(D242&gt;0.01,ROUND(MIN(Kreditrechner!$C$11-E242,D242),2),0)</f>
        <v>701.68</v>
      </c>
      <c r="G242" s="11"/>
      <c r="H242" s="29">
        <f t="shared" si="15"/>
        <v>50760.45</v>
      </c>
      <c r="I242" s="29">
        <f t="shared" si="18"/>
        <v>89760.450000000041</v>
      </c>
      <c r="J242" s="29">
        <f t="shared" si="19"/>
        <v>129239.54999999997</v>
      </c>
    </row>
    <row r="243" spans="2:10" ht="15" customHeight="1" x14ac:dyDescent="0.25">
      <c r="B243" s="24">
        <v>241</v>
      </c>
      <c r="C243" s="25">
        <f t="shared" si="16"/>
        <v>52963</v>
      </c>
      <c r="D243" s="26">
        <f t="shared" si="17"/>
        <v>50760.45</v>
      </c>
      <c r="E243" s="26">
        <f>IF(D243&gt;0.01,ROUND(D243*Kreditrechner!$C$6/12,2),0)</f>
        <v>158.63</v>
      </c>
      <c r="F243" s="26">
        <f>IF(D243&gt;0.01,ROUND(MIN(Kreditrechner!$C$11-E243,D243),2),0)</f>
        <v>703.87</v>
      </c>
      <c r="G243" s="11"/>
      <c r="H243" s="26">
        <f t="shared" si="15"/>
        <v>50056.58</v>
      </c>
      <c r="I243" s="26">
        <f t="shared" si="18"/>
        <v>89919.080000000045</v>
      </c>
      <c r="J243" s="26">
        <f t="shared" si="19"/>
        <v>129943.41999999997</v>
      </c>
    </row>
    <row r="244" spans="2:10" ht="15" customHeight="1" x14ac:dyDescent="0.25">
      <c r="B244" s="27">
        <v>242</v>
      </c>
      <c r="C244" s="28">
        <f t="shared" si="16"/>
        <v>52994</v>
      </c>
      <c r="D244" s="29">
        <f t="shared" si="17"/>
        <v>50056.58</v>
      </c>
      <c r="E244" s="29">
        <f>IF(D244&gt;0.01,ROUND(D244*Kreditrechner!$C$6/12,2),0)</f>
        <v>156.43</v>
      </c>
      <c r="F244" s="29">
        <f>IF(D244&gt;0.01,ROUND(MIN(Kreditrechner!$C$11-E244,D244),2),0)</f>
        <v>706.07</v>
      </c>
      <c r="G244" s="11"/>
      <c r="H244" s="29">
        <f t="shared" si="15"/>
        <v>49350.51</v>
      </c>
      <c r="I244" s="29">
        <f t="shared" si="18"/>
        <v>90075.510000000038</v>
      </c>
      <c r="J244" s="29">
        <f t="shared" si="19"/>
        <v>130649.48999999998</v>
      </c>
    </row>
    <row r="245" spans="2:10" ht="15" customHeight="1" x14ac:dyDescent="0.25">
      <c r="B245" s="24">
        <v>243</v>
      </c>
      <c r="C245" s="25">
        <f t="shared" si="16"/>
        <v>53022</v>
      </c>
      <c r="D245" s="26">
        <f t="shared" si="17"/>
        <v>49350.51</v>
      </c>
      <c r="E245" s="26">
        <f>IF(D245&gt;0.01,ROUND(D245*Kreditrechner!$C$6/12,2),0)</f>
        <v>154.22</v>
      </c>
      <c r="F245" s="26">
        <f>IF(D245&gt;0.01,ROUND(MIN(Kreditrechner!$C$11-E245,D245),2),0)</f>
        <v>708.28</v>
      </c>
      <c r="G245" s="11"/>
      <c r="H245" s="26">
        <f t="shared" si="15"/>
        <v>48642.23</v>
      </c>
      <c r="I245" s="26">
        <f t="shared" si="18"/>
        <v>90229.73000000004</v>
      </c>
      <c r="J245" s="26">
        <f t="shared" si="19"/>
        <v>131357.76999999999</v>
      </c>
    </row>
    <row r="246" spans="2:10" ht="15" customHeight="1" x14ac:dyDescent="0.25">
      <c r="B246" s="27">
        <v>244</v>
      </c>
      <c r="C246" s="28">
        <f t="shared" si="16"/>
        <v>53053</v>
      </c>
      <c r="D246" s="29">
        <f t="shared" si="17"/>
        <v>48642.23</v>
      </c>
      <c r="E246" s="29">
        <f>IF(D246&gt;0.01,ROUND(D246*Kreditrechner!$C$6/12,2),0)</f>
        <v>152.01</v>
      </c>
      <c r="F246" s="29">
        <f>IF(D246&gt;0.01,ROUND(MIN(Kreditrechner!$C$11-E246,D246),2),0)</f>
        <v>710.49</v>
      </c>
      <c r="G246" s="11"/>
      <c r="H246" s="29">
        <f t="shared" si="15"/>
        <v>47931.74</v>
      </c>
      <c r="I246" s="29">
        <f t="shared" si="18"/>
        <v>90381.740000000034</v>
      </c>
      <c r="J246" s="29">
        <f t="shared" si="19"/>
        <v>132068.25999999998</v>
      </c>
    </row>
    <row r="247" spans="2:10" ht="15" customHeight="1" x14ac:dyDescent="0.25">
      <c r="B247" s="24">
        <v>245</v>
      </c>
      <c r="C247" s="25">
        <f t="shared" si="16"/>
        <v>53083</v>
      </c>
      <c r="D247" s="26">
        <f t="shared" si="17"/>
        <v>47931.74</v>
      </c>
      <c r="E247" s="26">
        <f>IF(D247&gt;0.01,ROUND(D247*Kreditrechner!$C$6/12,2),0)</f>
        <v>149.79</v>
      </c>
      <c r="F247" s="26">
        <f>IF(D247&gt;0.01,ROUND(MIN(Kreditrechner!$C$11-E247,D247),2),0)</f>
        <v>712.71</v>
      </c>
      <c r="G247" s="11"/>
      <c r="H247" s="26">
        <f t="shared" si="15"/>
        <v>47219.03</v>
      </c>
      <c r="I247" s="26">
        <f t="shared" si="18"/>
        <v>90531.530000000028</v>
      </c>
      <c r="J247" s="26">
        <f t="shared" si="19"/>
        <v>132780.96999999997</v>
      </c>
    </row>
    <row r="248" spans="2:10" ht="15" customHeight="1" x14ac:dyDescent="0.25">
      <c r="B248" s="27">
        <v>246</v>
      </c>
      <c r="C248" s="28">
        <f t="shared" si="16"/>
        <v>53114</v>
      </c>
      <c r="D248" s="29">
        <f t="shared" si="17"/>
        <v>47219.03</v>
      </c>
      <c r="E248" s="29">
        <f>IF(D248&gt;0.01,ROUND(D248*Kreditrechner!$C$6/12,2),0)</f>
        <v>147.56</v>
      </c>
      <c r="F248" s="29">
        <f>IF(D248&gt;0.01,ROUND(MIN(Kreditrechner!$C$11-E248,D248),2),0)</f>
        <v>714.94</v>
      </c>
      <c r="G248" s="11"/>
      <c r="H248" s="29">
        <f t="shared" si="15"/>
        <v>46504.09</v>
      </c>
      <c r="I248" s="29">
        <f t="shared" si="18"/>
        <v>90679.090000000026</v>
      </c>
      <c r="J248" s="29">
        <f t="shared" si="19"/>
        <v>133495.90999999997</v>
      </c>
    </row>
    <row r="249" spans="2:10" ht="15" customHeight="1" x14ac:dyDescent="0.25">
      <c r="B249" s="24">
        <v>247</v>
      </c>
      <c r="C249" s="25">
        <f t="shared" si="16"/>
        <v>53144</v>
      </c>
      <c r="D249" s="26">
        <f t="shared" si="17"/>
        <v>46504.09</v>
      </c>
      <c r="E249" s="26">
        <f>IF(D249&gt;0.01,ROUND(D249*Kreditrechner!$C$6/12,2),0)</f>
        <v>145.33000000000001</v>
      </c>
      <c r="F249" s="26">
        <f>IF(D249&gt;0.01,ROUND(MIN(Kreditrechner!$C$11-E249,D249),2),0)</f>
        <v>717.17</v>
      </c>
      <c r="G249" s="11"/>
      <c r="H249" s="26">
        <f t="shared" si="15"/>
        <v>45786.92</v>
      </c>
      <c r="I249" s="26">
        <f t="shared" si="18"/>
        <v>90824.420000000027</v>
      </c>
      <c r="J249" s="26">
        <f t="shared" si="19"/>
        <v>134213.07999999999</v>
      </c>
    </row>
    <row r="250" spans="2:10" ht="15" customHeight="1" x14ac:dyDescent="0.25">
      <c r="B250" s="27">
        <v>248</v>
      </c>
      <c r="C250" s="28">
        <f t="shared" si="16"/>
        <v>53175</v>
      </c>
      <c r="D250" s="29">
        <f t="shared" si="17"/>
        <v>45786.92</v>
      </c>
      <c r="E250" s="29">
        <f>IF(D250&gt;0.01,ROUND(D250*Kreditrechner!$C$6/12,2),0)</f>
        <v>143.08000000000001</v>
      </c>
      <c r="F250" s="29">
        <f>IF(D250&gt;0.01,ROUND(MIN(Kreditrechner!$C$11-E250,D250),2),0)</f>
        <v>719.42</v>
      </c>
      <c r="G250" s="11"/>
      <c r="H250" s="29">
        <f t="shared" si="15"/>
        <v>45067.5</v>
      </c>
      <c r="I250" s="29">
        <f t="shared" si="18"/>
        <v>90967.500000000029</v>
      </c>
      <c r="J250" s="29">
        <f t="shared" si="19"/>
        <v>134932.5</v>
      </c>
    </row>
    <row r="251" spans="2:10" ht="15" customHeight="1" x14ac:dyDescent="0.25">
      <c r="B251" s="24">
        <v>249</v>
      </c>
      <c r="C251" s="25">
        <f t="shared" si="16"/>
        <v>53206</v>
      </c>
      <c r="D251" s="26">
        <f t="shared" si="17"/>
        <v>45067.5</v>
      </c>
      <c r="E251" s="26">
        <f>IF(D251&gt;0.01,ROUND(D251*Kreditrechner!$C$6/12,2),0)</f>
        <v>140.84</v>
      </c>
      <c r="F251" s="26">
        <f>IF(D251&gt;0.01,ROUND(MIN(Kreditrechner!$C$11-E251,D251),2),0)</f>
        <v>721.66</v>
      </c>
      <c r="G251" s="11"/>
      <c r="H251" s="26">
        <f t="shared" si="15"/>
        <v>44345.84</v>
      </c>
      <c r="I251" s="26">
        <f t="shared" si="18"/>
        <v>91108.340000000026</v>
      </c>
      <c r="J251" s="26">
        <f t="shared" si="19"/>
        <v>135654.16</v>
      </c>
    </row>
    <row r="252" spans="2:10" ht="15" customHeight="1" x14ac:dyDescent="0.25">
      <c r="B252" s="27">
        <v>250</v>
      </c>
      <c r="C252" s="28">
        <f t="shared" si="16"/>
        <v>53236</v>
      </c>
      <c r="D252" s="29">
        <f t="shared" si="17"/>
        <v>44345.84</v>
      </c>
      <c r="E252" s="29">
        <f>IF(D252&gt;0.01,ROUND(D252*Kreditrechner!$C$6/12,2),0)</f>
        <v>138.58000000000001</v>
      </c>
      <c r="F252" s="29">
        <f>IF(D252&gt;0.01,ROUND(MIN(Kreditrechner!$C$11-E252,D252),2),0)</f>
        <v>723.92</v>
      </c>
      <c r="G252" s="11"/>
      <c r="H252" s="29">
        <f t="shared" si="15"/>
        <v>43621.919999999998</v>
      </c>
      <c r="I252" s="29">
        <f t="shared" si="18"/>
        <v>91246.920000000027</v>
      </c>
      <c r="J252" s="29">
        <f t="shared" si="19"/>
        <v>136378.08000000002</v>
      </c>
    </row>
    <row r="253" spans="2:10" ht="15" customHeight="1" x14ac:dyDescent="0.25">
      <c r="B253" s="24">
        <v>251</v>
      </c>
      <c r="C253" s="25">
        <f t="shared" si="16"/>
        <v>53267</v>
      </c>
      <c r="D253" s="26">
        <f t="shared" si="17"/>
        <v>43621.919999999998</v>
      </c>
      <c r="E253" s="26">
        <f>IF(D253&gt;0.01,ROUND(D253*Kreditrechner!$C$6/12,2),0)</f>
        <v>136.32</v>
      </c>
      <c r="F253" s="26">
        <f>IF(D253&gt;0.01,ROUND(MIN(Kreditrechner!$C$11-E253,D253),2),0)</f>
        <v>726.18</v>
      </c>
      <c r="G253" s="11"/>
      <c r="H253" s="26">
        <f t="shared" si="15"/>
        <v>42895.74</v>
      </c>
      <c r="I253" s="26">
        <f t="shared" si="18"/>
        <v>91383.240000000034</v>
      </c>
      <c r="J253" s="26">
        <f t="shared" si="19"/>
        <v>137104.26</v>
      </c>
    </row>
    <row r="254" spans="2:10" ht="15" customHeight="1" x14ac:dyDescent="0.25">
      <c r="B254" s="27">
        <v>252</v>
      </c>
      <c r="C254" s="28">
        <f t="shared" si="16"/>
        <v>53297</v>
      </c>
      <c r="D254" s="29">
        <f t="shared" si="17"/>
        <v>42895.74</v>
      </c>
      <c r="E254" s="29">
        <f>IF(D254&gt;0.01,ROUND(D254*Kreditrechner!$C$6/12,2),0)</f>
        <v>134.05000000000001</v>
      </c>
      <c r="F254" s="29">
        <f>IF(D254&gt;0.01,ROUND(MIN(Kreditrechner!$C$11-E254,D254),2),0)</f>
        <v>728.45</v>
      </c>
      <c r="G254" s="11"/>
      <c r="H254" s="29">
        <f t="shared" si="15"/>
        <v>42167.29</v>
      </c>
      <c r="I254" s="29">
        <f t="shared" si="18"/>
        <v>91517.290000000037</v>
      </c>
      <c r="J254" s="29">
        <f t="shared" si="19"/>
        <v>137832.71000000002</v>
      </c>
    </row>
    <row r="255" spans="2:10" ht="15" customHeight="1" x14ac:dyDescent="0.25">
      <c r="B255" s="24">
        <v>253</v>
      </c>
      <c r="C255" s="25">
        <f t="shared" si="16"/>
        <v>53328</v>
      </c>
      <c r="D255" s="26">
        <f t="shared" si="17"/>
        <v>42167.29</v>
      </c>
      <c r="E255" s="26">
        <f>IF(D255&gt;0.01,ROUND(D255*Kreditrechner!$C$6/12,2),0)</f>
        <v>131.77000000000001</v>
      </c>
      <c r="F255" s="26">
        <f>IF(D255&gt;0.01,ROUND(MIN(Kreditrechner!$C$11-E255,D255),2),0)</f>
        <v>730.73</v>
      </c>
      <c r="G255" s="11"/>
      <c r="H255" s="26">
        <f t="shared" si="15"/>
        <v>41436.559999999998</v>
      </c>
      <c r="I255" s="26">
        <f t="shared" si="18"/>
        <v>91649.060000000041</v>
      </c>
      <c r="J255" s="26">
        <f t="shared" si="19"/>
        <v>138563.44000000003</v>
      </c>
    </row>
    <row r="256" spans="2:10" ht="15" customHeight="1" x14ac:dyDescent="0.25">
      <c r="B256" s="27">
        <v>254</v>
      </c>
      <c r="C256" s="28">
        <f t="shared" si="16"/>
        <v>53359</v>
      </c>
      <c r="D256" s="29">
        <f t="shared" si="17"/>
        <v>41436.559999999998</v>
      </c>
      <c r="E256" s="29">
        <f>IF(D256&gt;0.01,ROUND(D256*Kreditrechner!$C$6/12,2),0)</f>
        <v>129.49</v>
      </c>
      <c r="F256" s="29">
        <f>IF(D256&gt;0.01,ROUND(MIN(Kreditrechner!$C$11-E256,D256),2),0)</f>
        <v>733.01</v>
      </c>
      <c r="G256" s="11"/>
      <c r="H256" s="29">
        <f t="shared" si="15"/>
        <v>40703.550000000003</v>
      </c>
      <c r="I256" s="29">
        <f t="shared" si="18"/>
        <v>91778.550000000047</v>
      </c>
      <c r="J256" s="29">
        <f t="shared" si="19"/>
        <v>139296.45000000004</v>
      </c>
    </row>
    <row r="257" spans="2:10" ht="15" customHeight="1" x14ac:dyDescent="0.25">
      <c r="B257" s="24">
        <v>255</v>
      </c>
      <c r="C257" s="25">
        <f t="shared" si="16"/>
        <v>53387</v>
      </c>
      <c r="D257" s="26">
        <f t="shared" si="17"/>
        <v>40703.550000000003</v>
      </c>
      <c r="E257" s="26">
        <f>IF(D257&gt;0.01,ROUND(D257*Kreditrechner!$C$6/12,2),0)</f>
        <v>127.2</v>
      </c>
      <c r="F257" s="26">
        <f>IF(D257&gt;0.01,ROUND(MIN(Kreditrechner!$C$11-E257,D257),2),0)</f>
        <v>735.3</v>
      </c>
      <c r="G257" s="11"/>
      <c r="H257" s="26">
        <f t="shared" si="15"/>
        <v>39968.25</v>
      </c>
      <c r="I257" s="26">
        <f t="shared" si="18"/>
        <v>91905.750000000044</v>
      </c>
      <c r="J257" s="26">
        <f t="shared" si="19"/>
        <v>140031.75000000003</v>
      </c>
    </row>
    <row r="258" spans="2:10" ht="15" customHeight="1" x14ac:dyDescent="0.25">
      <c r="B258" s="27">
        <v>256</v>
      </c>
      <c r="C258" s="28">
        <f t="shared" si="16"/>
        <v>53418</v>
      </c>
      <c r="D258" s="29">
        <f t="shared" si="17"/>
        <v>39968.25</v>
      </c>
      <c r="E258" s="29">
        <f>IF(D258&gt;0.01,ROUND(D258*Kreditrechner!$C$6/12,2),0)</f>
        <v>124.9</v>
      </c>
      <c r="F258" s="29">
        <f>IF(D258&gt;0.01,ROUND(MIN(Kreditrechner!$C$11-E258,D258),2),0)</f>
        <v>737.6</v>
      </c>
      <c r="G258" s="11"/>
      <c r="H258" s="29">
        <f t="shared" si="15"/>
        <v>39230.65</v>
      </c>
      <c r="I258" s="29">
        <f t="shared" si="18"/>
        <v>92030.650000000038</v>
      </c>
      <c r="J258" s="29">
        <f t="shared" si="19"/>
        <v>140769.35000000003</v>
      </c>
    </row>
    <row r="259" spans="2:10" ht="15" customHeight="1" x14ac:dyDescent="0.25">
      <c r="B259" s="24">
        <v>257</v>
      </c>
      <c r="C259" s="25">
        <f t="shared" si="16"/>
        <v>53448</v>
      </c>
      <c r="D259" s="26">
        <f t="shared" si="17"/>
        <v>39230.65</v>
      </c>
      <c r="E259" s="26">
        <f>IF(D259&gt;0.01,ROUND(D259*Kreditrechner!$C$6/12,2),0)</f>
        <v>122.6</v>
      </c>
      <c r="F259" s="26">
        <f>IF(D259&gt;0.01,ROUND(MIN(Kreditrechner!$C$11-E259,D259),2),0)</f>
        <v>739.9</v>
      </c>
      <c r="G259" s="11"/>
      <c r="H259" s="26">
        <f t="shared" ref="H259:H322" si="20">IF(D259&gt;0.01,ROUND(MAX(D259-F259-IF(ISNUMBER(G259),G259,0),0),2),0)</f>
        <v>38490.75</v>
      </c>
      <c r="I259" s="26">
        <f t="shared" si="18"/>
        <v>92153.250000000044</v>
      </c>
      <c r="J259" s="26">
        <f t="shared" si="19"/>
        <v>141509.25000000003</v>
      </c>
    </row>
    <row r="260" spans="2:10" ht="15" customHeight="1" x14ac:dyDescent="0.25">
      <c r="B260" s="27">
        <v>258</v>
      </c>
      <c r="C260" s="28">
        <f t="shared" ref="C260:C323" si="21">EDATE(C259,1)</f>
        <v>53479</v>
      </c>
      <c r="D260" s="29">
        <f t="shared" ref="D260:D323" si="22">IF(H259&gt;0.01,H259,0)</f>
        <v>38490.75</v>
      </c>
      <c r="E260" s="29">
        <f>IF(D260&gt;0.01,ROUND(D260*Kreditrechner!$C$6/12,2),0)</f>
        <v>120.28</v>
      </c>
      <c r="F260" s="29">
        <f>IF(D260&gt;0.01,ROUND(MIN(Kreditrechner!$C$11-E260,D260),2),0)</f>
        <v>742.22</v>
      </c>
      <c r="G260" s="11"/>
      <c r="H260" s="29">
        <f t="shared" si="20"/>
        <v>37748.53</v>
      </c>
      <c r="I260" s="29">
        <f t="shared" ref="I260:I323" si="23">IF(D260&gt;0.01,I259+E260,I259)</f>
        <v>92273.530000000042</v>
      </c>
      <c r="J260" s="29">
        <f t="shared" ref="J260:J323" si="24">IF(D260&gt;0.01,J259+F260+IF(ISNUMBER(G260),G260,0),J259)</f>
        <v>142251.47000000003</v>
      </c>
    </row>
    <row r="261" spans="2:10" ht="15" customHeight="1" x14ac:dyDescent="0.25">
      <c r="B261" s="24">
        <v>259</v>
      </c>
      <c r="C261" s="25">
        <f t="shared" si="21"/>
        <v>53509</v>
      </c>
      <c r="D261" s="26">
        <f t="shared" si="22"/>
        <v>37748.53</v>
      </c>
      <c r="E261" s="26">
        <f>IF(D261&gt;0.01,ROUND(D261*Kreditrechner!$C$6/12,2),0)</f>
        <v>117.96</v>
      </c>
      <c r="F261" s="26">
        <f>IF(D261&gt;0.01,ROUND(MIN(Kreditrechner!$C$11-E261,D261),2),0)</f>
        <v>744.54</v>
      </c>
      <c r="G261" s="11"/>
      <c r="H261" s="26">
        <f t="shared" si="20"/>
        <v>37003.99</v>
      </c>
      <c r="I261" s="26">
        <f t="shared" si="23"/>
        <v>92391.490000000049</v>
      </c>
      <c r="J261" s="26">
        <f t="shared" si="24"/>
        <v>142996.01000000004</v>
      </c>
    </row>
    <row r="262" spans="2:10" ht="15" customHeight="1" x14ac:dyDescent="0.25">
      <c r="B262" s="27">
        <v>260</v>
      </c>
      <c r="C262" s="28">
        <f t="shared" si="21"/>
        <v>53540</v>
      </c>
      <c r="D262" s="29">
        <f t="shared" si="22"/>
        <v>37003.99</v>
      </c>
      <c r="E262" s="29">
        <f>IF(D262&gt;0.01,ROUND(D262*Kreditrechner!$C$6/12,2),0)</f>
        <v>115.64</v>
      </c>
      <c r="F262" s="29">
        <f>IF(D262&gt;0.01,ROUND(MIN(Kreditrechner!$C$11-E262,D262),2),0)</f>
        <v>746.86</v>
      </c>
      <c r="G262" s="11"/>
      <c r="H262" s="29">
        <f t="shared" si="20"/>
        <v>36257.129999999997</v>
      </c>
      <c r="I262" s="29">
        <f t="shared" si="23"/>
        <v>92507.130000000048</v>
      </c>
      <c r="J262" s="29">
        <f t="shared" si="24"/>
        <v>143742.87000000002</v>
      </c>
    </row>
    <row r="263" spans="2:10" ht="15" customHeight="1" x14ac:dyDescent="0.25">
      <c r="B263" s="24">
        <v>261</v>
      </c>
      <c r="C263" s="25">
        <f t="shared" si="21"/>
        <v>53571</v>
      </c>
      <c r="D263" s="26">
        <f t="shared" si="22"/>
        <v>36257.129999999997</v>
      </c>
      <c r="E263" s="26">
        <f>IF(D263&gt;0.01,ROUND(D263*Kreditrechner!$C$6/12,2),0)</f>
        <v>113.3</v>
      </c>
      <c r="F263" s="26">
        <f>IF(D263&gt;0.01,ROUND(MIN(Kreditrechner!$C$11-E263,D263),2),0)</f>
        <v>749.2</v>
      </c>
      <c r="G263" s="11"/>
      <c r="H263" s="26">
        <f t="shared" si="20"/>
        <v>35507.93</v>
      </c>
      <c r="I263" s="26">
        <f t="shared" si="23"/>
        <v>92620.430000000051</v>
      </c>
      <c r="J263" s="26">
        <f t="shared" si="24"/>
        <v>144492.07000000004</v>
      </c>
    </row>
    <row r="264" spans="2:10" ht="15" customHeight="1" x14ac:dyDescent="0.25">
      <c r="B264" s="27">
        <v>262</v>
      </c>
      <c r="C264" s="28">
        <f t="shared" si="21"/>
        <v>53601</v>
      </c>
      <c r="D264" s="29">
        <f t="shared" si="22"/>
        <v>35507.93</v>
      </c>
      <c r="E264" s="29">
        <f>IF(D264&gt;0.01,ROUND(D264*Kreditrechner!$C$6/12,2),0)</f>
        <v>110.96</v>
      </c>
      <c r="F264" s="29">
        <f>IF(D264&gt;0.01,ROUND(MIN(Kreditrechner!$C$11-E264,D264),2),0)</f>
        <v>751.54</v>
      </c>
      <c r="G264" s="11"/>
      <c r="H264" s="29">
        <f t="shared" si="20"/>
        <v>34756.39</v>
      </c>
      <c r="I264" s="29">
        <f t="shared" si="23"/>
        <v>92731.390000000058</v>
      </c>
      <c r="J264" s="29">
        <f t="shared" si="24"/>
        <v>145243.61000000004</v>
      </c>
    </row>
    <row r="265" spans="2:10" ht="15" customHeight="1" x14ac:dyDescent="0.25">
      <c r="B265" s="24">
        <v>263</v>
      </c>
      <c r="C265" s="25">
        <f t="shared" si="21"/>
        <v>53632</v>
      </c>
      <c r="D265" s="26">
        <f t="shared" si="22"/>
        <v>34756.39</v>
      </c>
      <c r="E265" s="26">
        <f>IF(D265&gt;0.01,ROUND(D265*Kreditrechner!$C$6/12,2),0)</f>
        <v>108.61</v>
      </c>
      <c r="F265" s="26">
        <f>IF(D265&gt;0.01,ROUND(MIN(Kreditrechner!$C$11-E265,D265),2),0)</f>
        <v>753.89</v>
      </c>
      <c r="G265" s="11"/>
      <c r="H265" s="26">
        <f t="shared" si="20"/>
        <v>34002.5</v>
      </c>
      <c r="I265" s="26">
        <f t="shared" si="23"/>
        <v>92840.000000000058</v>
      </c>
      <c r="J265" s="26">
        <f t="shared" si="24"/>
        <v>145997.50000000006</v>
      </c>
    </row>
    <row r="266" spans="2:10" ht="15" customHeight="1" x14ac:dyDescent="0.25">
      <c r="B266" s="27">
        <v>264</v>
      </c>
      <c r="C266" s="28">
        <f t="shared" si="21"/>
        <v>53662</v>
      </c>
      <c r="D266" s="29">
        <f t="shared" si="22"/>
        <v>34002.5</v>
      </c>
      <c r="E266" s="29">
        <f>IF(D266&gt;0.01,ROUND(D266*Kreditrechner!$C$6/12,2),0)</f>
        <v>106.26</v>
      </c>
      <c r="F266" s="29">
        <f>IF(D266&gt;0.01,ROUND(MIN(Kreditrechner!$C$11-E266,D266),2),0)</f>
        <v>756.24</v>
      </c>
      <c r="G266" s="11"/>
      <c r="H266" s="29">
        <f t="shared" si="20"/>
        <v>33246.26</v>
      </c>
      <c r="I266" s="29">
        <f t="shared" si="23"/>
        <v>92946.260000000053</v>
      </c>
      <c r="J266" s="29">
        <f t="shared" si="24"/>
        <v>146753.74000000005</v>
      </c>
    </row>
    <row r="267" spans="2:10" ht="15" customHeight="1" x14ac:dyDescent="0.25">
      <c r="B267" s="24">
        <v>265</v>
      </c>
      <c r="C267" s="25">
        <f t="shared" si="21"/>
        <v>53693</v>
      </c>
      <c r="D267" s="26">
        <f t="shared" si="22"/>
        <v>33246.26</v>
      </c>
      <c r="E267" s="26">
        <f>IF(D267&gt;0.01,ROUND(D267*Kreditrechner!$C$6/12,2),0)</f>
        <v>103.89</v>
      </c>
      <c r="F267" s="26">
        <f>IF(D267&gt;0.01,ROUND(MIN(Kreditrechner!$C$11-E267,D267),2),0)</f>
        <v>758.61</v>
      </c>
      <c r="G267" s="11"/>
      <c r="H267" s="26">
        <f t="shared" si="20"/>
        <v>32487.65</v>
      </c>
      <c r="I267" s="26">
        <f t="shared" si="23"/>
        <v>93050.150000000052</v>
      </c>
      <c r="J267" s="26">
        <f t="shared" si="24"/>
        <v>147512.35000000003</v>
      </c>
    </row>
    <row r="268" spans="2:10" ht="15" customHeight="1" x14ac:dyDescent="0.25">
      <c r="B268" s="27">
        <v>266</v>
      </c>
      <c r="C268" s="28">
        <f t="shared" si="21"/>
        <v>53724</v>
      </c>
      <c r="D268" s="29">
        <f t="shared" si="22"/>
        <v>32487.65</v>
      </c>
      <c r="E268" s="29">
        <f>IF(D268&gt;0.01,ROUND(D268*Kreditrechner!$C$6/12,2),0)</f>
        <v>101.52</v>
      </c>
      <c r="F268" s="29">
        <f>IF(D268&gt;0.01,ROUND(MIN(Kreditrechner!$C$11-E268,D268),2),0)</f>
        <v>760.98</v>
      </c>
      <c r="G268" s="11"/>
      <c r="H268" s="29">
        <f t="shared" si="20"/>
        <v>31726.67</v>
      </c>
      <c r="I268" s="29">
        <f t="shared" si="23"/>
        <v>93151.670000000056</v>
      </c>
      <c r="J268" s="29">
        <f t="shared" si="24"/>
        <v>148273.33000000005</v>
      </c>
    </row>
    <row r="269" spans="2:10" ht="15" customHeight="1" x14ac:dyDescent="0.25">
      <c r="B269" s="24">
        <v>267</v>
      </c>
      <c r="C269" s="25">
        <f t="shared" si="21"/>
        <v>53752</v>
      </c>
      <c r="D269" s="26">
        <f t="shared" si="22"/>
        <v>31726.67</v>
      </c>
      <c r="E269" s="26">
        <f>IF(D269&gt;0.01,ROUND(D269*Kreditrechner!$C$6/12,2),0)</f>
        <v>99.15</v>
      </c>
      <c r="F269" s="26">
        <f>IF(D269&gt;0.01,ROUND(MIN(Kreditrechner!$C$11-E269,D269),2),0)</f>
        <v>763.35</v>
      </c>
      <c r="G269" s="11"/>
      <c r="H269" s="26">
        <f t="shared" si="20"/>
        <v>30963.32</v>
      </c>
      <c r="I269" s="26">
        <f t="shared" si="23"/>
        <v>93250.820000000051</v>
      </c>
      <c r="J269" s="26">
        <f t="shared" si="24"/>
        <v>149036.68000000005</v>
      </c>
    </row>
    <row r="270" spans="2:10" ht="15" customHeight="1" x14ac:dyDescent="0.25">
      <c r="B270" s="27">
        <v>268</v>
      </c>
      <c r="C270" s="28">
        <f t="shared" si="21"/>
        <v>53783</v>
      </c>
      <c r="D270" s="29">
        <f t="shared" si="22"/>
        <v>30963.32</v>
      </c>
      <c r="E270" s="29">
        <f>IF(D270&gt;0.01,ROUND(D270*Kreditrechner!$C$6/12,2),0)</f>
        <v>96.76</v>
      </c>
      <c r="F270" s="29">
        <f>IF(D270&gt;0.01,ROUND(MIN(Kreditrechner!$C$11-E270,D270),2),0)</f>
        <v>765.74</v>
      </c>
      <c r="G270" s="11"/>
      <c r="H270" s="29">
        <f t="shared" si="20"/>
        <v>30197.58</v>
      </c>
      <c r="I270" s="29">
        <f t="shared" si="23"/>
        <v>93347.580000000045</v>
      </c>
      <c r="J270" s="29">
        <f t="shared" si="24"/>
        <v>149802.42000000004</v>
      </c>
    </row>
    <row r="271" spans="2:10" ht="15" customHeight="1" x14ac:dyDescent="0.25">
      <c r="B271" s="24">
        <v>269</v>
      </c>
      <c r="C271" s="25">
        <f t="shared" si="21"/>
        <v>53813</v>
      </c>
      <c r="D271" s="26">
        <f t="shared" si="22"/>
        <v>30197.58</v>
      </c>
      <c r="E271" s="26">
        <f>IF(D271&gt;0.01,ROUND(D271*Kreditrechner!$C$6/12,2),0)</f>
        <v>94.37</v>
      </c>
      <c r="F271" s="26">
        <f>IF(D271&gt;0.01,ROUND(MIN(Kreditrechner!$C$11-E271,D271),2),0)</f>
        <v>768.13</v>
      </c>
      <c r="G271" s="11"/>
      <c r="H271" s="26">
        <f t="shared" si="20"/>
        <v>29429.45</v>
      </c>
      <c r="I271" s="26">
        <f t="shared" si="23"/>
        <v>93441.950000000041</v>
      </c>
      <c r="J271" s="26">
        <f t="shared" si="24"/>
        <v>150570.55000000005</v>
      </c>
    </row>
    <row r="272" spans="2:10" ht="15" customHeight="1" x14ac:dyDescent="0.25">
      <c r="B272" s="27">
        <v>270</v>
      </c>
      <c r="C272" s="28">
        <f t="shared" si="21"/>
        <v>53844</v>
      </c>
      <c r="D272" s="29">
        <f t="shared" si="22"/>
        <v>29429.45</v>
      </c>
      <c r="E272" s="29">
        <f>IF(D272&gt;0.01,ROUND(D272*Kreditrechner!$C$6/12,2),0)</f>
        <v>91.97</v>
      </c>
      <c r="F272" s="29">
        <f>IF(D272&gt;0.01,ROUND(MIN(Kreditrechner!$C$11-E272,D272),2),0)</f>
        <v>770.53</v>
      </c>
      <c r="G272" s="11"/>
      <c r="H272" s="29">
        <f t="shared" si="20"/>
        <v>28658.92</v>
      </c>
      <c r="I272" s="29">
        <f t="shared" si="23"/>
        <v>93533.920000000042</v>
      </c>
      <c r="J272" s="29">
        <f t="shared" si="24"/>
        <v>151341.08000000005</v>
      </c>
    </row>
    <row r="273" spans="2:10" ht="15" customHeight="1" x14ac:dyDescent="0.25">
      <c r="B273" s="24">
        <v>271</v>
      </c>
      <c r="C273" s="25">
        <f t="shared" si="21"/>
        <v>53874</v>
      </c>
      <c r="D273" s="26">
        <f t="shared" si="22"/>
        <v>28658.92</v>
      </c>
      <c r="E273" s="26">
        <f>IF(D273&gt;0.01,ROUND(D273*Kreditrechner!$C$6/12,2),0)</f>
        <v>89.56</v>
      </c>
      <c r="F273" s="26">
        <f>IF(D273&gt;0.01,ROUND(MIN(Kreditrechner!$C$11-E273,D273),2),0)</f>
        <v>772.94</v>
      </c>
      <c r="G273" s="11"/>
      <c r="H273" s="26">
        <f t="shared" si="20"/>
        <v>27885.98</v>
      </c>
      <c r="I273" s="26">
        <f t="shared" si="23"/>
        <v>93623.48000000004</v>
      </c>
      <c r="J273" s="26">
        <f t="shared" si="24"/>
        <v>152114.02000000005</v>
      </c>
    </row>
    <row r="274" spans="2:10" ht="15" customHeight="1" x14ac:dyDescent="0.25">
      <c r="B274" s="27">
        <v>272</v>
      </c>
      <c r="C274" s="28">
        <f t="shared" si="21"/>
        <v>53905</v>
      </c>
      <c r="D274" s="29">
        <f t="shared" si="22"/>
        <v>27885.98</v>
      </c>
      <c r="E274" s="29">
        <f>IF(D274&gt;0.01,ROUND(D274*Kreditrechner!$C$6/12,2),0)</f>
        <v>87.14</v>
      </c>
      <c r="F274" s="29">
        <f>IF(D274&gt;0.01,ROUND(MIN(Kreditrechner!$C$11-E274,D274),2),0)</f>
        <v>775.36</v>
      </c>
      <c r="G274" s="11"/>
      <c r="H274" s="29">
        <f t="shared" si="20"/>
        <v>27110.62</v>
      </c>
      <c r="I274" s="29">
        <f t="shared" si="23"/>
        <v>93710.620000000039</v>
      </c>
      <c r="J274" s="29">
        <f t="shared" si="24"/>
        <v>152889.38000000003</v>
      </c>
    </row>
    <row r="275" spans="2:10" ht="15" customHeight="1" x14ac:dyDescent="0.25">
      <c r="B275" s="24">
        <v>273</v>
      </c>
      <c r="C275" s="25">
        <f t="shared" si="21"/>
        <v>53936</v>
      </c>
      <c r="D275" s="26">
        <f t="shared" si="22"/>
        <v>27110.62</v>
      </c>
      <c r="E275" s="26">
        <f>IF(D275&gt;0.01,ROUND(D275*Kreditrechner!$C$6/12,2),0)</f>
        <v>84.72</v>
      </c>
      <c r="F275" s="26">
        <f>IF(D275&gt;0.01,ROUND(MIN(Kreditrechner!$C$11-E275,D275),2),0)</f>
        <v>777.78</v>
      </c>
      <c r="G275" s="11"/>
      <c r="H275" s="26">
        <f t="shared" si="20"/>
        <v>26332.84</v>
      </c>
      <c r="I275" s="26">
        <f t="shared" si="23"/>
        <v>93795.34000000004</v>
      </c>
      <c r="J275" s="26">
        <f t="shared" si="24"/>
        <v>153667.16000000003</v>
      </c>
    </row>
    <row r="276" spans="2:10" ht="15" customHeight="1" x14ac:dyDescent="0.25">
      <c r="B276" s="27">
        <v>274</v>
      </c>
      <c r="C276" s="28">
        <f t="shared" si="21"/>
        <v>53966</v>
      </c>
      <c r="D276" s="29">
        <f t="shared" si="22"/>
        <v>26332.84</v>
      </c>
      <c r="E276" s="29">
        <f>IF(D276&gt;0.01,ROUND(D276*Kreditrechner!$C$6/12,2),0)</f>
        <v>82.29</v>
      </c>
      <c r="F276" s="29">
        <f>IF(D276&gt;0.01,ROUND(MIN(Kreditrechner!$C$11-E276,D276),2),0)</f>
        <v>780.21</v>
      </c>
      <c r="G276" s="11"/>
      <c r="H276" s="29">
        <f t="shared" si="20"/>
        <v>25552.63</v>
      </c>
      <c r="I276" s="29">
        <f t="shared" si="23"/>
        <v>93877.630000000034</v>
      </c>
      <c r="J276" s="29">
        <f t="shared" si="24"/>
        <v>154447.37000000002</v>
      </c>
    </row>
    <row r="277" spans="2:10" ht="15" customHeight="1" x14ac:dyDescent="0.25">
      <c r="B277" s="24">
        <v>275</v>
      </c>
      <c r="C277" s="25">
        <f t="shared" si="21"/>
        <v>53997</v>
      </c>
      <c r="D277" s="26">
        <f t="shared" si="22"/>
        <v>25552.63</v>
      </c>
      <c r="E277" s="26">
        <f>IF(D277&gt;0.01,ROUND(D277*Kreditrechner!$C$6/12,2),0)</f>
        <v>79.849999999999994</v>
      </c>
      <c r="F277" s="26">
        <f>IF(D277&gt;0.01,ROUND(MIN(Kreditrechner!$C$11-E277,D277),2),0)</f>
        <v>782.65</v>
      </c>
      <c r="G277" s="11"/>
      <c r="H277" s="26">
        <f t="shared" si="20"/>
        <v>24769.98</v>
      </c>
      <c r="I277" s="26">
        <f t="shared" si="23"/>
        <v>93957.48000000004</v>
      </c>
      <c r="J277" s="26">
        <f t="shared" si="24"/>
        <v>155230.02000000002</v>
      </c>
    </row>
    <row r="278" spans="2:10" ht="15" customHeight="1" x14ac:dyDescent="0.25">
      <c r="B278" s="27">
        <v>276</v>
      </c>
      <c r="C278" s="28">
        <f t="shared" si="21"/>
        <v>54027</v>
      </c>
      <c r="D278" s="29">
        <f t="shared" si="22"/>
        <v>24769.98</v>
      </c>
      <c r="E278" s="29">
        <f>IF(D278&gt;0.01,ROUND(D278*Kreditrechner!$C$6/12,2),0)</f>
        <v>77.41</v>
      </c>
      <c r="F278" s="29">
        <f>IF(D278&gt;0.01,ROUND(MIN(Kreditrechner!$C$11-E278,D278),2),0)</f>
        <v>785.09</v>
      </c>
      <c r="G278" s="11"/>
      <c r="H278" s="29">
        <f t="shared" si="20"/>
        <v>23984.89</v>
      </c>
      <c r="I278" s="29">
        <f t="shared" si="23"/>
        <v>94034.890000000043</v>
      </c>
      <c r="J278" s="29">
        <f t="shared" si="24"/>
        <v>156015.11000000002</v>
      </c>
    </row>
    <row r="279" spans="2:10" ht="15" customHeight="1" x14ac:dyDescent="0.25">
      <c r="B279" s="24">
        <v>277</v>
      </c>
      <c r="C279" s="25">
        <f t="shared" si="21"/>
        <v>54058</v>
      </c>
      <c r="D279" s="26">
        <f t="shared" si="22"/>
        <v>23984.89</v>
      </c>
      <c r="E279" s="26">
        <f>IF(D279&gt;0.01,ROUND(D279*Kreditrechner!$C$6/12,2),0)</f>
        <v>74.95</v>
      </c>
      <c r="F279" s="26">
        <f>IF(D279&gt;0.01,ROUND(MIN(Kreditrechner!$C$11-E279,D279),2),0)</f>
        <v>787.55</v>
      </c>
      <c r="G279" s="11"/>
      <c r="H279" s="26">
        <f t="shared" si="20"/>
        <v>23197.34</v>
      </c>
      <c r="I279" s="26">
        <f t="shared" si="23"/>
        <v>94109.84000000004</v>
      </c>
      <c r="J279" s="26">
        <f t="shared" si="24"/>
        <v>156802.66</v>
      </c>
    </row>
    <row r="280" spans="2:10" ht="15" customHeight="1" x14ac:dyDescent="0.25">
      <c r="B280" s="27">
        <v>278</v>
      </c>
      <c r="C280" s="28">
        <f t="shared" si="21"/>
        <v>54089</v>
      </c>
      <c r="D280" s="29">
        <f t="shared" si="22"/>
        <v>23197.34</v>
      </c>
      <c r="E280" s="29">
        <f>IF(D280&gt;0.01,ROUND(D280*Kreditrechner!$C$6/12,2),0)</f>
        <v>72.489999999999995</v>
      </c>
      <c r="F280" s="29">
        <f>IF(D280&gt;0.01,ROUND(MIN(Kreditrechner!$C$11-E280,D280),2),0)</f>
        <v>790.01</v>
      </c>
      <c r="G280" s="11"/>
      <c r="H280" s="29">
        <f t="shared" si="20"/>
        <v>22407.33</v>
      </c>
      <c r="I280" s="29">
        <f t="shared" si="23"/>
        <v>94182.330000000045</v>
      </c>
      <c r="J280" s="29">
        <f t="shared" si="24"/>
        <v>157592.67000000001</v>
      </c>
    </row>
    <row r="281" spans="2:10" ht="15" customHeight="1" x14ac:dyDescent="0.25">
      <c r="B281" s="24">
        <v>279</v>
      </c>
      <c r="C281" s="25">
        <f t="shared" si="21"/>
        <v>54118</v>
      </c>
      <c r="D281" s="26">
        <f t="shared" si="22"/>
        <v>22407.33</v>
      </c>
      <c r="E281" s="26">
        <f>IF(D281&gt;0.01,ROUND(D281*Kreditrechner!$C$6/12,2),0)</f>
        <v>70.02</v>
      </c>
      <c r="F281" s="26">
        <f>IF(D281&gt;0.01,ROUND(MIN(Kreditrechner!$C$11-E281,D281),2),0)</f>
        <v>792.48</v>
      </c>
      <c r="G281" s="11"/>
      <c r="H281" s="26">
        <f t="shared" si="20"/>
        <v>21614.85</v>
      </c>
      <c r="I281" s="26">
        <f t="shared" si="23"/>
        <v>94252.350000000049</v>
      </c>
      <c r="J281" s="26">
        <f t="shared" si="24"/>
        <v>158385.15000000002</v>
      </c>
    </row>
    <row r="282" spans="2:10" ht="15" customHeight="1" x14ac:dyDescent="0.25">
      <c r="B282" s="27">
        <v>280</v>
      </c>
      <c r="C282" s="28">
        <f t="shared" si="21"/>
        <v>54149</v>
      </c>
      <c r="D282" s="29">
        <f t="shared" si="22"/>
        <v>21614.85</v>
      </c>
      <c r="E282" s="29">
        <f>IF(D282&gt;0.01,ROUND(D282*Kreditrechner!$C$6/12,2),0)</f>
        <v>67.55</v>
      </c>
      <c r="F282" s="29">
        <f>IF(D282&gt;0.01,ROUND(MIN(Kreditrechner!$C$11-E282,D282),2),0)</f>
        <v>794.95</v>
      </c>
      <c r="G282" s="11"/>
      <c r="H282" s="29">
        <f t="shared" si="20"/>
        <v>20819.900000000001</v>
      </c>
      <c r="I282" s="29">
        <f t="shared" si="23"/>
        <v>94319.900000000052</v>
      </c>
      <c r="J282" s="29">
        <f t="shared" si="24"/>
        <v>159180.10000000003</v>
      </c>
    </row>
    <row r="283" spans="2:10" ht="15" customHeight="1" x14ac:dyDescent="0.25">
      <c r="B283" s="24">
        <v>281</v>
      </c>
      <c r="C283" s="25">
        <f t="shared" si="21"/>
        <v>54179</v>
      </c>
      <c r="D283" s="26">
        <f t="shared" si="22"/>
        <v>20819.900000000001</v>
      </c>
      <c r="E283" s="26">
        <f>IF(D283&gt;0.01,ROUND(D283*Kreditrechner!$C$6/12,2),0)</f>
        <v>65.06</v>
      </c>
      <c r="F283" s="26">
        <f>IF(D283&gt;0.01,ROUND(MIN(Kreditrechner!$C$11-E283,D283),2),0)</f>
        <v>797.44</v>
      </c>
      <c r="G283" s="11"/>
      <c r="H283" s="26">
        <f t="shared" si="20"/>
        <v>20022.46</v>
      </c>
      <c r="I283" s="26">
        <f t="shared" si="23"/>
        <v>94384.96000000005</v>
      </c>
      <c r="J283" s="26">
        <f t="shared" si="24"/>
        <v>159977.54000000004</v>
      </c>
    </row>
    <row r="284" spans="2:10" ht="15" customHeight="1" x14ac:dyDescent="0.25">
      <c r="B284" s="27">
        <v>282</v>
      </c>
      <c r="C284" s="28">
        <f t="shared" si="21"/>
        <v>54210</v>
      </c>
      <c r="D284" s="29">
        <f t="shared" si="22"/>
        <v>20022.46</v>
      </c>
      <c r="E284" s="29">
        <f>IF(D284&gt;0.01,ROUND(D284*Kreditrechner!$C$6/12,2),0)</f>
        <v>62.57</v>
      </c>
      <c r="F284" s="29">
        <f>IF(D284&gt;0.01,ROUND(MIN(Kreditrechner!$C$11-E284,D284),2),0)</f>
        <v>799.93</v>
      </c>
      <c r="G284" s="11"/>
      <c r="H284" s="29">
        <f t="shared" si="20"/>
        <v>19222.53</v>
      </c>
      <c r="I284" s="29">
        <f t="shared" si="23"/>
        <v>94447.530000000057</v>
      </c>
      <c r="J284" s="29">
        <f t="shared" si="24"/>
        <v>160777.47000000003</v>
      </c>
    </row>
    <row r="285" spans="2:10" ht="15" customHeight="1" x14ac:dyDescent="0.25">
      <c r="B285" s="24">
        <v>283</v>
      </c>
      <c r="C285" s="25">
        <f t="shared" si="21"/>
        <v>54240</v>
      </c>
      <c r="D285" s="26">
        <f t="shared" si="22"/>
        <v>19222.53</v>
      </c>
      <c r="E285" s="26">
        <f>IF(D285&gt;0.01,ROUND(D285*Kreditrechner!$C$6/12,2),0)</f>
        <v>60.07</v>
      </c>
      <c r="F285" s="26">
        <f>IF(D285&gt;0.01,ROUND(MIN(Kreditrechner!$C$11-E285,D285),2),0)</f>
        <v>802.43</v>
      </c>
      <c r="G285" s="11"/>
      <c r="H285" s="26">
        <f t="shared" si="20"/>
        <v>18420.099999999999</v>
      </c>
      <c r="I285" s="26">
        <f t="shared" si="23"/>
        <v>94507.600000000064</v>
      </c>
      <c r="J285" s="26">
        <f t="shared" si="24"/>
        <v>161579.90000000002</v>
      </c>
    </row>
    <row r="286" spans="2:10" ht="15" customHeight="1" x14ac:dyDescent="0.25">
      <c r="B286" s="27">
        <v>284</v>
      </c>
      <c r="C286" s="28">
        <f t="shared" si="21"/>
        <v>54271</v>
      </c>
      <c r="D286" s="29">
        <f t="shared" si="22"/>
        <v>18420.099999999999</v>
      </c>
      <c r="E286" s="29">
        <f>IF(D286&gt;0.01,ROUND(D286*Kreditrechner!$C$6/12,2),0)</f>
        <v>57.56</v>
      </c>
      <c r="F286" s="29">
        <f>IF(D286&gt;0.01,ROUND(MIN(Kreditrechner!$C$11-E286,D286),2),0)</f>
        <v>804.94</v>
      </c>
      <c r="G286" s="11"/>
      <c r="H286" s="29">
        <f t="shared" si="20"/>
        <v>17615.16</v>
      </c>
      <c r="I286" s="29">
        <f t="shared" si="23"/>
        <v>94565.160000000062</v>
      </c>
      <c r="J286" s="29">
        <f t="shared" si="24"/>
        <v>162384.84000000003</v>
      </c>
    </row>
    <row r="287" spans="2:10" ht="15" customHeight="1" x14ac:dyDescent="0.25">
      <c r="B287" s="24">
        <v>285</v>
      </c>
      <c r="C287" s="25">
        <f t="shared" si="21"/>
        <v>54302</v>
      </c>
      <c r="D287" s="26">
        <f t="shared" si="22"/>
        <v>17615.16</v>
      </c>
      <c r="E287" s="26">
        <f>IF(D287&gt;0.01,ROUND(D287*Kreditrechner!$C$6/12,2),0)</f>
        <v>55.05</v>
      </c>
      <c r="F287" s="26">
        <f>IF(D287&gt;0.01,ROUND(MIN(Kreditrechner!$C$11-E287,D287),2),0)</f>
        <v>807.45</v>
      </c>
      <c r="G287" s="11"/>
      <c r="H287" s="26">
        <f t="shared" si="20"/>
        <v>16807.71</v>
      </c>
      <c r="I287" s="26">
        <f t="shared" si="23"/>
        <v>94620.210000000065</v>
      </c>
      <c r="J287" s="26">
        <f t="shared" si="24"/>
        <v>163192.29000000004</v>
      </c>
    </row>
    <row r="288" spans="2:10" ht="15" customHeight="1" x14ac:dyDescent="0.25">
      <c r="B288" s="27">
        <v>286</v>
      </c>
      <c r="C288" s="28">
        <f t="shared" si="21"/>
        <v>54332</v>
      </c>
      <c r="D288" s="29">
        <f t="shared" si="22"/>
        <v>16807.71</v>
      </c>
      <c r="E288" s="29">
        <f>IF(D288&gt;0.01,ROUND(D288*Kreditrechner!$C$6/12,2),0)</f>
        <v>52.52</v>
      </c>
      <c r="F288" s="29">
        <f>IF(D288&gt;0.01,ROUND(MIN(Kreditrechner!$C$11-E288,D288),2),0)</f>
        <v>809.98</v>
      </c>
      <c r="G288" s="11"/>
      <c r="H288" s="29">
        <f t="shared" si="20"/>
        <v>15997.73</v>
      </c>
      <c r="I288" s="29">
        <f t="shared" si="23"/>
        <v>94672.730000000069</v>
      </c>
      <c r="J288" s="29">
        <f t="shared" si="24"/>
        <v>164002.27000000005</v>
      </c>
    </row>
    <row r="289" spans="2:10" ht="15" customHeight="1" x14ac:dyDescent="0.25">
      <c r="B289" s="24">
        <v>287</v>
      </c>
      <c r="C289" s="25">
        <f t="shared" si="21"/>
        <v>54363</v>
      </c>
      <c r="D289" s="26">
        <f t="shared" si="22"/>
        <v>15997.73</v>
      </c>
      <c r="E289" s="26">
        <f>IF(D289&gt;0.01,ROUND(D289*Kreditrechner!$C$6/12,2),0)</f>
        <v>49.99</v>
      </c>
      <c r="F289" s="26">
        <f>IF(D289&gt;0.01,ROUND(MIN(Kreditrechner!$C$11-E289,D289),2),0)</f>
        <v>812.51</v>
      </c>
      <c r="G289" s="11"/>
      <c r="H289" s="26">
        <f t="shared" si="20"/>
        <v>15185.22</v>
      </c>
      <c r="I289" s="26">
        <f t="shared" si="23"/>
        <v>94722.720000000074</v>
      </c>
      <c r="J289" s="26">
        <f t="shared" si="24"/>
        <v>164814.78000000006</v>
      </c>
    </row>
    <row r="290" spans="2:10" ht="15" customHeight="1" x14ac:dyDescent="0.25">
      <c r="B290" s="27">
        <v>288</v>
      </c>
      <c r="C290" s="28">
        <f t="shared" si="21"/>
        <v>54393</v>
      </c>
      <c r="D290" s="29">
        <f t="shared" si="22"/>
        <v>15185.22</v>
      </c>
      <c r="E290" s="29">
        <f>IF(D290&gt;0.01,ROUND(D290*Kreditrechner!$C$6/12,2),0)</f>
        <v>47.45</v>
      </c>
      <c r="F290" s="29">
        <f>IF(D290&gt;0.01,ROUND(MIN(Kreditrechner!$C$11-E290,D290),2),0)</f>
        <v>815.05</v>
      </c>
      <c r="G290" s="11"/>
      <c r="H290" s="29">
        <f t="shared" si="20"/>
        <v>14370.17</v>
      </c>
      <c r="I290" s="29">
        <f t="shared" si="23"/>
        <v>94770.170000000071</v>
      </c>
      <c r="J290" s="29">
        <f t="shared" si="24"/>
        <v>165629.83000000005</v>
      </c>
    </row>
    <row r="291" spans="2:10" ht="15" customHeight="1" x14ac:dyDescent="0.25">
      <c r="B291" s="24">
        <v>289</v>
      </c>
      <c r="C291" s="25">
        <f t="shared" si="21"/>
        <v>54424</v>
      </c>
      <c r="D291" s="26">
        <f t="shared" si="22"/>
        <v>14370.17</v>
      </c>
      <c r="E291" s="26">
        <f>IF(D291&gt;0.01,ROUND(D291*Kreditrechner!$C$6/12,2),0)</f>
        <v>44.91</v>
      </c>
      <c r="F291" s="26">
        <f>IF(D291&gt;0.01,ROUND(MIN(Kreditrechner!$C$11-E291,D291),2),0)</f>
        <v>817.59</v>
      </c>
      <c r="G291" s="11"/>
      <c r="H291" s="26">
        <f t="shared" si="20"/>
        <v>13552.58</v>
      </c>
      <c r="I291" s="26">
        <f t="shared" si="23"/>
        <v>94815.080000000075</v>
      </c>
      <c r="J291" s="26">
        <f t="shared" si="24"/>
        <v>166447.42000000004</v>
      </c>
    </row>
    <row r="292" spans="2:10" ht="15" customHeight="1" x14ac:dyDescent="0.25">
      <c r="B292" s="27">
        <v>290</v>
      </c>
      <c r="C292" s="28">
        <f t="shared" si="21"/>
        <v>54455</v>
      </c>
      <c r="D292" s="29">
        <f t="shared" si="22"/>
        <v>13552.58</v>
      </c>
      <c r="E292" s="29">
        <f>IF(D292&gt;0.01,ROUND(D292*Kreditrechner!$C$6/12,2),0)</f>
        <v>42.35</v>
      </c>
      <c r="F292" s="29">
        <f>IF(D292&gt;0.01,ROUND(MIN(Kreditrechner!$C$11-E292,D292),2),0)</f>
        <v>820.15</v>
      </c>
      <c r="G292" s="11"/>
      <c r="H292" s="29">
        <f t="shared" si="20"/>
        <v>12732.43</v>
      </c>
      <c r="I292" s="29">
        <f t="shared" si="23"/>
        <v>94857.43000000008</v>
      </c>
      <c r="J292" s="29">
        <f t="shared" si="24"/>
        <v>167267.57000000004</v>
      </c>
    </row>
    <row r="293" spans="2:10" ht="15" customHeight="1" x14ac:dyDescent="0.25">
      <c r="B293" s="24">
        <v>291</v>
      </c>
      <c r="C293" s="25">
        <f t="shared" si="21"/>
        <v>54483</v>
      </c>
      <c r="D293" s="26">
        <f t="shared" si="22"/>
        <v>12732.43</v>
      </c>
      <c r="E293" s="26">
        <f>IF(D293&gt;0.01,ROUND(D293*Kreditrechner!$C$6/12,2),0)</f>
        <v>39.79</v>
      </c>
      <c r="F293" s="26">
        <f>IF(D293&gt;0.01,ROUND(MIN(Kreditrechner!$C$11-E293,D293),2),0)</f>
        <v>822.71</v>
      </c>
      <c r="G293" s="11"/>
      <c r="H293" s="26">
        <f t="shared" si="20"/>
        <v>11909.72</v>
      </c>
      <c r="I293" s="26">
        <f t="shared" si="23"/>
        <v>94897.220000000074</v>
      </c>
      <c r="J293" s="26">
        <f t="shared" si="24"/>
        <v>168090.28000000003</v>
      </c>
    </row>
    <row r="294" spans="2:10" ht="15" customHeight="1" x14ac:dyDescent="0.25">
      <c r="B294" s="27">
        <v>292</v>
      </c>
      <c r="C294" s="28">
        <f t="shared" si="21"/>
        <v>54514</v>
      </c>
      <c r="D294" s="29">
        <f t="shared" si="22"/>
        <v>11909.72</v>
      </c>
      <c r="E294" s="29">
        <f>IF(D294&gt;0.01,ROUND(D294*Kreditrechner!$C$6/12,2),0)</f>
        <v>37.22</v>
      </c>
      <c r="F294" s="29">
        <f>IF(D294&gt;0.01,ROUND(MIN(Kreditrechner!$C$11-E294,D294),2),0)</f>
        <v>825.28</v>
      </c>
      <c r="G294" s="11"/>
      <c r="H294" s="29">
        <f t="shared" si="20"/>
        <v>11084.44</v>
      </c>
      <c r="I294" s="29">
        <f t="shared" si="23"/>
        <v>94934.440000000075</v>
      </c>
      <c r="J294" s="29">
        <f t="shared" si="24"/>
        <v>168915.56000000003</v>
      </c>
    </row>
    <row r="295" spans="2:10" ht="15" customHeight="1" x14ac:dyDescent="0.25">
      <c r="B295" s="24">
        <v>293</v>
      </c>
      <c r="C295" s="25">
        <f t="shared" si="21"/>
        <v>54544</v>
      </c>
      <c r="D295" s="26">
        <f t="shared" si="22"/>
        <v>11084.44</v>
      </c>
      <c r="E295" s="26">
        <f>IF(D295&gt;0.01,ROUND(D295*Kreditrechner!$C$6/12,2),0)</f>
        <v>34.64</v>
      </c>
      <c r="F295" s="26">
        <f>IF(D295&gt;0.01,ROUND(MIN(Kreditrechner!$C$11-E295,D295),2),0)</f>
        <v>827.86</v>
      </c>
      <c r="G295" s="11"/>
      <c r="H295" s="26">
        <f t="shared" si="20"/>
        <v>10256.58</v>
      </c>
      <c r="I295" s="26">
        <f t="shared" si="23"/>
        <v>94969.080000000075</v>
      </c>
      <c r="J295" s="26">
        <f t="shared" si="24"/>
        <v>169743.42</v>
      </c>
    </row>
    <row r="296" spans="2:10" ht="15" customHeight="1" x14ac:dyDescent="0.25">
      <c r="B296" s="27">
        <v>294</v>
      </c>
      <c r="C296" s="28">
        <f t="shared" si="21"/>
        <v>54575</v>
      </c>
      <c r="D296" s="29">
        <f t="shared" si="22"/>
        <v>10256.58</v>
      </c>
      <c r="E296" s="29">
        <f>IF(D296&gt;0.01,ROUND(D296*Kreditrechner!$C$6/12,2),0)</f>
        <v>32.049999999999997</v>
      </c>
      <c r="F296" s="29">
        <f>IF(D296&gt;0.01,ROUND(MIN(Kreditrechner!$C$11-E296,D296),2),0)</f>
        <v>830.45</v>
      </c>
      <c r="G296" s="11"/>
      <c r="H296" s="29">
        <f t="shared" si="20"/>
        <v>9426.1299999999992</v>
      </c>
      <c r="I296" s="29">
        <f t="shared" si="23"/>
        <v>95001.130000000077</v>
      </c>
      <c r="J296" s="29">
        <f t="shared" si="24"/>
        <v>170573.87000000002</v>
      </c>
    </row>
    <row r="297" spans="2:10" ht="15" customHeight="1" x14ac:dyDescent="0.25">
      <c r="B297" s="24">
        <v>295</v>
      </c>
      <c r="C297" s="25">
        <f t="shared" si="21"/>
        <v>54605</v>
      </c>
      <c r="D297" s="26">
        <f t="shared" si="22"/>
        <v>9426.1299999999992</v>
      </c>
      <c r="E297" s="26">
        <f>IF(D297&gt;0.01,ROUND(D297*Kreditrechner!$C$6/12,2),0)</f>
        <v>29.46</v>
      </c>
      <c r="F297" s="26">
        <f>IF(D297&gt;0.01,ROUND(MIN(Kreditrechner!$C$11-E297,D297),2),0)</f>
        <v>833.04</v>
      </c>
      <c r="G297" s="11"/>
      <c r="H297" s="26">
        <f t="shared" si="20"/>
        <v>8593.09</v>
      </c>
      <c r="I297" s="26">
        <f t="shared" si="23"/>
        <v>95030.590000000084</v>
      </c>
      <c r="J297" s="26">
        <f t="shared" si="24"/>
        <v>171406.91000000003</v>
      </c>
    </row>
    <row r="298" spans="2:10" ht="15" customHeight="1" x14ac:dyDescent="0.25">
      <c r="B298" s="27">
        <v>296</v>
      </c>
      <c r="C298" s="28">
        <f t="shared" si="21"/>
        <v>54636</v>
      </c>
      <c r="D298" s="29">
        <f t="shared" si="22"/>
        <v>8593.09</v>
      </c>
      <c r="E298" s="29">
        <f>IF(D298&gt;0.01,ROUND(D298*Kreditrechner!$C$6/12,2),0)</f>
        <v>26.85</v>
      </c>
      <c r="F298" s="29">
        <f>IF(D298&gt;0.01,ROUND(MIN(Kreditrechner!$C$11-E298,D298),2),0)</f>
        <v>835.65</v>
      </c>
      <c r="G298" s="11"/>
      <c r="H298" s="29">
        <f t="shared" si="20"/>
        <v>7757.44</v>
      </c>
      <c r="I298" s="29">
        <f t="shared" si="23"/>
        <v>95057.44000000009</v>
      </c>
      <c r="J298" s="29">
        <f t="shared" si="24"/>
        <v>172242.56000000003</v>
      </c>
    </row>
    <row r="299" spans="2:10" ht="15" customHeight="1" x14ac:dyDescent="0.25">
      <c r="B299" s="24">
        <v>297</v>
      </c>
      <c r="C299" s="25">
        <f t="shared" si="21"/>
        <v>54667</v>
      </c>
      <c r="D299" s="26">
        <f t="shared" si="22"/>
        <v>7757.44</v>
      </c>
      <c r="E299" s="26">
        <f>IF(D299&gt;0.01,ROUND(D299*Kreditrechner!$C$6/12,2),0)</f>
        <v>24.24</v>
      </c>
      <c r="F299" s="26">
        <f>IF(D299&gt;0.01,ROUND(MIN(Kreditrechner!$C$11-E299,D299),2),0)</f>
        <v>838.26</v>
      </c>
      <c r="G299" s="11"/>
      <c r="H299" s="26">
        <f t="shared" si="20"/>
        <v>6919.18</v>
      </c>
      <c r="I299" s="26">
        <f t="shared" si="23"/>
        <v>95081.680000000095</v>
      </c>
      <c r="J299" s="26">
        <f t="shared" si="24"/>
        <v>173080.82000000004</v>
      </c>
    </row>
    <row r="300" spans="2:10" ht="15" customHeight="1" x14ac:dyDescent="0.25">
      <c r="B300" s="27">
        <v>298</v>
      </c>
      <c r="C300" s="28">
        <f t="shared" si="21"/>
        <v>54697</v>
      </c>
      <c r="D300" s="29">
        <f t="shared" si="22"/>
        <v>6919.18</v>
      </c>
      <c r="E300" s="29">
        <f>IF(D300&gt;0.01,ROUND(D300*Kreditrechner!$C$6/12,2),0)</f>
        <v>21.62</v>
      </c>
      <c r="F300" s="29">
        <f>IF(D300&gt;0.01,ROUND(MIN(Kreditrechner!$C$11-E300,D300),2),0)</f>
        <v>840.88</v>
      </c>
      <c r="G300" s="11"/>
      <c r="H300" s="29">
        <f t="shared" si="20"/>
        <v>6078.3</v>
      </c>
      <c r="I300" s="29">
        <f t="shared" si="23"/>
        <v>95103.30000000009</v>
      </c>
      <c r="J300" s="29">
        <f t="shared" si="24"/>
        <v>173921.70000000004</v>
      </c>
    </row>
    <row r="301" spans="2:10" ht="15" customHeight="1" x14ac:dyDescent="0.25">
      <c r="B301" s="24">
        <v>299</v>
      </c>
      <c r="C301" s="25">
        <f t="shared" si="21"/>
        <v>54728</v>
      </c>
      <c r="D301" s="26">
        <f t="shared" si="22"/>
        <v>6078.3</v>
      </c>
      <c r="E301" s="26">
        <f>IF(D301&gt;0.01,ROUND(D301*Kreditrechner!$C$6/12,2),0)</f>
        <v>18.989999999999998</v>
      </c>
      <c r="F301" s="26">
        <f>IF(D301&gt;0.01,ROUND(MIN(Kreditrechner!$C$11-E301,D301),2),0)</f>
        <v>843.51</v>
      </c>
      <c r="G301" s="11"/>
      <c r="H301" s="26">
        <f t="shared" si="20"/>
        <v>5234.79</v>
      </c>
      <c r="I301" s="26">
        <f t="shared" si="23"/>
        <v>95122.290000000095</v>
      </c>
      <c r="J301" s="26">
        <f t="shared" si="24"/>
        <v>174765.21000000005</v>
      </c>
    </row>
    <row r="302" spans="2:10" ht="15" customHeight="1" x14ac:dyDescent="0.25">
      <c r="B302" s="27">
        <v>300</v>
      </c>
      <c r="C302" s="28">
        <f t="shared" si="21"/>
        <v>54758</v>
      </c>
      <c r="D302" s="29">
        <f t="shared" si="22"/>
        <v>5234.79</v>
      </c>
      <c r="E302" s="29">
        <f>IF(D302&gt;0.01,ROUND(D302*Kreditrechner!$C$6/12,2),0)</f>
        <v>16.36</v>
      </c>
      <c r="F302" s="29">
        <f>IF(D302&gt;0.01,ROUND(MIN(Kreditrechner!$C$11-E302,D302),2),0)</f>
        <v>846.14</v>
      </c>
      <c r="G302" s="11"/>
      <c r="H302" s="29">
        <f t="shared" si="20"/>
        <v>4388.6499999999996</v>
      </c>
      <c r="I302" s="29">
        <f t="shared" si="23"/>
        <v>95138.650000000096</v>
      </c>
      <c r="J302" s="29">
        <f t="shared" si="24"/>
        <v>175611.35000000006</v>
      </c>
    </row>
    <row r="303" spans="2:10" ht="15" customHeight="1" x14ac:dyDescent="0.25">
      <c r="B303" s="24">
        <v>301</v>
      </c>
      <c r="C303" s="25">
        <f t="shared" si="21"/>
        <v>54789</v>
      </c>
      <c r="D303" s="26">
        <f t="shared" si="22"/>
        <v>4388.6499999999996</v>
      </c>
      <c r="E303" s="26">
        <f>IF(D303&gt;0.01,ROUND(D303*Kreditrechner!$C$6/12,2),0)</f>
        <v>13.71</v>
      </c>
      <c r="F303" s="26">
        <f>IF(D303&gt;0.01,ROUND(MIN(Kreditrechner!$C$11-E303,D303),2),0)</f>
        <v>848.79</v>
      </c>
      <c r="G303" s="11"/>
      <c r="H303" s="26">
        <f t="shared" si="20"/>
        <v>3539.86</v>
      </c>
      <c r="I303" s="26">
        <f t="shared" si="23"/>
        <v>95152.360000000102</v>
      </c>
      <c r="J303" s="26">
        <f t="shared" si="24"/>
        <v>176460.14000000007</v>
      </c>
    </row>
    <row r="304" spans="2:10" ht="15" customHeight="1" x14ac:dyDescent="0.25">
      <c r="B304" s="27">
        <v>302</v>
      </c>
      <c r="C304" s="28">
        <f t="shared" si="21"/>
        <v>54820</v>
      </c>
      <c r="D304" s="29">
        <f t="shared" si="22"/>
        <v>3539.86</v>
      </c>
      <c r="E304" s="29">
        <f>IF(D304&gt;0.01,ROUND(D304*Kreditrechner!$C$6/12,2),0)</f>
        <v>11.06</v>
      </c>
      <c r="F304" s="29">
        <f>IF(D304&gt;0.01,ROUND(MIN(Kreditrechner!$C$11-E304,D304),2),0)</f>
        <v>851.44</v>
      </c>
      <c r="G304" s="11"/>
      <c r="H304" s="29">
        <f t="shared" si="20"/>
        <v>2688.42</v>
      </c>
      <c r="I304" s="29">
        <f t="shared" si="23"/>
        <v>95163.4200000001</v>
      </c>
      <c r="J304" s="29">
        <f t="shared" si="24"/>
        <v>177311.58000000007</v>
      </c>
    </row>
    <row r="305" spans="2:10" ht="15" customHeight="1" x14ac:dyDescent="0.25">
      <c r="B305" s="24">
        <v>303</v>
      </c>
      <c r="C305" s="25">
        <f t="shared" si="21"/>
        <v>54848</v>
      </c>
      <c r="D305" s="26">
        <f t="shared" si="22"/>
        <v>2688.42</v>
      </c>
      <c r="E305" s="26">
        <f>IF(D305&gt;0.01,ROUND(D305*Kreditrechner!$C$6/12,2),0)</f>
        <v>8.4</v>
      </c>
      <c r="F305" s="26">
        <f>IF(D305&gt;0.01,ROUND(MIN(Kreditrechner!$C$11-E305,D305),2),0)</f>
        <v>854.1</v>
      </c>
      <c r="G305" s="11"/>
      <c r="H305" s="26">
        <f t="shared" si="20"/>
        <v>1834.32</v>
      </c>
      <c r="I305" s="26">
        <f t="shared" si="23"/>
        <v>95171.820000000094</v>
      </c>
      <c r="J305" s="26">
        <f t="shared" si="24"/>
        <v>178165.68000000008</v>
      </c>
    </row>
    <row r="306" spans="2:10" ht="15" customHeight="1" x14ac:dyDescent="0.25">
      <c r="B306" s="27">
        <v>304</v>
      </c>
      <c r="C306" s="28">
        <f t="shared" si="21"/>
        <v>54879</v>
      </c>
      <c r="D306" s="29">
        <f t="shared" si="22"/>
        <v>1834.32</v>
      </c>
      <c r="E306" s="29">
        <f>IF(D306&gt;0.01,ROUND(D306*Kreditrechner!$C$6/12,2),0)</f>
        <v>5.73</v>
      </c>
      <c r="F306" s="29">
        <f>IF(D306&gt;0.01,ROUND(MIN(Kreditrechner!$C$11-E306,D306),2),0)</f>
        <v>856.77</v>
      </c>
      <c r="G306" s="11"/>
      <c r="H306" s="29">
        <f t="shared" si="20"/>
        <v>977.55</v>
      </c>
      <c r="I306" s="29">
        <f t="shared" si="23"/>
        <v>95177.55000000009</v>
      </c>
      <c r="J306" s="29">
        <f t="shared" si="24"/>
        <v>179022.45000000007</v>
      </c>
    </row>
    <row r="307" spans="2:10" ht="15" customHeight="1" x14ac:dyDescent="0.25">
      <c r="B307" s="24">
        <v>305</v>
      </c>
      <c r="C307" s="25">
        <f t="shared" si="21"/>
        <v>54909</v>
      </c>
      <c r="D307" s="26">
        <f t="shared" si="22"/>
        <v>977.55</v>
      </c>
      <c r="E307" s="26">
        <f>IF(D307&gt;0.01,ROUND(D307*Kreditrechner!$C$6/12,2),0)</f>
        <v>3.05</v>
      </c>
      <c r="F307" s="26">
        <f>IF(D307&gt;0.01,ROUND(MIN(Kreditrechner!$C$11-E307,D307),2),0)</f>
        <v>859.45</v>
      </c>
      <c r="G307" s="11"/>
      <c r="H307" s="26">
        <f t="shared" si="20"/>
        <v>118.1</v>
      </c>
      <c r="I307" s="26">
        <f t="shared" si="23"/>
        <v>95180.600000000093</v>
      </c>
      <c r="J307" s="26">
        <f t="shared" si="24"/>
        <v>179881.90000000008</v>
      </c>
    </row>
    <row r="308" spans="2:10" ht="15" customHeight="1" x14ac:dyDescent="0.25">
      <c r="B308" s="27">
        <v>306</v>
      </c>
      <c r="C308" s="28">
        <f t="shared" si="21"/>
        <v>54940</v>
      </c>
      <c r="D308" s="29">
        <f t="shared" si="22"/>
        <v>118.1</v>
      </c>
      <c r="E308" s="29">
        <f>IF(D308&gt;0.01,ROUND(D308*Kreditrechner!$C$6/12,2),0)</f>
        <v>0.37</v>
      </c>
      <c r="F308" s="29">
        <f>IF(D308&gt;0.01,ROUND(MIN(Kreditrechner!$C$11-E308,D308),2),0)</f>
        <v>118.1</v>
      </c>
      <c r="G308" s="11"/>
      <c r="H308" s="29">
        <f t="shared" si="20"/>
        <v>0</v>
      </c>
      <c r="I308" s="29">
        <f t="shared" si="23"/>
        <v>95180.970000000088</v>
      </c>
      <c r="J308" s="29">
        <f t="shared" si="24"/>
        <v>180000.00000000009</v>
      </c>
    </row>
    <row r="309" spans="2:10" ht="15" customHeight="1" x14ac:dyDescent="0.25">
      <c r="B309" s="24">
        <v>307</v>
      </c>
      <c r="C309" s="25">
        <f t="shared" si="21"/>
        <v>54970</v>
      </c>
      <c r="D309" s="26">
        <f t="shared" si="22"/>
        <v>0</v>
      </c>
      <c r="E309" s="26">
        <f>IF(D309&gt;0.01,ROUND(D309*Kreditrechner!$C$6/12,2),0)</f>
        <v>0</v>
      </c>
      <c r="F309" s="26">
        <f>IF(D309&gt;0.01,ROUND(MIN(Kreditrechner!$C$11-E309,D309),2),0)</f>
        <v>0</v>
      </c>
      <c r="G309" s="11"/>
      <c r="H309" s="26">
        <f t="shared" si="20"/>
        <v>0</v>
      </c>
      <c r="I309" s="26">
        <f t="shared" si="23"/>
        <v>95180.970000000088</v>
      </c>
      <c r="J309" s="26">
        <f t="shared" si="24"/>
        <v>180000.00000000009</v>
      </c>
    </row>
    <row r="310" spans="2:10" ht="15" customHeight="1" x14ac:dyDescent="0.25">
      <c r="B310" s="27">
        <v>308</v>
      </c>
      <c r="C310" s="28">
        <f t="shared" si="21"/>
        <v>55001</v>
      </c>
      <c r="D310" s="29">
        <f t="shared" si="22"/>
        <v>0</v>
      </c>
      <c r="E310" s="29">
        <f>IF(D310&gt;0.01,ROUND(D310*Kreditrechner!$C$6/12,2),0)</f>
        <v>0</v>
      </c>
      <c r="F310" s="29">
        <f>IF(D310&gt;0.01,ROUND(MIN(Kreditrechner!$C$11-E310,D310),2),0)</f>
        <v>0</v>
      </c>
      <c r="G310" s="11"/>
      <c r="H310" s="29">
        <f t="shared" si="20"/>
        <v>0</v>
      </c>
      <c r="I310" s="29">
        <f t="shared" si="23"/>
        <v>95180.970000000088</v>
      </c>
      <c r="J310" s="29">
        <f t="shared" si="24"/>
        <v>180000.00000000009</v>
      </c>
    </row>
    <row r="311" spans="2:10" ht="15" customHeight="1" x14ac:dyDescent="0.25">
      <c r="B311" s="24">
        <v>309</v>
      </c>
      <c r="C311" s="25">
        <f t="shared" si="21"/>
        <v>55032</v>
      </c>
      <c r="D311" s="26">
        <f t="shared" si="22"/>
        <v>0</v>
      </c>
      <c r="E311" s="26">
        <f>IF(D311&gt;0.01,ROUND(D311*Kreditrechner!$C$6/12,2),0)</f>
        <v>0</v>
      </c>
      <c r="F311" s="26">
        <f>IF(D311&gt;0.01,ROUND(MIN(Kreditrechner!$C$11-E311,D311),2),0)</f>
        <v>0</v>
      </c>
      <c r="G311" s="11"/>
      <c r="H311" s="26">
        <f t="shared" si="20"/>
        <v>0</v>
      </c>
      <c r="I311" s="26">
        <f t="shared" si="23"/>
        <v>95180.970000000088</v>
      </c>
      <c r="J311" s="26">
        <f t="shared" si="24"/>
        <v>180000.00000000009</v>
      </c>
    </row>
    <row r="312" spans="2:10" ht="15" customHeight="1" x14ac:dyDescent="0.25">
      <c r="B312" s="27">
        <v>310</v>
      </c>
      <c r="C312" s="28">
        <f t="shared" si="21"/>
        <v>55062</v>
      </c>
      <c r="D312" s="29">
        <f t="shared" si="22"/>
        <v>0</v>
      </c>
      <c r="E312" s="29">
        <f>IF(D312&gt;0.01,ROUND(D312*Kreditrechner!$C$6/12,2),0)</f>
        <v>0</v>
      </c>
      <c r="F312" s="29">
        <f>IF(D312&gt;0.01,ROUND(MIN(Kreditrechner!$C$11-E312,D312),2),0)</f>
        <v>0</v>
      </c>
      <c r="G312" s="11"/>
      <c r="H312" s="29">
        <f t="shared" si="20"/>
        <v>0</v>
      </c>
      <c r="I312" s="29">
        <f t="shared" si="23"/>
        <v>95180.970000000088</v>
      </c>
      <c r="J312" s="29">
        <f t="shared" si="24"/>
        <v>180000.00000000009</v>
      </c>
    </row>
    <row r="313" spans="2:10" ht="15" customHeight="1" x14ac:dyDescent="0.25">
      <c r="B313" s="24">
        <v>311</v>
      </c>
      <c r="C313" s="25">
        <f t="shared" si="21"/>
        <v>55093</v>
      </c>
      <c r="D313" s="26">
        <f t="shared" si="22"/>
        <v>0</v>
      </c>
      <c r="E313" s="26">
        <f>IF(D313&gt;0.01,ROUND(D313*Kreditrechner!$C$6/12,2),0)</f>
        <v>0</v>
      </c>
      <c r="F313" s="26">
        <f>IF(D313&gt;0.01,ROUND(MIN(Kreditrechner!$C$11-E313,D313),2),0)</f>
        <v>0</v>
      </c>
      <c r="G313" s="11"/>
      <c r="H313" s="26">
        <f t="shared" si="20"/>
        <v>0</v>
      </c>
      <c r="I313" s="26">
        <f t="shared" si="23"/>
        <v>95180.970000000088</v>
      </c>
      <c r="J313" s="26">
        <f t="shared" si="24"/>
        <v>180000.00000000009</v>
      </c>
    </row>
    <row r="314" spans="2:10" ht="15" customHeight="1" x14ac:dyDescent="0.25">
      <c r="B314" s="27">
        <v>312</v>
      </c>
      <c r="C314" s="28">
        <f t="shared" si="21"/>
        <v>55123</v>
      </c>
      <c r="D314" s="29">
        <f t="shared" si="22"/>
        <v>0</v>
      </c>
      <c r="E314" s="29">
        <f>IF(D314&gt;0.01,ROUND(D314*Kreditrechner!$C$6/12,2),0)</f>
        <v>0</v>
      </c>
      <c r="F314" s="29">
        <f>IF(D314&gt;0.01,ROUND(MIN(Kreditrechner!$C$11-E314,D314),2),0)</f>
        <v>0</v>
      </c>
      <c r="G314" s="11"/>
      <c r="H314" s="29">
        <f t="shared" si="20"/>
        <v>0</v>
      </c>
      <c r="I314" s="29">
        <f t="shared" si="23"/>
        <v>95180.970000000088</v>
      </c>
      <c r="J314" s="29">
        <f t="shared" si="24"/>
        <v>180000.00000000009</v>
      </c>
    </row>
    <row r="315" spans="2:10" ht="15" customHeight="1" x14ac:dyDescent="0.25">
      <c r="B315" s="24">
        <v>313</v>
      </c>
      <c r="C315" s="25">
        <f t="shared" si="21"/>
        <v>55154</v>
      </c>
      <c r="D315" s="26">
        <f t="shared" si="22"/>
        <v>0</v>
      </c>
      <c r="E315" s="26">
        <f>IF(D315&gt;0.01,ROUND(D315*Kreditrechner!$C$6/12,2),0)</f>
        <v>0</v>
      </c>
      <c r="F315" s="26">
        <f>IF(D315&gt;0.01,ROUND(MIN(Kreditrechner!$C$11-E315,D315),2),0)</f>
        <v>0</v>
      </c>
      <c r="G315" s="11"/>
      <c r="H315" s="26">
        <f t="shared" si="20"/>
        <v>0</v>
      </c>
      <c r="I315" s="26">
        <f t="shared" si="23"/>
        <v>95180.970000000088</v>
      </c>
      <c r="J315" s="26">
        <f t="shared" si="24"/>
        <v>180000.00000000009</v>
      </c>
    </row>
    <row r="316" spans="2:10" ht="15" customHeight="1" x14ac:dyDescent="0.25">
      <c r="B316" s="27">
        <v>314</v>
      </c>
      <c r="C316" s="28">
        <f t="shared" si="21"/>
        <v>55185</v>
      </c>
      <c r="D316" s="29">
        <f t="shared" si="22"/>
        <v>0</v>
      </c>
      <c r="E316" s="29">
        <f>IF(D316&gt;0.01,ROUND(D316*Kreditrechner!$C$6/12,2),0)</f>
        <v>0</v>
      </c>
      <c r="F316" s="29">
        <f>IF(D316&gt;0.01,ROUND(MIN(Kreditrechner!$C$11-E316,D316),2),0)</f>
        <v>0</v>
      </c>
      <c r="G316" s="11"/>
      <c r="H316" s="29">
        <f t="shared" si="20"/>
        <v>0</v>
      </c>
      <c r="I316" s="29">
        <f t="shared" si="23"/>
        <v>95180.970000000088</v>
      </c>
      <c r="J316" s="29">
        <f t="shared" si="24"/>
        <v>180000.00000000009</v>
      </c>
    </row>
    <row r="317" spans="2:10" ht="15" customHeight="1" x14ac:dyDescent="0.25">
      <c r="B317" s="24">
        <v>315</v>
      </c>
      <c r="C317" s="25">
        <f t="shared" si="21"/>
        <v>55213</v>
      </c>
      <c r="D317" s="26">
        <f t="shared" si="22"/>
        <v>0</v>
      </c>
      <c r="E317" s="26">
        <f>IF(D317&gt;0.01,ROUND(D317*Kreditrechner!$C$6/12,2),0)</f>
        <v>0</v>
      </c>
      <c r="F317" s="26">
        <f>IF(D317&gt;0.01,ROUND(MIN(Kreditrechner!$C$11-E317,D317),2),0)</f>
        <v>0</v>
      </c>
      <c r="G317" s="11"/>
      <c r="H317" s="26">
        <f t="shared" si="20"/>
        <v>0</v>
      </c>
      <c r="I317" s="26">
        <f t="shared" si="23"/>
        <v>95180.970000000088</v>
      </c>
      <c r="J317" s="26">
        <f t="shared" si="24"/>
        <v>180000.00000000009</v>
      </c>
    </row>
    <row r="318" spans="2:10" ht="15" customHeight="1" x14ac:dyDescent="0.25">
      <c r="B318" s="27">
        <v>316</v>
      </c>
      <c r="C318" s="28">
        <f t="shared" si="21"/>
        <v>55244</v>
      </c>
      <c r="D318" s="29">
        <f t="shared" si="22"/>
        <v>0</v>
      </c>
      <c r="E318" s="29">
        <f>IF(D318&gt;0.01,ROUND(D318*Kreditrechner!$C$6/12,2),0)</f>
        <v>0</v>
      </c>
      <c r="F318" s="29">
        <f>IF(D318&gt;0.01,ROUND(MIN(Kreditrechner!$C$11-E318,D318),2),0)</f>
        <v>0</v>
      </c>
      <c r="G318" s="11"/>
      <c r="H318" s="29">
        <f t="shared" si="20"/>
        <v>0</v>
      </c>
      <c r="I318" s="29">
        <f t="shared" si="23"/>
        <v>95180.970000000088</v>
      </c>
      <c r="J318" s="29">
        <f t="shared" si="24"/>
        <v>180000.00000000009</v>
      </c>
    </row>
    <row r="319" spans="2:10" ht="15" customHeight="1" x14ac:dyDescent="0.25">
      <c r="B319" s="24">
        <v>317</v>
      </c>
      <c r="C319" s="25">
        <f t="shared" si="21"/>
        <v>55274</v>
      </c>
      <c r="D319" s="26">
        <f t="shared" si="22"/>
        <v>0</v>
      </c>
      <c r="E319" s="26">
        <f>IF(D319&gt;0.01,ROUND(D319*Kreditrechner!$C$6/12,2),0)</f>
        <v>0</v>
      </c>
      <c r="F319" s="26">
        <f>IF(D319&gt;0.01,ROUND(MIN(Kreditrechner!$C$11-E319,D319),2),0)</f>
        <v>0</v>
      </c>
      <c r="G319" s="11"/>
      <c r="H319" s="26">
        <f t="shared" si="20"/>
        <v>0</v>
      </c>
      <c r="I319" s="26">
        <f t="shared" si="23"/>
        <v>95180.970000000088</v>
      </c>
      <c r="J319" s="26">
        <f t="shared" si="24"/>
        <v>180000.00000000009</v>
      </c>
    </row>
    <row r="320" spans="2:10" ht="15" customHeight="1" x14ac:dyDescent="0.25">
      <c r="B320" s="27">
        <v>318</v>
      </c>
      <c r="C320" s="28">
        <f t="shared" si="21"/>
        <v>55305</v>
      </c>
      <c r="D320" s="29">
        <f t="shared" si="22"/>
        <v>0</v>
      </c>
      <c r="E320" s="29">
        <f>IF(D320&gt;0.01,ROUND(D320*Kreditrechner!$C$6/12,2),0)</f>
        <v>0</v>
      </c>
      <c r="F320" s="29">
        <f>IF(D320&gt;0.01,ROUND(MIN(Kreditrechner!$C$11-E320,D320),2),0)</f>
        <v>0</v>
      </c>
      <c r="G320" s="11"/>
      <c r="H320" s="29">
        <f t="shared" si="20"/>
        <v>0</v>
      </c>
      <c r="I320" s="29">
        <f t="shared" si="23"/>
        <v>95180.970000000088</v>
      </c>
      <c r="J320" s="29">
        <f t="shared" si="24"/>
        <v>180000.00000000009</v>
      </c>
    </row>
    <row r="321" spans="2:10" ht="15" customHeight="1" x14ac:dyDescent="0.25">
      <c r="B321" s="24">
        <v>319</v>
      </c>
      <c r="C321" s="25">
        <f t="shared" si="21"/>
        <v>55335</v>
      </c>
      <c r="D321" s="26">
        <f t="shared" si="22"/>
        <v>0</v>
      </c>
      <c r="E321" s="26">
        <f>IF(D321&gt;0.01,ROUND(D321*Kreditrechner!$C$6/12,2),0)</f>
        <v>0</v>
      </c>
      <c r="F321" s="26">
        <f>IF(D321&gt;0.01,ROUND(MIN(Kreditrechner!$C$11-E321,D321),2),0)</f>
        <v>0</v>
      </c>
      <c r="G321" s="11"/>
      <c r="H321" s="26">
        <f t="shared" si="20"/>
        <v>0</v>
      </c>
      <c r="I321" s="26">
        <f t="shared" si="23"/>
        <v>95180.970000000088</v>
      </c>
      <c r="J321" s="26">
        <f t="shared" si="24"/>
        <v>180000.00000000009</v>
      </c>
    </row>
    <row r="322" spans="2:10" ht="15" customHeight="1" x14ac:dyDescent="0.25">
      <c r="B322" s="27">
        <v>320</v>
      </c>
      <c r="C322" s="28">
        <f t="shared" si="21"/>
        <v>55366</v>
      </c>
      <c r="D322" s="29">
        <f t="shared" si="22"/>
        <v>0</v>
      </c>
      <c r="E322" s="29">
        <f>IF(D322&gt;0.01,ROUND(D322*Kreditrechner!$C$6/12,2),0)</f>
        <v>0</v>
      </c>
      <c r="F322" s="29">
        <f>IF(D322&gt;0.01,ROUND(MIN(Kreditrechner!$C$11-E322,D322),2),0)</f>
        <v>0</v>
      </c>
      <c r="G322" s="11"/>
      <c r="H322" s="29">
        <f t="shared" si="20"/>
        <v>0</v>
      </c>
      <c r="I322" s="29">
        <f t="shared" si="23"/>
        <v>95180.970000000088</v>
      </c>
      <c r="J322" s="29">
        <f t="shared" si="24"/>
        <v>180000.00000000009</v>
      </c>
    </row>
    <row r="323" spans="2:10" ht="15" customHeight="1" x14ac:dyDescent="0.25">
      <c r="B323" s="24">
        <v>321</v>
      </c>
      <c r="C323" s="25">
        <f t="shared" si="21"/>
        <v>55397</v>
      </c>
      <c r="D323" s="26">
        <f t="shared" si="22"/>
        <v>0</v>
      </c>
      <c r="E323" s="26">
        <f>IF(D323&gt;0.01,ROUND(D323*Kreditrechner!$C$6/12,2),0)</f>
        <v>0</v>
      </c>
      <c r="F323" s="26">
        <f>IF(D323&gt;0.01,ROUND(MIN(Kreditrechner!$C$11-E323,D323),2),0)</f>
        <v>0</v>
      </c>
      <c r="G323" s="11"/>
      <c r="H323" s="26">
        <f t="shared" ref="H323:H386" si="25">IF(D323&gt;0.01,ROUND(MAX(D323-F323-IF(ISNUMBER(G323),G323,0),0),2),0)</f>
        <v>0</v>
      </c>
      <c r="I323" s="26">
        <f t="shared" si="23"/>
        <v>95180.970000000088</v>
      </c>
      <c r="J323" s="26">
        <f t="shared" si="24"/>
        <v>180000.00000000009</v>
      </c>
    </row>
    <row r="324" spans="2:10" ht="15" customHeight="1" x14ac:dyDescent="0.25">
      <c r="B324" s="27">
        <v>322</v>
      </c>
      <c r="C324" s="28">
        <f t="shared" ref="C324:C387" si="26">EDATE(C323,1)</f>
        <v>55427</v>
      </c>
      <c r="D324" s="29">
        <f t="shared" ref="D324:D387" si="27">IF(H323&gt;0.01,H323,0)</f>
        <v>0</v>
      </c>
      <c r="E324" s="29">
        <f>IF(D324&gt;0.01,ROUND(D324*Kreditrechner!$C$6/12,2),0)</f>
        <v>0</v>
      </c>
      <c r="F324" s="29">
        <f>IF(D324&gt;0.01,ROUND(MIN(Kreditrechner!$C$11-E324,D324),2),0)</f>
        <v>0</v>
      </c>
      <c r="G324" s="11"/>
      <c r="H324" s="29">
        <f t="shared" si="25"/>
        <v>0</v>
      </c>
      <c r="I324" s="29">
        <f t="shared" ref="I324:I387" si="28">IF(D324&gt;0.01,I323+E324,I323)</f>
        <v>95180.970000000088</v>
      </c>
      <c r="J324" s="29">
        <f t="shared" ref="J324:J387" si="29">IF(D324&gt;0.01,J323+F324+IF(ISNUMBER(G324),G324,0),J323)</f>
        <v>180000.00000000009</v>
      </c>
    </row>
    <row r="325" spans="2:10" ht="15" customHeight="1" x14ac:dyDescent="0.25">
      <c r="B325" s="24">
        <v>323</v>
      </c>
      <c r="C325" s="25">
        <f t="shared" si="26"/>
        <v>55458</v>
      </c>
      <c r="D325" s="26">
        <f t="shared" si="27"/>
        <v>0</v>
      </c>
      <c r="E325" s="26">
        <f>IF(D325&gt;0.01,ROUND(D325*Kreditrechner!$C$6/12,2),0)</f>
        <v>0</v>
      </c>
      <c r="F325" s="26">
        <f>IF(D325&gt;0.01,ROUND(MIN(Kreditrechner!$C$11-E325,D325),2),0)</f>
        <v>0</v>
      </c>
      <c r="G325" s="11"/>
      <c r="H325" s="26">
        <f t="shared" si="25"/>
        <v>0</v>
      </c>
      <c r="I325" s="26">
        <f t="shared" si="28"/>
        <v>95180.970000000088</v>
      </c>
      <c r="J325" s="26">
        <f t="shared" si="29"/>
        <v>180000.00000000009</v>
      </c>
    </row>
    <row r="326" spans="2:10" ht="15" customHeight="1" x14ac:dyDescent="0.25">
      <c r="B326" s="27">
        <v>324</v>
      </c>
      <c r="C326" s="28">
        <f t="shared" si="26"/>
        <v>55488</v>
      </c>
      <c r="D326" s="29">
        <f t="shared" si="27"/>
        <v>0</v>
      </c>
      <c r="E326" s="29">
        <f>IF(D326&gt;0.01,ROUND(D326*Kreditrechner!$C$6/12,2),0)</f>
        <v>0</v>
      </c>
      <c r="F326" s="29">
        <f>IF(D326&gt;0.01,ROUND(MIN(Kreditrechner!$C$11-E326,D326),2),0)</f>
        <v>0</v>
      </c>
      <c r="G326" s="11"/>
      <c r="H326" s="29">
        <f t="shared" si="25"/>
        <v>0</v>
      </c>
      <c r="I326" s="29">
        <f t="shared" si="28"/>
        <v>95180.970000000088</v>
      </c>
      <c r="J326" s="29">
        <f t="shared" si="29"/>
        <v>180000.00000000009</v>
      </c>
    </row>
    <row r="327" spans="2:10" ht="15" customHeight="1" x14ac:dyDescent="0.25">
      <c r="B327" s="24">
        <v>325</v>
      </c>
      <c r="C327" s="25">
        <f t="shared" si="26"/>
        <v>55519</v>
      </c>
      <c r="D327" s="26">
        <f t="shared" si="27"/>
        <v>0</v>
      </c>
      <c r="E327" s="26">
        <f>IF(D327&gt;0.01,ROUND(D327*Kreditrechner!$C$6/12,2),0)</f>
        <v>0</v>
      </c>
      <c r="F327" s="26">
        <f>IF(D327&gt;0.01,ROUND(MIN(Kreditrechner!$C$11-E327,D327),2),0)</f>
        <v>0</v>
      </c>
      <c r="G327" s="11"/>
      <c r="H327" s="26">
        <f t="shared" si="25"/>
        <v>0</v>
      </c>
      <c r="I327" s="26">
        <f t="shared" si="28"/>
        <v>95180.970000000088</v>
      </c>
      <c r="J327" s="26">
        <f t="shared" si="29"/>
        <v>180000.00000000009</v>
      </c>
    </row>
    <row r="328" spans="2:10" ht="15" customHeight="1" x14ac:dyDescent="0.25">
      <c r="B328" s="27">
        <v>326</v>
      </c>
      <c r="C328" s="28">
        <f t="shared" si="26"/>
        <v>55550</v>
      </c>
      <c r="D328" s="29">
        <f t="shared" si="27"/>
        <v>0</v>
      </c>
      <c r="E328" s="29">
        <f>IF(D328&gt;0.01,ROUND(D328*Kreditrechner!$C$6/12,2),0)</f>
        <v>0</v>
      </c>
      <c r="F328" s="29">
        <f>IF(D328&gt;0.01,ROUND(MIN(Kreditrechner!$C$11-E328,D328),2),0)</f>
        <v>0</v>
      </c>
      <c r="G328" s="11"/>
      <c r="H328" s="29">
        <f t="shared" si="25"/>
        <v>0</v>
      </c>
      <c r="I328" s="29">
        <f t="shared" si="28"/>
        <v>95180.970000000088</v>
      </c>
      <c r="J328" s="29">
        <f t="shared" si="29"/>
        <v>180000.00000000009</v>
      </c>
    </row>
    <row r="329" spans="2:10" ht="15" customHeight="1" x14ac:dyDescent="0.25">
      <c r="B329" s="24">
        <v>327</v>
      </c>
      <c r="C329" s="25">
        <f t="shared" si="26"/>
        <v>55579</v>
      </c>
      <c r="D329" s="26">
        <f t="shared" si="27"/>
        <v>0</v>
      </c>
      <c r="E329" s="26">
        <f>IF(D329&gt;0.01,ROUND(D329*Kreditrechner!$C$6/12,2),0)</f>
        <v>0</v>
      </c>
      <c r="F329" s="26">
        <f>IF(D329&gt;0.01,ROUND(MIN(Kreditrechner!$C$11-E329,D329),2),0)</f>
        <v>0</v>
      </c>
      <c r="G329" s="11"/>
      <c r="H329" s="26">
        <f t="shared" si="25"/>
        <v>0</v>
      </c>
      <c r="I329" s="26">
        <f t="shared" si="28"/>
        <v>95180.970000000088</v>
      </c>
      <c r="J329" s="26">
        <f t="shared" si="29"/>
        <v>180000.00000000009</v>
      </c>
    </row>
    <row r="330" spans="2:10" ht="15" customHeight="1" x14ac:dyDescent="0.25">
      <c r="B330" s="27">
        <v>328</v>
      </c>
      <c r="C330" s="28">
        <f t="shared" si="26"/>
        <v>55610</v>
      </c>
      <c r="D330" s="29">
        <f t="shared" si="27"/>
        <v>0</v>
      </c>
      <c r="E330" s="29">
        <f>IF(D330&gt;0.01,ROUND(D330*Kreditrechner!$C$6/12,2),0)</f>
        <v>0</v>
      </c>
      <c r="F330" s="29">
        <f>IF(D330&gt;0.01,ROUND(MIN(Kreditrechner!$C$11-E330,D330),2),0)</f>
        <v>0</v>
      </c>
      <c r="G330" s="11"/>
      <c r="H330" s="29">
        <f t="shared" si="25"/>
        <v>0</v>
      </c>
      <c r="I330" s="29">
        <f t="shared" si="28"/>
        <v>95180.970000000088</v>
      </c>
      <c r="J330" s="29">
        <f t="shared" si="29"/>
        <v>180000.00000000009</v>
      </c>
    </row>
    <row r="331" spans="2:10" ht="15" customHeight="1" x14ac:dyDescent="0.25">
      <c r="B331" s="24">
        <v>329</v>
      </c>
      <c r="C331" s="25">
        <f t="shared" si="26"/>
        <v>55640</v>
      </c>
      <c r="D331" s="26">
        <f t="shared" si="27"/>
        <v>0</v>
      </c>
      <c r="E331" s="26">
        <f>IF(D331&gt;0.01,ROUND(D331*Kreditrechner!$C$6/12,2),0)</f>
        <v>0</v>
      </c>
      <c r="F331" s="26">
        <f>IF(D331&gt;0.01,ROUND(MIN(Kreditrechner!$C$11-E331,D331),2),0)</f>
        <v>0</v>
      </c>
      <c r="G331" s="11"/>
      <c r="H331" s="26">
        <f t="shared" si="25"/>
        <v>0</v>
      </c>
      <c r="I331" s="26">
        <f t="shared" si="28"/>
        <v>95180.970000000088</v>
      </c>
      <c r="J331" s="26">
        <f t="shared" si="29"/>
        <v>180000.00000000009</v>
      </c>
    </row>
    <row r="332" spans="2:10" ht="15" customHeight="1" x14ac:dyDescent="0.25">
      <c r="B332" s="27">
        <v>330</v>
      </c>
      <c r="C332" s="28">
        <f t="shared" si="26"/>
        <v>55671</v>
      </c>
      <c r="D332" s="29">
        <f t="shared" si="27"/>
        <v>0</v>
      </c>
      <c r="E332" s="29">
        <f>IF(D332&gt;0.01,ROUND(D332*Kreditrechner!$C$6/12,2),0)</f>
        <v>0</v>
      </c>
      <c r="F332" s="29">
        <f>IF(D332&gt;0.01,ROUND(MIN(Kreditrechner!$C$11-E332,D332),2),0)</f>
        <v>0</v>
      </c>
      <c r="G332" s="11"/>
      <c r="H332" s="29">
        <f t="shared" si="25"/>
        <v>0</v>
      </c>
      <c r="I332" s="29">
        <f t="shared" si="28"/>
        <v>95180.970000000088</v>
      </c>
      <c r="J332" s="29">
        <f t="shared" si="29"/>
        <v>180000.00000000009</v>
      </c>
    </row>
    <row r="333" spans="2:10" ht="15" customHeight="1" x14ac:dyDescent="0.25">
      <c r="B333" s="24">
        <v>331</v>
      </c>
      <c r="C333" s="25">
        <f t="shared" si="26"/>
        <v>55701</v>
      </c>
      <c r="D333" s="26">
        <f t="shared" si="27"/>
        <v>0</v>
      </c>
      <c r="E333" s="26">
        <f>IF(D333&gt;0.01,ROUND(D333*Kreditrechner!$C$6/12,2),0)</f>
        <v>0</v>
      </c>
      <c r="F333" s="26">
        <f>IF(D333&gt;0.01,ROUND(MIN(Kreditrechner!$C$11-E333,D333),2),0)</f>
        <v>0</v>
      </c>
      <c r="G333" s="11"/>
      <c r="H333" s="26">
        <f t="shared" si="25"/>
        <v>0</v>
      </c>
      <c r="I333" s="26">
        <f t="shared" si="28"/>
        <v>95180.970000000088</v>
      </c>
      <c r="J333" s="26">
        <f t="shared" si="29"/>
        <v>180000.00000000009</v>
      </c>
    </row>
    <row r="334" spans="2:10" ht="15" customHeight="1" x14ac:dyDescent="0.25">
      <c r="B334" s="27">
        <v>332</v>
      </c>
      <c r="C334" s="28">
        <f t="shared" si="26"/>
        <v>55732</v>
      </c>
      <c r="D334" s="29">
        <f t="shared" si="27"/>
        <v>0</v>
      </c>
      <c r="E334" s="29">
        <f>IF(D334&gt;0.01,ROUND(D334*Kreditrechner!$C$6/12,2),0)</f>
        <v>0</v>
      </c>
      <c r="F334" s="29">
        <f>IF(D334&gt;0.01,ROUND(MIN(Kreditrechner!$C$11-E334,D334),2),0)</f>
        <v>0</v>
      </c>
      <c r="G334" s="11"/>
      <c r="H334" s="29">
        <f t="shared" si="25"/>
        <v>0</v>
      </c>
      <c r="I334" s="29">
        <f t="shared" si="28"/>
        <v>95180.970000000088</v>
      </c>
      <c r="J334" s="29">
        <f t="shared" si="29"/>
        <v>180000.00000000009</v>
      </c>
    </row>
    <row r="335" spans="2:10" ht="15" customHeight="1" x14ac:dyDescent="0.25">
      <c r="B335" s="24">
        <v>333</v>
      </c>
      <c r="C335" s="25">
        <f t="shared" si="26"/>
        <v>55763</v>
      </c>
      <c r="D335" s="26">
        <f t="shared" si="27"/>
        <v>0</v>
      </c>
      <c r="E335" s="26">
        <f>IF(D335&gt;0.01,ROUND(D335*Kreditrechner!$C$6/12,2),0)</f>
        <v>0</v>
      </c>
      <c r="F335" s="26">
        <f>IF(D335&gt;0.01,ROUND(MIN(Kreditrechner!$C$11-E335,D335),2),0)</f>
        <v>0</v>
      </c>
      <c r="G335" s="11"/>
      <c r="H335" s="26">
        <f t="shared" si="25"/>
        <v>0</v>
      </c>
      <c r="I335" s="26">
        <f t="shared" si="28"/>
        <v>95180.970000000088</v>
      </c>
      <c r="J335" s="26">
        <f t="shared" si="29"/>
        <v>180000.00000000009</v>
      </c>
    </row>
    <row r="336" spans="2:10" ht="15" customHeight="1" x14ac:dyDescent="0.25">
      <c r="B336" s="27">
        <v>334</v>
      </c>
      <c r="C336" s="28">
        <f t="shared" si="26"/>
        <v>55793</v>
      </c>
      <c r="D336" s="29">
        <f t="shared" si="27"/>
        <v>0</v>
      </c>
      <c r="E336" s="29">
        <f>IF(D336&gt;0.01,ROUND(D336*Kreditrechner!$C$6/12,2),0)</f>
        <v>0</v>
      </c>
      <c r="F336" s="29">
        <f>IF(D336&gt;0.01,ROUND(MIN(Kreditrechner!$C$11-E336,D336),2),0)</f>
        <v>0</v>
      </c>
      <c r="G336" s="11"/>
      <c r="H336" s="29">
        <f t="shared" si="25"/>
        <v>0</v>
      </c>
      <c r="I336" s="29">
        <f t="shared" si="28"/>
        <v>95180.970000000088</v>
      </c>
      <c r="J336" s="29">
        <f t="shared" si="29"/>
        <v>180000.00000000009</v>
      </c>
    </row>
    <row r="337" spans="2:10" ht="15" customHeight="1" x14ac:dyDescent="0.25">
      <c r="B337" s="24">
        <v>335</v>
      </c>
      <c r="C337" s="25">
        <f t="shared" si="26"/>
        <v>55824</v>
      </c>
      <c r="D337" s="26">
        <f t="shared" si="27"/>
        <v>0</v>
      </c>
      <c r="E337" s="26">
        <f>IF(D337&gt;0.01,ROUND(D337*Kreditrechner!$C$6/12,2),0)</f>
        <v>0</v>
      </c>
      <c r="F337" s="26">
        <f>IF(D337&gt;0.01,ROUND(MIN(Kreditrechner!$C$11-E337,D337),2),0)</f>
        <v>0</v>
      </c>
      <c r="G337" s="11"/>
      <c r="H337" s="26">
        <f t="shared" si="25"/>
        <v>0</v>
      </c>
      <c r="I337" s="26">
        <f t="shared" si="28"/>
        <v>95180.970000000088</v>
      </c>
      <c r="J337" s="26">
        <f t="shared" si="29"/>
        <v>180000.00000000009</v>
      </c>
    </row>
    <row r="338" spans="2:10" ht="15" customHeight="1" x14ac:dyDescent="0.25">
      <c r="B338" s="27">
        <v>336</v>
      </c>
      <c r="C338" s="28">
        <f t="shared" si="26"/>
        <v>55854</v>
      </c>
      <c r="D338" s="29">
        <f t="shared" si="27"/>
        <v>0</v>
      </c>
      <c r="E338" s="29">
        <f>IF(D338&gt;0.01,ROUND(D338*Kreditrechner!$C$6/12,2),0)</f>
        <v>0</v>
      </c>
      <c r="F338" s="29">
        <f>IF(D338&gt;0.01,ROUND(MIN(Kreditrechner!$C$11-E338,D338),2),0)</f>
        <v>0</v>
      </c>
      <c r="G338" s="11"/>
      <c r="H338" s="29">
        <f t="shared" si="25"/>
        <v>0</v>
      </c>
      <c r="I338" s="29">
        <f t="shared" si="28"/>
        <v>95180.970000000088</v>
      </c>
      <c r="J338" s="29">
        <f t="shared" si="29"/>
        <v>180000.00000000009</v>
      </c>
    </row>
    <row r="339" spans="2:10" ht="15" customHeight="1" x14ac:dyDescent="0.25">
      <c r="B339" s="24">
        <v>337</v>
      </c>
      <c r="C339" s="25">
        <f t="shared" si="26"/>
        <v>55885</v>
      </c>
      <c r="D339" s="26">
        <f t="shared" si="27"/>
        <v>0</v>
      </c>
      <c r="E339" s="26">
        <f>IF(D339&gt;0.01,ROUND(D339*Kreditrechner!$C$6/12,2),0)</f>
        <v>0</v>
      </c>
      <c r="F339" s="26">
        <f>IF(D339&gt;0.01,ROUND(MIN(Kreditrechner!$C$11-E339,D339),2),0)</f>
        <v>0</v>
      </c>
      <c r="G339" s="11"/>
      <c r="H339" s="26">
        <f t="shared" si="25"/>
        <v>0</v>
      </c>
      <c r="I339" s="26">
        <f t="shared" si="28"/>
        <v>95180.970000000088</v>
      </c>
      <c r="J339" s="26">
        <f t="shared" si="29"/>
        <v>180000.00000000009</v>
      </c>
    </row>
    <row r="340" spans="2:10" ht="15" customHeight="1" x14ac:dyDescent="0.25">
      <c r="B340" s="27">
        <v>338</v>
      </c>
      <c r="C340" s="28">
        <f t="shared" si="26"/>
        <v>55916</v>
      </c>
      <c r="D340" s="29">
        <f t="shared" si="27"/>
        <v>0</v>
      </c>
      <c r="E340" s="29">
        <f>IF(D340&gt;0.01,ROUND(D340*Kreditrechner!$C$6/12,2),0)</f>
        <v>0</v>
      </c>
      <c r="F340" s="29">
        <f>IF(D340&gt;0.01,ROUND(MIN(Kreditrechner!$C$11-E340,D340),2),0)</f>
        <v>0</v>
      </c>
      <c r="G340" s="11"/>
      <c r="H340" s="29">
        <f t="shared" si="25"/>
        <v>0</v>
      </c>
      <c r="I340" s="29">
        <f t="shared" si="28"/>
        <v>95180.970000000088</v>
      </c>
      <c r="J340" s="29">
        <f t="shared" si="29"/>
        <v>180000.00000000009</v>
      </c>
    </row>
    <row r="341" spans="2:10" ht="15" customHeight="1" x14ac:dyDescent="0.25">
      <c r="B341" s="24">
        <v>339</v>
      </c>
      <c r="C341" s="25">
        <f t="shared" si="26"/>
        <v>55944</v>
      </c>
      <c r="D341" s="26">
        <f t="shared" si="27"/>
        <v>0</v>
      </c>
      <c r="E341" s="26">
        <f>IF(D341&gt;0.01,ROUND(D341*Kreditrechner!$C$6/12,2),0)</f>
        <v>0</v>
      </c>
      <c r="F341" s="26">
        <f>IF(D341&gt;0.01,ROUND(MIN(Kreditrechner!$C$11-E341,D341),2),0)</f>
        <v>0</v>
      </c>
      <c r="G341" s="11"/>
      <c r="H341" s="26">
        <f t="shared" si="25"/>
        <v>0</v>
      </c>
      <c r="I341" s="26">
        <f t="shared" si="28"/>
        <v>95180.970000000088</v>
      </c>
      <c r="J341" s="26">
        <f t="shared" si="29"/>
        <v>180000.00000000009</v>
      </c>
    </row>
    <row r="342" spans="2:10" ht="15" customHeight="1" x14ac:dyDescent="0.25">
      <c r="B342" s="27">
        <v>340</v>
      </c>
      <c r="C342" s="28">
        <f t="shared" si="26"/>
        <v>55975</v>
      </c>
      <c r="D342" s="29">
        <f t="shared" si="27"/>
        <v>0</v>
      </c>
      <c r="E342" s="29">
        <f>IF(D342&gt;0.01,ROUND(D342*Kreditrechner!$C$6/12,2),0)</f>
        <v>0</v>
      </c>
      <c r="F342" s="29">
        <f>IF(D342&gt;0.01,ROUND(MIN(Kreditrechner!$C$11-E342,D342),2),0)</f>
        <v>0</v>
      </c>
      <c r="G342" s="11"/>
      <c r="H342" s="29">
        <f t="shared" si="25"/>
        <v>0</v>
      </c>
      <c r="I342" s="29">
        <f t="shared" si="28"/>
        <v>95180.970000000088</v>
      </c>
      <c r="J342" s="29">
        <f t="shared" si="29"/>
        <v>180000.00000000009</v>
      </c>
    </row>
    <row r="343" spans="2:10" ht="15" customHeight="1" x14ac:dyDescent="0.25">
      <c r="B343" s="24">
        <v>341</v>
      </c>
      <c r="C343" s="25">
        <f t="shared" si="26"/>
        <v>56005</v>
      </c>
      <c r="D343" s="26">
        <f t="shared" si="27"/>
        <v>0</v>
      </c>
      <c r="E343" s="26">
        <f>IF(D343&gt;0.01,ROUND(D343*Kreditrechner!$C$6/12,2),0)</f>
        <v>0</v>
      </c>
      <c r="F343" s="26">
        <f>IF(D343&gt;0.01,ROUND(MIN(Kreditrechner!$C$11-E343,D343),2),0)</f>
        <v>0</v>
      </c>
      <c r="G343" s="11"/>
      <c r="H343" s="26">
        <f t="shared" si="25"/>
        <v>0</v>
      </c>
      <c r="I343" s="26">
        <f t="shared" si="28"/>
        <v>95180.970000000088</v>
      </c>
      <c r="J343" s="26">
        <f t="shared" si="29"/>
        <v>180000.00000000009</v>
      </c>
    </row>
    <row r="344" spans="2:10" ht="15" customHeight="1" x14ac:dyDescent="0.25">
      <c r="B344" s="27">
        <v>342</v>
      </c>
      <c r="C344" s="28">
        <f t="shared" si="26"/>
        <v>56036</v>
      </c>
      <c r="D344" s="29">
        <f t="shared" si="27"/>
        <v>0</v>
      </c>
      <c r="E344" s="29">
        <f>IF(D344&gt;0.01,ROUND(D344*Kreditrechner!$C$6/12,2),0)</f>
        <v>0</v>
      </c>
      <c r="F344" s="29">
        <f>IF(D344&gt;0.01,ROUND(MIN(Kreditrechner!$C$11-E344,D344),2),0)</f>
        <v>0</v>
      </c>
      <c r="G344" s="11"/>
      <c r="H344" s="29">
        <f t="shared" si="25"/>
        <v>0</v>
      </c>
      <c r="I344" s="29">
        <f t="shared" si="28"/>
        <v>95180.970000000088</v>
      </c>
      <c r="J344" s="29">
        <f t="shared" si="29"/>
        <v>180000.00000000009</v>
      </c>
    </row>
    <row r="345" spans="2:10" ht="15" customHeight="1" x14ac:dyDescent="0.25">
      <c r="B345" s="24">
        <v>343</v>
      </c>
      <c r="C345" s="25">
        <f t="shared" si="26"/>
        <v>56066</v>
      </c>
      <c r="D345" s="26">
        <f t="shared" si="27"/>
        <v>0</v>
      </c>
      <c r="E345" s="26">
        <f>IF(D345&gt;0.01,ROUND(D345*Kreditrechner!$C$6/12,2),0)</f>
        <v>0</v>
      </c>
      <c r="F345" s="26">
        <f>IF(D345&gt;0.01,ROUND(MIN(Kreditrechner!$C$11-E345,D345),2),0)</f>
        <v>0</v>
      </c>
      <c r="G345" s="11"/>
      <c r="H345" s="26">
        <f t="shared" si="25"/>
        <v>0</v>
      </c>
      <c r="I345" s="26">
        <f t="shared" si="28"/>
        <v>95180.970000000088</v>
      </c>
      <c r="J345" s="26">
        <f t="shared" si="29"/>
        <v>180000.00000000009</v>
      </c>
    </row>
    <row r="346" spans="2:10" ht="15" customHeight="1" x14ac:dyDescent="0.25">
      <c r="B346" s="27">
        <v>344</v>
      </c>
      <c r="C346" s="28">
        <f t="shared" si="26"/>
        <v>56097</v>
      </c>
      <c r="D346" s="29">
        <f t="shared" si="27"/>
        <v>0</v>
      </c>
      <c r="E346" s="29">
        <f>IF(D346&gt;0.01,ROUND(D346*Kreditrechner!$C$6/12,2),0)</f>
        <v>0</v>
      </c>
      <c r="F346" s="29">
        <f>IF(D346&gt;0.01,ROUND(MIN(Kreditrechner!$C$11-E346,D346),2),0)</f>
        <v>0</v>
      </c>
      <c r="G346" s="11"/>
      <c r="H346" s="29">
        <f t="shared" si="25"/>
        <v>0</v>
      </c>
      <c r="I346" s="29">
        <f t="shared" si="28"/>
        <v>95180.970000000088</v>
      </c>
      <c r="J346" s="29">
        <f t="shared" si="29"/>
        <v>180000.00000000009</v>
      </c>
    </row>
    <row r="347" spans="2:10" ht="15" customHeight="1" x14ac:dyDescent="0.25">
      <c r="B347" s="24">
        <v>345</v>
      </c>
      <c r="C347" s="25">
        <f t="shared" si="26"/>
        <v>56128</v>
      </c>
      <c r="D347" s="26">
        <f t="shared" si="27"/>
        <v>0</v>
      </c>
      <c r="E347" s="26">
        <f>IF(D347&gt;0.01,ROUND(D347*Kreditrechner!$C$6/12,2),0)</f>
        <v>0</v>
      </c>
      <c r="F347" s="26">
        <f>IF(D347&gt;0.01,ROUND(MIN(Kreditrechner!$C$11-E347,D347),2),0)</f>
        <v>0</v>
      </c>
      <c r="G347" s="11"/>
      <c r="H347" s="26">
        <f t="shared" si="25"/>
        <v>0</v>
      </c>
      <c r="I347" s="26">
        <f t="shared" si="28"/>
        <v>95180.970000000088</v>
      </c>
      <c r="J347" s="26">
        <f t="shared" si="29"/>
        <v>180000.00000000009</v>
      </c>
    </row>
    <row r="348" spans="2:10" ht="15" customHeight="1" x14ac:dyDescent="0.25">
      <c r="B348" s="27">
        <v>346</v>
      </c>
      <c r="C348" s="28">
        <f t="shared" si="26"/>
        <v>56158</v>
      </c>
      <c r="D348" s="29">
        <f t="shared" si="27"/>
        <v>0</v>
      </c>
      <c r="E348" s="29">
        <f>IF(D348&gt;0.01,ROUND(D348*Kreditrechner!$C$6/12,2),0)</f>
        <v>0</v>
      </c>
      <c r="F348" s="29">
        <f>IF(D348&gt;0.01,ROUND(MIN(Kreditrechner!$C$11-E348,D348),2),0)</f>
        <v>0</v>
      </c>
      <c r="G348" s="11"/>
      <c r="H348" s="29">
        <f t="shared" si="25"/>
        <v>0</v>
      </c>
      <c r="I348" s="29">
        <f t="shared" si="28"/>
        <v>95180.970000000088</v>
      </c>
      <c r="J348" s="29">
        <f t="shared" si="29"/>
        <v>180000.00000000009</v>
      </c>
    </row>
    <row r="349" spans="2:10" ht="15" customHeight="1" x14ac:dyDescent="0.25">
      <c r="B349" s="24">
        <v>347</v>
      </c>
      <c r="C349" s="25">
        <f t="shared" si="26"/>
        <v>56189</v>
      </c>
      <c r="D349" s="26">
        <f t="shared" si="27"/>
        <v>0</v>
      </c>
      <c r="E349" s="26">
        <f>IF(D349&gt;0.01,ROUND(D349*Kreditrechner!$C$6/12,2),0)</f>
        <v>0</v>
      </c>
      <c r="F349" s="26">
        <f>IF(D349&gt;0.01,ROUND(MIN(Kreditrechner!$C$11-E349,D349),2),0)</f>
        <v>0</v>
      </c>
      <c r="G349" s="11"/>
      <c r="H349" s="26">
        <f t="shared" si="25"/>
        <v>0</v>
      </c>
      <c r="I349" s="26">
        <f t="shared" si="28"/>
        <v>95180.970000000088</v>
      </c>
      <c r="J349" s="26">
        <f t="shared" si="29"/>
        <v>180000.00000000009</v>
      </c>
    </row>
    <row r="350" spans="2:10" ht="15" customHeight="1" x14ac:dyDescent="0.25">
      <c r="B350" s="27">
        <v>348</v>
      </c>
      <c r="C350" s="28">
        <f t="shared" si="26"/>
        <v>56219</v>
      </c>
      <c r="D350" s="29">
        <f t="shared" si="27"/>
        <v>0</v>
      </c>
      <c r="E350" s="29">
        <f>IF(D350&gt;0.01,ROUND(D350*Kreditrechner!$C$6/12,2),0)</f>
        <v>0</v>
      </c>
      <c r="F350" s="29">
        <f>IF(D350&gt;0.01,ROUND(MIN(Kreditrechner!$C$11-E350,D350),2),0)</f>
        <v>0</v>
      </c>
      <c r="G350" s="11"/>
      <c r="H350" s="29">
        <f t="shared" si="25"/>
        <v>0</v>
      </c>
      <c r="I350" s="29">
        <f t="shared" si="28"/>
        <v>95180.970000000088</v>
      </c>
      <c r="J350" s="29">
        <f t="shared" si="29"/>
        <v>180000.00000000009</v>
      </c>
    </row>
    <row r="351" spans="2:10" ht="15" customHeight="1" x14ac:dyDescent="0.25">
      <c r="B351" s="24">
        <v>349</v>
      </c>
      <c r="C351" s="25">
        <f t="shared" si="26"/>
        <v>56250</v>
      </c>
      <c r="D351" s="26">
        <f t="shared" si="27"/>
        <v>0</v>
      </c>
      <c r="E351" s="26">
        <f>IF(D351&gt;0.01,ROUND(D351*Kreditrechner!$C$6/12,2),0)</f>
        <v>0</v>
      </c>
      <c r="F351" s="26">
        <f>IF(D351&gt;0.01,ROUND(MIN(Kreditrechner!$C$11-E351,D351),2),0)</f>
        <v>0</v>
      </c>
      <c r="G351" s="11"/>
      <c r="H351" s="26">
        <f t="shared" si="25"/>
        <v>0</v>
      </c>
      <c r="I351" s="26">
        <f t="shared" si="28"/>
        <v>95180.970000000088</v>
      </c>
      <c r="J351" s="26">
        <f t="shared" si="29"/>
        <v>180000.00000000009</v>
      </c>
    </row>
    <row r="352" spans="2:10" ht="15" customHeight="1" x14ac:dyDescent="0.25">
      <c r="B352" s="27">
        <v>350</v>
      </c>
      <c r="C352" s="28">
        <f t="shared" si="26"/>
        <v>56281</v>
      </c>
      <c r="D352" s="29">
        <f t="shared" si="27"/>
        <v>0</v>
      </c>
      <c r="E352" s="29">
        <f>IF(D352&gt;0.01,ROUND(D352*Kreditrechner!$C$6/12,2),0)</f>
        <v>0</v>
      </c>
      <c r="F352" s="29">
        <f>IF(D352&gt;0.01,ROUND(MIN(Kreditrechner!$C$11-E352,D352),2),0)</f>
        <v>0</v>
      </c>
      <c r="G352" s="11"/>
      <c r="H352" s="29">
        <f t="shared" si="25"/>
        <v>0</v>
      </c>
      <c r="I352" s="29">
        <f t="shared" si="28"/>
        <v>95180.970000000088</v>
      </c>
      <c r="J352" s="29">
        <f t="shared" si="29"/>
        <v>180000.00000000009</v>
      </c>
    </row>
    <row r="353" spans="2:10" ht="15" customHeight="1" x14ac:dyDescent="0.25">
      <c r="B353" s="24">
        <v>351</v>
      </c>
      <c r="C353" s="25">
        <f t="shared" si="26"/>
        <v>56309</v>
      </c>
      <c r="D353" s="26">
        <f t="shared" si="27"/>
        <v>0</v>
      </c>
      <c r="E353" s="26">
        <f>IF(D353&gt;0.01,ROUND(D353*Kreditrechner!$C$6/12,2),0)</f>
        <v>0</v>
      </c>
      <c r="F353" s="26">
        <f>IF(D353&gt;0.01,ROUND(MIN(Kreditrechner!$C$11-E353,D353),2),0)</f>
        <v>0</v>
      </c>
      <c r="G353" s="11"/>
      <c r="H353" s="26">
        <f t="shared" si="25"/>
        <v>0</v>
      </c>
      <c r="I353" s="26">
        <f t="shared" si="28"/>
        <v>95180.970000000088</v>
      </c>
      <c r="J353" s="26">
        <f t="shared" si="29"/>
        <v>180000.00000000009</v>
      </c>
    </row>
    <row r="354" spans="2:10" ht="15" customHeight="1" x14ac:dyDescent="0.25">
      <c r="B354" s="27">
        <v>352</v>
      </c>
      <c r="C354" s="28">
        <f t="shared" si="26"/>
        <v>56340</v>
      </c>
      <c r="D354" s="29">
        <f t="shared" si="27"/>
        <v>0</v>
      </c>
      <c r="E354" s="29">
        <f>IF(D354&gt;0.01,ROUND(D354*Kreditrechner!$C$6/12,2),0)</f>
        <v>0</v>
      </c>
      <c r="F354" s="29">
        <f>IF(D354&gt;0.01,ROUND(MIN(Kreditrechner!$C$11-E354,D354),2),0)</f>
        <v>0</v>
      </c>
      <c r="G354" s="11"/>
      <c r="H354" s="29">
        <f t="shared" si="25"/>
        <v>0</v>
      </c>
      <c r="I354" s="29">
        <f t="shared" si="28"/>
        <v>95180.970000000088</v>
      </c>
      <c r="J354" s="29">
        <f t="shared" si="29"/>
        <v>180000.00000000009</v>
      </c>
    </row>
    <row r="355" spans="2:10" ht="15" customHeight="1" x14ac:dyDescent="0.25">
      <c r="B355" s="24">
        <v>353</v>
      </c>
      <c r="C355" s="25">
        <f t="shared" si="26"/>
        <v>56370</v>
      </c>
      <c r="D355" s="26">
        <f t="shared" si="27"/>
        <v>0</v>
      </c>
      <c r="E355" s="26">
        <f>IF(D355&gt;0.01,ROUND(D355*Kreditrechner!$C$6/12,2),0)</f>
        <v>0</v>
      </c>
      <c r="F355" s="26">
        <f>IF(D355&gt;0.01,ROUND(MIN(Kreditrechner!$C$11-E355,D355),2),0)</f>
        <v>0</v>
      </c>
      <c r="G355" s="11"/>
      <c r="H355" s="26">
        <f t="shared" si="25"/>
        <v>0</v>
      </c>
      <c r="I355" s="26">
        <f t="shared" si="28"/>
        <v>95180.970000000088</v>
      </c>
      <c r="J355" s="26">
        <f t="shared" si="29"/>
        <v>180000.00000000009</v>
      </c>
    </row>
    <row r="356" spans="2:10" ht="15" customHeight="1" x14ac:dyDescent="0.25">
      <c r="B356" s="27">
        <v>354</v>
      </c>
      <c r="C356" s="28">
        <f t="shared" si="26"/>
        <v>56401</v>
      </c>
      <c r="D356" s="29">
        <f t="shared" si="27"/>
        <v>0</v>
      </c>
      <c r="E356" s="29">
        <f>IF(D356&gt;0.01,ROUND(D356*Kreditrechner!$C$6/12,2),0)</f>
        <v>0</v>
      </c>
      <c r="F356" s="29">
        <f>IF(D356&gt;0.01,ROUND(MIN(Kreditrechner!$C$11-E356,D356),2),0)</f>
        <v>0</v>
      </c>
      <c r="G356" s="11"/>
      <c r="H356" s="29">
        <f t="shared" si="25"/>
        <v>0</v>
      </c>
      <c r="I356" s="29">
        <f t="shared" si="28"/>
        <v>95180.970000000088</v>
      </c>
      <c r="J356" s="29">
        <f t="shared" si="29"/>
        <v>180000.00000000009</v>
      </c>
    </row>
    <row r="357" spans="2:10" ht="15" customHeight="1" x14ac:dyDescent="0.25">
      <c r="B357" s="24">
        <v>355</v>
      </c>
      <c r="C357" s="25">
        <f t="shared" si="26"/>
        <v>56431</v>
      </c>
      <c r="D357" s="26">
        <f t="shared" si="27"/>
        <v>0</v>
      </c>
      <c r="E357" s="26">
        <f>IF(D357&gt;0.01,ROUND(D357*Kreditrechner!$C$6/12,2),0)</f>
        <v>0</v>
      </c>
      <c r="F357" s="26">
        <f>IF(D357&gt;0.01,ROUND(MIN(Kreditrechner!$C$11-E357,D357),2),0)</f>
        <v>0</v>
      </c>
      <c r="G357" s="11"/>
      <c r="H357" s="26">
        <f t="shared" si="25"/>
        <v>0</v>
      </c>
      <c r="I357" s="26">
        <f t="shared" si="28"/>
        <v>95180.970000000088</v>
      </c>
      <c r="J357" s="26">
        <f t="shared" si="29"/>
        <v>180000.00000000009</v>
      </c>
    </row>
    <row r="358" spans="2:10" ht="15" customHeight="1" x14ac:dyDescent="0.25">
      <c r="B358" s="27">
        <v>356</v>
      </c>
      <c r="C358" s="28">
        <f t="shared" si="26"/>
        <v>56462</v>
      </c>
      <c r="D358" s="29">
        <f t="shared" si="27"/>
        <v>0</v>
      </c>
      <c r="E358" s="29">
        <f>IF(D358&gt;0.01,ROUND(D358*Kreditrechner!$C$6/12,2),0)</f>
        <v>0</v>
      </c>
      <c r="F358" s="29">
        <f>IF(D358&gt;0.01,ROUND(MIN(Kreditrechner!$C$11-E358,D358),2),0)</f>
        <v>0</v>
      </c>
      <c r="G358" s="11"/>
      <c r="H358" s="29">
        <f t="shared" si="25"/>
        <v>0</v>
      </c>
      <c r="I358" s="29">
        <f t="shared" si="28"/>
        <v>95180.970000000088</v>
      </c>
      <c r="J358" s="29">
        <f t="shared" si="29"/>
        <v>180000.00000000009</v>
      </c>
    </row>
    <row r="359" spans="2:10" ht="15" customHeight="1" x14ac:dyDescent="0.25">
      <c r="B359" s="24">
        <v>357</v>
      </c>
      <c r="C359" s="25">
        <f t="shared" si="26"/>
        <v>56493</v>
      </c>
      <c r="D359" s="26">
        <f t="shared" si="27"/>
        <v>0</v>
      </c>
      <c r="E359" s="26">
        <f>IF(D359&gt;0.01,ROUND(D359*Kreditrechner!$C$6/12,2),0)</f>
        <v>0</v>
      </c>
      <c r="F359" s="26">
        <f>IF(D359&gt;0.01,ROUND(MIN(Kreditrechner!$C$11-E359,D359),2),0)</f>
        <v>0</v>
      </c>
      <c r="G359" s="11"/>
      <c r="H359" s="26">
        <f t="shared" si="25"/>
        <v>0</v>
      </c>
      <c r="I359" s="26">
        <f t="shared" si="28"/>
        <v>95180.970000000088</v>
      </c>
      <c r="J359" s="26">
        <f t="shared" si="29"/>
        <v>180000.00000000009</v>
      </c>
    </row>
    <row r="360" spans="2:10" ht="15" customHeight="1" x14ac:dyDescent="0.25">
      <c r="B360" s="27">
        <v>358</v>
      </c>
      <c r="C360" s="28">
        <f t="shared" si="26"/>
        <v>56523</v>
      </c>
      <c r="D360" s="29">
        <f t="shared" si="27"/>
        <v>0</v>
      </c>
      <c r="E360" s="29">
        <f>IF(D360&gt;0.01,ROUND(D360*Kreditrechner!$C$6/12,2),0)</f>
        <v>0</v>
      </c>
      <c r="F360" s="29">
        <f>IF(D360&gt;0.01,ROUND(MIN(Kreditrechner!$C$11-E360,D360),2),0)</f>
        <v>0</v>
      </c>
      <c r="G360" s="11"/>
      <c r="H360" s="29">
        <f t="shared" si="25"/>
        <v>0</v>
      </c>
      <c r="I360" s="29">
        <f t="shared" si="28"/>
        <v>95180.970000000088</v>
      </c>
      <c r="J360" s="29">
        <f t="shared" si="29"/>
        <v>180000.00000000009</v>
      </c>
    </row>
    <row r="361" spans="2:10" ht="15" customHeight="1" x14ac:dyDescent="0.25">
      <c r="B361" s="24">
        <v>359</v>
      </c>
      <c r="C361" s="25">
        <f t="shared" si="26"/>
        <v>56554</v>
      </c>
      <c r="D361" s="26">
        <f t="shared" si="27"/>
        <v>0</v>
      </c>
      <c r="E361" s="26">
        <f>IF(D361&gt;0.01,ROUND(D361*Kreditrechner!$C$6/12,2),0)</f>
        <v>0</v>
      </c>
      <c r="F361" s="26">
        <f>IF(D361&gt;0.01,ROUND(MIN(Kreditrechner!$C$11-E361,D361),2),0)</f>
        <v>0</v>
      </c>
      <c r="G361" s="11"/>
      <c r="H361" s="26">
        <f t="shared" si="25"/>
        <v>0</v>
      </c>
      <c r="I361" s="26">
        <f t="shared" si="28"/>
        <v>95180.970000000088</v>
      </c>
      <c r="J361" s="26">
        <f t="shared" si="29"/>
        <v>180000.00000000009</v>
      </c>
    </row>
    <row r="362" spans="2:10" ht="15" customHeight="1" x14ac:dyDescent="0.25">
      <c r="B362" s="27">
        <v>360</v>
      </c>
      <c r="C362" s="28">
        <f t="shared" si="26"/>
        <v>56584</v>
      </c>
      <c r="D362" s="29">
        <f t="shared" si="27"/>
        <v>0</v>
      </c>
      <c r="E362" s="29">
        <f>IF(D362&gt;0.01,ROUND(D362*Kreditrechner!$C$6/12,2),0)</f>
        <v>0</v>
      </c>
      <c r="F362" s="29">
        <f>IF(D362&gt;0.01,ROUND(MIN(Kreditrechner!$C$11-E362,D362),2),0)</f>
        <v>0</v>
      </c>
      <c r="G362" s="11"/>
      <c r="H362" s="29">
        <f t="shared" si="25"/>
        <v>0</v>
      </c>
      <c r="I362" s="29">
        <f t="shared" si="28"/>
        <v>95180.970000000088</v>
      </c>
      <c r="J362" s="29">
        <f t="shared" si="29"/>
        <v>180000.00000000009</v>
      </c>
    </row>
    <row r="363" spans="2:10" ht="15" customHeight="1" x14ac:dyDescent="0.25">
      <c r="B363" s="24">
        <v>361</v>
      </c>
      <c r="C363" s="25">
        <f t="shared" si="26"/>
        <v>56615</v>
      </c>
      <c r="D363" s="26">
        <f t="shared" si="27"/>
        <v>0</v>
      </c>
      <c r="E363" s="26">
        <f>IF(D363&gt;0.01,ROUND(D363*Kreditrechner!$C$6/12,2),0)</f>
        <v>0</v>
      </c>
      <c r="F363" s="26">
        <f>IF(D363&gt;0.01,ROUND(MIN(Kreditrechner!$C$11-E363,D363),2),0)</f>
        <v>0</v>
      </c>
      <c r="G363" s="11"/>
      <c r="H363" s="26">
        <f t="shared" si="25"/>
        <v>0</v>
      </c>
      <c r="I363" s="26">
        <f t="shared" si="28"/>
        <v>95180.970000000088</v>
      </c>
      <c r="J363" s="26">
        <f t="shared" si="29"/>
        <v>180000.00000000009</v>
      </c>
    </row>
    <row r="364" spans="2:10" ht="15" customHeight="1" x14ac:dyDescent="0.25">
      <c r="B364" s="27">
        <v>362</v>
      </c>
      <c r="C364" s="28">
        <f t="shared" si="26"/>
        <v>56646</v>
      </c>
      <c r="D364" s="29">
        <f t="shared" si="27"/>
        <v>0</v>
      </c>
      <c r="E364" s="29">
        <f>IF(D364&gt;0.01,ROUND(D364*Kreditrechner!$C$6/12,2),0)</f>
        <v>0</v>
      </c>
      <c r="F364" s="29">
        <f>IF(D364&gt;0.01,ROUND(MIN(Kreditrechner!$C$11-E364,D364),2),0)</f>
        <v>0</v>
      </c>
      <c r="G364" s="11"/>
      <c r="H364" s="29">
        <f t="shared" si="25"/>
        <v>0</v>
      </c>
      <c r="I364" s="29">
        <f t="shared" si="28"/>
        <v>95180.970000000088</v>
      </c>
      <c r="J364" s="29">
        <f t="shared" si="29"/>
        <v>180000.00000000009</v>
      </c>
    </row>
    <row r="365" spans="2:10" ht="15" customHeight="1" x14ac:dyDescent="0.25">
      <c r="B365" s="24">
        <v>363</v>
      </c>
      <c r="C365" s="25">
        <f t="shared" si="26"/>
        <v>56674</v>
      </c>
      <c r="D365" s="26">
        <f t="shared" si="27"/>
        <v>0</v>
      </c>
      <c r="E365" s="26">
        <f>IF(D365&gt;0.01,ROUND(D365*Kreditrechner!$C$6/12,2),0)</f>
        <v>0</v>
      </c>
      <c r="F365" s="26">
        <f>IF(D365&gt;0.01,ROUND(MIN(Kreditrechner!$C$11-E365,D365),2),0)</f>
        <v>0</v>
      </c>
      <c r="G365" s="11"/>
      <c r="H365" s="26">
        <f t="shared" si="25"/>
        <v>0</v>
      </c>
      <c r="I365" s="26">
        <f t="shared" si="28"/>
        <v>95180.970000000088</v>
      </c>
      <c r="J365" s="26">
        <f t="shared" si="29"/>
        <v>180000.00000000009</v>
      </c>
    </row>
    <row r="366" spans="2:10" ht="15" customHeight="1" x14ac:dyDescent="0.25">
      <c r="B366" s="27">
        <v>364</v>
      </c>
      <c r="C366" s="28">
        <f t="shared" si="26"/>
        <v>56705</v>
      </c>
      <c r="D366" s="29">
        <f t="shared" si="27"/>
        <v>0</v>
      </c>
      <c r="E366" s="29">
        <f>IF(D366&gt;0.01,ROUND(D366*Kreditrechner!$C$6/12,2),0)</f>
        <v>0</v>
      </c>
      <c r="F366" s="29">
        <f>IF(D366&gt;0.01,ROUND(MIN(Kreditrechner!$C$11-E366,D366),2),0)</f>
        <v>0</v>
      </c>
      <c r="G366" s="11"/>
      <c r="H366" s="29">
        <f t="shared" si="25"/>
        <v>0</v>
      </c>
      <c r="I366" s="29">
        <f t="shared" si="28"/>
        <v>95180.970000000088</v>
      </c>
      <c r="J366" s="29">
        <f t="shared" si="29"/>
        <v>180000.00000000009</v>
      </c>
    </row>
    <row r="367" spans="2:10" ht="15" customHeight="1" x14ac:dyDescent="0.25">
      <c r="B367" s="24">
        <v>365</v>
      </c>
      <c r="C367" s="25">
        <f t="shared" si="26"/>
        <v>56735</v>
      </c>
      <c r="D367" s="26">
        <f t="shared" si="27"/>
        <v>0</v>
      </c>
      <c r="E367" s="26">
        <f>IF(D367&gt;0.01,ROUND(D367*Kreditrechner!$C$6/12,2),0)</f>
        <v>0</v>
      </c>
      <c r="F367" s="26">
        <f>IF(D367&gt;0.01,ROUND(MIN(Kreditrechner!$C$11-E367,D367),2),0)</f>
        <v>0</v>
      </c>
      <c r="G367" s="11"/>
      <c r="H367" s="26">
        <f t="shared" si="25"/>
        <v>0</v>
      </c>
      <c r="I367" s="26">
        <f t="shared" si="28"/>
        <v>95180.970000000088</v>
      </c>
      <c r="J367" s="26">
        <f t="shared" si="29"/>
        <v>180000.00000000009</v>
      </c>
    </row>
    <row r="368" spans="2:10" ht="15" customHeight="1" x14ac:dyDescent="0.25">
      <c r="B368" s="27">
        <v>366</v>
      </c>
      <c r="C368" s="28">
        <f t="shared" si="26"/>
        <v>56766</v>
      </c>
      <c r="D368" s="29">
        <f t="shared" si="27"/>
        <v>0</v>
      </c>
      <c r="E368" s="29">
        <f>IF(D368&gt;0.01,ROUND(D368*Kreditrechner!$C$6/12,2),0)</f>
        <v>0</v>
      </c>
      <c r="F368" s="29">
        <f>IF(D368&gt;0.01,ROUND(MIN(Kreditrechner!$C$11-E368,D368),2),0)</f>
        <v>0</v>
      </c>
      <c r="G368" s="11"/>
      <c r="H368" s="29">
        <f t="shared" si="25"/>
        <v>0</v>
      </c>
      <c r="I368" s="29">
        <f t="shared" si="28"/>
        <v>95180.970000000088</v>
      </c>
      <c r="J368" s="29">
        <f t="shared" si="29"/>
        <v>180000.00000000009</v>
      </c>
    </row>
    <row r="369" spans="2:10" ht="15" customHeight="1" x14ac:dyDescent="0.25">
      <c r="B369" s="24">
        <v>367</v>
      </c>
      <c r="C369" s="25">
        <f t="shared" si="26"/>
        <v>56796</v>
      </c>
      <c r="D369" s="26">
        <f t="shared" si="27"/>
        <v>0</v>
      </c>
      <c r="E369" s="26">
        <f>IF(D369&gt;0.01,ROUND(D369*Kreditrechner!$C$6/12,2),0)</f>
        <v>0</v>
      </c>
      <c r="F369" s="26">
        <f>IF(D369&gt;0.01,ROUND(MIN(Kreditrechner!$C$11-E369,D369),2),0)</f>
        <v>0</v>
      </c>
      <c r="G369" s="11"/>
      <c r="H369" s="26">
        <f t="shared" si="25"/>
        <v>0</v>
      </c>
      <c r="I369" s="26">
        <f t="shared" si="28"/>
        <v>95180.970000000088</v>
      </c>
      <c r="J369" s="26">
        <f t="shared" si="29"/>
        <v>180000.00000000009</v>
      </c>
    </row>
    <row r="370" spans="2:10" ht="15" customHeight="1" x14ac:dyDescent="0.25">
      <c r="B370" s="27">
        <v>368</v>
      </c>
      <c r="C370" s="28">
        <f t="shared" si="26"/>
        <v>56827</v>
      </c>
      <c r="D370" s="29">
        <f t="shared" si="27"/>
        <v>0</v>
      </c>
      <c r="E370" s="29">
        <f>IF(D370&gt;0.01,ROUND(D370*Kreditrechner!$C$6/12,2),0)</f>
        <v>0</v>
      </c>
      <c r="F370" s="29">
        <f>IF(D370&gt;0.01,ROUND(MIN(Kreditrechner!$C$11-E370,D370),2),0)</f>
        <v>0</v>
      </c>
      <c r="G370" s="11"/>
      <c r="H370" s="29">
        <f t="shared" si="25"/>
        <v>0</v>
      </c>
      <c r="I370" s="29">
        <f t="shared" si="28"/>
        <v>95180.970000000088</v>
      </c>
      <c r="J370" s="29">
        <f t="shared" si="29"/>
        <v>180000.00000000009</v>
      </c>
    </row>
    <row r="371" spans="2:10" ht="15" customHeight="1" x14ac:dyDescent="0.25">
      <c r="B371" s="24">
        <v>369</v>
      </c>
      <c r="C371" s="25">
        <f t="shared" si="26"/>
        <v>56858</v>
      </c>
      <c r="D371" s="26">
        <f t="shared" si="27"/>
        <v>0</v>
      </c>
      <c r="E371" s="26">
        <f>IF(D371&gt;0.01,ROUND(D371*Kreditrechner!$C$6/12,2),0)</f>
        <v>0</v>
      </c>
      <c r="F371" s="26">
        <f>IF(D371&gt;0.01,ROUND(MIN(Kreditrechner!$C$11-E371,D371),2),0)</f>
        <v>0</v>
      </c>
      <c r="G371" s="11"/>
      <c r="H371" s="26">
        <f t="shared" si="25"/>
        <v>0</v>
      </c>
      <c r="I371" s="26">
        <f t="shared" si="28"/>
        <v>95180.970000000088</v>
      </c>
      <c r="J371" s="26">
        <f t="shared" si="29"/>
        <v>180000.00000000009</v>
      </c>
    </row>
    <row r="372" spans="2:10" ht="15" customHeight="1" x14ac:dyDescent="0.25">
      <c r="B372" s="27">
        <v>370</v>
      </c>
      <c r="C372" s="28">
        <f t="shared" si="26"/>
        <v>56888</v>
      </c>
      <c r="D372" s="29">
        <f t="shared" si="27"/>
        <v>0</v>
      </c>
      <c r="E372" s="29">
        <f>IF(D372&gt;0.01,ROUND(D372*Kreditrechner!$C$6/12,2),0)</f>
        <v>0</v>
      </c>
      <c r="F372" s="29">
        <f>IF(D372&gt;0.01,ROUND(MIN(Kreditrechner!$C$11-E372,D372),2),0)</f>
        <v>0</v>
      </c>
      <c r="G372" s="11"/>
      <c r="H372" s="29">
        <f t="shared" si="25"/>
        <v>0</v>
      </c>
      <c r="I372" s="29">
        <f t="shared" si="28"/>
        <v>95180.970000000088</v>
      </c>
      <c r="J372" s="29">
        <f t="shared" si="29"/>
        <v>180000.00000000009</v>
      </c>
    </row>
    <row r="373" spans="2:10" ht="15" customHeight="1" x14ac:dyDescent="0.25">
      <c r="B373" s="24">
        <v>371</v>
      </c>
      <c r="C373" s="25">
        <f t="shared" si="26"/>
        <v>56919</v>
      </c>
      <c r="D373" s="26">
        <f t="shared" si="27"/>
        <v>0</v>
      </c>
      <c r="E373" s="26">
        <f>IF(D373&gt;0.01,ROUND(D373*Kreditrechner!$C$6/12,2),0)</f>
        <v>0</v>
      </c>
      <c r="F373" s="26">
        <f>IF(D373&gt;0.01,ROUND(MIN(Kreditrechner!$C$11-E373,D373),2),0)</f>
        <v>0</v>
      </c>
      <c r="G373" s="11"/>
      <c r="H373" s="26">
        <f t="shared" si="25"/>
        <v>0</v>
      </c>
      <c r="I373" s="26">
        <f t="shared" si="28"/>
        <v>95180.970000000088</v>
      </c>
      <c r="J373" s="26">
        <f t="shared" si="29"/>
        <v>180000.00000000009</v>
      </c>
    </row>
    <row r="374" spans="2:10" ht="15" customHeight="1" x14ac:dyDescent="0.25">
      <c r="B374" s="27">
        <v>372</v>
      </c>
      <c r="C374" s="28">
        <f t="shared" si="26"/>
        <v>56949</v>
      </c>
      <c r="D374" s="29">
        <f t="shared" si="27"/>
        <v>0</v>
      </c>
      <c r="E374" s="29">
        <f>IF(D374&gt;0.01,ROUND(D374*Kreditrechner!$C$6/12,2),0)</f>
        <v>0</v>
      </c>
      <c r="F374" s="29">
        <f>IF(D374&gt;0.01,ROUND(MIN(Kreditrechner!$C$11-E374,D374),2),0)</f>
        <v>0</v>
      </c>
      <c r="G374" s="11"/>
      <c r="H374" s="29">
        <f t="shared" si="25"/>
        <v>0</v>
      </c>
      <c r="I374" s="29">
        <f t="shared" si="28"/>
        <v>95180.970000000088</v>
      </c>
      <c r="J374" s="29">
        <f t="shared" si="29"/>
        <v>180000.00000000009</v>
      </c>
    </row>
    <row r="375" spans="2:10" ht="15" customHeight="1" x14ac:dyDescent="0.25">
      <c r="B375" s="24">
        <v>373</v>
      </c>
      <c r="C375" s="25">
        <f t="shared" si="26"/>
        <v>56980</v>
      </c>
      <c r="D375" s="26">
        <f t="shared" si="27"/>
        <v>0</v>
      </c>
      <c r="E375" s="26">
        <f>IF(D375&gt;0.01,ROUND(D375*Kreditrechner!$C$6/12,2),0)</f>
        <v>0</v>
      </c>
      <c r="F375" s="26">
        <f>IF(D375&gt;0.01,ROUND(MIN(Kreditrechner!$C$11-E375,D375),2),0)</f>
        <v>0</v>
      </c>
      <c r="G375" s="11"/>
      <c r="H375" s="26">
        <f t="shared" si="25"/>
        <v>0</v>
      </c>
      <c r="I375" s="26">
        <f t="shared" si="28"/>
        <v>95180.970000000088</v>
      </c>
      <c r="J375" s="26">
        <f t="shared" si="29"/>
        <v>180000.00000000009</v>
      </c>
    </row>
    <row r="376" spans="2:10" ht="15" customHeight="1" x14ac:dyDescent="0.25">
      <c r="B376" s="27">
        <v>374</v>
      </c>
      <c r="C376" s="28">
        <f t="shared" si="26"/>
        <v>57011</v>
      </c>
      <c r="D376" s="29">
        <f t="shared" si="27"/>
        <v>0</v>
      </c>
      <c r="E376" s="29">
        <f>IF(D376&gt;0.01,ROUND(D376*Kreditrechner!$C$6/12,2),0)</f>
        <v>0</v>
      </c>
      <c r="F376" s="29">
        <f>IF(D376&gt;0.01,ROUND(MIN(Kreditrechner!$C$11-E376,D376),2),0)</f>
        <v>0</v>
      </c>
      <c r="G376" s="11"/>
      <c r="H376" s="29">
        <f t="shared" si="25"/>
        <v>0</v>
      </c>
      <c r="I376" s="29">
        <f t="shared" si="28"/>
        <v>95180.970000000088</v>
      </c>
      <c r="J376" s="29">
        <f t="shared" si="29"/>
        <v>180000.00000000009</v>
      </c>
    </row>
    <row r="377" spans="2:10" ht="15" customHeight="1" x14ac:dyDescent="0.25">
      <c r="B377" s="24">
        <v>375</v>
      </c>
      <c r="C377" s="25">
        <f t="shared" si="26"/>
        <v>57040</v>
      </c>
      <c r="D377" s="26">
        <f t="shared" si="27"/>
        <v>0</v>
      </c>
      <c r="E377" s="26">
        <f>IF(D377&gt;0.01,ROUND(D377*Kreditrechner!$C$6/12,2),0)</f>
        <v>0</v>
      </c>
      <c r="F377" s="26">
        <f>IF(D377&gt;0.01,ROUND(MIN(Kreditrechner!$C$11-E377,D377),2),0)</f>
        <v>0</v>
      </c>
      <c r="G377" s="11"/>
      <c r="H377" s="26">
        <f t="shared" si="25"/>
        <v>0</v>
      </c>
      <c r="I377" s="26">
        <f t="shared" si="28"/>
        <v>95180.970000000088</v>
      </c>
      <c r="J377" s="26">
        <f t="shared" si="29"/>
        <v>180000.00000000009</v>
      </c>
    </row>
    <row r="378" spans="2:10" ht="15" customHeight="1" x14ac:dyDescent="0.25">
      <c r="B378" s="27">
        <v>376</v>
      </c>
      <c r="C378" s="28">
        <f t="shared" si="26"/>
        <v>57071</v>
      </c>
      <c r="D378" s="29">
        <f t="shared" si="27"/>
        <v>0</v>
      </c>
      <c r="E378" s="29">
        <f>IF(D378&gt;0.01,ROUND(D378*Kreditrechner!$C$6/12,2),0)</f>
        <v>0</v>
      </c>
      <c r="F378" s="29">
        <f>IF(D378&gt;0.01,ROUND(MIN(Kreditrechner!$C$11-E378,D378),2),0)</f>
        <v>0</v>
      </c>
      <c r="G378" s="11"/>
      <c r="H378" s="29">
        <f t="shared" si="25"/>
        <v>0</v>
      </c>
      <c r="I378" s="29">
        <f t="shared" si="28"/>
        <v>95180.970000000088</v>
      </c>
      <c r="J378" s="29">
        <f t="shared" si="29"/>
        <v>180000.00000000009</v>
      </c>
    </row>
    <row r="379" spans="2:10" ht="15" customHeight="1" x14ac:dyDescent="0.25">
      <c r="B379" s="24">
        <v>377</v>
      </c>
      <c r="C379" s="25">
        <f t="shared" si="26"/>
        <v>57101</v>
      </c>
      <c r="D379" s="26">
        <f t="shared" si="27"/>
        <v>0</v>
      </c>
      <c r="E379" s="26">
        <f>IF(D379&gt;0.01,ROUND(D379*Kreditrechner!$C$6/12,2),0)</f>
        <v>0</v>
      </c>
      <c r="F379" s="26">
        <f>IF(D379&gt;0.01,ROUND(MIN(Kreditrechner!$C$11-E379,D379),2),0)</f>
        <v>0</v>
      </c>
      <c r="G379" s="11"/>
      <c r="H379" s="26">
        <f t="shared" si="25"/>
        <v>0</v>
      </c>
      <c r="I379" s="26">
        <f t="shared" si="28"/>
        <v>95180.970000000088</v>
      </c>
      <c r="J379" s="26">
        <f t="shared" si="29"/>
        <v>180000.00000000009</v>
      </c>
    </row>
    <row r="380" spans="2:10" ht="15" customHeight="1" x14ac:dyDescent="0.25">
      <c r="B380" s="27">
        <v>378</v>
      </c>
      <c r="C380" s="28">
        <f t="shared" si="26"/>
        <v>57132</v>
      </c>
      <c r="D380" s="29">
        <f t="shared" si="27"/>
        <v>0</v>
      </c>
      <c r="E380" s="29">
        <f>IF(D380&gt;0.01,ROUND(D380*Kreditrechner!$C$6/12,2),0)</f>
        <v>0</v>
      </c>
      <c r="F380" s="29">
        <f>IF(D380&gt;0.01,ROUND(MIN(Kreditrechner!$C$11-E380,D380),2),0)</f>
        <v>0</v>
      </c>
      <c r="G380" s="11"/>
      <c r="H380" s="29">
        <f t="shared" si="25"/>
        <v>0</v>
      </c>
      <c r="I380" s="29">
        <f t="shared" si="28"/>
        <v>95180.970000000088</v>
      </c>
      <c r="J380" s="29">
        <f t="shared" si="29"/>
        <v>180000.00000000009</v>
      </c>
    </row>
    <row r="381" spans="2:10" ht="15" customHeight="1" x14ac:dyDescent="0.25">
      <c r="B381" s="24">
        <v>379</v>
      </c>
      <c r="C381" s="25">
        <f t="shared" si="26"/>
        <v>57162</v>
      </c>
      <c r="D381" s="26">
        <f t="shared" si="27"/>
        <v>0</v>
      </c>
      <c r="E381" s="26">
        <f>IF(D381&gt;0.01,ROUND(D381*Kreditrechner!$C$6/12,2),0)</f>
        <v>0</v>
      </c>
      <c r="F381" s="26">
        <f>IF(D381&gt;0.01,ROUND(MIN(Kreditrechner!$C$11-E381,D381),2),0)</f>
        <v>0</v>
      </c>
      <c r="G381" s="11"/>
      <c r="H381" s="26">
        <f t="shared" si="25"/>
        <v>0</v>
      </c>
      <c r="I381" s="26">
        <f t="shared" si="28"/>
        <v>95180.970000000088</v>
      </c>
      <c r="J381" s="26">
        <f t="shared" si="29"/>
        <v>180000.00000000009</v>
      </c>
    </row>
    <row r="382" spans="2:10" ht="15" customHeight="1" x14ac:dyDescent="0.25">
      <c r="B382" s="27">
        <v>380</v>
      </c>
      <c r="C382" s="28">
        <f t="shared" si="26"/>
        <v>57193</v>
      </c>
      <c r="D382" s="29">
        <f t="shared" si="27"/>
        <v>0</v>
      </c>
      <c r="E382" s="29">
        <f>IF(D382&gt;0.01,ROUND(D382*Kreditrechner!$C$6/12,2),0)</f>
        <v>0</v>
      </c>
      <c r="F382" s="29">
        <f>IF(D382&gt;0.01,ROUND(MIN(Kreditrechner!$C$11-E382,D382),2),0)</f>
        <v>0</v>
      </c>
      <c r="G382" s="11"/>
      <c r="H382" s="29">
        <f t="shared" si="25"/>
        <v>0</v>
      </c>
      <c r="I382" s="29">
        <f t="shared" si="28"/>
        <v>95180.970000000088</v>
      </c>
      <c r="J382" s="29">
        <f t="shared" si="29"/>
        <v>180000.00000000009</v>
      </c>
    </row>
    <row r="383" spans="2:10" ht="15" customHeight="1" x14ac:dyDescent="0.25">
      <c r="B383" s="24">
        <v>381</v>
      </c>
      <c r="C383" s="25">
        <f t="shared" si="26"/>
        <v>57224</v>
      </c>
      <c r="D383" s="26">
        <f t="shared" si="27"/>
        <v>0</v>
      </c>
      <c r="E383" s="26">
        <f>IF(D383&gt;0.01,ROUND(D383*Kreditrechner!$C$6/12,2),0)</f>
        <v>0</v>
      </c>
      <c r="F383" s="26">
        <f>IF(D383&gt;0.01,ROUND(MIN(Kreditrechner!$C$11-E383,D383),2),0)</f>
        <v>0</v>
      </c>
      <c r="G383" s="11"/>
      <c r="H383" s="26">
        <f t="shared" si="25"/>
        <v>0</v>
      </c>
      <c r="I383" s="26">
        <f t="shared" si="28"/>
        <v>95180.970000000088</v>
      </c>
      <c r="J383" s="26">
        <f t="shared" si="29"/>
        <v>180000.00000000009</v>
      </c>
    </row>
    <row r="384" spans="2:10" ht="15" customHeight="1" x14ac:dyDescent="0.25">
      <c r="B384" s="27">
        <v>382</v>
      </c>
      <c r="C384" s="28">
        <f t="shared" si="26"/>
        <v>57254</v>
      </c>
      <c r="D384" s="29">
        <f t="shared" si="27"/>
        <v>0</v>
      </c>
      <c r="E384" s="29">
        <f>IF(D384&gt;0.01,ROUND(D384*Kreditrechner!$C$6/12,2),0)</f>
        <v>0</v>
      </c>
      <c r="F384" s="29">
        <f>IF(D384&gt;0.01,ROUND(MIN(Kreditrechner!$C$11-E384,D384),2),0)</f>
        <v>0</v>
      </c>
      <c r="G384" s="11"/>
      <c r="H384" s="29">
        <f t="shared" si="25"/>
        <v>0</v>
      </c>
      <c r="I384" s="29">
        <f t="shared" si="28"/>
        <v>95180.970000000088</v>
      </c>
      <c r="J384" s="29">
        <f t="shared" si="29"/>
        <v>180000.00000000009</v>
      </c>
    </row>
    <row r="385" spans="2:10" ht="15" customHeight="1" x14ac:dyDescent="0.25">
      <c r="B385" s="24">
        <v>383</v>
      </c>
      <c r="C385" s="25">
        <f t="shared" si="26"/>
        <v>57285</v>
      </c>
      <c r="D385" s="26">
        <f t="shared" si="27"/>
        <v>0</v>
      </c>
      <c r="E385" s="26">
        <f>IF(D385&gt;0.01,ROUND(D385*Kreditrechner!$C$6/12,2),0)</f>
        <v>0</v>
      </c>
      <c r="F385" s="26">
        <f>IF(D385&gt;0.01,ROUND(MIN(Kreditrechner!$C$11-E385,D385),2),0)</f>
        <v>0</v>
      </c>
      <c r="G385" s="11"/>
      <c r="H385" s="26">
        <f t="shared" si="25"/>
        <v>0</v>
      </c>
      <c r="I385" s="26">
        <f t="shared" si="28"/>
        <v>95180.970000000088</v>
      </c>
      <c r="J385" s="26">
        <f t="shared" si="29"/>
        <v>180000.00000000009</v>
      </c>
    </row>
    <row r="386" spans="2:10" ht="15" customHeight="1" x14ac:dyDescent="0.25">
      <c r="B386" s="27">
        <v>384</v>
      </c>
      <c r="C386" s="28">
        <f t="shared" si="26"/>
        <v>57315</v>
      </c>
      <c r="D386" s="29">
        <f t="shared" si="27"/>
        <v>0</v>
      </c>
      <c r="E386" s="29">
        <f>IF(D386&gt;0.01,ROUND(D386*Kreditrechner!$C$6/12,2),0)</f>
        <v>0</v>
      </c>
      <c r="F386" s="29">
        <f>IF(D386&gt;0.01,ROUND(MIN(Kreditrechner!$C$11-E386,D386),2),0)</f>
        <v>0</v>
      </c>
      <c r="G386" s="11"/>
      <c r="H386" s="29">
        <f t="shared" si="25"/>
        <v>0</v>
      </c>
      <c r="I386" s="29">
        <f t="shared" si="28"/>
        <v>95180.970000000088</v>
      </c>
      <c r="J386" s="29">
        <f t="shared" si="29"/>
        <v>180000.00000000009</v>
      </c>
    </row>
    <row r="387" spans="2:10" ht="15" customHeight="1" x14ac:dyDescent="0.25">
      <c r="B387" s="24">
        <v>385</v>
      </c>
      <c r="C387" s="25">
        <f t="shared" si="26"/>
        <v>57346</v>
      </c>
      <c r="D387" s="26">
        <f t="shared" si="27"/>
        <v>0</v>
      </c>
      <c r="E387" s="26">
        <f>IF(D387&gt;0.01,ROUND(D387*Kreditrechner!$C$6/12,2),0)</f>
        <v>0</v>
      </c>
      <c r="F387" s="26">
        <f>IF(D387&gt;0.01,ROUND(MIN(Kreditrechner!$C$11-E387,D387),2),0)</f>
        <v>0</v>
      </c>
      <c r="G387" s="11"/>
      <c r="H387" s="26">
        <f t="shared" ref="H387:H450" si="30">IF(D387&gt;0.01,ROUND(MAX(D387-F387-IF(ISNUMBER(G387),G387,0),0),2),0)</f>
        <v>0</v>
      </c>
      <c r="I387" s="26">
        <f t="shared" si="28"/>
        <v>95180.970000000088</v>
      </c>
      <c r="J387" s="26">
        <f t="shared" si="29"/>
        <v>180000.00000000009</v>
      </c>
    </row>
    <row r="388" spans="2:10" ht="15" customHeight="1" x14ac:dyDescent="0.25">
      <c r="B388" s="27">
        <v>386</v>
      </c>
      <c r="C388" s="28">
        <f t="shared" ref="C388:C451" si="31">EDATE(C387,1)</f>
        <v>57377</v>
      </c>
      <c r="D388" s="29">
        <f t="shared" ref="D388:D451" si="32">IF(H387&gt;0.01,H387,0)</f>
        <v>0</v>
      </c>
      <c r="E388" s="29">
        <f>IF(D388&gt;0.01,ROUND(D388*Kreditrechner!$C$6/12,2),0)</f>
        <v>0</v>
      </c>
      <c r="F388" s="29">
        <f>IF(D388&gt;0.01,ROUND(MIN(Kreditrechner!$C$11-E388,D388),2),0)</f>
        <v>0</v>
      </c>
      <c r="G388" s="11"/>
      <c r="H388" s="29">
        <f t="shared" si="30"/>
        <v>0</v>
      </c>
      <c r="I388" s="29">
        <f t="shared" ref="I388:I451" si="33">IF(D388&gt;0.01,I387+E388,I387)</f>
        <v>95180.970000000088</v>
      </c>
      <c r="J388" s="29">
        <f t="shared" ref="J388:J451" si="34">IF(D388&gt;0.01,J387+F388+IF(ISNUMBER(G388),G388,0),J387)</f>
        <v>180000.00000000009</v>
      </c>
    </row>
    <row r="389" spans="2:10" ht="15" customHeight="1" x14ac:dyDescent="0.25">
      <c r="B389" s="24">
        <v>387</v>
      </c>
      <c r="C389" s="25">
        <f t="shared" si="31"/>
        <v>57405</v>
      </c>
      <c r="D389" s="26">
        <f t="shared" si="32"/>
        <v>0</v>
      </c>
      <c r="E389" s="26">
        <f>IF(D389&gt;0.01,ROUND(D389*Kreditrechner!$C$6/12,2),0)</f>
        <v>0</v>
      </c>
      <c r="F389" s="26">
        <f>IF(D389&gt;0.01,ROUND(MIN(Kreditrechner!$C$11-E389,D389),2),0)</f>
        <v>0</v>
      </c>
      <c r="G389" s="11"/>
      <c r="H389" s="26">
        <f t="shared" si="30"/>
        <v>0</v>
      </c>
      <c r="I389" s="26">
        <f t="shared" si="33"/>
        <v>95180.970000000088</v>
      </c>
      <c r="J389" s="26">
        <f t="shared" si="34"/>
        <v>180000.00000000009</v>
      </c>
    </row>
    <row r="390" spans="2:10" ht="15" customHeight="1" x14ac:dyDescent="0.25">
      <c r="B390" s="27">
        <v>388</v>
      </c>
      <c r="C390" s="28">
        <f t="shared" si="31"/>
        <v>57436</v>
      </c>
      <c r="D390" s="29">
        <f t="shared" si="32"/>
        <v>0</v>
      </c>
      <c r="E390" s="29">
        <f>IF(D390&gt;0.01,ROUND(D390*Kreditrechner!$C$6/12,2),0)</f>
        <v>0</v>
      </c>
      <c r="F390" s="29">
        <f>IF(D390&gt;0.01,ROUND(MIN(Kreditrechner!$C$11-E390,D390),2),0)</f>
        <v>0</v>
      </c>
      <c r="G390" s="11"/>
      <c r="H390" s="29">
        <f t="shared" si="30"/>
        <v>0</v>
      </c>
      <c r="I390" s="29">
        <f t="shared" si="33"/>
        <v>95180.970000000088</v>
      </c>
      <c r="J390" s="29">
        <f t="shared" si="34"/>
        <v>180000.00000000009</v>
      </c>
    </row>
    <row r="391" spans="2:10" ht="15" customHeight="1" x14ac:dyDescent="0.25">
      <c r="B391" s="24">
        <v>389</v>
      </c>
      <c r="C391" s="25">
        <f t="shared" si="31"/>
        <v>57466</v>
      </c>
      <c r="D391" s="26">
        <f t="shared" si="32"/>
        <v>0</v>
      </c>
      <c r="E391" s="26">
        <f>IF(D391&gt;0.01,ROUND(D391*Kreditrechner!$C$6/12,2),0)</f>
        <v>0</v>
      </c>
      <c r="F391" s="26">
        <f>IF(D391&gt;0.01,ROUND(MIN(Kreditrechner!$C$11-E391,D391),2),0)</f>
        <v>0</v>
      </c>
      <c r="G391" s="11"/>
      <c r="H391" s="26">
        <f t="shared" si="30"/>
        <v>0</v>
      </c>
      <c r="I391" s="26">
        <f t="shared" si="33"/>
        <v>95180.970000000088</v>
      </c>
      <c r="J391" s="26">
        <f t="shared" si="34"/>
        <v>180000.00000000009</v>
      </c>
    </row>
    <row r="392" spans="2:10" ht="15" customHeight="1" x14ac:dyDescent="0.25">
      <c r="B392" s="27">
        <v>390</v>
      </c>
      <c r="C392" s="28">
        <f t="shared" si="31"/>
        <v>57497</v>
      </c>
      <c r="D392" s="29">
        <f t="shared" si="32"/>
        <v>0</v>
      </c>
      <c r="E392" s="29">
        <f>IF(D392&gt;0.01,ROUND(D392*Kreditrechner!$C$6/12,2),0)</f>
        <v>0</v>
      </c>
      <c r="F392" s="29">
        <f>IF(D392&gt;0.01,ROUND(MIN(Kreditrechner!$C$11-E392,D392),2),0)</f>
        <v>0</v>
      </c>
      <c r="G392" s="11"/>
      <c r="H392" s="29">
        <f t="shared" si="30"/>
        <v>0</v>
      </c>
      <c r="I392" s="29">
        <f t="shared" si="33"/>
        <v>95180.970000000088</v>
      </c>
      <c r="J392" s="29">
        <f t="shared" si="34"/>
        <v>180000.00000000009</v>
      </c>
    </row>
    <row r="393" spans="2:10" ht="15" customHeight="1" x14ac:dyDescent="0.25">
      <c r="B393" s="24">
        <v>391</v>
      </c>
      <c r="C393" s="25">
        <f t="shared" si="31"/>
        <v>57527</v>
      </c>
      <c r="D393" s="26">
        <f t="shared" si="32"/>
        <v>0</v>
      </c>
      <c r="E393" s="26">
        <f>IF(D393&gt;0.01,ROUND(D393*Kreditrechner!$C$6/12,2),0)</f>
        <v>0</v>
      </c>
      <c r="F393" s="26">
        <f>IF(D393&gt;0.01,ROUND(MIN(Kreditrechner!$C$11-E393,D393),2),0)</f>
        <v>0</v>
      </c>
      <c r="G393" s="11"/>
      <c r="H393" s="26">
        <f t="shared" si="30"/>
        <v>0</v>
      </c>
      <c r="I393" s="26">
        <f t="shared" si="33"/>
        <v>95180.970000000088</v>
      </c>
      <c r="J393" s="26">
        <f t="shared" si="34"/>
        <v>180000.00000000009</v>
      </c>
    </row>
    <row r="394" spans="2:10" ht="15" customHeight="1" x14ac:dyDescent="0.25">
      <c r="B394" s="27">
        <v>392</v>
      </c>
      <c r="C394" s="28">
        <f t="shared" si="31"/>
        <v>57558</v>
      </c>
      <c r="D394" s="29">
        <f t="shared" si="32"/>
        <v>0</v>
      </c>
      <c r="E394" s="29">
        <f>IF(D394&gt;0.01,ROUND(D394*Kreditrechner!$C$6/12,2),0)</f>
        <v>0</v>
      </c>
      <c r="F394" s="29">
        <f>IF(D394&gt;0.01,ROUND(MIN(Kreditrechner!$C$11-E394,D394),2),0)</f>
        <v>0</v>
      </c>
      <c r="G394" s="11"/>
      <c r="H394" s="29">
        <f t="shared" si="30"/>
        <v>0</v>
      </c>
      <c r="I394" s="29">
        <f t="shared" si="33"/>
        <v>95180.970000000088</v>
      </c>
      <c r="J394" s="29">
        <f t="shared" si="34"/>
        <v>180000.00000000009</v>
      </c>
    </row>
    <row r="395" spans="2:10" ht="15" customHeight="1" x14ac:dyDescent="0.25">
      <c r="B395" s="24">
        <v>393</v>
      </c>
      <c r="C395" s="25">
        <f t="shared" si="31"/>
        <v>57589</v>
      </c>
      <c r="D395" s="26">
        <f t="shared" si="32"/>
        <v>0</v>
      </c>
      <c r="E395" s="26">
        <f>IF(D395&gt;0.01,ROUND(D395*Kreditrechner!$C$6/12,2),0)</f>
        <v>0</v>
      </c>
      <c r="F395" s="26">
        <f>IF(D395&gt;0.01,ROUND(MIN(Kreditrechner!$C$11-E395,D395),2),0)</f>
        <v>0</v>
      </c>
      <c r="G395" s="11"/>
      <c r="H395" s="26">
        <f t="shared" si="30"/>
        <v>0</v>
      </c>
      <c r="I395" s="26">
        <f t="shared" si="33"/>
        <v>95180.970000000088</v>
      </c>
      <c r="J395" s="26">
        <f t="shared" si="34"/>
        <v>180000.00000000009</v>
      </c>
    </row>
    <row r="396" spans="2:10" ht="15" customHeight="1" x14ac:dyDescent="0.25">
      <c r="B396" s="27">
        <v>394</v>
      </c>
      <c r="C396" s="28">
        <f t="shared" si="31"/>
        <v>57619</v>
      </c>
      <c r="D396" s="29">
        <f t="shared" si="32"/>
        <v>0</v>
      </c>
      <c r="E396" s="29">
        <f>IF(D396&gt;0.01,ROUND(D396*Kreditrechner!$C$6/12,2),0)</f>
        <v>0</v>
      </c>
      <c r="F396" s="29">
        <f>IF(D396&gt;0.01,ROUND(MIN(Kreditrechner!$C$11-E396,D396),2),0)</f>
        <v>0</v>
      </c>
      <c r="G396" s="11"/>
      <c r="H396" s="29">
        <f t="shared" si="30"/>
        <v>0</v>
      </c>
      <c r="I396" s="29">
        <f t="shared" si="33"/>
        <v>95180.970000000088</v>
      </c>
      <c r="J396" s="29">
        <f t="shared" si="34"/>
        <v>180000.00000000009</v>
      </c>
    </row>
    <row r="397" spans="2:10" ht="15" customHeight="1" x14ac:dyDescent="0.25">
      <c r="B397" s="24">
        <v>395</v>
      </c>
      <c r="C397" s="25">
        <f t="shared" si="31"/>
        <v>57650</v>
      </c>
      <c r="D397" s="26">
        <f t="shared" si="32"/>
        <v>0</v>
      </c>
      <c r="E397" s="26">
        <f>IF(D397&gt;0.01,ROUND(D397*Kreditrechner!$C$6/12,2),0)</f>
        <v>0</v>
      </c>
      <c r="F397" s="26">
        <f>IF(D397&gt;0.01,ROUND(MIN(Kreditrechner!$C$11-E397,D397),2),0)</f>
        <v>0</v>
      </c>
      <c r="G397" s="11"/>
      <c r="H397" s="26">
        <f t="shared" si="30"/>
        <v>0</v>
      </c>
      <c r="I397" s="26">
        <f t="shared" si="33"/>
        <v>95180.970000000088</v>
      </c>
      <c r="J397" s="26">
        <f t="shared" si="34"/>
        <v>180000.00000000009</v>
      </c>
    </row>
    <row r="398" spans="2:10" ht="15" customHeight="1" x14ac:dyDescent="0.25">
      <c r="B398" s="27">
        <v>396</v>
      </c>
      <c r="C398" s="28">
        <f t="shared" si="31"/>
        <v>57680</v>
      </c>
      <c r="D398" s="29">
        <f t="shared" si="32"/>
        <v>0</v>
      </c>
      <c r="E398" s="29">
        <f>IF(D398&gt;0.01,ROUND(D398*Kreditrechner!$C$6/12,2),0)</f>
        <v>0</v>
      </c>
      <c r="F398" s="29">
        <f>IF(D398&gt;0.01,ROUND(MIN(Kreditrechner!$C$11-E398,D398),2),0)</f>
        <v>0</v>
      </c>
      <c r="G398" s="11"/>
      <c r="H398" s="29">
        <f t="shared" si="30"/>
        <v>0</v>
      </c>
      <c r="I398" s="29">
        <f t="shared" si="33"/>
        <v>95180.970000000088</v>
      </c>
      <c r="J398" s="29">
        <f t="shared" si="34"/>
        <v>180000.00000000009</v>
      </c>
    </row>
    <row r="399" spans="2:10" ht="15" customHeight="1" x14ac:dyDescent="0.25">
      <c r="B399" s="24">
        <v>397</v>
      </c>
      <c r="C399" s="25">
        <f t="shared" si="31"/>
        <v>57711</v>
      </c>
      <c r="D399" s="26">
        <f t="shared" si="32"/>
        <v>0</v>
      </c>
      <c r="E399" s="26">
        <f>IF(D399&gt;0.01,ROUND(D399*Kreditrechner!$C$6/12,2),0)</f>
        <v>0</v>
      </c>
      <c r="F399" s="26">
        <f>IF(D399&gt;0.01,ROUND(MIN(Kreditrechner!$C$11-E399,D399),2),0)</f>
        <v>0</v>
      </c>
      <c r="G399" s="11"/>
      <c r="H399" s="26">
        <f t="shared" si="30"/>
        <v>0</v>
      </c>
      <c r="I399" s="26">
        <f t="shared" si="33"/>
        <v>95180.970000000088</v>
      </c>
      <c r="J399" s="26">
        <f t="shared" si="34"/>
        <v>180000.00000000009</v>
      </c>
    </row>
    <row r="400" spans="2:10" ht="15" customHeight="1" x14ac:dyDescent="0.25">
      <c r="B400" s="27">
        <v>398</v>
      </c>
      <c r="C400" s="28">
        <f t="shared" si="31"/>
        <v>57742</v>
      </c>
      <c r="D400" s="29">
        <f t="shared" si="32"/>
        <v>0</v>
      </c>
      <c r="E400" s="29">
        <f>IF(D400&gt;0.01,ROUND(D400*Kreditrechner!$C$6/12,2),0)</f>
        <v>0</v>
      </c>
      <c r="F400" s="29">
        <f>IF(D400&gt;0.01,ROUND(MIN(Kreditrechner!$C$11-E400,D400),2),0)</f>
        <v>0</v>
      </c>
      <c r="G400" s="11"/>
      <c r="H400" s="29">
        <f t="shared" si="30"/>
        <v>0</v>
      </c>
      <c r="I400" s="29">
        <f t="shared" si="33"/>
        <v>95180.970000000088</v>
      </c>
      <c r="J400" s="29">
        <f t="shared" si="34"/>
        <v>180000.00000000009</v>
      </c>
    </row>
    <row r="401" spans="2:10" ht="15" customHeight="1" x14ac:dyDescent="0.25">
      <c r="B401" s="24">
        <v>399</v>
      </c>
      <c r="C401" s="25">
        <f t="shared" si="31"/>
        <v>57770</v>
      </c>
      <c r="D401" s="26">
        <f t="shared" si="32"/>
        <v>0</v>
      </c>
      <c r="E401" s="26">
        <f>IF(D401&gt;0.01,ROUND(D401*Kreditrechner!$C$6/12,2),0)</f>
        <v>0</v>
      </c>
      <c r="F401" s="26">
        <f>IF(D401&gt;0.01,ROUND(MIN(Kreditrechner!$C$11-E401,D401),2),0)</f>
        <v>0</v>
      </c>
      <c r="G401" s="11"/>
      <c r="H401" s="26">
        <f t="shared" si="30"/>
        <v>0</v>
      </c>
      <c r="I401" s="26">
        <f t="shared" si="33"/>
        <v>95180.970000000088</v>
      </c>
      <c r="J401" s="26">
        <f t="shared" si="34"/>
        <v>180000.00000000009</v>
      </c>
    </row>
    <row r="402" spans="2:10" ht="15" customHeight="1" x14ac:dyDescent="0.25">
      <c r="B402" s="27">
        <v>400</v>
      </c>
      <c r="C402" s="28">
        <f t="shared" si="31"/>
        <v>57801</v>
      </c>
      <c r="D402" s="29">
        <f t="shared" si="32"/>
        <v>0</v>
      </c>
      <c r="E402" s="29">
        <f>IF(D402&gt;0.01,ROUND(D402*Kreditrechner!$C$6/12,2),0)</f>
        <v>0</v>
      </c>
      <c r="F402" s="29">
        <f>IF(D402&gt;0.01,ROUND(MIN(Kreditrechner!$C$11-E402,D402),2),0)</f>
        <v>0</v>
      </c>
      <c r="G402" s="11"/>
      <c r="H402" s="29">
        <f t="shared" si="30"/>
        <v>0</v>
      </c>
      <c r="I402" s="29">
        <f t="shared" si="33"/>
        <v>95180.970000000088</v>
      </c>
      <c r="J402" s="29">
        <f t="shared" si="34"/>
        <v>180000.00000000009</v>
      </c>
    </row>
    <row r="403" spans="2:10" ht="15" customHeight="1" x14ac:dyDescent="0.25">
      <c r="B403" s="24">
        <v>401</v>
      </c>
      <c r="C403" s="25">
        <f t="shared" si="31"/>
        <v>57831</v>
      </c>
      <c r="D403" s="26">
        <f t="shared" si="32"/>
        <v>0</v>
      </c>
      <c r="E403" s="26">
        <f>IF(D403&gt;0.01,ROUND(D403*Kreditrechner!$C$6/12,2),0)</f>
        <v>0</v>
      </c>
      <c r="F403" s="26">
        <f>IF(D403&gt;0.01,ROUND(MIN(Kreditrechner!$C$11-E403,D403),2),0)</f>
        <v>0</v>
      </c>
      <c r="G403" s="11"/>
      <c r="H403" s="26">
        <f t="shared" si="30"/>
        <v>0</v>
      </c>
      <c r="I403" s="26">
        <f t="shared" si="33"/>
        <v>95180.970000000088</v>
      </c>
      <c r="J403" s="26">
        <f t="shared" si="34"/>
        <v>180000.00000000009</v>
      </c>
    </row>
    <row r="404" spans="2:10" ht="15" customHeight="1" x14ac:dyDescent="0.25">
      <c r="B404" s="27">
        <v>402</v>
      </c>
      <c r="C404" s="28">
        <f t="shared" si="31"/>
        <v>57862</v>
      </c>
      <c r="D404" s="29">
        <f t="shared" si="32"/>
        <v>0</v>
      </c>
      <c r="E404" s="29">
        <f>IF(D404&gt;0.01,ROUND(D404*Kreditrechner!$C$6/12,2),0)</f>
        <v>0</v>
      </c>
      <c r="F404" s="29">
        <f>IF(D404&gt;0.01,ROUND(MIN(Kreditrechner!$C$11-E404,D404),2),0)</f>
        <v>0</v>
      </c>
      <c r="G404" s="11"/>
      <c r="H404" s="29">
        <f t="shared" si="30"/>
        <v>0</v>
      </c>
      <c r="I404" s="29">
        <f t="shared" si="33"/>
        <v>95180.970000000088</v>
      </c>
      <c r="J404" s="29">
        <f t="shared" si="34"/>
        <v>180000.00000000009</v>
      </c>
    </row>
    <row r="405" spans="2:10" ht="15" customHeight="1" x14ac:dyDescent="0.25">
      <c r="B405" s="24">
        <v>403</v>
      </c>
      <c r="C405" s="25">
        <f t="shared" si="31"/>
        <v>57892</v>
      </c>
      <c r="D405" s="26">
        <f t="shared" si="32"/>
        <v>0</v>
      </c>
      <c r="E405" s="26">
        <f>IF(D405&gt;0.01,ROUND(D405*Kreditrechner!$C$6/12,2),0)</f>
        <v>0</v>
      </c>
      <c r="F405" s="26">
        <f>IF(D405&gt;0.01,ROUND(MIN(Kreditrechner!$C$11-E405,D405),2),0)</f>
        <v>0</v>
      </c>
      <c r="G405" s="11"/>
      <c r="H405" s="26">
        <f t="shared" si="30"/>
        <v>0</v>
      </c>
      <c r="I405" s="26">
        <f t="shared" si="33"/>
        <v>95180.970000000088</v>
      </c>
      <c r="J405" s="26">
        <f t="shared" si="34"/>
        <v>180000.00000000009</v>
      </c>
    </row>
    <row r="406" spans="2:10" ht="15" customHeight="1" x14ac:dyDescent="0.25">
      <c r="B406" s="27">
        <v>404</v>
      </c>
      <c r="C406" s="28">
        <f t="shared" si="31"/>
        <v>57923</v>
      </c>
      <c r="D406" s="29">
        <f t="shared" si="32"/>
        <v>0</v>
      </c>
      <c r="E406" s="29">
        <f>IF(D406&gt;0.01,ROUND(D406*Kreditrechner!$C$6/12,2),0)</f>
        <v>0</v>
      </c>
      <c r="F406" s="29">
        <f>IF(D406&gt;0.01,ROUND(MIN(Kreditrechner!$C$11-E406,D406),2),0)</f>
        <v>0</v>
      </c>
      <c r="G406" s="11"/>
      <c r="H406" s="29">
        <f t="shared" si="30"/>
        <v>0</v>
      </c>
      <c r="I406" s="29">
        <f t="shared" si="33"/>
        <v>95180.970000000088</v>
      </c>
      <c r="J406" s="29">
        <f t="shared" si="34"/>
        <v>180000.00000000009</v>
      </c>
    </row>
    <row r="407" spans="2:10" ht="15" customHeight="1" x14ac:dyDescent="0.25">
      <c r="B407" s="24">
        <v>405</v>
      </c>
      <c r="C407" s="25">
        <f t="shared" si="31"/>
        <v>57954</v>
      </c>
      <c r="D407" s="26">
        <f t="shared" si="32"/>
        <v>0</v>
      </c>
      <c r="E407" s="26">
        <f>IF(D407&gt;0.01,ROUND(D407*Kreditrechner!$C$6/12,2),0)</f>
        <v>0</v>
      </c>
      <c r="F407" s="26">
        <f>IF(D407&gt;0.01,ROUND(MIN(Kreditrechner!$C$11-E407,D407),2),0)</f>
        <v>0</v>
      </c>
      <c r="G407" s="11"/>
      <c r="H407" s="26">
        <f t="shared" si="30"/>
        <v>0</v>
      </c>
      <c r="I407" s="26">
        <f t="shared" si="33"/>
        <v>95180.970000000088</v>
      </c>
      <c r="J407" s="26">
        <f t="shared" si="34"/>
        <v>180000.00000000009</v>
      </c>
    </row>
    <row r="408" spans="2:10" ht="15" customHeight="1" x14ac:dyDescent="0.25">
      <c r="B408" s="27">
        <v>406</v>
      </c>
      <c r="C408" s="28">
        <f t="shared" si="31"/>
        <v>57984</v>
      </c>
      <c r="D408" s="29">
        <f t="shared" si="32"/>
        <v>0</v>
      </c>
      <c r="E408" s="29">
        <f>IF(D408&gt;0.01,ROUND(D408*Kreditrechner!$C$6/12,2),0)</f>
        <v>0</v>
      </c>
      <c r="F408" s="29">
        <f>IF(D408&gt;0.01,ROUND(MIN(Kreditrechner!$C$11-E408,D408),2),0)</f>
        <v>0</v>
      </c>
      <c r="G408" s="11"/>
      <c r="H408" s="29">
        <f t="shared" si="30"/>
        <v>0</v>
      </c>
      <c r="I408" s="29">
        <f t="shared" si="33"/>
        <v>95180.970000000088</v>
      </c>
      <c r="J408" s="29">
        <f t="shared" si="34"/>
        <v>180000.00000000009</v>
      </c>
    </row>
    <row r="409" spans="2:10" ht="15" customHeight="1" x14ac:dyDescent="0.25">
      <c r="B409" s="24">
        <v>407</v>
      </c>
      <c r="C409" s="25">
        <f t="shared" si="31"/>
        <v>58015</v>
      </c>
      <c r="D409" s="26">
        <f t="shared" si="32"/>
        <v>0</v>
      </c>
      <c r="E409" s="26">
        <f>IF(D409&gt;0.01,ROUND(D409*Kreditrechner!$C$6/12,2),0)</f>
        <v>0</v>
      </c>
      <c r="F409" s="26">
        <f>IF(D409&gt;0.01,ROUND(MIN(Kreditrechner!$C$11-E409,D409),2),0)</f>
        <v>0</v>
      </c>
      <c r="G409" s="11"/>
      <c r="H409" s="26">
        <f t="shared" si="30"/>
        <v>0</v>
      </c>
      <c r="I409" s="26">
        <f t="shared" si="33"/>
        <v>95180.970000000088</v>
      </c>
      <c r="J409" s="26">
        <f t="shared" si="34"/>
        <v>180000.00000000009</v>
      </c>
    </row>
    <row r="410" spans="2:10" ht="15" customHeight="1" x14ac:dyDescent="0.25">
      <c r="B410" s="27">
        <v>408</v>
      </c>
      <c r="C410" s="28">
        <f t="shared" si="31"/>
        <v>58045</v>
      </c>
      <c r="D410" s="29">
        <f t="shared" si="32"/>
        <v>0</v>
      </c>
      <c r="E410" s="29">
        <f>IF(D410&gt;0.01,ROUND(D410*Kreditrechner!$C$6/12,2),0)</f>
        <v>0</v>
      </c>
      <c r="F410" s="29">
        <f>IF(D410&gt;0.01,ROUND(MIN(Kreditrechner!$C$11-E410,D410),2),0)</f>
        <v>0</v>
      </c>
      <c r="G410" s="11"/>
      <c r="H410" s="29">
        <f t="shared" si="30"/>
        <v>0</v>
      </c>
      <c r="I410" s="29">
        <f t="shared" si="33"/>
        <v>95180.970000000088</v>
      </c>
      <c r="J410" s="29">
        <f t="shared" si="34"/>
        <v>180000.00000000009</v>
      </c>
    </row>
    <row r="411" spans="2:10" ht="15" customHeight="1" x14ac:dyDescent="0.25">
      <c r="B411" s="24">
        <v>409</v>
      </c>
      <c r="C411" s="25">
        <f t="shared" si="31"/>
        <v>58076</v>
      </c>
      <c r="D411" s="26">
        <f t="shared" si="32"/>
        <v>0</v>
      </c>
      <c r="E411" s="26">
        <f>IF(D411&gt;0.01,ROUND(D411*Kreditrechner!$C$6/12,2),0)</f>
        <v>0</v>
      </c>
      <c r="F411" s="26">
        <f>IF(D411&gt;0.01,ROUND(MIN(Kreditrechner!$C$11-E411,D411),2),0)</f>
        <v>0</v>
      </c>
      <c r="G411" s="11"/>
      <c r="H411" s="26">
        <f t="shared" si="30"/>
        <v>0</v>
      </c>
      <c r="I411" s="26">
        <f t="shared" si="33"/>
        <v>95180.970000000088</v>
      </c>
      <c r="J411" s="26">
        <f t="shared" si="34"/>
        <v>180000.00000000009</v>
      </c>
    </row>
    <row r="412" spans="2:10" ht="15" customHeight="1" x14ac:dyDescent="0.25">
      <c r="B412" s="27">
        <v>410</v>
      </c>
      <c r="C412" s="28">
        <f t="shared" si="31"/>
        <v>58107</v>
      </c>
      <c r="D412" s="29">
        <f t="shared" si="32"/>
        <v>0</v>
      </c>
      <c r="E412" s="29">
        <f>IF(D412&gt;0.01,ROUND(D412*Kreditrechner!$C$6/12,2),0)</f>
        <v>0</v>
      </c>
      <c r="F412" s="29">
        <f>IF(D412&gt;0.01,ROUND(MIN(Kreditrechner!$C$11-E412,D412),2),0)</f>
        <v>0</v>
      </c>
      <c r="G412" s="11"/>
      <c r="H412" s="29">
        <f t="shared" si="30"/>
        <v>0</v>
      </c>
      <c r="I412" s="29">
        <f t="shared" si="33"/>
        <v>95180.970000000088</v>
      </c>
      <c r="J412" s="29">
        <f t="shared" si="34"/>
        <v>180000.00000000009</v>
      </c>
    </row>
    <row r="413" spans="2:10" ht="15" customHeight="1" x14ac:dyDescent="0.25">
      <c r="B413" s="24">
        <v>411</v>
      </c>
      <c r="C413" s="25">
        <f t="shared" si="31"/>
        <v>58135</v>
      </c>
      <c r="D413" s="26">
        <f t="shared" si="32"/>
        <v>0</v>
      </c>
      <c r="E413" s="26">
        <f>IF(D413&gt;0.01,ROUND(D413*Kreditrechner!$C$6/12,2),0)</f>
        <v>0</v>
      </c>
      <c r="F413" s="26">
        <f>IF(D413&gt;0.01,ROUND(MIN(Kreditrechner!$C$11-E413,D413),2),0)</f>
        <v>0</v>
      </c>
      <c r="G413" s="11"/>
      <c r="H413" s="26">
        <f t="shared" si="30"/>
        <v>0</v>
      </c>
      <c r="I413" s="26">
        <f t="shared" si="33"/>
        <v>95180.970000000088</v>
      </c>
      <c r="J413" s="26">
        <f t="shared" si="34"/>
        <v>180000.00000000009</v>
      </c>
    </row>
    <row r="414" spans="2:10" ht="15" customHeight="1" x14ac:dyDescent="0.25">
      <c r="B414" s="27">
        <v>412</v>
      </c>
      <c r="C414" s="28">
        <f t="shared" si="31"/>
        <v>58166</v>
      </c>
      <c r="D414" s="29">
        <f t="shared" si="32"/>
        <v>0</v>
      </c>
      <c r="E414" s="29">
        <f>IF(D414&gt;0.01,ROUND(D414*Kreditrechner!$C$6/12,2),0)</f>
        <v>0</v>
      </c>
      <c r="F414" s="29">
        <f>IF(D414&gt;0.01,ROUND(MIN(Kreditrechner!$C$11-E414,D414),2),0)</f>
        <v>0</v>
      </c>
      <c r="G414" s="11"/>
      <c r="H414" s="29">
        <f t="shared" si="30"/>
        <v>0</v>
      </c>
      <c r="I414" s="29">
        <f t="shared" si="33"/>
        <v>95180.970000000088</v>
      </c>
      <c r="J414" s="29">
        <f t="shared" si="34"/>
        <v>180000.00000000009</v>
      </c>
    </row>
    <row r="415" spans="2:10" ht="15" customHeight="1" x14ac:dyDescent="0.25">
      <c r="B415" s="24">
        <v>413</v>
      </c>
      <c r="C415" s="25">
        <f t="shared" si="31"/>
        <v>58196</v>
      </c>
      <c r="D415" s="26">
        <f t="shared" si="32"/>
        <v>0</v>
      </c>
      <c r="E415" s="26">
        <f>IF(D415&gt;0.01,ROUND(D415*Kreditrechner!$C$6/12,2),0)</f>
        <v>0</v>
      </c>
      <c r="F415" s="26">
        <f>IF(D415&gt;0.01,ROUND(MIN(Kreditrechner!$C$11-E415,D415),2),0)</f>
        <v>0</v>
      </c>
      <c r="G415" s="11"/>
      <c r="H415" s="26">
        <f t="shared" si="30"/>
        <v>0</v>
      </c>
      <c r="I415" s="26">
        <f t="shared" si="33"/>
        <v>95180.970000000088</v>
      </c>
      <c r="J415" s="26">
        <f t="shared" si="34"/>
        <v>180000.00000000009</v>
      </c>
    </row>
    <row r="416" spans="2:10" ht="15" customHeight="1" x14ac:dyDescent="0.25">
      <c r="B416" s="27">
        <v>414</v>
      </c>
      <c r="C416" s="28">
        <f t="shared" si="31"/>
        <v>58227</v>
      </c>
      <c r="D416" s="29">
        <f t="shared" si="32"/>
        <v>0</v>
      </c>
      <c r="E416" s="29">
        <f>IF(D416&gt;0.01,ROUND(D416*Kreditrechner!$C$6/12,2),0)</f>
        <v>0</v>
      </c>
      <c r="F416" s="29">
        <f>IF(D416&gt;0.01,ROUND(MIN(Kreditrechner!$C$11-E416,D416),2),0)</f>
        <v>0</v>
      </c>
      <c r="G416" s="11"/>
      <c r="H416" s="29">
        <f t="shared" si="30"/>
        <v>0</v>
      </c>
      <c r="I416" s="29">
        <f t="shared" si="33"/>
        <v>95180.970000000088</v>
      </c>
      <c r="J416" s="29">
        <f t="shared" si="34"/>
        <v>180000.00000000009</v>
      </c>
    </row>
    <row r="417" spans="2:10" ht="15" customHeight="1" x14ac:dyDescent="0.25">
      <c r="B417" s="24">
        <v>415</v>
      </c>
      <c r="C417" s="25">
        <f t="shared" si="31"/>
        <v>58257</v>
      </c>
      <c r="D417" s="26">
        <f t="shared" si="32"/>
        <v>0</v>
      </c>
      <c r="E417" s="26">
        <f>IF(D417&gt;0.01,ROUND(D417*Kreditrechner!$C$6/12,2),0)</f>
        <v>0</v>
      </c>
      <c r="F417" s="26">
        <f>IF(D417&gt;0.01,ROUND(MIN(Kreditrechner!$C$11-E417,D417),2),0)</f>
        <v>0</v>
      </c>
      <c r="G417" s="11"/>
      <c r="H417" s="26">
        <f t="shared" si="30"/>
        <v>0</v>
      </c>
      <c r="I417" s="26">
        <f t="shared" si="33"/>
        <v>95180.970000000088</v>
      </c>
      <c r="J417" s="26">
        <f t="shared" si="34"/>
        <v>180000.00000000009</v>
      </c>
    </row>
    <row r="418" spans="2:10" ht="15" customHeight="1" x14ac:dyDescent="0.25">
      <c r="B418" s="27">
        <v>416</v>
      </c>
      <c r="C418" s="28">
        <f t="shared" si="31"/>
        <v>58288</v>
      </c>
      <c r="D418" s="29">
        <f t="shared" si="32"/>
        <v>0</v>
      </c>
      <c r="E418" s="29">
        <f>IF(D418&gt;0.01,ROUND(D418*Kreditrechner!$C$6/12,2),0)</f>
        <v>0</v>
      </c>
      <c r="F418" s="29">
        <f>IF(D418&gt;0.01,ROUND(MIN(Kreditrechner!$C$11-E418,D418),2),0)</f>
        <v>0</v>
      </c>
      <c r="G418" s="11"/>
      <c r="H418" s="29">
        <f t="shared" si="30"/>
        <v>0</v>
      </c>
      <c r="I418" s="29">
        <f t="shared" si="33"/>
        <v>95180.970000000088</v>
      </c>
      <c r="J418" s="29">
        <f t="shared" si="34"/>
        <v>180000.00000000009</v>
      </c>
    </row>
    <row r="419" spans="2:10" ht="15" customHeight="1" x14ac:dyDescent="0.25">
      <c r="B419" s="24">
        <v>417</v>
      </c>
      <c r="C419" s="25">
        <f t="shared" si="31"/>
        <v>58319</v>
      </c>
      <c r="D419" s="26">
        <f t="shared" si="32"/>
        <v>0</v>
      </c>
      <c r="E419" s="26">
        <f>IF(D419&gt;0.01,ROUND(D419*Kreditrechner!$C$6/12,2),0)</f>
        <v>0</v>
      </c>
      <c r="F419" s="26">
        <f>IF(D419&gt;0.01,ROUND(MIN(Kreditrechner!$C$11-E419,D419),2),0)</f>
        <v>0</v>
      </c>
      <c r="G419" s="11"/>
      <c r="H419" s="26">
        <f t="shared" si="30"/>
        <v>0</v>
      </c>
      <c r="I419" s="26">
        <f t="shared" si="33"/>
        <v>95180.970000000088</v>
      </c>
      <c r="J419" s="26">
        <f t="shared" si="34"/>
        <v>180000.00000000009</v>
      </c>
    </row>
    <row r="420" spans="2:10" ht="15" customHeight="1" x14ac:dyDescent="0.25">
      <c r="B420" s="27">
        <v>418</v>
      </c>
      <c r="C420" s="28">
        <f t="shared" si="31"/>
        <v>58349</v>
      </c>
      <c r="D420" s="29">
        <f t="shared" si="32"/>
        <v>0</v>
      </c>
      <c r="E420" s="29">
        <f>IF(D420&gt;0.01,ROUND(D420*Kreditrechner!$C$6/12,2),0)</f>
        <v>0</v>
      </c>
      <c r="F420" s="29">
        <f>IF(D420&gt;0.01,ROUND(MIN(Kreditrechner!$C$11-E420,D420),2),0)</f>
        <v>0</v>
      </c>
      <c r="G420" s="11"/>
      <c r="H420" s="29">
        <f t="shared" si="30"/>
        <v>0</v>
      </c>
      <c r="I420" s="29">
        <f t="shared" si="33"/>
        <v>95180.970000000088</v>
      </c>
      <c r="J420" s="29">
        <f t="shared" si="34"/>
        <v>180000.00000000009</v>
      </c>
    </row>
    <row r="421" spans="2:10" ht="15" customHeight="1" x14ac:dyDescent="0.25">
      <c r="B421" s="24">
        <v>419</v>
      </c>
      <c r="C421" s="25">
        <f t="shared" si="31"/>
        <v>58380</v>
      </c>
      <c r="D421" s="26">
        <f t="shared" si="32"/>
        <v>0</v>
      </c>
      <c r="E421" s="26">
        <f>IF(D421&gt;0.01,ROUND(D421*Kreditrechner!$C$6/12,2),0)</f>
        <v>0</v>
      </c>
      <c r="F421" s="26">
        <f>IF(D421&gt;0.01,ROUND(MIN(Kreditrechner!$C$11-E421,D421),2),0)</f>
        <v>0</v>
      </c>
      <c r="G421" s="11"/>
      <c r="H421" s="26">
        <f t="shared" si="30"/>
        <v>0</v>
      </c>
      <c r="I421" s="26">
        <f t="shared" si="33"/>
        <v>95180.970000000088</v>
      </c>
      <c r="J421" s="26">
        <f t="shared" si="34"/>
        <v>180000.00000000009</v>
      </c>
    </row>
    <row r="422" spans="2:10" ht="15" customHeight="1" x14ac:dyDescent="0.25">
      <c r="B422" s="27">
        <v>420</v>
      </c>
      <c r="C422" s="28">
        <f t="shared" si="31"/>
        <v>58410</v>
      </c>
      <c r="D422" s="29">
        <f t="shared" si="32"/>
        <v>0</v>
      </c>
      <c r="E422" s="29">
        <f>IF(D422&gt;0.01,ROUND(D422*Kreditrechner!$C$6/12,2),0)</f>
        <v>0</v>
      </c>
      <c r="F422" s="29">
        <f>IF(D422&gt;0.01,ROUND(MIN(Kreditrechner!$C$11-E422,D422),2),0)</f>
        <v>0</v>
      </c>
      <c r="G422" s="11"/>
      <c r="H422" s="29">
        <f t="shared" si="30"/>
        <v>0</v>
      </c>
      <c r="I422" s="29">
        <f t="shared" si="33"/>
        <v>95180.970000000088</v>
      </c>
      <c r="J422" s="29">
        <f t="shared" si="34"/>
        <v>180000.00000000009</v>
      </c>
    </row>
    <row r="423" spans="2:10" ht="15" customHeight="1" x14ac:dyDescent="0.25">
      <c r="B423" s="24">
        <v>421</v>
      </c>
      <c r="C423" s="25">
        <f t="shared" si="31"/>
        <v>58441</v>
      </c>
      <c r="D423" s="26">
        <f t="shared" si="32"/>
        <v>0</v>
      </c>
      <c r="E423" s="26">
        <f>IF(D423&gt;0.01,ROUND(D423*Kreditrechner!$C$6/12,2),0)</f>
        <v>0</v>
      </c>
      <c r="F423" s="26">
        <f>IF(D423&gt;0.01,ROUND(MIN(Kreditrechner!$C$11-E423,D423),2),0)</f>
        <v>0</v>
      </c>
      <c r="G423" s="11"/>
      <c r="H423" s="26">
        <f t="shared" si="30"/>
        <v>0</v>
      </c>
      <c r="I423" s="26">
        <f t="shared" si="33"/>
        <v>95180.970000000088</v>
      </c>
      <c r="J423" s="26">
        <f t="shared" si="34"/>
        <v>180000.00000000009</v>
      </c>
    </row>
    <row r="424" spans="2:10" ht="15" customHeight="1" x14ac:dyDescent="0.25">
      <c r="B424" s="27">
        <v>422</v>
      </c>
      <c r="C424" s="28">
        <f t="shared" si="31"/>
        <v>58472</v>
      </c>
      <c r="D424" s="29">
        <f t="shared" si="32"/>
        <v>0</v>
      </c>
      <c r="E424" s="29">
        <f>IF(D424&gt;0.01,ROUND(D424*Kreditrechner!$C$6/12,2),0)</f>
        <v>0</v>
      </c>
      <c r="F424" s="29">
        <f>IF(D424&gt;0.01,ROUND(MIN(Kreditrechner!$C$11-E424,D424),2),0)</f>
        <v>0</v>
      </c>
      <c r="G424" s="11"/>
      <c r="H424" s="29">
        <f t="shared" si="30"/>
        <v>0</v>
      </c>
      <c r="I424" s="29">
        <f t="shared" si="33"/>
        <v>95180.970000000088</v>
      </c>
      <c r="J424" s="29">
        <f t="shared" si="34"/>
        <v>180000.00000000009</v>
      </c>
    </row>
    <row r="425" spans="2:10" ht="15" customHeight="1" x14ac:dyDescent="0.25">
      <c r="B425" s="24">
        <v>423</v>
      </c>
      <c r="C425" s="25">
        <f t="shared" si="31"/>
        <v>58501</v>
      </c>
      <c r="D425" s="26">
        <f t="shared" si="32"/>
        <v>0</v>
      </c>
      <c r="E425" s="26">
        <f>IF(D425&gt;0.01,ROUND(D425*Kreditrechner!$C$6/12,2),0)</f>
        <v>0</v>
      </c>
      <c r="F425" s="26">
        <f>IF(D425&gt;0.01,ROUND(MIN(Kreditrechner!$C$11-E425,D425),2),0)</f>
        <v>0</v>
      </c>
      <c r="G425" s="11"/>
      <c r="H425" s="26">
        <f t="shared" si="30"/>
        <v>0</v>
      </c>
      <c r="I425" s="26">
        <f t="shared" si="33"/>
        <v>95180.970000000088</v>
      </c>
      <c r="J425" s="26">
        <f t="shared" si="34"/>
        <v>180000.00000000009</v>
      </c>
    </row>
    <row r="426" spans="2:10" ht="15" customHeight="1" x14ac:dyDescent="0.25">
      <c r="B426" s="27">
        <v>424</v>
      </c>
      <c r="C426" s="28">
        <f t="shared" si="31"/>
        <v>58532</v>
      </c>
      <c r="D426" s="29">
        <f t="shared" si="32"/>
        <v>0</v>
      </c>
      <c r="E426" s="29">
        <f>IF(D426&gt;0.01,ROUND(D426*Kreditrechner!$C$6/12,2),0)</f>
        <v>0</v>
      </c>
      <c r="F426" s="29">
        <f>IF(D426&gt;0.01,ROUND(MIN(Kreditrechner!$C$11-E426,D426),2),0)</f>
        <v>0</v>
      </c>
      <c r="G426" s="11"/>
      <c r="H426" s="29">
        <f t="shared" si="30"/>
        <v>0</v>
      </c>
      <c r="I426" s="29">
        <f t="shared" si="33"/>
        <v>95180.970000000088</v>
      </c>
      <c r="J426" s="29">
        <f t="shared" si="34"/>
        <v>180000.00000000009</v>
      </c>
    </row>
    <row r="427" spans="2:10" ht="15" customHeight="1" x14ac:dyDescent="0.25">
      <c r="B427" s="24">
        <v>425</v>
      </c>
      <c r="C427" s="25">
        <f t="shared" si="31"/>
        <v>58562</v>
      </c>
      <c r="D427" s="26">
        <f t="shared" si="32"/>
        <v>0</v>
      </c>
      <c r="E427" s="26">
        <f>IF(D427&gt;0.01,ROUND(D427*Kreditrechner!$C$6/12,2),0)</f>
        <v>0</v>
      </c>
      <c r="F427" s="26">
        <f>IF(D427&gt;0.01,ROUND(MIN(Kreditrechner!$C$11-E427,D427),2),0)</f>
        <v>0</v>
      </c>
      <c r="G427" s="11"/>
      <c r="H427" s="26">
        <f t="shared" si="30"/>
        <v>0</v>
      </c>
      <c r="I427" s="26">
        <f t="shared" si="33"/>
        <v>95180.970000000088</v>
      </c>
      <c r="J427" s="26">
        <f t="shared" si="34"/>
        <v>180000.00000000009</v>
      </c>
    </row>
    <row r="428" spans="2:10" ht="15" customHeight="1" x14ac:dyDescent="0.25">
      <c r="B428" s="27">
        <v>426</v>
      </c>
      <c r="C428" s="28">
        <f t="shared" si="31"/>
        <v>58593</v>
      </c>
      <c r="D428" s="29">
        <f t="shared" si="32"/>
        <v>0</v>
      </c>
      <c r="E428" s="29">
        <f>IF(D428&gt;0.01,ROUND(D428*Kreditrechner!$C$6/12,2),0)</f>
        <v>0</v>
      </c>
      <c r="F428" s="29">
        <f>IF(D428&gt;0.01,ROUND(MIN(Kreditrechner!$C$11-E428,D428),2),0)</f>
        <v>0</v>
      </c>
      <c r="G428" s="11"/>
      <c r="H428" s="29">
        <f t="shared" si="30"/>
        <v>0</v>
      </c>
      <c r="I428" s="29">
        <f t="shared" si="33"/>
        <v>95180.970000000088</v>
      </c>
      <c r="J428" s="29">
        <f t="shared" si="34"/>
        <v>180000.00000000009</v>
      </c>
    </row>
    <row r="429" spans="2:10" ht="15" customHeight="1" x14ac:dyDescent="0.25">
      <c r="B429" s="24">
        <v>427</v>
      </c>
      <c r="C429" s="25">
        <f t="shared" si="31"/>
        <v>58623</v>
      </c>
      <c r="D429" s="26">
        <f t="shared" si="32"/>
        <v>0</v>
      </c>
      <c r="E429" s="26">
        <f>IF(D429&gt;0.01,ROUND(D429*Kreditrechner!$C$6/12,2),0)</f>
        <v>0</v>
      </c>
      <c r="F429" s="26">
        <f>IF(D429&gt;0.01,ROUND(MIN(Kreditrechner!$C$11-E429,D429),2),0)</f>
        <v>0</v>
      </c>
      <c r="G429" s="11"/>
      <c r="H429" s="26">
        <f t="shared" si="30"/>
        <v>0</v>
      </c>
      <c r="I429" s="26">
        <f t="shared" si="33"/>
        <v>95180.970000000088</v>
      </c>
      <c r="J429" s="26">
        <f t="shared" si="34"/>
        <v>180000.00000000009</v>
      </c>
    </row>
    <row r="430" spans="2:10" ht="15" customHeight="1" x14ac:dyDescent="0.25">
      <c r="B430" s="27">
        <v>428</v>
      </c>
      <c r="C430" s="28">
        <f t="shared" si="31"/>
        <v>58654</v>
      </c>
      <c r="D430" s="29">
        <f t="shared" si="32"/>
        <v>0</v>
      </c>
      <c r="E430" s="29">
        <f>IF(D430&gt;0.01,ROUND(D430*Kreditrechner!$C$6/12,2),0)</f>
        <v>0</v>
      </c>
      <c r="F430" s="29">
        <f>IF(D430&gt;0.01,ROUND(MIN(Kreditrechner!$C$11-E430,D430),2),0)</f>
        <v>0</v>
      </c>
      <c r="G430" s="11"/>
      <c r="H430" s="29">
        <f t="shared" si="30"/>
        <v>0</v>
      </c>
      <c r="I430" s="29">
        <f t="shared" si="33"/>
        <v>95180.970000000088</v>
      </c>
      <c r="J430" s="29">
        <f t="shared" si="34"/>
        <v>180000.00000000009</v>
      </c>
    </row>
    <row r="431" spans="2:10" ht="15" customHeight="1" x14ac:dyDescent="0.25">
      <c r="B431" s="24">
        <v>429</v>
      </c>
      <c r="C431" s="25">
        <f t="shared" si="31"/>
        <v>58685</v>
      </c>
      <c r="D431" s="26">
        <f t="shared" si="32"/>
        <v>0</v>
      </c>
      <c r="E431" s="26">
        <f>IF(D431&gt;0.01,ROUND(D431*Kreditrechner!$C$6/12,2),0)</f>
        <v>0</v>
      </c>
      <c r="F431" s="26">
        <f>IF(D431&gt;0.01,ROUND(MIN(Kreditrechner!$C$11-E431,D431),2),0)</f>
        <v>0</v>
      </c>
      <c r="G431" s="11"/>
      <c r="H431" s="26">
        <f t="shared" si="30"/>
        <v>0</v>
      </c>
      <c r="I431" s="26">
        <f t="shared" si="33"/>
        <v>95180.970000000088</v>
      </c>
      <c r="J431" s="26">
        <f t="shared" si="34"/>
        <v>180000.00000000009</v>
      </c>
    </row>
    <row r="432" spans="2:10" ht="15" customHeight="1" x14ac:dyDescent="0.25">
      <c r="B432" s="27">
        <v>430</v>
      </c>
      <c r="C432" s="28">
        <f t="shared" si="31"/>
        <v>58715</v>
      </c>
      <c r="D432" s="29">
        <f t="shared" si="32"/>
        <v>0</v>
      </c>
      <c r="E432" s="29">
        <f>IF(D432&gt;0.01,ROUND(D432*Kreditrechner!$C$6/12,2),0)</f>
        <v>0</v>
      </c>
      <c r="F432" s="29">
        <f>IF(D432&gt;0.01,ROUND(MIN(Kreditrechner!$C$11-E432,D432),2),0)</f>
        <v>0</v>
      </c>
      <c r="G432" s="11"/>
      <c r="H432" s="29">
        <f t="shared" si="30"/>
        <v>0</v>
      </c>
      <c r="I432" s="29">
        <f t="shared" si="33"/>
        <v>95180.970000000088</v>
      </c>
      <c r="J432" s="29">
        <f t="shared" si="34"/>
        <v>180000.00000000009</v>
      </c>
    </row>
    <row r="433" spans="2:10" ht="15" customHeight="1" x14ac:dyDescent="0.25">
      <c r="B433" s="24">
        <v>431</v>
      </c>
      <c r="C433" s="25">
        <f t="shared" si="31"/>
        <v>58746</v>
      </c>
      <c r="D433" s="26">
        <f t="shared" si="32"/>
        <v>0</v>
      </c>
      <c r="E433" s="26">
        <f>IF(D433&gt;0.01,ROUND(D433*Kreditrechner!$C$6/12,2),0)</f>
        <v>0</v>
      </c>
      <c r="F433" s="26">
        <f>IF(D433&gt;0.01,ROUND(MIN(Kreditrechner!$C$11-E433,D433),2),0)</f>
        <v>0</v>
      </c>
      <c r="G433" s="11"/>
      <c r="H433" s="26">
        <f t="shared" si="30"/>
        <v>0</v>
      </c>
      <c r="I433" s="26">
        <f t="shared" si="33"/>
        <v>95180.970000000088</v>
      </c>
      <c r="J433" s="26">
        <f t="shared" si="34"/>
        <v>180000.00000000009</v>
      </c>
    </row>
    <row r="434" spans="2:10" ht="15" customHeight="1" x14ac:dyDescent="0.25">
      <c r="B434" s="27">
        <v>432</v>
      </c>
      <c r="C434" s="28">
        <f t="shared" si="31"/>
        <v>58776</v>
      </c>
      <c r="D434" s="29">
        <f t="shared" si="32"/>
        <v>0</v>
      </c>
      <c r="E434" s="29">
        <f>IF(D434&gt;0.01,ROUND(D434*Kreditrechner!$C$6/12,2),0)</f>
        <v>0</v>
      </c>
      <c r="F434" s="29">
        <f>IF(D434&gt;0.01,ROUND(MIN(Kreditrechner!$C$11-E434,D434),2),0)</f>
        <v>0</v>
      </c>
      <c r="G434" s="11"/>
      <c r="H434" s="29">
        <f t="shared" si="30"/>
        <v>0</v>
      </c>
      <c r="I434" s="29">
        <f t="shared" si="33"/>
        <v>95180.970000000088</v>
      </c>
      <c r="J434" s="29">
        <f t="shared" si="34"/>
        <v>180000.00000000009</v>
      </c>
    </row>
    <row r="435" spans="2:10" ht="15" customHeight="1" x14ac:dyDescent="0.25">
      <c r="B435" s="24">
        <v>433</v>
      </c>
      <c r="C435" s="25">
        <f t="shared" si="31"/>
        <v>58807</v>
      </c>
      <c r="D435" s="26">
        <f t="shared" si="32"/>
        <v>0</v>
      </c>
      <c r="E435" s="26">
        <f>IF(D435&gt;0.01,ROUND(D435*Kreditrechner!$C$6/12,2),0)</f>
        <v>0</v>
      </c>
      <c r="F435" s="26">
        <f>IF(D435&gt;0.01,ROUND(MIN(Kreditrechner!$C$11-E435,D435),2),0)</f>
        <v>0</v>
      </c>
      <c r="G435" s="11"/>
      <c r="H435" s="26">
        <f t="shared" si="30"/>
        <v>0</v>
      </c>
      <c r="I435" s="26">
        <f t="shared" si="33"/>
        <v>95180.970000000088</v>
      </c>
      <c r="J435" s="26">
        <f t="shared" si="34"/>
        <v>180000.00000000009</v>
      </c>
    </row>
    <row r="436" spans="2:10" ht="15" customHeight="1" x14ac:dyDescent="0.25">
      <c r="B436" s="27">
        <v>434</v>
      </c>
      <c r="C436" s="28">
        <f t="shared" si="31"/>
        <v>58838</v>
      </c>
      <c r="D436" s="29">
        <f t="shared" si="32"/>
        <v>0</v>
      </c>
      <c r="E436" s="29">
        <f>IF(D436&gt;0.01,ROUND(D436*Kreditrechner!$C$6/12,2),0)</f>
        <v>0</v>
      </c>
      <c r="F436" s="29">
        <f>IF(D436&gt;0.01,ROUND(MIN(Kreditrechner!$C$11-E436,D436),2),0)</f>
        <v>0</v>
      </c>
      <c r="G436" s="11"/>
      <c r="H436" s="29">
        <f t="shared" si="30"/>
        <v>0</v>
      </c>
      <c r="I436" s="29">
        <f t="shared" si="33"/>
        <v>95180.970000000088</v>
      </c>
      <c r="J436" s="29">
        <f t="shared" si="34"/>
        <v>180000.00000000009</v>
      </c>
    </row>
    <row r="437" spans="2:10" ht="15" customHeight="1" x14ac:dyDescent="0.25">
      <c r="B437" s="24">
        <v>435</v>
      </c>
      <c r="C437" s="25">
        <f t="shared" si="31"/>
        <v>58866</v>
      </c>
      <c r="D437" s="26">
        <f t="shared" si="32"/>
        <v>0</v>
      </c>
      <c r="E437" s="26">
        <f>IF(D437&gt;0.01,ROUND(D437*Kreditrechner!$C$6/12,2),0)</f>
        <v>0</v>
      </c>
      <c r="F437" s="26">
        <f>IF(D437&gt;0.01,ROUND(MIN(Kreditrechner!$C$11-E437,D437),2),0)</f>
        <v>0</v>
      </c>
      <c r="G437" s="11"/>
      <c r="H437" s="26">
        <f t="shared" si="30"/>
        <v>0</v>
      </c>
      <c r="I437" s="26">
        <f t="shared" si="33"/>
        <v>95180.970000000088</v>
      </c>
      <c r="J437" s="26">
        <f t="shared" si="34"/>
        <v>180000.00000000009</v>
      </c>
    </row>
    <row r="438" spans="2:10" ht="15" customHeight="1" x14ac:dyDescent="0.25">
      <c r="B438" s="27">
        <v>436</v>
      </c>
      <c r="C438" s="28">
        <f t="shared" si="31"/>
        <v>58897</v>
      </c>
      <c r="D438" s="29">
        <f t="shared" si="32"/>
        <v>0</v>
      </c>
      <c r="E438" s="29">
        <f>IF(D438&gt;0.01,ROUND(D438*Kreditrechner!$C$6/12,2),0)</f>
        <v>0</v>
      </c>
      <c r="F438" s="29">
        <f>IF(D438&gt;0.01,ROUND(MIN(Kreditrechner!$C$11-E438,D438),2),0)</f>
        <v>0</v>
      </c>
      <c r="G438" s="11"/>
      <c r="H438" s="29">
        <f t="shared" si="30"/>
        <v>0</v>
      </c>
      <c r="I438" s="29">
        <f t="shared" si="33"/>
        <v>95180.970000000088</v>
      </c>
      <c r="J438" s="29">
        <f t="shared" si="34"/>
        <v>180000.00000000009</v>
      </c>
    </row>
    <row r="439" spans="2:10" ht="15" customHeight="1" x14ac:dyDescent="0.25">
      <c r="B439" s="24">
        <v>437</v>
      </c>
      <c r="C439" s="25">
        <f t="shared" si="31"/>
        <v>58927</v>
      </c>
      <c r="D439" s="26">
        <f t="shared" si="32"/>
        <v>0</v>
      </c>
      <c r="E439" s="26">
        <f>IF(D439&gt;0.01,ROUND(D439*Kreditrechner!$C$6/12,2),0)</f>
        <v>0</v>
      </c>
      <c r="F439" s="26">
        <f>IF(D439&gt;0.01,ROUND(MIN(Kreditrechner!$C$11-E439,D439),2),0)</f>
        <v>0</v>
      </c>
      <c r="G439" s="11"/>
      <c r="H439" s="26">
        <f t="shared" si="30"/>
        <v>0</v>
      </c>
      <c r="I439" s="26">
        <f t="shared" si="33"/>
        <v>95180.970000000088</v>
      </c>
      <c r="J439" s="26">
        <f t="shared" si="34"/>
        <v>180000.00000000009</v>
      </c>
    </row>
    <row r="440" spans="2:10" ht="15" customHeight="1" x14ac:dyDescent="0.25">
      <c r="B440" s="27">
        <v>438</v>
      </c>
      <c r="C440" s="28">
        <f t="shared" si="31"/>
        <v>58958</v>
      </c>
      <c r="D440" s="29">
        <f t="shared" si="32"/>
        <v>0</v>
      </c>
      <c r="E440" s="29">
        <f>IF(D440&gt;0.01,ROUND(D440*Kreditrechner!$C$6/12,2),0)</f>
        <v>0</v>
      </c>
      <c r="F440" s="29">
        <f>IF(D440&gt;0.01,ROUND(MIN(Kreditrechner!$C$11-E440,D440),2),0)</f>
        <v>0</v>
      </c>
      <c r="G440" s="11"/>
      <c r="H440" s="29">
        <f t="shared" si="30"/>
        <v>0</v>
      </c>
      <c r="I440" s="29">
        <f t="shared" si="33"/>
        <v>95180.970000000088</v>
      </c>
      <c r="J440" s="29">
        <f t="shared" si="34"/>
        <v>180000.00000000009</v>
      </c>
    </row>
    <row r="441" spans="2:10" ht="15" customHeight="1" x14ac:dyDescent="0.25">
      <c r="B441" s="24">
        <v>439</v>
      </c>
      <c r="C441" s="25">
        <f t="shared" si="31"/>
        <v>58988</v>
      </c>
      <c r="D441" s="26">
        <f t="shared" si="32"/>
        <v>0</v>
      </c>
      <c r="E441" s="26">
        <f>IF(D441&gt;0.01,ROUND(D441*Kreditrechner!$C$6/12,2),0)</f>
        <v>0</v>
      </c>
      <c r="F441" s="26">
        <f>IF(D441&gt;0.01,ROUND(MIN(Kreditrechner!$C$11-E441,D441),2),0)</f>
        <v>0</v>
      </c>
      <c r="G441" s="11"/>
      <c r="H441" s="26">
        <f t="shared" si="30"/>
        <v>0</v>
      </c>
      <c r="I441" s="26">
        <f t="shared" si="33"/>
        <v>95180.970000000088</v>
      </c>
      <c r="J441" s="26">
        <f t="shared" si="34"/>
        <v>180000.00000000009</v>
      </c>
    </row>
    <row r="442" spans="2:10" ht="15" customHeight="1" x14ac:dyDescent="0.25">
      <c r="B442" s="27">
        <v>440</v>
      </c>
      <c r="C442" s="28">
        <f t="shared" si="31"/>
        <v>59019</v>
      </c>
      <c r="D442" s="29">
        <f t="shared" si="32"/>
        <v>0</v>
      </c>
      <c r="E442" s="29">
        <f>IF(D442&gt;0.01,ROUND(D442*Kreditrechner!$C$6/12,2),0)</f>
        <v>0</v>
      </c>
      <c r="F442" s="29">
        <f>IF(D442&gt;0.01,ROUND(MIN(Kreditrechner!$C$11-E442,D442),2),0)</f>
        <v>0</v>
      </c>
      <c r="G442" s="11"/>
      <c r="H442" s="29">
        <f t="shared" si="30"/>
        <v>0</v>
      </c>
      <c r="I442" s="29">
        <f t="shared" si="33"/>
        <v>95180.970000000088</v>
      </c>
      <c r="J442" s="29">
        <f t="shared" si="34"/>
        <v>180000.00000000009</v>
      </c>
    </row>
    <row r="443" spans="2:10" ht="15" customHeight="1" x14ac:dyDescent="0.25">
      <c r="B443" s="24">
        <v>441</v>
      </c>
      <c r="C443" s="25">
        <f t="shared" si="31"/>
        <v>59050</v>
      </c>
      <c r="D443" s="26">
        <f t="shared" si="32"/>
        <v>0</v>
      </c>
      <c r="E443" s="26">
        <f>IF(D443&gt;0.01,ROUND(D443*Kreditrechner!$C$6/12,2),0)</f>
        <v>0</v>
      </c>
      <c r="F443" s="26">
        <f>IF(D443&gt;0.01,ROUND(MIN(Kreditrechner!$C$11-E443,D443),2),0)</f>
        <v>0</v>
      </c>
      <c r="G443" s="11"/>
      <c r="H443" s="26">
        <f t="shared" si="30"/>
        <v>0</v>
      </c>
      <c r="I443" s="26">
        <f t="shared" si="33"/>
        <v>95180.970000000088</v>
      </c>
      <c r="J443" s="26">
        <f t="shared" si="34"/>
        <v>180000.00000000009</v>
      </c>
    </row>
    <row r="444" spans="2:10" ht="15" customHeight="1" x14ac:dyDescent="0.25">
      <c r="B444" s="27">
        <v>442</v>
      </c>
      <c r="C444" s="28">
        <f t="shared" si="31"/>
        <v>59080</v>
      </c>
      <c r="D444" s="29">
        <f t="shared" si="32"/>
        <v>0</v>
      </c>
      <c r="E444" s="29">
        <f>IF(D444&gt;0.01,ROUND(D444*Kreditrechner!$C$6/12,2),0)</f>
        <v>0</v>
      </c>
      <c r="F444" s="29">
        <f>IF(D444&gt;0.01,ROUND(MIN(Kreditrechner!$C$11-E444,D444),2),0)</f>
        <v>0</v>
      </c>
      <c r="G444" s="11"/>
      <c r="H444" s="29">
        <f t="shared" si="30"/>
        <v>0</v>
      </c>
      <c r="I444" s="29">
        <f t="shared" si="33"/>
        <v>95180.970000000088</v>
      </c>
      <c r="J444" s="29">
        <f t="shared" si="34"/>
        <v>180000.00000000009</v>
      </c>
    </row>
    <row r="445" spans="2:10" ht="15" customHeight="1" x14ac:dyDescent="0.25">
      <c r="B445" s="24">
        <v>443</v>
      </c>
      <c r="C445" s="25">
        <f t="shared" si="31"/>
        <v>59111</v>
      </c>
      <c r="D445" s="26">
        <f t="shared" si="32"/>
        <v>0</v>
      </c>
      <c r="E445" s="26">
        <f>IF(D445&gt;0.01,ROUND(D445*Kreditrechner!$C$6/12,2),0)</f>
        <v>0</v>
      </c>
      <c r="F445" s="26">
        <f>IF(D445&gt;0.01,ROUND(MIN(Kreditrechner!$C$11-E445,D445),2),0)</f>
        <v>0</v>
      </c>
      <c r="G445" s="11"/>
      <c r="H445" s="26">
        <f t="shared" si="30"/>
        <v>0</v>
      </c>
      <c r="I445" s="26">
        <f t="shared" si="33"/>
        <v>95180.970000000088</v>
      </c>
      <c r="J445" s="26">
        <f t="shared" si="34"/>
        <v>180000.00000000009</v>
      </c>
    </row>
    <row r="446" spans="2:10" ht="15" customHeight="1" x14ac:dyDescent="0.25">
      <c r="B446" s="27">
        <v>444</v>
      </c>
      <c r="C446" s="28">
        <f t="shared" si="31"/>
        <v>59141</v>
      </c>
      <c r="D446" s="29">
        <f t="shared" si="32"/>
        <v>0</v>
      </c>
      <c r="E446" s="29">
        <f>IF(D446&gt;0.01,ROUND(D446*Kreditrechner!$C$6/12,2),0)</f>
        <v>0</v>
      </c>
      <c r="F446" s="29">
        <f>IF(D446&gt;0.01,ROUND(MIN(Kreditrechner!$C$11-E446,D446),2),0)</f>
        <v>0</v>
      </c>
      <c r="G446" s="11"/>
      <c r="H446" s="29">
        <f t="shared" si="30"/>
        <v>0</v>
      </c>
      <c r="I446" s="29">
        <f t="shared" si="33"/>
        <v>95180.970000000088</v>
      </c>
      <c r="J446" s="29">
        <f t="shared" si="34"/>
        <v>180000.00000000009</v>
      </c>
    </row>
    <row r="447" spans="2:10" ht="15" customHeight="1" x14ac:dyDescent="0.25">
      <c r="B447" s="24">
        <v>445</v>
      </c>
      <c r="C447" s="25">
        <f t="shared" si="31"/>
        <v>59172</v>
      </c>
      <c r="D447" s="26">
        <f t="shared" si="32"/>
        <v>0</v>
      </c>
      <c r="E447" s="26">
        <f>IF(D447&gt;0.01,ROUND(D447*Kreditrechner!$C$6/12,2),0)</f>
        <v>0</v>
      </c>
      <c r="F447" s="26">
        <f>IF(D447&gt;0.01,ROUND(MIN(Kreditrechner!$C$11-E447,D447),2),0)</f>
        <v>0</v>
      </c>
      <c r="G447" s="11"/>
      <c r="H447" s="26">
        <f t="shared" si="30"/>
        <v>0</v>
      </c>
      <c r="I447" s="26">
        <f t="shared" si="33"/>
        <v>95180.970000000088</v>
      </c>
      <c r="J447" s="26">
        <f t="shared" si="34"/>
        <v>180000.00000000009</v>
      </c>
    </row>
    <row r="448" spans="2:10" ht="15" customHeight="1" x14ac:dyDescent="0.25">
      <c r="B448" s="27">
        <v>446</v>
      </c>
      <c r="C448" s="28">
        <f t="shared" si="31"/>
        <v>59203</v>
      </c>
      <c r="D448" s="29">
        <f t="shared" si="32"/>
        <v>0</v>
      </c>
      <c r="E448" s="29">
        <f>IF(D448&gt;0.01,ROUND(D448*Kreditrechner!$C$6/12,2),0)</f>
        <v>0</v>
      </c>
      <c r="F448" s="29">
        <f>IF(D448&gt;0.01,ROUND(MIN(Kreditrechner!$C$11-E448,D448),2),0)</f>
        <v>0</v>
      </c>
      <c r="G448" s="11"/>
      <c r="H448" s="29">
        <f t="shared" si="30"/>
        <v>0</v>
      </c>
      <c r="I448" s="29">
        <f t="shared" si="33"/>
        <v>95180.970000000088</v>
      </c>
      <c r="J448" s="29">
        <f t="shared" si="34"/>
        <v>180000.00000000009</v>
      </c>
    </row>
    <row r="449" spans="2:10" ht="15" customHeight="1" x14ac:dyDescent="0.25">
      <c r="B449" s="24">
        <v>447</v>
      </c>
      <c r="C449" s="25">
        <f t="shared" si="31"/>
        <v>59231</v>
      </c>
      <c r="D449" s="26">
        <f t="shared" si="32"/>
        <v>0</v>
      </c>
      <c r="E449" s="26">
        <f>IF(D449&gt;0.01,ROUND(D449*Kreditrechner!$C$6/12,2),0)</f>
        <v>0</v>
      </c>
      <c r="F449" s="26">
        <f>IF(D449&gt;0.01,ROUND(MIN(Kreditrechner!$C$11-E449,D449),2),0)</f>
        <v>0</v>
      </c>
      <c r="G449" s="11"/>
      <c r="H449" s="26">
        <f t="shared" si="30"/>
        <v>0</v>
      </c>
      <c r="I449" s="26">
        <f t="shared" si="33"/>
        <v>95180.970000000088</v>
      </c>
      <c r="J449" s="26">
        <f t="shared" si="34"/>
        <v>180000.00000000009</v>
      </c>
    </row>
    <row r="450" spans="2:10" ht="15" customHeight="1" x14ac:dyDescent="0.25">
      <c r="B450" s="27">
        <v>448</v>
      </c>
      <c r="C450" s="28">
        <f t="shared" si="31"/>
        <v>59262</v>
      </c>
      <c r="D450" s="29">
        <f t="shared" si="32"/>
        <v>0</v>
      </c>
      <c r="E450" s="29">
        <f>IF(D450&gt;0.01,ROUND(D450*Kreditrechner!$C$6/12,2),0)</f>
        <v>0</v>
      </c>
      <c r="F450" s="29">
        <f>IF(D450&gt;0.01,ROUND(MIN(Kreditrechner!$C$11-E450,D450),2),0)</f>
        <v>0</v>
      </c>
      <c r="G450" s="11"/>
      <c r="H450" s="29">
        <f t="shared" si="30"/>
        <v>0</v>
      </c>
      <c r="I450" s="29">
        <f t="shared" si="33"/>
        <v>95180.970000000088</v>
      </c>
      <c r="J450" s="29">
        <f t="shared" si="34"/>
        <v>180000.00000000009</v>
      </c>
    </row>
    <row r="451" spans="2:10" ht="15" customHeight="1" x14ac:dyDescent="0.25">
      <c r="B451" s="24">
        <v>449</v>
      </c>
      <c r="C451" s="25">
        <f t="shared" si="31"/>
        <v>59292</v>
      </c>
      <c r="D451" s="26">
        <f t="shared" si="32"/>
        <v>0</v>
      </c>
      <c r="E451" s="26">
        <f>IF(D451&gt;0.01,ROUND(D451*Kreditrechner!$C$6/12,2),0)</f>
        <v>0</v>
      </c>
      <c r="F451" s="26">
        <f>IF(D451&gt;0.01,ROUND(MIN(Kreditrechner!$C$11-E451,D451),2),0)</f>
        <v>0</v>
      </c>
      <c r="G451" s="11"/>
      <c r="H451" s="26">
        <f t="shared" ref="H451:H514" si="35">IF(D451&gt;0.01,ROUND(MAX(D451-F451-IF(ISNUMBER(G451),G451,0),0),2),0)</f>
        <v>0</v>
      </c>
      <c r="I451" s="26">
        <f t="shared" si="33"/>
        <v>95180.970000000088</v>
      </c>
      <c r="J451" s="26">
        <f t="shared" si="34"/>
        <v>180000.00000000009</v>
      </c>
    </row>
    <row r="452" spans="2:10" ht="15" customHeight="1" x14ac:dyDescent="0.25">
      <c r="B452" s="27">
        <v>450</v>
      </c>
      <c r="C452" s="28">
        <f t="shared" ref="C452:C482" si="36">EDATE(C451,1)</f>
        <v>59323</v>
      </c>
      <c r="D452" s="29">
        <f t="shared" ref="D452:D482" si="37">IF(H451&gt;0.01,H451,0)</f>
        <v>0</v>
      </c>
      <c r="E452" s="29">
        <f>IF(D452&gt;0.01,ROUND(D452*Kreditrechner!$C$6/12,2),0)</f>
        <v>0</v>
      </c>
      <c r="F452" s="29">
        <f>IF(D452&gt;0.01,ROUND(MIN(Kreditrechner!$C$11-E452,D452),2),0)</f>
        <v>0</v>
      </c>
      <c r="G452" s="11"/>
      <c r="H452" s="29">
        <f t="shared" si="35"/>
        <v>0</v>
      </c>
      <c r="I452" s="29">
        <f t="shared" ref="I452:I482" si="38">IF(D452&gt;0.01,I451+E452,I451)</f>
        <v>95180.970000000088</v>
      </c>
      <c r="J452" s="29">
        <f t="shared" ref="J452:J482" si="39">IF(D452&gt;0.01,J451+F452+IF(ISNUMBER(G452),G452,0),J451)</f>
        <v>180000.00000000009</v>
      </c>
    </row>
    <row r="453" spans="2:10" ht="15" customHeight="1" x14ac:dyDescent="0.25">
      <c r="B453" s="24">
        <v>451</v>
      </c>
      <c r="C453" s="25">
        <f t="shared" si="36"/>
        <v>59353</v>
      </c>
      <c r="D453" s="26">
        <f t="shared" si="37"/>
        <v>0</v>
      </c>
      <c r="E453" s="26">
        <f>IF(D453&gt;0.01,ROUND(D453*Kreditrechner!$C$6/12,2),0)</f>
        <v>0</v>
      </c>
      <c r="F453" s="26">
        <f>IF(D453&gt;0.01,ROUND(MIN(Kreditrechner!$C$11-E453,D453),2),0)</f>
        <v>0</v>
      </c>
      <c r="G453" s="11"/>
      <c r="H453" s="26">
        <f t="shared" si="35"/>
        <v>0</v>
      </c>
      <c r="I453" s="26">
        <f t="shared" si="38"/>
        <v>95180.970000000088</v>
      </c>
      <c r="J453" s="26">
        <f t="shared" si="39"/>
        <v>180000.00000000009</v>
      </c>
    </row>
    <row r="454" spans="2:10" ht="15" customHeight="1" x14ac:dyDescent="0.25">
      <c r="B454" s="27">
        <v>452</v>
      </c>
      <c r="C454" s="28">
        <f t="shared" si="36"/>
        <v>59384</v>
      </c>
      <c r="D454" s="29">
        <f t="shared" si="37"/>
        <v>0</v>
      </c>
      <c r="E454" s="29">
        <f>IF(D454&gt;0.01,ROUND(D454*Kreditrechner!$C$6/12,2),0)</f>
        <v>0</v>
      </c>
      <c r="F454" s="29">
        <f>IF(D454&gt;0.01,ROUND(MIN(Kreditrechner!$C$11-E454,D454),2),0)</f>
        <v>0</v>
      </c>
      <c r="G454" s="11"/>
      <c r="H454" s="29">
        <f t="shared" si="35"/>
        <v>0</v>
      </c>
      <c r="I454" s="29">
        <f t="shared" si="38"/>
        <v>95180.970000000088</v>
      </c>
      <c r="J454" s="29">
        <f t="shared" si="39"/>
        <v>180000.00000000009</v>
      </c>
    </row>
    <row r="455" spans="2:10" ht="15" customHeight="1" x14ac:dyDescent="0.25">
      <c r="B455" s="24">
        <v>453</v>
      </c>
      <c r="C455" s="25">
        <f t="shared" si="36"/>
        <v>59415</v>
      </c>
      <c r="D455" s="26">
        <f t="shared" si="37"/>
        <v>0</v>
      </c>
      <c r="E455" s="26">
        <f>IF(D455&gt;0.01,ROUND(D455*Kreditrechner!$C$6/12,2),0)</f>
        <v>0</v>
      </c>
      <c r="F455" s="26">
        <f>IF(D455&gt;0.01,ROUND(MIN(Kreditrechner!$C$11-E455,D455),2),0)</f>
        <v>0</v>
      </c>
      <c r="G455" s="11"/>
      <c r="H455" s="26">
        <f t="shared" si="35"/>
        <v>0</v>
      </c>
      <c r="I455" s="26">
        <f t="shared" si="38"/>
        <v>95180.970000000088</v>
      </c>
      <c r="J455" s="26">
        <f t="shared" si="39"/>
        <v>180000.00000000009</v>
      </c>
    </row>
    <row r="456" spans="2:10" ht="15" customHeight="1" x14ac:dyDescent="0.25">
      <c r="B456" s="27">
        <v>454</v>
      </c>
      <c r="C456" s="28">
        <f t="shared" si="36"/>
        <v>59445</v>
      </c>
      <c r="D456" s="29">
        <f t="shared" si="37"/>
        <v>0</v>
      </c>
      <c r="E456" s="29">
        <f>IF(D456&gt;0.01,ROUND(D456*Kreditrechner!$C$6/12,2),0)</f>
        <v>0</v>
      </c>
      <c r="F456" s="29">
        <f>IF(D456&gt;0.01,ROUND(MIN(Kreditrechner!$C$11-E456,D456),2),0)</f>
        <v>0</v>
      </c>
      <c r="G456" s="11"/>
      <c r="H456" s="29">
        <f t="shared" si="35"/>
        <v>0</v>
      </c>
      <c r="I456" s="29">
        <f t="shared" si="38"/>
        <v>95180.970000000088</v>
      </c>
      <c r="J456" s="29">
        <f t="shared" si="39"/>
        <v>180000.00000000009</v>
      </c>
    </row>
    <row r="457" spans="2:10" ht="15" customHeight="1" x14ac:dyDescent="0.25">
      <c r="B457" s="24">
        <v>455</v>
      </c>
      <c r="C457" s="25">
        <f t="shared" si="36"/>
        <v>59476</v>
      </c>
      <c r="D457" s="26">
        <f t="shared" si="37"/>
        <v>0</v>
      </c>
      <c r="E457" s="26">
        <f>IF(D457&gt;0.01,ROUND(D457*Kreditrechner!$C$6/12,2),0)</f>
        <v>0</v>
      </c>
      <c r="F457" s="26">
        <f>IF(D457&gt;0.01,ROUND(MIN(Kreditrechner!$C$11-E457,D457),2),0)</f>
        <v>0</v>
      </c>
      <c r="G457" s="11"/>
      <c r="H457" s="26">
        <f t="shared" si="35"/>
        <v>0</v>
      </c>
      <c r="I457" s="26">
        <f t="shared" si="38"/>
        <v>95180.970000000088</v>
      </c>
      <c r="J457" s="26">
        <f t="shared" si="39"/>
        <v>180000.00000000009</v>
      </c>
    </row>
    <row r="458" spans="2:10" ht="15" customHeight="1" x14ac:dyDescent="0.25">
      <c r="B458" s="27">
        <v>456</v>
      </c>
      <c r="C458" s="28">
        <f t="shared" si="36"/>
        <v>59506</v>
      </c>
      <c r="D458" s="29">
        <f t="shared" si="37"/>
        <v>0</v>
      </c>
      <c r="E458" s="29">
        <f>IF(D458&gt;0.01,ROUND(D458*Kreditrechner!$C$6/12,2),0)</f>
        <v>0</v>
      </c>
      <c r="F458" s="29">
        <f>IF(D458&gt;0.01,ROUND(MIN(Kreditrechner!$C$11-E458,D458),2),0)</f>
        <v>0</v>
      </c>
      <c r="G458" s="11"/>
      <c r="H458" s="29">
        <f t="shared" si="35"/>
        <v>0</v>
      </c>
      <c r="I458" s="29">
        <f t="shared" si="38"/>
        <v>95180.970000000088</v>
      </c>
      <c r="J458" s="29">
        <f t="shared" si="39"/>
        <v>180000.00000000009</v>
      </c>
    </row>
    <row r="459" spans="2:10" ht="15" customHeight="1" x14ac:dyDescent="0.25">
      <c r="B459" s="24">
        <v>457</v>
      </c>
      <c r="C459" s="25">
        <f t="shared" si="36"/>
        <v>59537</v>
      </c>
      <c r="D459" s="26">
        <f t="shared" si="37"/>
        <v>0</v>
      </c>
      <c r="E459" s="26">
        <f>IF(D459&gt;0.01,ROUND(D459*Kreditrechner!$C$6/12,2),0)</f>
        <v>0</v>
      </c>
      <c r="F459" s="26">
        <f>IF(D459&gt;0.01,ROUND(MIN(Kreditrechner!$C$11-E459,D459),2),0)</f>
        <v>0</v>
      </c>
      <c r="G459" s="11"/>
      <c r="H459" s="26">
        <f t="shared" si="35"/>
        <v>0</v>
      </c>
      <c r="I459" s="26">
        <f t="shared" si="38"/>
        <v>95180.970000000088</v>
      </c>
      <c r="J459" s="26">
        <f t="shared" si="39"/>
        <v>180000.00000000009</v>
      </c>
    </row>
    <row r="460" spans="2:10" ht="15" customHeight="1" x14ac:dyDescent="0.25">
      <c r="B460" s="27">
        <v>458</v>
      </c>
      <c r="C460" s="28">
        <f t="shared" si="36"/>
        <v>59568</v>
      </c>
      <c r="D460" s="29">
        <f t="shared" si="37"/>
        <v>0</v>
      </c>
      <c r="E460" s="29">
        <f>IF(D460&gt;0.01,ROUND(D460*Kreditrechner!$C$6/12,2),0)</f>
        <v>0</v>
      </c>
      <c r="F460" s="29">
        <f>IF(D460&gt;0.01,ROUND(MIN(Kreditrechner!$C$11-E460,D460),2),0)</f>
        <v>0</v>
      </c>
      <c r="G460" s="11"/>
      <c r="H460" s="29">
        <f t="shared" si="35"/>
        <v>0</v>
      </c>
      <c r="I460" s="29">
        <f t="shared" si="38"/>
        <v>95180.970000000088</v>
      </c>
      <c r="J460" s="29">
        <f t="shared" si="39"/>
        <v>180000.00000000009</v>
      </c>
    </row>
    <row r="461" spans="2:10" ht="15" customHeight="1" x14ac:dyDescent="0.25">
      <c r="B461" s="24">
        <v>459</v>
      </c>
      <c r="C461" s="25">
        <f t="shared" si="36"/>
        <v>59596</v>
      </c>
      <c r="D461" s="26">
        <f t="shared" si="37"/>
        <v>0</v>
      </c>
      <c r="E461" s="26">
        <f>IF(D461&gt;0.01,ROUND(D461*Kreditrechner!$C$6/12,2),0)</f>
        <v>0</v>
      </c>
      <c r="F461" s="26">
        <f>IF(D461&gt;0.01,ROUND(MIN(Kreditrechner!$C$11-E461,D461),2),0)</f>
        <v>0</v>
      </c>
      <c r="G461" s="11"/>
      <c r="H461" s="26">
        <f t="shared" si="35"/>
        <v>0</v>
      </c>
      <c r="I461" s="26">
        <f t="shared" si="38"/>
        <v>95180.970000000088</v>
      </c>
      <c r="J461" s="26">
        <f t="shared" si="39"/>
        <v>180000.00000000009</v>
      </c>
    </row>
    <row r="462" spans="2:10" ht="15" customHeight="1" x14ac:dyDescent="0.25">
      <c r="B462" s="27">
        <v>460</v>
      </c>
      <c r="C462" s="28">
        <f t="shared" si="36"/>
        <v>59627</v>
      </c>
      <c r="D462" s="29">
        <f t="shared" si="37"/>
        <v>0</v>
      </c>
      <c r="E462" s="29">
        <f>IF(D462&gt;0.01,ROUND(D462*Kreditrechner!$C$6/12,2),0)</f>
        <v>0</v>
      </c>
      <c r="F462" s="29">
        <f>IF(D462&gt;0.01,ROUND(MIN(Kreditrechner!$C$11-E462,D462),2),0)</f>
        <v>0</v>
      </c>
      <c r="G462" s="11"/>
      <c r="H462" s="29">
        <f t="shared" si="35"/>
        <v>0</v>
      </c>
      <c r="I462" s="29">
        <f t="shared" si="38"/>
        <v>95180.970000000088</v>
      </c>
      <c r="J462" s="29">
        <f t="shared" si="39"/>
        <v>180000.00000000009</v>
      </c>
    </row>
    <row r="463" spans="2:10" ht="15" customHeight="1" x14ac:dyDescent="0.25">
      <c r="B463" s="24">
        <v>461</v>
      </c>
      <c r="C463" s="25">
        <f t="shared" si="36"/>
        <v>59657</v>
      </c>
      <c r="D463" s="26">
        <f t="shared" si="37"/>
        <v>0</v>
      </c>
      <c r="E463" s="26">
        <f>IF(D463&gt;0.01,ROUND(D463*Kreditrechner!$C$6/12,2),0)</f>
        <v>0</v>
      </c>
      <c r="F463" s="26">
        <f>IF(D463&gt;0.01,ROUND(MIN(Kreditrechner!$C$11-E463,D463),2),0)</f>
        <v>0</v>
      </c>
      <c r="G463" s="11"/>
      <c r="H463" s="26">
        <f t="shared" si="35"/>
        <v>0</v>
      </c>
      <c r="I463" s="26">
        <f t="shared" si="38"/>
        <v>95180.970000000088</v>
      </c>
      <c r="J463" s="26">
        <f t="shared" si="39"/>
        <v>180000.00000000009</v>
      </c>
    </row>
    <row r="464" spans="2:10" ht="15" customHeight="1" x14ac:dyDescent="0.25">
      <c r="B464" s="27">
        <v>462</v>
      </c>
      <c r="C464" s="28">
        <f t="shared" si="36"/>
        <v>59688</v>
      </c>
      <c r="D464" s="29">
        <f t="shared" si="37"/>
        <v>0</v>
      </c>
      <c r="E464" s="29">
        <f>IF(D464&gt;0.01,ROUND(D464*Kreditrechner!$C$6/12,2),0)</f>
        <v>0</v>
      </c>
      <c r="F464" s="29">
        <f>IF(D464&gt;0.01,ROUND(MIN(Kreditrechner!$C$11-E464,D464),2),0)</f>
        <v>0</v>
      </c>
      <c r="G464" s="11"/>
      <c r="H464" s="29">
        <f t="shared" si="35"/>
        <v>0</v>
      </c>
      <c r="I464" s="29">
        <f t="shared" si="38"/>
        <v>95180.970000000088</v>
      </c>
      <c r="J464" s="29">
        <f t="shared" si="39"/>
        <v>180000.00000000009</v>
      </c>
    </row>
    <row r="465" spans="2:10" ht="15" customHeight="1" x14ac:dyDescent="0.25">
      <c r="B465" s="24">
        <v>463</v>
      </c>
      <c r="C465" s="25">
        <f t="shared" si="36"/>
        <v>59718</v>
      </c>
      <c r="D465" s="26">
        <f t="shared" si="37"/>
        <v>0</v>
      </c>
      <c r="E465" s="26">
        <f>IF(D465&gt;0.01,ROUND(D465*Kreditrechner!$C$6/12,2),0)</f>
        <v>0</v>
      </c>
      <c r="F465" s="26">
        <f>IF(D465&gt;0.01,ROUND(MIN(Kreditrechner!$C$11-E465,D465),2),0)</f>
        <v>0</v>
      </c>
      <c r="G465" s="11"/>
      <c r="H465" s="26">
        <f t="shared" si="35"/>
        <v>0</v>
      </c>
      <c r="I465" s="26">
        <f t="shared" si="38"/>
        <v>95180.970000000088</v>
      </c>
      <c r="J465" s="26">
        <f t="shared" si="39"/>
        <v>180000.00000000009</v>
      </c>
    </row>
    <row r="466" spans="2:10" ht="15" customHeight="1" x14ac:dyDescent="0.25">
      <c r="B466" s="27">
        <v>464</v>
      </c>
      <c r="C466" s="28">
        <f t="shared" si="36"/>
        <v>59749</v>
      </c>
      <c r="D466" s="29">
        <f t="shared" si="37"/>
        <v>0</v>
      </c>
      <c r="E466" s="29">
        <f>IF(D466&gt;0.01,ROUND(D466*Kreditrechner!$C$6/12,2),0)</f>
        <v>0</v>
      </c>
      <c r="F466" s="29">
        <f>IF(D466&gt;0.01,ROUND(MIN(Kreditrechner!$C$11-E466,D466),2),0)</f>
        <v>0</v>
      </c>
      <c r="G466" s="11"/>
      <c r="H466" s="29">
        <f t="shared" si="35"/>
        <v>0</v>
      </c>
      <c r="I466" s="29">
        <f t="shared" si="38"/>
        <v>95180.970000000088</v>
      </c>
      <c r="J466" s="29">
        <f t="shared" si="39"/>
        <v>180000.00000000009</v>
      </c>
    </row>
    <row r="467" spans="2:10" ht="15" customHeight="1" x14ac:dyDescent="0.25">
      <c r="B467" s="24">
        <v>465</v>
      </c>
      <c r="C467" s="25">
        <f t="shared" si="36"/>
        <v>59780</v>
      </c>
      <c r="D467" s="26">
        <f t="shared" si="37"/>
        <v>0</v>
      </c>
      <c r="E467" s="26">
        <f>IF(D467&gt;0.01,ROUND(D467*Kreditrechner!$C$6/12,2),0)</f>
        <v>0</v>
      </c>
      <c r="F467" s="26">
        <f>IF(D467&gt;0.01,ROUND(MIN(Kreditrechner!$C$11-E467,D467),2),0)</f>
        <v>0</v>
      </c>
      <c r="G467" s="11"/>
      <c r="H467" s="26">
        <f t="shared" si="35"/>
        <v>0</v>
      </c>
      <c r="I467" s="26">
        <f t="shared" si="38"/>
        <v>95180.970000000088</v>
      </c>
      <c r="J467" s="26">
        <f t="shared" si="39"/>
        <v>180000.00000000009</v>
      </c>
    </row>
    <row r="468" spans="2:10" ht="15" customHeight="1" x14ac:dyDescent="0.25">
      <c r="B468" s="27">
        <v>466</v>
      </c>
      <c r="C468" s="28">
        <f t="shared" si="36"/>
        <v>59810</v>
      </c>
      <c r="D468" s="29">
        <f t="shared" si="37"/>
        <v>0</v>
      </c>
      <c r="E468" s="29">
        <f>IF(D468&gt;0.01,ROUND(D468*Kreditrechner!$C$6/12,2),0)</f>
        <v>0</v>
      </c>
      <c r="F468" s="29">
        <f>IF(D468&gt;0.01,ROUND(MIN(Kreditrechner!$C$11-E468,D468),2),0)</f>
        <v>0</v>
      </c>
      <c r="G468" s="11"/>
      <c r="H468" s="29">
        <f t="shared" si="35"/>
        <v>0</v>
      </c>
      <c r="I468" s="29">
        <f t="shared" si="38"/>
        <v>95180.970000000088</v>
      </c>
      <c r="J468" s="29">
        <f t="shared" si="39"/>
        <v>180000.00000000009</v>
      </c>
    </row>
    <row r="469" spans="2:10" ht="15" customHeight="1" x14ac:dyDescent="0.25">
      <c r="B469" s="24">
        <v>467</v>
      </c>
      <c r="C469" s="25">
        <f t="shared" si="36"/>
        <v>59841</v>
      </c>
      <c r="D469" s="26">
        <f t="shared" si="37"/>
        <v>0</v>
      </c>
      <c r="E469" s="26">
        <f>IF(D469&gt;0.01,ROUND(D469*Kreditrechner!$C$6/12,2),0)</f>
        <v>0</v>
      </c>
      <c r="F469" s="26">
        <f>IF(D469&gt;0.01,ROUND(MIN(Kreditrechner!$C$11-E469,D469),2),0)</f>
        <v>0</v>
      </c>
      <c r="G469" s="11"/>
      <c r="H469" s="26">
        <f t="shared" si="35"/>
        <v>0</v>
      </c>
      <c r="I469" s="26">
        <f t="shared" si="38"/>
        <v>95180.970000000088</v>
      </c>
      <c r="J469" s="26">
        <f t="shared" si="39"/>
        <v>180000.00000000009</v>
      </c>
    </row>
    <row r="470" spans="2:10" ht="15" customHeight="1" x14ac:dyDescent="0.25">
      <c r="B470" s="27">
        <v>468</v>
      </c>
      <c r="C470" s="28">
        <f t="shared" si="36"/>
        <v>59871</v>
      </c>
      <c r="D470" s="29">
        <f t="shared" si="37"/>
        <v>0</v>
      </c>
      <c r="E470" s="29">
        <f>IF(D470&gt;0.01,ROUND(D470*Kreditrechner!$C$6/12,2),0)</f>
        <v>0</v>
      </c>
      <c r="F470" s="29">
        <f>IF(D470&gt;0.01,ROUND(MIN(Kreditrechner!$C$11-E470,D470),2),0)</f>
        <v>0</v>
      </c>
      <c r="G470" s="11"/>
      <c r="H470" s="29">
        <f t="shared" si="35"/>
        <v>0</v>
      </c>
      <c r="I470" s="29">
        <f t="shared" si="38"/>
        <v>95180.970000000088</v>
      </c>
      <c r="J470" s="29">
        <f t="shared" si="39"/>
        <v>180000.00000000009</v>
      </c>
    </row>
    <row r="471" spans="2:10" ht="15" customHeight="1" x14ac:dyDescent="0.25">
      <c r="B471" s="24">
        <v>469</v>
      </c>
      <c r="C471" s="25">
        <f t="shared" si="36"/>
        <v>59902</v>
      </c>
      <c r="D471" s="26">
        <f t="shared" si="37"/>
        <v>0</v>
      </c>
      <c r="E471" s="26">
        <f>IF(D471&gt;0.01,ROUND(D471*Kreditrechner!$C$6/12,2),0)</f>
        <v>0</v>
      </c>
      <c r="F471" s="26">
        <f>IF(D471&gt;0.01,ROUND(MIN(Kreditrechner!$C$11-E471,D471),2),0)</f>
        <v>0</v>
      </c>
      <c r="G471" s="11"/>
      <c r="H471" s="26">
        <f t="shared" si="35"/>
        <v>0</v>
      </c>
      <c r="I471" s="26">
        <f t="shared" si="38"/>
        <v>95180.970000000088</v>
      </c>
      <c r="J471" s="26">
        <f t="shared" si="39"/>
        <v>180000.00000000009</v>
      </c>
    </row>
    <row r="472" spans="2:10" ht="15" customHeight="1" x14ac:dyDescent="0.25">
      <c r="B472" s="27">
        <v>470</v>
      </c>
      <c r="C472" s="28">
        <f t="shared" si="36"/>
        <v>59933</v>
      </c>
      <c r="D472" s="29">
        <f t="shared" si="37"/>
        <v>0</v>
      </c>
      <c r="E472" s="29">
        <f>IF(D472&gt;0.01,ROUND(D472*Kreditrechner!$C$6/12,2),0)</f>
        <v>0</v>
      </c>
      <c r="F472" s="29">
        <f>IF(D472&gt;0.01,ROUND(MIN(Kreditrechner!$C$11-E472,D472),2),0)</f>
        <v>0</v>
      </c>
      <c r="G472" s="11"/>
      <c r="H472" s="29">
        <f t="shared" si="35"/>
        <v>0</v>
      </c>
      <c r="I472" s="29">
        <f t="shared" si="38"/>
        <v>95180.970000000088</v>
      </c>
      <c r="J472" s="29">
        <f t="shared" si="39"/>
        <v>180000.00000000009</v>
      </c>
    </row>
    <row r="473" spans="2:10" ht="15" customHeight="1" x14ac:dyDescent="0.25">
      <c r="B473" s="24">
        <v>471</v>
      </c>
      <c r="C473" s="25">
        <f t="shared" si="36"/>
        <v>59962</v>
      </c>
      <c r="D473" s="26">
        <f t="shared" si="37"/>
        <v>0</v>
      </c>
      <c r="E473" s="26">
        <f>IF(D473&gt;0.01,ROUND(D473*Kreditrechner!$C$6/12,2),0)</f>
        <v>0</v>
      </c>
      <c r="F473" s="26">
        <f>IF(D473&gt;0.01,ROUND(MIN(Kreditrechner!$C$11-E473,D473),2),0)</f>
        <v>0</v>
      </c>
      <c r="G473" s="11"/>
      <c r="H473" s="26">
        <f t="shared" si="35"/>
        <v>0</v>
      </c>
      <c r="I473" s="26">
        <f t="shared" si="38"/>
        <v>95180.970000000088</v>
      </c>
      <c r="J473" s="26">
        <f t="shared" si="39"/>
        <v>180000.00000000009</v>
      </c>
    </row>
    <row r="474" spans="2:10" ht="15" customHeight="1" x14ac:dyDescent="0.25">
      <c r="B474" s="27">
        <v>472</v>
      </c>
      <c r="C474" s="28">
        <f t="shared" si="36"/>
        <v>59993</v>
      </c>
      <c r="D474" s="29">
        <f t="shared" si="37"/>
        <v>0</v>
      </c>
      <c r="E474" s="29">
        <f>IF(D474&gt;0.01,ROUND(D474*Kreditrechner!$C$6/12,2),0)</f>
        <v>0</v>
      </c>
      <c r="F474" s="29">
        <f>IF(D474&gt;0.01,ROUND(MIN(Kreditrechner!$C$11-E474,D474),2),0)</f>
        <v>0</v>
      </c>
      <c r="G474" s="11"/>
      <c r="H474" s="29">
        <f t="shared" si="35"/>
        <v>0</v>
      </c>
      <c r="I474" s="29">
        <f t="shared" si="38"/>
        <v>95180.970000000088</v>
      </c>
      <c r="J474" s="29">
        <f t="shared" si="39"/>
        <v>180000.00000000009</v>
      </c>
    </row>
    <row r="475" spans="2:10" ht="15" customHeight="1" x14ac:dyDescent="0.25">
      <c r="B475" s="24">
        <v>473</v>
      </c>
      <c r="C475" s="25">
        <f t="shared" si="36"/>
        <v>60023</v>
      </c>
      <c r="D475" s="26">
        <f t="shared" si="37"/>
        <v>0</v>
      </c>
      <c r="E475" s="26">
        <f>IF(D475&gt;0.01,ROUND(D475*Kreditrechner!$C$6/12,2),0)</f>
        <v>0</v>
      </c>
      <c r="F475" s="26">
        <f>IF(D475&gt;0.01,ROUND(MIN(Kreditrechner!$C$11-E475,D475),2),0)</f>
        <v>0</v>
      </c>
      <c r="G475" s="11"/>
      <c r="H475" s="26">
        <f t="shared" si="35"/>
        <v>0</v>
      </c>
      <c r="I475" s="26">
        <f t="shared" si="38"/>
        <v>95180.970000000088</v>
      </c>
      <c r="J475" s="26">
        <f t="shared" si="39"/>
        <v>180000.00000000009</v>
      </c>
    </row>
    <row r="476" spans="2:10" ht="15" customHeight="1" x14ac:dyDescent="0.25">
      <c r="B476" s="27">
        <v>474</v>
      </c>
      <c r="C476" s="28">
        <f t="shared" si="36"/>
        <v>60054</v>
      </c>
      <c r="D476" s="29">
        <f t="shared" si="37"/>
        <v>0</v>
      </c>
      <c r="E476" s="29">
        <f>IF(D476&gt;0.01,ROUND(D476*Kreditrechner!$C$6/12,2),0)</f>
        <v>0</v>
      </c>
      <c r="F476" s="29">
        <f>IF(D476&gt;0.01,ROUND(MIN(Kreditrechner!$C$11-E476,D476),2),0)</f>
        <v>0</v>
      </c>
      <c r="G476" s="11"/>
      <c r="H476" s="29">
        <f t="shared" si="35"/>
        <v>0</v>
      </c>
      <c r="I476" s="29">
        <f t="shared" si="38"/>
        <v>95180.970000000088</v>
      </c>
      <c r="J476" s="29">
        <f t="shared" si="39"/>
        <v>180000.00000000009</v>
      </c>
    </row>
    <row r="477" spans="2:10" ht="15" customHeight="1" x14ac:dyDescent="0.25">
      <c r="B477" s="24">
        <v>475</v>
      </c>
      <c r="C477" s="25">
        <f t="shared" si="36"/>
        <v>60084</v>
      </c>
      <c r="D477" s="26">
        <f t="shared" si="37"/>
        <v>0</v>
      </c>
      <c r="E477" s="26">
        <f>IF(D477&gt;0.01,ROUND(D477*Kreditrechner!$C$6/12,2),0)</f>
        <v>0</v>
      </c>
      <c r="F477" s="26">
        <f>IF(D477&gt;0.01,ROUND(MIN(Kreditrechner!$C$11-E477,D477),2),0)</f>
        <v>0</v>
      </c>
      <c r="G477" s="11"/>
      <c r="H477" s="26">
        <f t="shared" si="35"/>
        <v>0</v>
      </c>
      <c r="I477" s="26">
        <f t="shared" si="38"/>
        <v>95180.970000000088</v>
      </c>
      <c r="J477" s="26">
        <f t="shared" si="39"/>
        <v>180000.00000000009</v>
      </c>
    </row>
    <row r="478" spans="2:10" ht="15" customHeight="1" x14ac:dyDescent="0.25">
      <c r="B478" s="27">
        <v>476</v>
      </c>
      <c r="C478" s="28">
        <f t="shared" si="36"/>
        <v>60115</v>
      </c>
      <c r="D478" s="29">
        <f t="shared" si="37"/>
        <v>0</v>
      </c>
      <c r="E478" s="29">
        <f>IF(D478&gt;0.01,ROUND(D478*Kreditrechner!$C$6/12,2),0)</f>
        <v>0</v>
      </c>
      <c r="F478" s="29">
        <f>IF(D478&gt;0.01,ROUND(MIN(Kreditrechner!$C$11-E478,D478),2),0)</f>
        <v>0</v>
      </c>
      <c r="G478" s="11"/>
      <c r="H478" s="29">
        <f t="shared" si="35"/>
        <v>0</v>
      </c>
      <c r="I478" s="29">
        <f t="shared" si="38"/>
        <v>95180.970000000088</v>
      </c>
      <c r="J478" s="29">
        <f t="shared" si="39"/>
        <v>180000.00000000009</v>
      </c>
    </row>
    <row r="479" spans="2:10" ht="15" customHeight="1" x14ac:dyDescent="0.25">
      <c r="B479" s="24">
        <v>477</v>
      </c>
      <c r="C479" s="25">
        <f t="shared" si="36"/>
        <v>60146</v>
      </c>
      <c r="D479" s="26">
        <f t="shared" si="37"/>
        <v>0</v>
      </c>
      <c r="E479" s="26">
        <f>IF(D479&gt;0.01,ROUND(D479*Kreditrechner!$C$6/12,2),0)</f>
        <v>0</v>
      </c>
      <c r="F479" s="26">
        <f>IF(D479&gt;0.01,ROUND(MIN(Kreditrechner!$C$11-E479,D479),2),0)</f>
        <v>0</v>
      </c>
      <c r="G479" s="11"/>
      <c r="H479" s="26">
        <f t="shared" si="35"/>
        <v>0</v>
      </c>
      <c r="I479" s="26">
        <f t="shared" si="38"/>
        <v>95180.970000000088</v>
      </c>
      <c r="J479" s="26">
        <f t="shared" si="39"/>
        <v>180000.00000000009</v>
      </c>
    </row>
    <row r="480" spans="2:10" ht="15" customHeight="1" x14ac:dyDescent="0.25">
      <c r="B480" s="27">
        <v>478</v>
      </c>
      <c r="C480" s="28">
        <f t="shared" si="36"/>
        <v>60176</v>
      </c>
      <c r="D480" s="29">
        <f t="shared" si="37"/>
        <v>0</v>
      </c>
      <c r="E480" s="29">
        <f>IF(D480&gt;0.01,ROUND(D480*Kreditrechner!$C$6/12,2),0)</f>
        <v>0</v>
      </c>
      <c r="F480" s="29">
        <f>IF(D480&gt;0.01,ROUND(MIN(Kreditrechner!$C$11-E480,D480),2),0)</f>
        <v>0</v>
      </c>
      <c r="G480" s="11"/>
      <c r="H480" s="29">
        <f t="shared" si="35"/>
        <v>0</v>
      </c>
      <c r="I480" s="29">
        <f t="shared" si="38"/>
        <v>95180.970000000088</v>
      </c>
      <c r="J480" s="29">
        <f t="shared" si="39"/>
        <v>180000.00000000009</v>
      </c>
    </row>
    <row r="481" spans="2:10" ht="15" customHeight="1" x14ac:dyDescent="0.25">
      <c r="B481" s="24">
        <v>479</v>
      </c>
      <c r="C481" s="25">
        <f t="shared" si="36"/>
        <v>60207</v>
      </c>
      <c r="D481" s="26">
        <f t="shared" si="37"/>
        <v>0</v>
      </c>
      <c r="E481" s="26">
        <f>IF(D481&gt;0.01,ROUND(D481*Kreditrechner!$C$6/12,2),0)</f>
        <v>0</v>
      </c>
      <c r="F481" s="26">
        <f>IF(D481&gt;0.01,ROUND(MIN(Kreditrechner!$C$11-E481,D481),2),0)</f>
        <v>0</v>
      </c>
      <c r="G481" s="11"/>
      <c r="H481" s="26">
        <f t="shared" si="35"/>
        <v>0</v>
      </c>
      <c r="I481" s="26">
        <f t="shared" si="38"/>
        <v>95180.970000000088</v>
      </c>
      <c r="J481" s="26">
        <f t="shared" si="39"/>
        <v>180000.00000000009</v>
      </c>
    </row>
    <row r="482" spans="2:10" ht="15" customHeight="1" x14ac:dyDescent="0.25">
      <c r="B482" s="27">
        <v>480</v>
      </c>
      <c r="C482" s="28">
        <f t="shared" si="36"/>
        <v>60237</v>
      </c>
      <c r="D482" s="29">
        <f t="shared" si="37"/>
        <v>0</v>
      </c>
      <c r="E482" s="29">
        <f>IF(D482&gt;0.01,ROUND(D482*Kreditrechner!$C$6/12,2),0)</f>
        <v>0</v>
      </c>
      <c r="F482" s="29">
        <f>IF(D482&gt;0.01,ROUND(MIN(Kreditrechner!$C$11-E482,D482),2),0)</f>
        <v>0</v>
      </c>
      <c r="G482" s="11"/>
      <c r="H482" s="29">
        <f t="shared" si="35"/>
        <v>0</v>
      </c>
      <c r="I482" s="29">
        <f t="shared" si="38"/>
        <v>95180.970000000088</v>
      </c>
      <c r="J482" s="29">
        <f t="shared" si="39"/>
        <v>180000.00000000009</v>
      </c>
    </row>
  </sheetData>
  <mergeCells count="1">
    <mergeCell ref="B1:J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H4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5" width="18" customWidth="1"/>
    <col min="6" max="7" width="20" customWidth="1"/>
    <col min="8" max="8" width="18" customWidth="1"/>
  </cols>
  <sheetData>
    <row r="1" spans="1:8" ht="7.5" customHeight="1" x14ac:dyDescent="0.25"/>
    <row r="2" spans="1:8" ht="33.75" customHeight="1" x14ac:dyDescent="0.25">
      <c r="B2" s="3" t="s">
        <v>36</v>
      </c>
      <c r="C2" s="3"/>
      <c r="D2" s="3"/>
      <c r="E2" s="3"/>
      <c r="F2" s="3"/>
      <c r="G2" s="3"/>
      <c r="H2" s="3"/>
    </row>
    <row r="3" spans="1:8" ht="7.5" customHeight="1" x14ac:dyDescent="0.25"/>
    <row r="4" spans="1:8" ht="30" customHeight="1" x14ac:dyDescent="0.25">
      <c r="A4" s="30"/>
      <c r="B4" s="30" t="s">
        <v>37</v>
      </c>
      <c r="C4" s="30" t="s">
        <v>38</v>
      </c>
      <c r="D4" s="30" t="s">
        <v>39</v>
      </c>
      <c r="E4" s="30" t="s">
        <v>40</v>
      </c>
      <c r="F4" s="30" t="s">
        <v>41</v>
      </c>
      <c r="G4" s="30" t="s">
        <v>42</v>
      </c>
      <c r="H4" s="30" t="s">
        <v>43</v>
      </c>
    </row>
    <row r="5" spans="1:8" ht="18" customHeight="1" x14ac:dyDescent="0.25">
      <c r="B5" s="31">
        <f>Kreditrechner!C9+0</f>
        <v>2025</v>
      </c>
      <c r="C5" s="29">
        <f>SUMPRODUCT((YEAR(Tilgungsplan!C3:C482)=B5)*Tilgungsplan!E3:E482)</f>
        <v>6687.4699999999993</v>
      </c>
      <c r="D5" s="29">
        <f>SUMPRODUCT((YEAR(Tilgungsplan!C3:C482)=B5)*Tilgungsplan!F3:F482)</f>
        <v>3662.53</v>
      </c>
      <c r="E5" s="29">
        <f>SUMPRODUCT((YEAR(Tilgungsplan!C3:C482)=B5)*ISNUMBER(Tilgungsplan!G3:G482)*Tilgungsplan!G3:G482)</f>
        <v>2000</v>
      </c>
      <c r="F5" s="29">
        <f t="shared" ref="F5:F44" si="0">C5+D5+E5</f>
        <v>12350</v>
      </c>
      <c r="G5" s="29">
        <f ca="1">IFERROR(_xludf.minifs(Tilgungsplan!H3:H482,YEAR(Tilgungsplan!C3:C482),B5,Tilgungsplan!D3:D482,"&gt;0"),0)</f>
        <v>0</v>
      </c>
      <c r="H5" s="29">
        <f>C5</f>
        <v>6687.4699999999993</v>
      </c>
    </row>
    <row r="6" spans="1:8" ht="18" customHeight="1" x14ac:dyDescent="0.25">
      <c r="B6" s="32">
        <f>Kreditrechner!C9+1</f>
        <v>2026</v>
      </c>
      <c r="C6" s="26">
        <f>SUMPRODUCT((YEAR(Tilgungsplan!C3:C482)=B6)*Tilgungsplan!E3:E482)</f>
        <v>6471.44</v>
      </c>
      <c r="D6" s="26">
        <f>SUMPRODUCT((YEAR(Tilgungsplan!C3:C482)=B6)*Tilgungsplan!F3:F482)</f>
        <v>3878.5600000000004</v>
      </c>
      <c r="E6" s="26">
        <f>SUMPRODUCT((YEAR(Tilgungsplan!C3:C482)=B6)*ISNUMBER(Tilgungsplan!G3:G482)*Tilgungsplan!G3:G482)</f>
        <v>3000</v>
      </c>
      <c r="F6" s="26">
        <f t="shared" si="0"/>
        <v>13350</v>
      </c>
      <c r="G6" s="26">
        <f ca="1">IFERROR(_xludf.minifs(Tilgungsplan!H3:H482,YEAR(Tilgungsplan!C3:C482),B6,Tilgungsplan!D3:D482,"&gt;0"),0)</f>
        <v>0</v>
      </c>
      <c r="H6" s="26">
        <f t="shared" ref="H6:H44" si="1">H5+C6</f>
        <v>13158.91</v>
      </c>
    </row>
    <row r="7" spans="1:8" ht="18" customHeight="1" x14ac:dyDescent="0.25">
      <c r="B7" s="31">
        <f>Kreditrechner!C9+2</f>
        <v>2027</v>
      </c>
      <c r="C7" s="29">
        <f>SUMPRODUCT((YEAR(Tilgungsplan!C3:C482)=B7)*Tilgungsplan!E3:E482)</f>
        <v>6209.04</v>
      </c>
      <c r="D7" s="29">
        <f>SUMPRODUCT((YEAR(Tilgungsplan!C3:C482)=B7)*Tilgungsplan!F3:F482)</f>
        <v>4140.96</v>
      </c>
      <c r="E7" s="29">
        <f>SUMPRODUCT((YEAR(Tilgungsplan!C3:C482)=B7)*ISNUMBER(Tilgungsplan!G3:G482)*Tilgungsplan!G3:G482)</f>
        <v>0</v>
      </c>
      <c r="F7" s="29">
        <f t="shared" si="0"/>
        <v>10350</v>
      </c>
      <c r="G7" s="29">
        <f ca="1">IFERROR(_xludf.minifs(Tilgungsplan!H3:H482,YEAR(Tilgungsplan!C3:C482),B7,Tilgungsplan!D3:D482,"&gt;0"),0)</f>
        <v>0</v>
      </c>
      <c r="H7" s="29">
        <f t="shared" si="1"/>
        <v>19367.95</v>
      </c>
    </row>
    <row r="8" spans="1:8" ht="18" customHeight="1" x14ac:dyDescent="0.25">
      <c r="B8" s="32">
        <f>Kreditrechner!C9+3</f>
        <v>2028</v>
      </c>
      <c r="C8" s="26">
        <f>SUMPRODUCT((YEAR(Tilgungsplan!C3:C482)=B8)*Tilgungsplan!E3:E482)</f>
        <v>6051.03</v>
      </c>
      <c r="D8" s="26">
        <f>SUMPRODUCT((YEAR(Tilgungsplan!C3:C482)=B8)*Tilgungsplan!F3:F482)</f>
        <v>4298.97</v>
      </c>
      <c r="E8" s="26">
        <f>SUMPRODUCT((YEAR(Tilgungsplan!C3:C482)=B8)*ISNUMBER(Tilgungsplan!G3:G482)*Tilgungsplan!G3:G482)</f>
        <v>3000</v>
      </c>
      <c r="F8" s="26">
        <f t="shared" si="0"/>
        <v>13350</v>
      </c>
      <c r="G8" s="26">
        <f ca="1">IFERROR(_xludf.minifs(Tilgungsplan!H3:H482,YEAR(Tilgungsplan!C3:C482),B8,Tilgungsplan!D3:D482,"&gt;0"),0)</f>
        <v>0</v>
      </c>
      <c r="H8" s="26">
        <f t="shared" si="1"/>
        <v>25418.98</v>
      </c>
    </row>
    <row r="9" spans="1:8" ht="18" customHeight="1" x14ac:dyDescent="0.25">
      <c r="B9" s="31">
        <f>Kreditrechner!C9+4</f>
        <v>2029</v>
      </c>
      <c r="C9" s="29">
        <f>SUMPRODUCT((YEAR(Tilgungsplan!C3:C482)=B9)*Tilgungsplan!E3:E482)</f>
        <v>5772.56</v>
      </c>
      <c r="D9" s="29">
        <f>SUMPRODUCT((YEAR(Tilgungsplan!C3:C482)=B9)*Tilgungsplan!F3:F482)</f>
        <v>4577.4399999999996</v>
      </c>
      <c r="E9" s="29">
        <f>SUMPRODUCT((YEAR(Tilgungsplan!C3:C482)=B9)*ISNUMBER(Tilgungsplan!G3:G482)*Tilgungsplan!G3:G482)</f>
        <v>2500</v>
      </c>
      <c r="F9" s="29">
        <f t="shared" si="0"/>
        <v>12850</v>
      </c>
      <c r="G9" s="29">
        <f ca="1">IFERROR(_xludf.minifs(Tilgungsplan!H3:H482,YEAR(Tilgungsplan!C3:C482),B9,Tilgungsplan!D3:D482,"&gt;0"),0)</f>
        <v>0</v>
      </c>
      <c r="H9" s="29">
        <f t="shared" si="1"/>
        <v>31191.54</v>
      </c>
    </row>
    <row r="10" spans="1:8" ht="18" customHeight="1" x14ac:dyDescent="0.25">
      <c r="B10" s="32">
        <f>Kreditrechner!C9+5</f>
        <v>2030</v>
      </c>
      <c r="C10" s="26">
        <f>SUMPRODUCT((YEAR(Tilgungsplan!C3:C482)=B10)*Tilgungsplan!E3:E482)</f>
        <v>5502.5599999999995</v>
      </c>
      <c r="D10" s="26">
        <f>SUMPRODUCT((YEAR(Tilgungsplan!C3:C482)=B10)*Tilgungsplan!F3:F482)</f>
        <v>4847.4400000000005</v>
      </c>
      <c r="E10" s="26">
        <f>SUMPRODUCT((YEAR(Tilgungsplan!C3:C482)=B10)*ISNUMBER(Tilgungsplan!G3:G482)*Tilgungsplan!G3:G482)</f>
        <v>0</v>
      </c>
      <c r="F10" s="26">
        <f t="shared" si="0"/>
        <v>10350</v>
      </c>
      <c r="G10" s="26">
        <f ca="1">IFERROR(_xludf.minifs(Tilgungsplan!H3:H482,YEAR(Tilgungsplan!C3:C482),B10,Tilgungsplan!D3:D482,"&gt;0"),0)</f>
        <v>0</v>
      </c>
      <c r="H10" s="26">
        <f t="shared" si="1"/>
        <v>36694.1</v>
      </c>
    </row>
    <row r="11" spans="1:8" ht="18" customHeight="1" x14ac:dyDescent="0.25">
      <c r="B11" s="31">
        <f>Kreditrechner!C9+6</f>
        <v>2031</v>
      </c>
      <c r="C11" s="29">
        <f>SUMPRODUCT((YEAR(Tilgungsplan!C3:C482)=B11)*Tilgungsplan!E3:E482)</f>
        <v>5317.6100000000006</v>
      </c>
      <c r="D11" s="29">
        <f>SUMPRODUCT((YEAR(Tilgungsplan!C3:C482)=B11)*Tilgungsplan!F3:F482)</f>
        <v>5032.3899999999994</v>
      </c>
      <c r="E11" s="29">
        <f>SUMPRODUCT((YEAR(Tilgungsplan!C3:C482)=B11)*ISNUMBER(Tilgungsplan!G3:G482)*Tilgungsplan!G3:G482)</f>
        <v>1500</v>
      </c>
      <c r="F11" s="29">
        <f t="shared" si="0"/>
        <v>11850</v>
      </c>
      <c r="G11" s="29">
        <f ca="1">IFERROR(_xludf.minifs(Tilgungsplan!H3:H482,YEAR(Tilgungsplan!C3:C482),B11,Tilgungsplan!D3:D482,"&gt;0"),0)</f>
        <v>0</v>
      </c>
      <c r="H11" s="29">
        <f t="shared" si="1"/>
        <v>42011.71</v>
      </c>
    </row>
    <row r="12" spans="1:8" ht="18" customHeight="1" x14ac:dyDescent="0.25">
      <c r="B12" s="32">
        <f>Kreditrechner!C9+7</f>
        <v>2032</v>
      </c>
      <c r="C12" s="26">
        <f>SUMPRODUCT((YEAR(Tilgungsplan!C3:C482)=B12)*Tilgungsplan!E3:E482)</f>
        <v>5068.41</v>
      </c>
      <c r="D12" s="26">
        <f>SUMPRODUCT((YEAR(Tilgungsplan!C3:C482)=B12)*Tilgungsplan!F3:F482)</f>
        <v>5281.59</v>
      </c>
      <c r="E12" s="26">
        <f>SUMPRODUCT((YEAR(Tilgungsplan!C3:C482)=B12)*ISNUMBER(Tilgungsplan!G3:G482)*Tilgungsplan!G3:G482)</f>
        <v>0</v>
      </c>
      <c r="F12" s="26">
        <f t="shared" si="0"/>
        <v>10350</v>
      </c>
      <c r="G12" s="26">
        <f ca="1">IFERROR(_xludf.minifs(Tilgungsplan!H3:H482,YEAR(Tilgungsplan!C3:C482),B12,Tilgungsplan!D3:D482,"&gt;0"),0)</f>
        <v>0</v>
      </c>
      <c r="H12" s="26">
        <f t="shared" si="1"/>
        <v>47080.119999999995</v>
      </c>
    </row>
    <row r="13" spans="1:8" ht="18" customHeight="1" x14ac:dyDescent="0.25">
      <c r="B13" s="31">
        <f>Kreditrechner!C9+8</f>
        <v>2033</v>
      </c>
      <c r="C13" s="29">
        <f>SUMPRODUCT((YEAR(Tilgungsplan!C3:C482)=B13)*Tilgungsplan!E3:E482)</f>
        <v>4866.8799999999992</v>
      </c>
      <c r="D13" s="29">
        <f>SUMPRODUCT((YEAR(Tilgungsplan!C3:C482)=B13)*Tilgungsplan!F3:F482)</f>
        <v>5483.12</v>
      </c>
      <c r="E13" s="29">
        <f>SUMPRODUCT((YEAR(Tilgungsplan!C3:C482)=B13)*ISNUMBER(Tilgungsplan!G3:G482)*Tilgungsplan!G3:G482)</f>
        <v>0</v>
      </c>
      <c r="F13" s="29">
        <f t="shared" si="0"/>
        <v>10350</v>
      </c>
      <c r="G13" s="29">
        <f ca="1">IFERROR(_xludf.minifs(Tilgungsplan!H3:H482,YEAR(Tilgungsplan!C3:C482),B13,Tilgungsplan!D3:D482,"&gt;0"),0)</f>
        <v>0</v>
      </c>
      <c r="H13" s="29">
        <f t="shared" si="1"/>
        <v>51946.999999999993</v>
      </c>
    </row>
    <row r="14" spans="1:8" ht="18" customHeight="1" x14ac:dyDescent="0.25">
      <c r="B14" s="32">
        <f>Kreditrechner!C9+9</f>
        <v>2034</v>
      </c>
      <c r="C14" s="26">
        <f>SUMPRODUCT((YEAR(Tilgungsplan!C3:C482)=B14)*Tilgungsplan!E3:E482)</f>
        <v>4657.7199999999993</v>
      </c>
      <c r="D14" s="26">
        <f>SUMPRODUCT((YEAR(Tilgungsplan!C3:C482)=B14)*Tilgungsplan!F3:F482)</f>
        <v>5692.2800000000007</v>
      </c>
      <c r="E14" s="26">
        <f>SUMPRODUCT((YEAR(Tilgungsplan!C3:C482)=B14)*ISNUMBER(Tilgungsplan!G3:G482)*Tilgungsplan!G3:G482)</f>
        <v>0</v>
      </c>
      <c r="F14" s="26">
        <f t="shared" si="0"/>
        <v>10350</v>
      </c>
      <c r="G14" s="26">
        <f ca="1">IFERROR(_xludf.minifs(Tilgungsplan!H3:H482,YEAR(Tilgungsplan!C3:C482),B14,Tilgungsplan!D3:D482,"&gt;0"),0)</f>
        <v>0</v>
      </c>
      <c r="H14" s="26">
        <f t="shared" si="1"/>
        <v>56604.719999999994</v>
      </c>
    </row>
    <row r="15" spans="1:8" ht="18" customHeight="1" x14ac:dyDescent="0.25">
      <c r="B15" s="31">
        <f>Kreditrechner!C9+10</f>
        <v>2035</v>
      </c>
      <c r="C15" s="29">
        <f>SUMPRODUCT((YEAR(Tilgungsplan!C3:C482)=B15)*Tilgungsplan!E3:E482)</f>
        <v>4440.54</v>
      </c>
      <c r="D15" s="29">
        <f>SUMPRODUCT((YEAR(Tilgungsplan!C3:C482)=B15)*Tilgungsplan!F3:F482)</f>
        <v>5909.46</v>
      </c>
      <c r="E15" s="29">
        <f>SUMPRODUCT((YEAR(Tilgungsplan!C3:C482)=B15)*ISNUMBER(Tilgungsplan!G3:G482)*Tilgungsplan!G3:G482)</f>
        <v>0</v>
      </c>
      <c r="F15" s="29">
        <f t="shared" si="0"/>
        <v>10350</v>
      </c>
      <c r="G15" s="29">
        <f ca="1">IFERROR(_xludf.minifs(Tilgungsplan!H3:H482,YEAR(Tilgungsplan!C3:C482),B15,Tilgungsplan!D3:D482,"&gt;0"),0)</f>
        <v>0</v>
      </c>
      <c r="H15" s="29">
        <f t="shared" si="1"/>
        <v>61045.259999999995</v>
      </c>
    </row>
    <row r="16" spans="1:8" ht="18" customHeight="1" x14ac:dyDescent="0.25">
      <c r="B16" s="32">
        <f>Kreditrechner!C9+11</f>
        <v>2036</v>
      </c>
      <c r="C16" s="26">
        <f>SUMPRODUCT((YEAR(Tilgungsplan!C3:C482)=B16)*Tilgungsplan!E3:E482)</f>
        <v>4215.08</v>
      </c>
      <c r="D16" s="26">
        <f>SUMPRODUCT((YEAR(Tilgungsplan!C3:C482)=B16)*Tilgungsplan!F3:F482)</f>
        <v>6134.92</v>
      </c>
      <c r="E16" s="26">
        <f>SUMPRODUCT((YEAR(Tilgungsplan!C3:C482)=B16)*ISNUMBER(Tilgungsplan!G3:G482)*Tilgungsplan!G3:G482)</f>
        <v>0</v>
      </c>
      <c r="F16" s="26">
        <f t="shared" si="0"/>
        <v>10350</v>
      </c>
      <c r="G16" s="26">
        <f ca="1">IFERROR(_xludf.minifs(Tilgungsplan!H3:H482,YEAR(Tilgungsplan!C3:C482),B16,Tilgungsplan!D3:D482,"&gt;0"),0)</f>
        <v>0</v>
      </c>
      <c r="H16" s="26">
        <f t="shared" si="1"/>
        <v>65260.34</v>
      </c>
    </row>
    <row r="17" spans="2:8" ht="18" customHeight="1" x14ac:dyDescent="0.25">
      <c r="B17" s="31">
        <f>Kreditrechner!C9+12</f>
        <v>2037</v>
      </c>
      <c r="C17" s="29">
        <f>SUMPRODUCT((YEAR(Tilgungsplan!C3:C482)=B17)*Tilgungsplan!E3:E482)</f>
        <v>3981.0400000000004</v>
      </c>
      <c r="D17" s="29">
        <f>SUMPRODUCT((YEAR(Tilgungsplan!C3:C482)=B17)*Tilgungsplan!F3:F482)</f>
        <v>6368.96</v>
      </c>
      <c r="E17" s="29">
        <f>SUMPRODUCT((YEAR(Tilgungsplan!C3:C482)=B17)*ISNUMBER(Tilgungsplan!G3:G482)*Tilgungsplan!G3:G482)</f>
        <v>0</v>
      </c>
      <c r="F17" s="29">
        <f t="shared" si="0"/>
        <v>10350</v>
      </c>
      <c r="G17" s="29">
        <f ca="1">IFERROR(_xludf.minifs(Tilgungsplan!H3:H482,YEAR(Tilgungsplan!C3:C482),B17,Tilgungsplan!D3:D482,"&gt;0"),0)</f>
        <v>0</v>
      </c>
      <c r="H17" s="29">
        <f t="shared" si="1"/>
        <v>69241.37999999999</v>
      </c>
    </row>
    <row r="18" spans="2:8" ht="18" customHeight="1" x14ac:dyDescent="0.25">
      <c r="B18" s="32">
        <f>Kreditrechner!C9+13</f>
        <v>2038</v>
      </c>
      <c r="C18" s="26">
        <f>SUMPRODUCT((YEAR(Tilgungsplan!C3:C482)=B18)*Tilgungsplan!E3:E482)</f>
        <v>3738.0699999999997</v>
      </c>
      <c r="D18" s="26">
        <f>SUMPRODUCT((YEAR(Tilgungsplan!C3:C482)=B18)*Tilgungsplan!F3:F482)</f>
        <v>6611.9299999999994</v>
      </c>
      <c r="E18" s="26">
        <f>SUMPRODUCT((YEAR(Tilgungsplan!C3:C482)=B18)*ISNUMBER(Tilgungsplan!G3:G482)*Tilgungsplan!G3:G482)</f>
        <v>0</v>
      </c>
      <c r="F18" s="26">
        <f t="shared" si="0"/>
        <v>10350</v>
      </c>
      <c r="G18" s="26">
        <f ca="1">IFERROR(_xludf.minifs(Tilgungsplan!H3:H482,YEAR(Tilgungsplan!C3:C482),B18,Tilgungsplan!D3:D482,"&gt;0"),0)</f>
        <v>0</v>
      </c>
      <c r="H18" s="26">
        <f t="shared" si="1"/>
        <v>72979.449999999983</v>
      </c>
    </row>
    <row r="19" spans="2:8" ht="18" customHeight="1" x14ac:dyDescent="0.25">
      <c r="B19" s="31">
        <f>Kreditrechner!C9+14</f>
        <v>2039</v>
      </c>
      <c r="C19" s="29">
        <f>SUMPRODUCT((YEAR(Tilgungsplan!C3:C482)=B19)*Tilgungsplan!E3:E482)</f>
        <v>3485.81</v>
      </c>
      <c r="D19" s="29">
        <f>SUMPRODUCT((YEAR(Tilgungsplan!C3:C482)=B19)*Tilgungsplan!F3:F482)</f>
        <v>6864.19</v>
      </c>
      <c r="E19" s="29">
        <f>SUMPRODUCT((YEAR(Tilgungsplan!C3:C482)=B19)*ISNUMBER(Tilgungsplan!G3:G482)*Tilgungsplan!G3:G482)</f>
        <v>0</v>
      </c>
      <c r="F19" s="29">
        <f t="shared" si="0"/>
        <v>10350</v>
      </c>
      <c r="G19" s="29">
        <f ca="1">IFERROR(_xludf.minifs(Tilgungsplan!H3:H482,YEAR(Tilgungsplan!C3:C482),B19,Tilgungsplan!D3:D482,"&gt;0"),0)</f>
        <v>0</v>
      </c>
      <c r="H19" s="29">
        <f t="shared" si="1"/>
        <v>76465.25999999998</v>
      </c>
    </row>
    <row r="20" spans="2:8" ht="18" customHeight="1" x14ac:dyDescent="0.25">
      <c r="B20" s="32">
        <f>Kreditrechner!C9+15</f>
        <v>2040</v>
      </c>
      <c r="C20" s="26">
        <f>SUMPRODUCT((YEAR(Tilgungsplan!C3:C482)=B20)*Tilgungsplan!E3:E482)</f>
        <v>3223.92</v>
      </c>
      <c r="D20" s="26">
        <f>SUMPRODUCT((YEAR(Tilgungsplan!C3:C482)=B20)*Tilgungsplan!F3:F482)</f>
        <v>7126.08</v>
      </c>
      <c r="E20" s="26">
        <f>SUMPRODUCT((YEAR(Tilgungsplan!C3:C482)=B20)*ISNUMBER(Tilgungsplan!G3:G482)*Tilgungsplan!G3:G482)</f>
        <v>0</v>
      </c>
      <c r="F20" s="26">
        <f t="shared" si="0"/>
        <v>10350</v>
      </c>
      <c r="G20" s="26">
        <f ca="1">IFERROR(_xludf.minifs(Tilgungsplan!H3:H482,YEAR(Tilgungsplan!C3:C482),B20,Tilgungsplan!D3:D482,"&gt;0"),0)</f>
        <v>0</v>
      </c>
      <c r="H20" s="26">
        <f t="shared" si="1"/>
        <v>79689.179999999978</v>
      </c>
    </row>
    <row r="21" spans="2:8" ht="18" customHeight="1" x14ac:dyDescent="0.25">
      <c r="B21" s="31">
        <f>Kreditrechner!C9+16</f>
        <v>2041</v>
      </c>
      <c r="C21" s="29">
        <f>SUMPRODUCT((YEAR(Tilgungsplan!C3:C482)=B21)*Tilgungsplan!E3:E482)</f>
        <v>2952.06</v>
      </c>
      <c r="D21" s="29">
        <f>SUMPRODUCT((YEAR(Tilgungsplan!C3:C482)=B21)*Tilgungsplan!F3:F482)</f>
        <v>7397.94</v>
      </c>
      <c r="E21" s="29">
        <f>SUMPRODUCT((YEAR(Tilgungsplan!C3:C482)=B21)*ISNUMBER(Tilgungsplan!G3:G482)*Tilgungsplan!G3:G482)</f>
        <v>0</v>
      </c>
      <c r="F21" s="29">
        <f t="shared" si="0"/>
        <v>10350</v>
      </c>
      <c r="G21" s="29">
        <f ca="1">IFERROR(_xludf.minifs(Tilgungsplan!H3:H482,YEAR(Tilgungsplan!C3:C482),B21,Tilgungsplan!D3:D482,"&gt;0"),0)</f>
        <v>0</v>
      </c>
      <c r="H21" s="29">
        <f t="shared" si="1"/>
        <v>82641.239999999976</v>
      </c>
    </row>
    <row r="22" spans="2:8" ht="18" customHeight="1" x14ac:dyDescent="0.25">
      <c r="B22" s="32">
        <f>Kreditrechner!C9+17</f>
        <v>2042</v>
      </c>
      <c r="C22" s="26">
        <f>SUMPRODUCT((YEAR(Tilgungsplan!C3:C482)=B22)*Tilgungsplan!E3:E482)</f>
        <v>2669.79</v>
      </c>
      <c r="D22" s="26">
        <f>SUMPRODUCT((YEAR(Tilgungsplan!C3:C482)=B22)*Tilgungsplan!F3:F482)</f>
        <v>7680.2100000000009</v>
      </c>
      <c r="E22" s="26">
        <f>SUMPRODUCT((YEAR(Tilgungsplan!C3:C482)=B22)*ISNUMBER(Tilgungsplan!G3:G482)*Tilgungsplan!G3:G482)</f>
        <v>0</v>
      </c>
      <c r="F22" s="26">
        <f t="shared" si="0"/>
        <v>10350</v>
      </c>
      <c r="G22" s="26">
        <f ca="1">IFERROR(_xludf.minifs(Tilgungsplan!H3:H482,YEAR(Tilgungsplan!C3:C482),B22,Tilgungsplan!D3:D482,"&gt;0"),0)</f>
        <v>0</v>
      </c>
      <c r="H22" s="26">
        <f t="shared" si="1"/>
        <v>85311.02999999997</v>
      </c>
    </row>
    <row r="23" spans="2:8" ht="18" customHeight="1" x14ac:dyDescent="0.25">
      <c r="B23" s="31">
        <f>Kreditrechner!C9+18</f>
        <v>2043</v>
      </c>
      <c r="C23" s="29">
        <f>SUMPRODUCT((YEAR(Tilgungsplan!C3:C482)=B23)*Tilgungsplan!E3:E482)</f>
        <v>2376.81</v>
      </c>
      <c r="D23" s="29">
        <f>SUMPRODUCT((YEAR(Tilgungsplan!C3:C482)=B23)*Tilgungsplan!F3:F482)</f>
        <v>7973.1900000000005</v>
      </c>
      <c r="E23" s="29">
        <f>SUMPRODUCT((YEAR(Tilgungsplan!C3:C482)=B23)*ISNUMBER(Tilgungsplan!G3:G482)*Tilgungsplan!G3:G482)</f>
        <v>0</v>
      </c>
      <c r="F23" s="29">
        <f t="shared" si="0"/>
        <v>10350</v>
      </c>
      <c r="G23" s="29">
        <f ca="1">IFERROR(_xludf.minifs(Tilgungsplan!H3:H482,YEAR(Tilgungsplan!C3:C482),B23,Tilgungsplan!D3:D482,"&gt;0"),0)</f>
        <v>0</v>
      </c>
      <c r="H23" s="29">
        <f t="shared" si="1"/>
        <v>87687.839999999967</v>
      </c>
    </row>
    <row r="24" spans="2:8" ht="18" customHeight="1" x14ac:dyDescent="0.25">
      <c r="B24" s="32">
        <f>Kreditrechner!C9+19</f>
        <v>2044</v>
      </c>
      <c r="C24" s="26">
        <f>SUMPRODUCT((YEAR(Tilgungsplan!C3:C482)=B24)*Tilgungsplan!E3:E482)</f>
        <v>2072.61</v>
      </c>
      <c r="D24" s="26">
        <f>SUMPRODUCT((YEAR(Tilgungsplan!C3:C482)=B24)*Tilgungsplan!F3:F482)</f>
        <v>8277.39</v>
      </c>
      <c r="E24" s="26">
        <f>SUMPRODUCT((YEAR(Tilgungsplan!C3:C482)=B24)*ISNUMBER(Tilgungsplan!G3:G482)*Tilgungsplan!G3:G482)</f>
        <v>0</v>
      </c>
      <c r="F24" s="26">
        <f t="shared" si="0"/>
        <v>10350</v>
      </c>
      <c r="G24" s="26">
        <f ca="1">IFERROR(_xludf.minifs(Tilgungsplan!H3:H482,YEAR(Tilgungsplan!C3:C482),B24,Tilgungsplan!D3:D482,"&gt;0"),0)</f>
        <v>0</v>
      </c>
      <c r="H24" s="26">
        <f t="shared" si="1"/>
        <v>89760.449999999968</v>
      </c>
    </row>
    <row r="25" spans="2:8" ht="18" customHeight="1" x14ac:dyDescent="0.25">
      <c r="B25" s="31">
        <f>Kreditrechner!C9+20</f>
        <v>2045</v>
      </c>
      <c r="C25" s="29">
        <f>SUMPRODUCT((YEAR(Tilgungsplan!C3:C482)=B25)*Tilgungsplan!E3:E482)</f>
        <v>1756.8399999999995</v>
      </c>
      <c r="D25" s="29">
        <f>SUMPRODUCT((YEAR(Tilgungsplan!C3:C482)=B25)*Tilgungsplan!F3:F482)</f>
        <v>8593.1600000000017</v>
      </c>
      <c r="E25" s="29">
        <f>SUMPRODUCT((YEAR(Tilgungsplan!C3:C482)=B25)*ISNUMBER(Tilgungsplan!G3:G482)*Tilgungsplan!G3:G482)</f>
        <v>0</v>
      </c>
      <c r="F25" s="29">
        <f t="shared" si="0"/>
        <v>10350.000000000002</v>
      </c>
      <c r="G25" s="29">
        <f ca="1">IFERROR(_xludf.minifs(Tilgungsplan!H3:H482,YEAR(Tilgungsplan!C3:C482),B25,Tilgungsplan!D3:D482,"&gt;0"),0)</f>
        <v>0</v>
      </c>
      <c r="H25" s="29">
        <f t="shared" si="1"/>
        <v>91517.289999999964</v>
      </c>
    </row>
    <row r="26" spans="2:8" ht="18" customHeight="1" x14ac:dyDescent="0.25">
      <c r="B26" s="32">
        <f>Kreditrechner!C9+21</f>
        <v>2046</v>
      </c>
      <c r="C26" s="26">
        <f>SUMPRODUCT((YEAR(Tilgungsplan!C3:C482)=B26)*Tilgungsplan!E3:E482)</f>
        <v>1428.97</v>
      </c>
      <c r="D26" s="26">
        <f>SUMPRODUCT((YEAR(Tilgungsplan!C3:C482)=B26)*Tilgungsplan!F3:F482)</f>
        <v>8921.0300000000007</v>
      </c>
      <c r="E26" s="26">
        <f>SUMPRODUCT((YEAR(Tilgungsplan!C3:C482)=B26)*ISNUMBER(Tilgungsplan!G3:G482)*Tilgungsplan!G3:G482)</f>
        <v>0</v>
      </c>
      <c r="F26" s="26">
        <f t="shared" si="0"/>
        <v>10350</v>
      </c>
      <c r="G26" s="26">
        <f ca="1">IFERROR(_xludf.minifs(Tilgungsplan!H3:H482,YEAR(Tilgungsplan!C3:C482),B26,Tilgungsplan!D3:D482,"&gt;0"),0)</f>
        <v>0</v>
      </c>
      <c r="H26" s="26">
        <f t="shared" si="1"/>
        <v>92946.259999999966</v>
      </c>
    </row>
    <row r="27" spans="2:8" ht="18" customHeight="1" x14ac:dyDescent="0.25">
      <c r="B27" s="31">
        <f>Kreditrechner!C9+22</f>
        <v>2047</v>
      </c>
      <c r="C27" s="29">
        <f>SUMPRODUCT((YEAR(Tilgungsplan!C3:C482)=B27)*Tilgungsplan!E3:E482)</f>
        <v>1088.6300000000001</v>
      </c>
      <c r="D27" s="29">
        <f>SUMPRODUCT((YEAR(Tilgungsplan!C3:C482)=B27)*Tilgungsplan!F3:F482)</f>
        <v>9261.3700000000008</v>
      </c>
      <c r="E27" s="29">
        <f>SUMPRODUCT((YEAR(Tilgungsplan!C3:C482)=B27)*ISNUMBER(Tilgungsplan!G3:G482)*Tilgungsplan!G3:G482)</f>
        <v>0</v>
      </c>
      <c r="F27" s="29">
        <f t="shared" si="0"/>
        <v>10350</v>
      </c>
      <c r="G27" s="29">
        <f ca="1">IFERROR(_xludf.minifs(Tilgungsplan!H3:H482,YEAR(Tilgungsplan!C3:C482),B27,Tilgungsplan!D3:D482,"&gt;0"),0)</f>
        <v>0</v>
      </c>
      <c r="H27" s="29">
        <f t="shared" si="1"/>
        <v>94034.88999999997</v>
      </c>
    </row>
    <row r="28" spans="2:8" ht="18" customHeight="1" x14ac:dyDescent="0.25">
      <c r="B28" s="32">
        <f>Kreditrechner!C9+23</f>
        <v>2048</v>
      </c>
      <c r="C28" s="26">
        <f>SUMPRODUCT((YEAR(Tilgungsplan!C3:C482)=B28)*Tilgungsplan!E3:E482)</f>
        <v>735.28</v>
      </c>
      <c r="D28" s="26">
        <f>SUMPRODUCT((YEAR(Tilgungsplan!C3:C482)=B28)*Tilgungsplan!F3:F482)</f>
        <v>9614.7199999999993</v>
      </c>
      <c r="E28" s="26">
        <f>SUMPRODUCT((YEAR(Tilgungsplan!C3:C482)=B28)*ISNUMBER(Tilgungsplan!G3:G482)*Tilgungsplan!G3:G482)</f>
        <v>0</v>
      </c>
      <c r="F28" s="26">
        <f t="shared" si="0"/>
        <v>10350</v>
      </c>
      <c r="G28" s="26">
        <f ca="1">IFERROR(_xludf.minifs(Tilgungsplan!H3:H482,YEAR(Tilgungsplan!C3:C482),B28,Tilgungsplan!D3:D482,"&gt;0"),0)</f>
        <v>0</v>
      </c>
      <c r="H28" s="26">
        <f t="shared" si="1"/>
        <v>94770.169999999969</v>
      </c>
    </row>
    <row r="29" spans="2:8" ht="18" customHeight="1" x14ac:dyDescent="0.25">
      <c r="B29" s="31">
        <f>Kreditrechner!C9+24</f>
        <v>2049</v>
      </c>
      <c r="C29" s="29">
        <f>SUMPRODUCT((YEAR(Tilgungsplan!C3:C482)=B29)*Tilgungsplan!E3:E482)</f>
        <v>368.48</v>
      </c>
      <c r="D29" s="29">
        <f>SUMPRODUCT((YEAR(Tilgungsplan!C3:C482)=B29)*Tilgungsplan!F3:F482)</f>
        <v>9981.5199999999986</v>
      </c>
      <c r="E29" s="29">
        <f>SUMPRODUCT((YEAR(Tilgungsplan!C3:C482)=B29)*ISNUMBER(Tilgungsplan!G3:G482)*Tilgungsplan!G3:G482)</f>
        <v>0</v>
      </c>
      <c r="F29" s="29">
        <f t="shared" si="0"/>
        <v>10349.999999999998</v>
      </c>
      <c r="G29" s="29">
        <f ca="1">IFERROR(_xludf.minifs(Tilgungsplan!H3:H482,YEAR(Tilgungsplan!C3:C482),B29,Tilgungsplan!D3:D482,"&gt;0"),0)</f>
        <v>0</v>
      </c>
      <c r="H29" s="29">
        <f t="shared" si="1"/>
        <v>95138.649999999965</v>
      </c>
    </row>
    <row r="30" spans="2:8" ht="18" customHeight="1" x14ac:dyDescent="0.25">
      <c r="B30" s="32">
        <f>Kreditrechner!C9+25</f>
        <v>2050</v>
      </c>
      <c r="C30" s="26">
        <f>SUMPRODUCT((YEAR(Tilgungsplan!C3:C482)=B30)*Tilgungsplan!E3:E482)</f>
        <v>42.32</v>
      </c>
      <c r="D30" s="26">
        <f>SUMPRODUCT((YEAR(Tilgungsplan!C3:C482)=B30)*Tilgungsplan!F3:F482)</f>
        <v>4388.6500000000005</v>
      </c>
      <c r="E30" s="26">
        <f>SUMPRODUCT((YEAR(Tilgungsplan!C3:C482)=B30)*ISNUMBER(Tilgungsplan!G3:G482)*Tilgungsplan!G3:G482)</f>
        <v>0</v>
      </c>
      <c r="F30" s="26">
        <f t="shared" si="0"/>
        <v>4430.97</v>
      </c>
      <c r="G30" s="26">
        <f ca="1">IFERROR(_xludf.minifs(Tilgungsplan!H3:H482,YEAR(Tilgungsplan!C3:C482),B30,Tilgungsplan!D3:D482,"&gt;0"),0)</f>
        <v>0</v>
      </c>
      <c r="H30" s="26">
        <f t="shared" si="1"/>
        <v>95180.969999999972</v>
      </c>
    </row>
    <row r="31" spans="2:8" ht="18" customHeight="1" x14ac:dyDescent="0.25">
      <c r="B31" s="31">
        <f>Kreditrechner!C9+26</f>
        <v>2051</v>
      </c>
      <c r="C31" s="29">
        <f>SUMPRODUCT((YEAR(Tilgungsplan!C3:C482)=B31)*Tilgungsplan!E3:E482)</f>
        <v>0</v>
      </c>
      <c r="D31" s="29">
        <f>SUMPRODUCT((YEAR(Tilgungsplan!C3:C482)=B31)*Tilgungsplan!F3:F482)</f>
        <v>0</v>
      </c>
      <c r="E31" s="29">
        <f>SUMPRODUCT((YEAR(Tilgungsplan!C3:C482)=B31)*ISNUMBER(Tilgungsplan!G3:G482)*Tilgungsplan!G3:G482)</f>
        <v>0</v>
      </c>
      <c r="F31" s="29">
        <f t="shared" si="0"/>
        <v>0</v>
      </c>
      <c r="G31" s="29">
        <f ca="1">IFERROR(_xludf.minifs(Tilgungsplan!H3:H482,YEAR(Tilgungsplan!C3:C482),B31,Tilgungsplan!D3:D482,"&gt;0"),0)</f>
        <v>0</v>
      </c>
      <c r="H31" s="29">
        <f t="shared" si="1"/>
        <v>95180.969999999972</v>
      </c>
    </row>
    <row r="32" spans="2:8" ht="18" customHeight="1" x14ac:dyDescent="0.25">
      <c r="B32" s="32">
        <f>Kreditrechner!C9+27</f>
        <v>2052</v>
      </c>
      <c r="C32" s="26">
        <f>SUMPRODUCT((YEAR(Tilgungsplan!C3:C482)=B32)*Tilgungsplan!E3:E482)</f>
        <v>0</v>
      </c>
      <c r="D32" s="26">
        <f>SUMPRODUCT((YEAR(Tilgungsplan!C3:C482)=B32)*Tilgungsplan!F3:F482)</f>
        <v>0</v>
      </c>
      <c r="E32" s="26">
        <f>SUMPRODUCT((YEAR(Tilgungsplan!C3:C482)=B32)*ISNUMBER(Tilgungsplan!G3:G482)*Tilgungsplan!G3:G482)</f>
        <v>0</v>
      </c>
      <c r="F32" s="26">
        <f t="shared" si="0"/>
        <v>0</v>
      </c>
      <c r="G32" s="26">
        <f ca="1">IFERROR(_xludf.minifs(Tilgungsplan!H3:H482,YEAR(Tilgungsplan!C3:C482),B32,Tilgungsplan!D3:D482,"&gt;0"),0)</f>
        <v>0</v>
      </c>
      <c r="H32" s="26">
        <f t="shared" si="1"/>
        <v>95180.969999999972</v>
      </c>
    </row>
    <row r="33" spans="2:8" ht="18" customHeight="1" x14ac:dyDescent="0.25">
      <c r="B33" s="31">
        <f>Kreditrechner!C9+28</f>
        <v>2053</v>
      </c>
      <c r="C33" s="29">
        <f>SUMPRODUCT((YEAR(Tilgungsplan!C3:C482)=B33)*Tilgungsplan!E3:E482)</f>
        <v>0</v>
      </c>
      <c r="D33" s="29">
        <f>SUMPRODUCT((YEAR(Tilgungsplan!C3:C482)=B33)*Tilgungsplan!F3:F482)</f>
        <v>0</v>
      </c>
      <c r="E33" s="29">
        <f>SUMPRODUCT((YEAR(Tilgungsplan!C3:C482)=B33)*ISNUMBER(Tilgungsplan!G3:G482)*Tilgungsplan!G3:G482)</f>
        <v>0</v>
      </c>
      <c r="F33" s="29">
        <f t="shared" si="0"/>
        <v>0</v>
      </c>
      <c r="G33" s="29">
        <f ca="1">IFERROR(_xludf.minifs(Tilgungsplan!H3:H482,YEAR(Tilgungsplan!C3:C482),B33,Tilgungsplan!D3:D482,"&gt;0"),0)</f>
        <v>0</v>
      </c>
      <c r="H33" s="29">
        <f t="shared" si="1"/>
        <v>95180.969999999972</v>
      </c>
    </row>
    <row r="34" spans="2:8" ht="18" customHeight="1" x14ac:dyDescent="0.25">
      <c r="B34" s="32">
        <f>Kreditrechner!C9+29</f>
        <v>2054</v>
      </c>
      <c r="C34" s="26">
        <f>SUMPRODUCT((YEAR(Tilgungsplan!C3:C482)=B34)*Tilgungsplan!E3:E482)</f>
        <v>0</v>
      </c>
      <c r="D34" s="26">
        <f>SUMPRODUCT((YEAR(Tilgungsplan!C3:C482)=B34)*Tilgungsplan!F3:F482)</f>
        <v>0</v>
      </c>
      <c r="E34" s="26">
        <f>SUMPRODUCT((YEAR(Tilgungsplan!C3:C482)=B34)*ISNUMBER(Tilgungsplan!G3:G482)*Tilgungsplan!G3:G482)</f>
        <v>0</v>
      </c>
      <c r="F34" s="26">
        <f t="shared" si="0"/>
        <v>0</v>
      </c>
      <c r="G34" s="26">
        <f ca="1">IFERROR(_xludf.minifs(Tilgungsplan!H3:H482,YEAR(Tilgungsplan!C3:C482),B34,Tilgungsplan!D3:D482,"&gt;0"),0)</f>
        <v>0</v>
      </c>
      <c r="H34" s="26">
        <f t="shared" si="1"/>
        <v>95180.969999999972</v>
      </c>
    </row>
    <row r="35" spans="2:8" ht="18" customHeight="1" x14ac:dyDescent="0.25">
      <c r="B35" s="31">
        <f>Kreditrechner!C9+30</f>
        <v>2055</v>
      </c>
      <c r="C35" s="29">
        <f>SUMPRODUCT((YEAR(Tilgungsplan!C3:C482)=B35)*Tilgungsplan!E3:E482)</f>
        <v>0</v>
      </c>
      <c r="D35" s="29">
        <f>SUMPRODUCT((YEAR(Tilgungsplan!C3:C482)=B35)*Tilgungsplan!F3:F482)</f>
        <v>0</v>
      </c>
      <c r="E35" s="29">
        <f>SUMPRODUCT((YEAR(Tilgungsplan!C3:C482)=B35)*ISNUMBER(Tilgungsplan!G3:G482)*Tilgungsplan!G3:G482)</f>
        <v>0</v>
      </c>
      <c r="F35" s="29">
        <f t="shared" si="0"/>
        <v>0</v>
      </c>
      <c r="G35" s="29">
        <f ca="1">IFERROR(_xludf.minifs(Tilgungsplan!H3:H482,YEAR(Tilgungsplan!C3:C482),B35,Tilgungsplan!D3:D482,"&gt;0"),0)</f>
        <v>0</v>
      </c>
      <c r="H35" s="29">
        <f t="shared" si="1"/>
        <v>95180.969999999972</v>
      </c>
    </row>
    <row r="36" spans="2:8" ht="18" customHeight="1" x14ac:dyDescent="0.25">
      <c r="B36" s="32">
        <f>Kreditrechner!C9+31</f>
        <v>2056</v>
      </c>
      <c r="C36" s="26">
        <f>SUMPRODUCT((YEAR(Tilgungsplan!C3:C482)=B36)*Tilgungsplan!E3:E482)</f>
        <v>0</v>
      </c>
      <c r="D36" s="26">
        <f>SUMPRODUCT((YEAR(Tilgungsplan!C3:C482)=B36)*Tilgungsplan!F3:F482)</f>
        <v>0</v>
      </c>
      <c r="E36" s="26">
        <f>SUMPRODUCT((YEAR(Tilgungsplan!C3:C482)=B36)*ISNUMBER(Tilgungsplan!G3:G482)*Tilgungsplan!G3:G482)</f>
        <v>0</v>
      </c>
      <c r="F36" s="26">
        <f t="shared" si="0"/>
        <v>0</v>
      </c>
      <c r="G36" s="26">
        <f ca="1">IFERROR(_xludf.minifs(Tilgungsplan!H3:H482,YEAR(Tilgungsplan!C3:C482),B36,Tilgungsplan!D3:D482,"&gt;0"),0)</f>
        <v>0</v>
      </c>
      <c r="H36" s="26">
        <f t="shared" si="1"/>
        <v>95180.969999999972</v>
      </c>
    </row>
    <row r="37" spans="2:8" ht="18" customHeight="1" x14ac:dyDescent="0.25">
      <c r="B37" s="31">
        <f>Kreditrechner!C9+32</f>
        <v>2057</v>
      </c>
      <c r="C37" s="29">
        <f>SUMPRODUCT((YEAR(Tilgungsplan!C3:C482)=B37)*Tilgungsplan!E3:E482)</f>
        <v>0</v>
      </c>
      <c r="D37" s="29">
        <f>SUMPRODUCT((YEAR(Tilgungsplan!C3:C482)=B37)*Tilgungsplan!F3:F482)</f>
        <v>0</v>
      </c>
      <c r="E37" s="29">
        <f>SUMPRODUCT((YEAR(Tilgungsplan!C3:C482)=B37)*ISNUMBER(Tilgungsplan!G3:G482)*Tilgungsplan!G3:G482)</f>
        <v>0</v>
      </c>
      <c r="F37" s="29">
        <f t="shared" si="0"/>
        <v>0</v>
      </c>
      <c r="G37" s="29">
        <f ca="1">IFERROR(_xludf.minifs(Tilgungsplan!H3:H482,YEAR(Tilgungsplan!C3:C482),B37,Tilgungsplan!D3:D482,"&gt;0"),0)</f>
        <v>0</v>
      </c>
      <c r="H37" s="29">
        <f t="shared" si="1"/>
        <v>95180.969999999972</v>
      </c>
    </row>
    <row r="38" spans="2:8" ht="18" customHeight="1" x14ac:dyDescent="0.25">
      <c r="B38" s="32">
        <f>Kreditrechner!C9+33</f>
        <v>2058</v>
      </c>
      <c r="C38" s="26">
        <f>SUMPRODUCT((YEAR(Tilgungsplan!C3:C482)=B38)*Tilgungsplan!E3:E482)</f>
        <v>0</v>
      </c>
      <c r="D38" s="26">
        <f>SUMPRODUCT((YEAR(Tilgungsplan!C3:C482)=B38)*Tilgungsplan!F3:F482)</f>
        <v>0</v>
      </c>
      <c r="E38" s="26">
        <f>SUMPRODUCT((YEAR(Tilgungsplan!C3:C482)=B38)*ISNUMBER(Tilgungsplan!G3:G482)*Tilgungsplan!G3:G482)</f>
        <v>0</v>
      </c>
      <c r="F38" s="26">
        <f t="shared" si="0"/>
        <v>0</v>
      </c>
      <c r="G38" s="26">
        <f ca="1">IFERROR(_xludf.minifs(Tilgungsplan!H3:H482,YEAR(Tilgungsplan!C3:C482),B38,Tilgungsplan!D3:D482,"&gt;0"),0)</f>
        <v>0</v>
      </c>
      <c r="H38" s="26">
        <f t="shared" si="1"/>
        <v>95180.969999999972</v>
      </c>
    </row>
    <row r="39" spans="2:8" ht="18" customHeight="1" x14ac:dyDescent="0.25">
      <c r="B39" s="31">
        <f>Kreditrechner!C9+34</f>
        <v>2059</v>
      </c>
      <c r="C39" s="29">
        <f>SUMPRODUCT((YEAR(Tilgungsplan!C3:C482)=B39)*Tilgungsplan!E3:E482)</f>
        <v>0</v>
      </c>
      <c r="D39" s="29">
        <f>SUMPRODUCT((YEAR(Tilgungsplan!C3:C482)=B39)*Tilgungsplan!F3:F482)</f>
        <v>0</v>
      </c>
      <c r="E39" s="29">
        <f>SUMPRODUCT((YEAR(Tilgungsplan!C3:C482)=B39)*ISNUMBER(Tilgungsplan!G3:G482)*Tilgungsplan!G3:G482)</f>
        <v>0</v>
      </c>
      <c r="F39" s="29">
        <f t="shared" si="0"/>
        <v>0</v>
      </c>
      <c r="G39" s="29">
        <f ca="1">IFERROR(_xludf.minifs(Tilgungsplan!H3:H482,YEAR(Tilgungsplan!C3:C482),B39,Tilgungsplan!D3:D482,"&gt;0"),0)</f>
        <v>0</v>
      </c>
      <c r="H39" s="29">
        <f t="shared" si="1"/>
        <v>95180.969999999972</v>
      </c>
    </row>
    <row r="40" spans="2:8" ht="18" customHeight="1" x14ac:dyDescent="0.25">
      <c r="B40" s="32">
        <f>Kreditrechner!C9+35</f>
        <v>2060</v>
      </c>
      <c r="C40" s="26">
        <f>SUMPRODUCT((YEAR(Tilgungsplan!C3:C482)=B40)*Tilgungsplan!E3:E482)</f>
        <v>0</v>
      </c>
      <c r="D40" s="26">
        <f>SUMPRODUCT((YEAR(Tilgungsplan!C3:C482)=B40)*Tilgungsplan!F3:F482)</f>
        <v>0</v>
      </c>
      <c r="E40" s="26">
        <f>SUMPRODUCT((YEAR(Tilgungsplan!C3:C482)=B40)*ISNUMBER(Tilgungsplan!G3:G482)*Tilgungsplan!G3:G482)</f>
        <v>0</v>
      </c>
      <c r="F40" s="26">
        <f t="shared" si="0"/>
        <v>0</v>
      </c>
      <c r="G40" s="26">
        <f ca="1">IFERROR(_xludf.minifs(Tilgungsplan!H3:H482,YEAR(Tilgungsplan!C3:C482),B40,Tilgungsplan!D3:D482,"&gt;0"),0)</f>
        <v>0</v>
      </c>
      <c r="H40" s="26">
        <f t="shared" si="1"/>
        <v>95180.969999999972</v>
      </c>
    </row>
    <row r="41" spans="2:8" ht="18" customHeight="1" x14ac:dyDescent="0.25">
      <c r="B41" s="31">
        <f>Kreditrechner!C9+36</f>
        <v>2061</v>
      </c>
      <c r="C41" s="29">
        <f>SUMPRODUCT((YEAR(Tilgungsplan!C3:C482)=B41)*Tilgungsplan!E3:E482)</f>
        <v>0</v>
      </c>
      <c r="D41" s="29">
        <f>SUMPRODUCT((YEAR(Tilgungsplan!C3:C482)=B41)*Tilgungsplan!F3:F482)</f>
        <v>0</v>
      </c>
      <c r="E41" s="29">
        <f>SUMPRODUCT((YEAR(Tilgungsplan!C3:C482)=B41)*ISNUMBER(Tilgungsplan!G3:G482)*Tilgungsplan!G3:G482)</f>
        <v>0</v>
      </c>
      <c r="F41" s="29">
        <f t="shared" si="0"/>
        <v>0</v>
      </c>
      <c r="G41" s="29">
        <f ca="1">IFERROR(_xludf.minifs(Tilgungsplan!H3:H482,YEAR(Tilgungsplan!C3:C482),B41,Tilgungsplan!D3:D482,"&gt;0"),0)</f>
        <v>0</v>
      </c>
      <c r="H41" s="29">
        <f t="shared" si="1"/>
        <v>95180.969999999972</v>
      </c>
    </row>
    <row r="42" spans="2:8" ht="18" customHeight="1" x14ac:dyDescent="0.25">
      <c r="B42" s="32">
        <f>Kreditrechner!C9+37</f>
        <v>2062</v>
      </c>
      <c r="C42" s="26">
        <f>SUMPRODUCT((YEAR(Tilgungsplan!C3:C482)=B42)*Tilgungsplan!E3:E482)</f>
        <v>0</v>
      </c>
      <c r="D42" s="26">
        <f>SUMPRODUCT((YEAR(Tilgungsplan!C3:C482)=B42)*Tilgungsplan!F3:F482)</f>
        <v>0</v>
      </c>
      <c r="E42" s="26">
        <f>SUMPRODUCT((YEAR(Tilgungsplan!C3:C482)=B42)*ISNUMBER(Tilgungsplan!G3:G482)*Tilgungsplan!G3:G482)</f>
        <v>0</v>
      </c>
      <c r="F42" s="26">
        <f t="shared" si="0"/>
        <v>0</v>
      </c>
      <c r="G42" s="26">
        <f ca="1">IFERROR(_xludf.minifs(Tilgungsplan!H3:H482,YEAR(Tilgungsplan!C3:C482),B42,Tilgungsplan!D3:D482,"&gt;0"),0)</f>
        <v>0</v>
      </c>
      <c r="H42" s="26">
        <f t="shared" si="1"/>
        <v>95180.969999999972</v>
      </c>
    </row>
    <row r="43" spans="2:8" ht="18" customHeight="1" x14ac:dyDescent="0.25">
      <c r="B43" s="31">
        <f>Kreditrechner!C9+38</f>
        <v>2063</v>
      </c>
      <c r="C43" s="29">
        <f>SUMPRODUCT((YEAR(Tilgungsplan!C3:C482)=B43)*Tilgungsplan!E3:E482)</f>
        <v>0</v>
      </c>
      <c r="D43" s="29">
        <f>SUMPRODUCT((YEAR(Tilgungsplan!C3:C482)=B43)*Tilgungsplan!F3:F482)</f>
        <v>0</v>
      </c>
      <c r="E43" s="29">
        <f>SUMPRODUCT((YEAR(Tilgungsplan!C3:C482)=B43)*ISNUMBER(Tilgungsplan!G3:G482)*Tilgungsplan!G3:G482)</f>
        <v>0</v>
      </c>
      <c r="F43" s="29">
        <f t="shared" si="0"/>
        <v>0</v>
      </c>
      <c r="G43" s="29">
        <f ca="1">IFERROR(_xludf.minifs(Tilgungsplan!H3:H482,YEAR(Tilgungsplan!C3:C482),B43,Tilgungsplan!D3:D482,"&gt;0"),0)</f>
        <v>0</v>
      </c>
      <c r="H43" s="29">
        <f t="shared" si="1"/>
        <v>95180.969999999972</v>
      </c>
    </row>
    <row r="44" spans="2:8" ht="18" customHeight="1" x14ac:dyDescent="0.25">
      <c r="B44" s="32">
        <f>Kreditrechner!C9+39</f>
        <v>2064</v>
      </c>
      <c r="C44" s="26">
        <f>SUMPRODUCT((YEAR(Tilgungsplan!C3:C482)=B44)*Tilgungsplan!E3:E482)</f>
        <v>0</v>
      </c>
      <c r="D44" s="26">
        <f>SUMPRODUCT((YEAR(Tilgungsplan!C3:C482)=B44)*Tilgungsplan!F3:F482)</f>
        <v>0</v>
      </c>
      <c r="E44" s="26">
        <f>SUMPRODUCT((YEAR(Tilgungsplan!C3:C482)=B44)*ISNUMBER(Tilgungsplan!G3:G482)*Tilgungsplan!G3:G482)</f>
        <v>0</v>
      </c>
      <c r="F44" s="26">
        <f t="shared" si="0"/>
        <v>0</v>
      </c>
      <c r="G44" s="26">
        <f ca="1">IFERROR(_xludf.minifs(Tilgungsplan!H3:H482,YEAR(Tilgungsplan!C3:C482),B44,Tilgungsplan!D3:D482,"&gt;0"),0)</f>
        <v>0</v>
      </c>
      <c r="H44" s="26">
        <f t="shared" si="1"/>
        <v>95180.969999999972</v>
      </c>
    </row>
    <row r="45" spans="2:8" ht="24" customHeight="1" x14ac:dyDescent="0.25">
      <c r="B45" s="33" t="s">
        <v>44</v>
      </c>
      <c r="C45" s="34">
        <f>SUM(C5:C44)</f>
        <v>95180.969999999972</v>
      </c>
      <c r="D45" s="34">
        <f>SUM(D5:D44)</f>
        <v>168000</v>
      </c>
      <c r="E45" s="34">
        <f>SUM(E5:E44)</f>
        <v>12000</v>
      </c>
      <c r="F45" s="34">
        <f>SUM(F5:F44)</f>
        <v>275180.96999999997</v>
      </c>
      <c r="G45" s="34"/>
      <c r="H45" s="34"/>
    </row>
  </sheetData>
  <mergeCells count="1">
    <mergeCell ref="B2:H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D7D31"/>
  </sheetPr>
  <dimension ref="B1:G19"/>
  <sheetViews>
    <sheetView zoomScaleNormal="100" workbookViewId="0"/>
  </sheetViews>
  <sheetFormatPr baseColWidth="10" defaultColWidth="8.7109375" defaultRowHeight="15" x14ac:dyDescent="0.25"/>
  <cols>
    <col min="1" max="1" width="2" customWidth="1"/>
    <col min="2" max="2" width="28" customWidth="1"/>
    <col min="3" max="7" width="17" customWidth="1"/>
  </cols>
  <sheetData>
    <row r="1" spans="2:7" ht="7.5" customHeight="1" x14ac:dyDescent="0.25"/>
    <row r="2" spans="2:7" ht="36" customHeight="1" x14ac:dyDescent="0.25">
      <c r="B2" s="2" t="s">
        <v>45</v>
      </c>
      <c r="C2" s="2"/>
      <c r="D2" s="2"/>
      <c r="E2" s="2"/>
      <c r="F2" s="2"/>
      <c r="G2" s="2"/>
    </row>
    <row r="3" spans="2:7" ht="6" customHeight="1" x14ac:dyDescent="0.25"/>
    <row r="4" spans="2:7" ht="18" customHeight="1" x14ac:dyDescent="0.25">
      <c r="B4" s="1" t="s">
        <v>46</v>
      </c>
      <c r="C4" s="1"/>
      <c r="D4" s="1"/>
      <c r="E4" s="1"/>
      <c r="F4" s="1"/>
      <c r="G4" s="1"/>
    </row>
    <row r="6" spans="2:7" ht="30" customHeight="1" x14ac:dyDescent="0.25">
      <c r="B6" s="30" t="s">
        <v>47</v>
      </c>
      <c r="C6" s="30" t="s">
        <v>48</v>
      </c>
      <c r="D6" s="30" t="s">
        <v>49</v>
      </c>
      <c r="E6" s="30" t="s">
        <v>50</v>
      </c>
      <c r="F6" s="30" t="s">
        <v>51</v>
      </c>
      <c r="G6" s="30" t="s">
        <v>52</v>
      </c>
    </row>
    <row r="7" spans="2:7" ht="21.75" customHeight="1" x14ac:dyDescent="0.25">
      <c r="B7" s="35" t="s">
        <v>53</v>
      </c>
      <c r="C7" s="11">
        <v>180000</v>
      </c>
      <c r="D7" s="11">
        <v>180000</v>
      </c>
      <c r="E7" s="11">
        <v>180000</v>
      </c>
      <c r="F7" s="11">
        <v>180000</v>
      </c>
      <c r="G7" s="11">
        <v>180000</v>
      </c>
    </row>
    <row r="8" spans="2:7" ht="21.75" customHeight="1" x14ac:dyDescent="0.25">
      <c r="B8" s="35" t="s">
        <v>5</v>
      </c>
      <c r="C8" s="14">
        <v>3.7499999999999999E-2</v>
      </c>
      <c r="D8" s="14">
        <v>4.4999999999999998E-2</v>
      </c>
      <c r="E8" s="14">
        <v>3.7499999999999999E-2</v>
      </c>
      <c r="F8" s="14">
        <v>3.7499999999999999E-2</v>
      </c>
      <c r="G8" s="14">
        <v>3.7499999999999999E-2</v>
      </c>
    </row>
    <row r="9" spans="2:7" ht="21.75" customHeight="1" x14ac:dyDescent="0.25">
      <c r="B9" s="35" t="s">
        <v>7</v>
      </c>
      <c r="C9" s="14">
        <v>0.02</v>
      </c>
      <c r="D9" s="14">
        <v>0.02</v>
      </c>
      <c r="E9" s="14">
        <v>0.03</v>
      </c>
      <c r="F9" s="14">
        <v>0.02</v>
      </c>
      <c r="G9" s="14">
        <v>0.1</v>
      </c>
    </row>
    <row r="10" spans="2:7" ht="21.75" customHeight="1" x14ac:dyDescent="0.25">
      <c r="B10" s="35" t="s">
        <v>9</v>
      </c>
      <c r="C10" s="11">
        <v>0</v>
      </c>
      <c r="D10" s="11">
        <v>0</v>
      </c>
      <c r="E10" s="11">
        <v>0</v>
      </c>
      <c r="F10" s="11">
        <v>5000</v>
      </c>
      <c r="G10" s="11">
        <v>0</v>
      </c>
    </row>
    <row r="11" spans="2:7" ht="9.75" customHeight="1" x14ac:dyDescent="0.25"/>
    <row r="12" spans="2:7" ht="21.75" customHeight="1" x14ac:dyDescent="0.25">
      <c r="B12" s="12" t="s">
        <v>54</v>
      </c>
      <c r="C12" s="13">
        <f>ROUND((C7*C8/12)+(C7*C9/12),2)</f>
        <v>862.5</v>
      </c>
      <c r="D12" s="13">
        <f>ROUND((D7*D8/12)+(D7*D9/12),2)</f>
        <v>975</v>
      </c>
      <c r="E12" s="13">
        <f>ROUND((E7*E8/12)+(E7*E9/12),2)</f>
        <v>1012.5</v>
      </c>
      <c r="F12" s="13">
        <f>ROUND((F7*F8/12)+(F7*F9/12),2)</f>
        <v>862.5</v>
      </c>
      <c r="G12" s="13">
        <f>ROUND((G7*G8/12)+(G7*G9/12),2)</f>
        <v>2062.5</v>
      </c>
    </row>
    <row r="13" spans="2:7" ht="21.75" customHeight="1" x14ac:dyDescent="0.25">
      <c r="B13" s="12" t="s">
        <v>55</v>
      </c>
      <c r="C13" s="15">
        <f>IFERROR(ROUNDUP(NPER(C8/12,-C12,-C7,0,0),0),0)</f>
        <v>-161</v>
      </c>
      <c r="D13" s="15">
        <f>IFERROR(ROUNDUP(NPER(D8/12,-D12,-D7,0,0),0),0)</f>
        <v>-141</v>
      </c>
      <c r="E13" s="15">
        <f>IFERROR(ROUNDUP(NPER(E8/12,-E12,-E7,0,0),0),0)</f>
        <v>-142</v>
      </c>
      <c r="F13" s="15">
        <f>IFERROR(ROUNDUP(NPER(F8/12,-F12,-F7,0,0),0),0)</f>
        <v>-161</v>
      </c>
      <c r="G13" s="15">
        <f>IFERROR(ROUNDUP(NPER(G8/12,-G12,-G7,0,0),0),0)</f>
        <v>-78</v>
      </c>
    </row>
    <row r="14" spans="2:7" ht="21.75" customHeight="1" x14ac:dyDescent="0.25">
      <c r="B14" s="12" t="s">
        <v>56</v>
      </c>
      <c r="C14" s="36">
        <f>IFERROR(ROUND(C13/12,1),0)</f>
        <v>-13.4</v>
      </c>
      <c r="D14" s="36">
        <f>IFERROR(ROUND(D13/12,1),0)</f>
        <v>-11.8</v>
      </c>
      <c r="E14" s="36">
        <f>IFERROR(ROUND(E13/12,1),0)</f>
        <v>-11.8</v>
      </c>
      <c r="F14" s="36">
        <f>IFERROR(ROUND(F13/12,1),0)</f>
        <v>-13.4</v>
      </c>
      <c r="G14" s="36">
        <f>IFERROR(ROUND(G13/12,1),0)</f>
        <v>-6.5</v>
      </c>
    </row>
    <row r="15" spans="2:7" ht="21.75" customHeight="1" x14ac:dyDescent="0.25">
      <c r="B15" s="12" t="s">
        <v>57</v>
      </c>
      <c r="C15" s="13">
        <f>IFERROR(C13*C12-C7,0)</f>
        <v>-318862.5</v>
      </c>
      <c r="D15" s="13">
        <f>IFERROR(D13*D12-D7,0)</f>
        <v>-317475</v>
      </c>
      <c r="E15" s="13">
        <f>IFERROR(E13*E12-E7,0)</f>
        <v>-323775</v>
      </c>
      <c r="F15" s="13">
        <f>IFERROR(F13*F12-F7,0)</f>
        <v>-318862.5</v>
      </c>
      <c r="G15" s="13">
        <f>IFERROR(G13*G12-G7,0)</f>
        <v>-340875</v>
      </c>
    </row>
    <row r="16" spans="2:7" ht="21.75" customHeight="1" x14ac:dyDescent="0.25">
      <c r="B16" s="17" t="s">
        <v>58</v>
      </c>
      <c r="C16" s="18">
        <f>IFERROR(C7+C15,0)</f>
        <v>-138862.5</v>
      </c>
      <c r="D16" s="18">
        <f>IFERROR(D7+D15,0)</f>
        <v>-137475</v>
      </c>
      <c r="E16" s="18">
        <f>IFERROR(E7+E15,0)</f>
        <v>-143775</v>
      </c>
      <c r="F16" s="18">
        <f>IFERROR(F7+F15,0)</f>
        <v>-138862.5</v>
      </c>
      <c r="G16" s="18">
        <f>IFERROR(G7+G15,0)</f>
        <v>-160875</v>
      </c>
    </row>
    <row r="18" spans="2:7" ht="7.5" customHeight="1" x14ac:dyDescent="0.25"/>
    <row r="19" spans="2:7" ht="18" customHeight="1" x14ac:dyDescent="0.25">
      <c r="B19" s="1" t="s">
        <v>59</v>
      </c>
      <c r="C19" s="1"/>
      <c r="D19" s="1"/>
      <c r="E19" s="1"/>
      <c r="F19" s="1"/>
      <c r="G19" s="1"/>
    </row>
  </sheetData>
  <mergeCells count="3">
    <mergeCell ref="B2:G2"/>
    <mergeCell ref="B4:G4"/>
    <mergeCell ref="B19:G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Kreditrechner</vt:lpstr>
      <vt:lpstr>Tilgungsplan</vt:lpstr>
      <vt:lpstr>Jahresübersicht</vt:lpstr>
      <vt:lpstr>Szenarien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2026-05-14T08:21:01Z</dcterms:created>
  <dcterms:modified xsi:type="dcterms:W3CDTF">2026-05-14T08:24:49Z</dcterms:modified>
  <dc:language>en-US</dc:language>
</cp:coreProperties>
</file>