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kapitalbedarfsplan vorlage\"/>
    </mc:Choice>
  </mc:AlternateContent>
  <xr:revisionPtr revIDLastSave="0" documentId="8_{76DA1374-4AD7-47A4-9501-73A58052A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pitalbedarf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1" l="1"/>
  <c r="X48" i="1" s="1"/>
  <c r="W44" i="1"/>
  <c r="W48" i="1" s="1"/>
  <c r="V44" i="1"/>
  <c r="V48" i="1" s="1"/>
  <c r="U44" i="1"/>
  <c r="U48" i="1" s="1"/>
  <c r="T44" i="1"/>
  <c r="T48" i="1" s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X41" i="1"/>
  <c r="W41" i="1"/>
  <c r="V41" i="1"/>
  <c r="U41" i="1"/>
  <c r="T41" i="1"/>
  <c r="S41" i="1"/>
  <c r="S44" i="1" s="1"/>
  <c r="S48" i="1" s="1"/>
  <c r="R41" i="1"/>
  <c r="R44" i="1" s="1"/>
  <c r="R48" i="1" s="1"/>
  <c r="Q41" i="1"/>
  <c r="Q44" i="1" s="1"/>
  <c r="Q48" i="1" s="1"/>
  <c r="P41" i="1"/>
  <c r="P44" i="1" s="1"/>
  <c r="P48" i="1" s="1"/>
  <c r="O41" i="1"/>
  <c r="O44" i="1" s="1"/>
  <c r="O48" i="1" s="1"/>
  <c r="N41" i="1"/>
  <c r="N44" i="1" s="1"/>
  <c r="N48" i="1" s="1"/>
  <c r="M41" i="1"/>
  <c r="M44" i="1" s="1"/>
  <c r="E36" i="1"/>
  <c r="V36" i="1" s="1"/>
  <c r="E35" i="1"/>
  <c r="W35" i="1" s="1"/>
  <c r="X34" i="1"/>
  <c r="W34" i="1"/>
  <c r="V34" i="1"/>
  <c r="U34" i="1"/>
  <c r="T34" i="1"/>
  <c r="E34" i="1"/>
  <c r="Q34" i="1" s="1"/>
  <c r="X33" i="1"/>
  <c r="U33" i="1"/>
  <c r="T33" i="1"/>
  <c r="S33" i="1"/>
  <c r="R33" i="1"/>
  <c r="Q33" i="1"/>
  <c r="P33" i="1"/>
  <c r="O33" i="1"/>
  <c r="N33" i="1"/>
  <c r="E33" i="1"/>
  <c r="W33" i="1" s="1"/>
  <c r="E32" i="1"/>
  <c r="X31" i="1"/>
  <c r="W31" i="1"/>
  <c r="V31" i="1"/>
  <c r="E31" i="1"/>
  <c r="S31" i="1" s="1"/>
  <c r="R27" i="1"/>
  <c r="Q27" i="1"/>
  <c r="P27" i="1"/>
  <c r="C26" i="1"/>
  <c r="X25" i="1"/>
  <c r="W25" i="1"/>
  <c r="V25" i="1"/>
  <c r="U25" i="1"/>
  <c r="T25" i="1"/>
  <c r="S25" i="1"/>
  <c r="R25" i="1"/>
  <c r="Q25" i="1"/>
  <c r="P25" i="1"/>
  <c r="O25" i="1"/>
  <c r="M25" i="1"/>
  <c r="E25" i="1"/>
  <c r="N25" i="1" s="1"/>
  <c r="X24" i="1"/>
  <c r="W24" i="1"/>
  <c r="V24" i="1"/>
  <c r="U24" i="1"/>
  <c r="T24" i="1"/>
  <c r="S24" i="1"/>
  <c r="R24" i="1"/>
  <c r="Q24" i="1"/>
  <c r="P24" i="1"/>
  <c r="O24" i="1"/>
  <c r="N24" i="1"/>
  <c r="E24" i="1"/>
  <c r="M24" i="1" s="1"/>
  <c r="Y24" i="1" s="1"/>
  <c r="X23" i="1"/>
  <c r="W23" i="1"/>
  <c r="W27" i="1" s="1"/>
  <c r="V23" i="1"/>
  <c r="V27" i="1" s="1"/>
  <c r="U23" i="1"/>
  <c r="U27" i="1" s="1"/>
  <c r="T23" i="1"/>
  <c r="T27" i="1" s="1"/>
  <c r="S23" i="1"/>
  <c r="S27" i="1" s="1"/>
  <c r="R23" i="1"/>
  <c r="Q23" i="1"/>
  <c r="P23" i="1"/>
  <c r="O23" i="1"/>
  <c r="M23" i="1"/>
  <c r="E23" i="1"/>
  <c r="N23" i="1" s="1"/>
  <c r="Y23" i="1" s="1"/>
  <c r="X22" i="1"/>
  <c r="X27" i="1" s="1"/>
  <c r="W22" i="1"/>
  <c r="V22" i="1"/>
  <c r="U22" i="1"/>
  <c r="T22" i="1"/>
  <c r="S22" i="1"/>
  <c r="R22" i="1"/>
  <c r="Q22" i="1"/>
  <c r="P22" i="1"/>
  <c r="O22" i="1"/>
  <c r="N22" i="1"/>
  <c r="M22" i="1"/>
  <c r="Y22" i="1" s="1"/>
  <c r="E22" i="1"/>
  <c r="X21" i="1"/>
  <c r="W21" i="1"/>
  <c r="V21" i="1"/>
  <c r="U21" i="1"/>
  <c r="T21" i="1"/>
  <c r="S21" i="1"/>
  <c r="R21" i="1"/>
  <c r="Q21" i="1"/>
  <c r="P21" i="1"/>
  <c r="O21" i="1"/>
  <c r="O27" i="1" s="1"/>
  <c r="N21" i="1"/>
  <c r="N27" i="1" s="1"/>
  <c r="E21" i="1"/>
  <c r="E26" i="1" s="1"/>
  <c r="L5" i="1" s="1"/>
  <c r="V17" i="1"/>
  <c r="L17" i="1"/>
  <c r="X15" i="1"/>
  <c r="W15" i="1"/>
  <c r="V15" i="1"/>
  <c r="U15" i="1"/>
  <c r="T15" i="1"/>
  <c r="S15" i="1"/>
  <c r="R15" i="1"/>
  <c r="Q15" i="1"/>
  <c r="P15" i="1"/>
  <c r="O15" i="1"/>
  <c r="N15" i="1"/>
  <c r="F15" i="1"/>
  <c r="G15" i="1" s="1"/>
  <c r="M15" i="1" s="1"/>
  <c r="Y15" i="1" s="1"/>
  <c r="X14" i="1"/>
  <c r="W14" i="1"/>
  <c r="V14" i="1"/>
  <c r="U14" i="1"/>
  <c r="T14" i="1"/>
  <c r="S14" i="1"/>
  <c r="R14" i="1"/>
  <c r="Q14" i="1"/>
  <c r="P14" i="1"/>
  <c r="N14" i="1"/>
  <c r="M14" i="1"/>
  <c r="F14" i="1"/>
  <c r="G14" i="1" s="1"/>
  <c r="O14" i="1" s="1"/>
  <c r="X13" i="1"/>
  <c r="W13" i="1"/>
  <c r="V13" i="1"/>
  <c r="U13" i="1"/>
  <c r="T13" i="1"/>
  <c r="S13" i="1"/>
  <c r="R13" i="1"/>
  <c r="Q13" i="1"/>
  <c r="P13" i="1"/>
  <c r="N13" i="1"/>
  <c r="M13" i="1"/>
  <c r="F13" i="1"/>
  <c r="G13" i="1" s="1"/>
  <c r="O13" i="1" s="1"/>
  <c r="X12" i="1"/>
  <c r="W12" i="1"/>
  <c r="W17" i="1" s="1"/>
  <c r="V12" i="1"/>
  <c r="U12" i="1"/>
  <c r="T12" i="1"/>
  <c r="S12" i="1"/>
  <c r="R12" i="1"/>
  <c r="Q12" i="1"/>
  <c r="P12" i="1"/>
  <c r="O12" i="1"/>
  <c r="M12" i="1"/>
  <c r="F12" i="1"/>
  <c r="G12" i="1" s="1"/>
  <c r="N12" i="1" s="1"/>
  <c r="Y12" i="1" s="1"/>
  <c r="X11" i="1"/>
  <c r="W11" i="1"/>
  <c r="V11" i="1"/>
  <c r="U11" i="1"/>
  <c r="T11" i="1"/>
  <c r="S11" i="1"/>
  <c r="R11" i="1"/>
  <c r="Q11" i="1"/>
  <c r="P11" i="1"/>
  <c r="O11" i="1"/>
  <c r="M11" i="1"/>
  <c r="F11" i="1"/>
  <c r="G11" i="1" s="1"/>
  <c r="N11" i="1" s="1"/>
  <c r="Y11" i="1" s="1"/>
  <c r="X10" i="1"/>
  <c r="W10" i="1"/>
  <c r="V10" i="1"/>
  <c r="U10" i="1"/>
  <c r="T10" i="1"/>
  <c r="S10" i="1"/>
  <c r="R10" i="1"/>
  <c r="Q10" i="1"/>
  <c r="P10" i="1"/>
  <c r="O10" i="1"/>
  <c r="N10" i="1"/>
  <c r="F10" i="1"/>
  <c r="G10" i="1" s="1"/>
  <c r="M10" i="1" s="1"/>
  <c r="Y10" i="1" s="1"/>
  <c r="X9" i="1"/>
  <c r="W9" i="1"/>
  <c r="V9" i="1"/>
  <c r="U9" i="1"/>
  <c r="T9" i="1"/>
  <c r="T17" i="1" s="1"/>
  <c r="S9" i="1"/>
  <c r="R9" i="1"/>
  <c r="Q9" i="1"/>
  <c r="P9" i="1"/>
  <c r="O9" i="1"/>
  <c r="N9" i="1"/>
  <c r="F9" i="1"/>
  <c r="G9" i="1" s="1"/>
  <c r="M9" i="1" s="1"/>
  <c r="Y9" i="1" s="1"/>
  <c r="X8" i="1"/>
  <c r="X17" i="1" s="1"/>
  <c r="W8" i="1"/>
  <c r="V8" i="1"/>
  <c r="U8" i="1"/>
  <c r="U17" i="1" s="1"/>
  <c r="T8" i="1"/>
  <c r="S8" i="1"/>
  <c r="S17" i="1" s="1"/>
  <c r="R8" i="1"/>
  <c r="R17" i="1" s="1"/>
  <c r="Q8" i="1"/>
  <c r="Q17" i="1" s="1"/>
  <c r="P8" i="1"/>
  <c r="P17" i="1" s="1"/>
  <c r="O8" i="1"/>
  <c r="N8" i="1"/>
  <c r="F8" i="1"/>
  <c r="F16" i="1" s="1"/>
  <c r="Y13" i="1" l="1"/>
  <c r="Y25" i="1"/>
  <c r="O17" i="1"/>
  <c r="T49" i="1"/>
  <c r="T50" i="1" s="1"/>
  <c r="N17" i="1"/>
  <c r="N49" i="1" s="1"/>
  <c r="N50" i="1" s="1"/>
  <c r="M48" i="1"/>
  <c r="Y44" i="1"/>
  <c r="Y14" i="1"/>
  <c r="N36" i="1"/>
  <c r="O36" i="1"/>
  <c r="R32" i="1"/>
  <c r="T31" i="1"/>
  <c r="T37" i="1" s="1"/>
  <c r="R34" i="1"/>
  <c r="X35" i="1"/>
  <c r="U31" i="1"/>
  <c r="U37" i="1" s="1"/>
  <c r="U49" i="1" s="1"/>
  <c r="U50" i="1" s="1"/>
  <c r="M33" i="1"/>
  <c r="Y33" i="1" s="1"/>
  <c r="S34" i="1"/>
  <c r="Y41" i="1"/>
  <c r="P36" i="1"/>
  <c r="O32" i="1"/>
  <c r="M35" i="1"/>
  <c r="Y35" i="1" s="1"/>
  <c r="S36" i="1"/>
  <c r="G8" i="1"/>
  <c r="P32" i="1"/>
  <c r="V33" i="1"/>
  <c r="N35" i="1"/>
  <c r="T36" i="1"/>
  <c r="Q32" i="1"/>
  <c r="O35" i="1"/>
  <c r="U36" i="1"/>
  <c r="O31" i="1"/>
  <c r="O37" i="1" s="1"/>
  <c r="U32" i="1"/>
  <c r="M34" i="1"/>
  <c r="Y34" i="1" s="1"/>
  <c r="S35" i="1"/>
  <c r="Y36" i="1"/>
  <c r="M36" i="1"/>
  <c r="M31" i="1"/>
  <c r="Q35" i="1"/>
  <c r="R35" i="1"/>
  <c r="X36" i="1"/>
  <c r="V32" i="1"/>
  <c r="T35" i="1"/>
  <c r="M21" i="1"/>
  <c r="P31" i="1"/>
  <c r="P37" i="1" s="1"/>
  <c r="P49" i="1" s="1"/>
  <c r="P50" i="1" s="1"/>
  <c r="N34" i="1"/>
  <c r="Q31" i="1"/>
  <c r="W32" i="1"/>
  <c r="W37" i="1" s="1"/>
  <c r="W49" i="1" s="1"/>
  <c r="W50" i="1" s="1"/>
  <c r="O34" i="1"/>
  <c r="U35" i="1"/>
  <c r="S32" i="1"/>
  <c r="S37" i="1" s="1"/>
  <c r="S49" i="1" s="1"/>
  <c r="S50" i="1" s="1"/>
  <c r="W36" i="1"/>
  <c r="N31" i="1"/>
  <c r="N37" i="1" s="1"/>
  <c r="X32" i="1"/>
  <c r="X37" i="1" s="1"/>
  <c r="X49" i="1" s="1"/>
  <c r="X50" i="1" s="1"/>
  <c r="V35" i="1"/>
  <c r="V37" i="1" s="1"/>
  <c r="V49" i="1" s="1"/>
  <c r="V50" i="1" s="1"/>
  <c r="M32" i="1"/>
  <c r="Y32" i="1" s="1"/>
  <c r="Q36" i="1"/>
  <c r="N32" i="1"/>
  <c r="R36" i="1"/>
  <c r="P35" i="1"/>
  <c r="T32" i="1"/>
  <c r="R31" i="1"/>
  <c r="P34" i="1"/>
  <c r="R37" i="1" l="1"/>
  <c r="R49" i="1" s="1"/>
  <c r="R50" i="1" s="1"/>
  <c r="Q37" i="1"/>
  <c r="Q49" i="1" s="1"/>
  <c r="Q50" i="1" s="1"/>
  <c r="M27" i="1"/>
  <c r="Y27" i="1" s="1"/>
  <c r="Y21" i="1"/>
  <c r="Y48" i="1"/>
  <c r="Y31" i="1"/>
  <c r="M37" i="1"/>
  <c r="Y37" i="1" s="1"/>
  <c r="L6" i="1" s="1"/>
  <c r="O49" i="1"/>
  <c r="O50" i="1" s="1"/>
  <c r="G16" i="1"/>
  <c r="L4" i="1" s="1"/>
  <c r="M8" i="1"/>
  <c r="M17" i="1" l="1"/>
  <c r="Y8" i="1"/>
  <c r="Y17" i="1" l="1"/>
  <c r="M49" i="1"/>
  <c r="Y49" i="1" l="1"/>
  <c r="M50" i="1"/>
  <c r="M51" i="1" l="1"/>
  <c r="Y50" i="1"/>
  <c r="N51" i="1" l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L7" i="1"/>
  <c r="L9" i="1" s="1"/>
  <c r="L18" i="1" s="1"/>
</calcChain>
</file>

<file path=xl/sharedStrings.xml><?xml version="1.0" encoding="utf-8"?>
<sst xmlns="http://schemas.openxmlformats.org/spreadsheetml/2006/main" count="199" uniqueCount="112">
  <si>
    <t>Kapitalbedarfsplan</t>
  </si>
  <si>
    <t>Unternehmen</t>
  </si>
  <si>
    <t>Beispiel GmbH</t>
  </si>
  <si>
    <t>Planungsjahr</t>
  </si>
  <si>
    <t>Währung</t>
  </si>
  <si>
    <t>EUR</t>
  </si>
  <si>
    <t>Zusammenfassung</t>
  </si>
  <si>
    <t>Hinweis</t>
  </si>
  <si>
    <t>Gelbe Felder = Eingabe · Graue Felder = automatisch</t>
  </si>
  <si>
    <t>Summe Investitionen (brutto)</t>
  </si>
  <si>
    <t>Summe Gründungskosten (brutto)</t>
  </si>
  <si>
    <t>A) Investitionen (einmalig)</t>
  </si>
  <si>
    <t>Laufende Auszahlungen (Jahr)</t>
  </si>
  <si>
    <t>Kategorie</t>
  </si>
  <si>
    <t>Position</t>
  </si>
  <si>
    <t>Menge</t>
  </si>
  <si>
    <t>Einzelpreis (netto)</t>
  </si>
  <si>
    <t>MwSt %</t>
  </si>
  <si>
    <t>Netto (berechnet)</t>
  </si>
  <si>
    <t>Brutto (berechnet)</t>
  </si>
  <si>
    <t>Zahlungsmonat</t>
  </si>
  <si>
    <t>Notiz</t>
  </si>
  <si>
    <t>Peak Finanzierungsbedarf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</si>
  <si>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</si>
  <si>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</si>
  <si>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</si>
  <si>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</si>
  <si>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</si>
  <si>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</si>
  <si>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</si>
  <si>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</si>
  <si>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</si>
  <si>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</si>
  <si>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</si>
  <si>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</si>
  <si>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Total 12M</t>
  </si>
  <si>
    <t>IT</t>
  </si>
  <si>
    <t>Laptops</t>
  </si>
  <si>
    <t>Arbeitsgeräte</t>
  </si>
  <si>
    <t>Reserve/Puffer (Eingabe)</t>
  </si>
  <si>
    <t>Büro</t>
  </si>
  <si>
    <t>Schreibtische</t>
  </si>
  <si>
    <t/>
  </si>
  <si>
    <t>Gesamtkapitalbedarf</t>
  </si>
  <si>
    <t>Stühle</t>
  </si>
  <si>
    <t>Software</t>
  </si>
  <si>
    <t>ERP/Tools (Setup)</t>
  </si>
  <si>
    <t>Einmalig</t>
  </si>
  <si>
    <t>Finanzierung</t>
  </si>
  <si>
    <t>Marketing</t>
  </si>
  <si>
    <t>Branding &amp; Design</t>
  </si>
  <si>
    <t>Eigenkapital</t>
  </si>
  <si>
    <t>Fahrzeug</t>
  </si>
  <si>
    <t>Lieferwagen (Anzahlung)</t>
  </si>
  <si>
    <t>Anzahlung</t>
  </si>
  <si>
    <t>Bankdarlehen</t>
  </si>
  <si>
    <t>Maschinen</t>
  </si>
  <si>
    <t>Produktionsgerät</t>
  </si>
  <si>
    <t>Fördermittel/Zuschüsse</t>
  </si>
  <si>
    <t>Sonstiges</t>
  </si>
  <si>
    <t>Kaution Büro</t>
  </si>
  <si>
    <t>3 Monatsmieten</t>
  </si>
  <si>
    <t>Gesellschafterdarlehen</t>
  </si>
  <si>
    <t>Summe Investitionen</t>
  </si>
  <si>
    <t>Investitionen pro Monat</t>
  </si>
  <si>
    <t>Summe Finanzierung</t>
  </si>
  <si>
    <t>Finanzierungslücke</t>
  </si>
  <si>
    <t>B) Gründungskosten (einmalig)</t>
  </si>
  <si>
    <t>Betrag (netto)</t>
  </si>
  <si>
    <t>Recht</t>
  </si>
  <si>
    <t>Notar &amp; Gründung</t>
  </si>
  <si>
    <t>Behörden</t>
  </si>
  <si>
    <t>Gebühren/Registrierung</t>
  </si>
  <si>
    <t>Web</t>
  </si>
  <si>
    <t>Website (Setup)</t>
  </si>
  <si>
    <t>Beratung</t>
  </si>
  <si>
    <t>Steuerberater (Setup)</t>
  </si>
  <si>
    <t>Versicherung</t>
  </si>
  <si>
    <t>Betriebshaftpflicht (Start)</t>
  </si>
  <si>
    <t>Summe Gründungskosten</t>
  </si>
  <si>
    <t>Gründungskosten pro Monat</t>
  </si>
  <si>
    <t>C) Laufende Kosten (monatlich)</t>
  </si>
  <si>
    <t>Kostenart</t>
  </si>
  <si>
    <t>Monatlicher Betrag (netto)</t>
  </si>
  <si>
    <t>Monatlicher Betrag (brutto)</t>
  </si>
  <si>
    <t>Startmonat</t>
  </si>
  <si>
    <t>Endmonat</t>
  </si>
  <si>
    <t>Steigerung %/Monat</t>
  </si>
  <si>
    <t>Total Jahr</t>
  </si>
  <si>
    <t>Miete</t>
  </si>
  <si>
    <t>Büromiete</t>
  </si>
  <si>
    <t>Personal</t>
  </si>
  <si>
    <t>Gehälter</t>
  </si>
  <si>
    <t>SaaS Abos</t>
  </si>
  <si>
    <t>Online Ads</t>
  </si>
  <si>
    <t>Versicherungen</t>
  </si>
  <si>
    <t>Bürobedarf</t>
  </si>
  <si>
    <t>Summe laufende Auszahlungen</t>
  </si>
  <si>
    <t>D) Einnahmen (optional)</t>
  </si>
  <si>
    <t>Einnahmeart</t>
  </si>
  <si>
    <t>Monatlicher Betrag</t>
  </si>
  <si>
    <t>Umsatz</t>
  </si>
  <si>
    <t>Produktverkäufe</t>
  </si>
  <si>
    <t>Service/Retainer</t>
  </si>
  <si>
    <t>Summe Einzahlungen</t>
  </si>
  <si>
    <t>E) Liquidität &amp; Kapitalbedarf</t>
  </si>
  <si>
    <t>Monat</t>
  </si>
  <si>
    <t>Total</t>
  </si>
  <si>
    <t>Einzahlungen</t>
  </si>
  <si>
    <t>Auszahlungen</t>
  </si>
  <si>
    <t>Netto Cashflow</t>
  </si>
  <si>
    <t>Kumuliert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</si>
</sst>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color rgb="FFFFFFFF"/>
      <name val="Calibri"/>
    </font>
    <font>
      <b/>
      <sz val="12"/>
      <color rgb="FFFFFFFF"/>
      <name val="Calibri"/>
    </font>
    <font>
      <b/>
      <sz val="11"/>
      <color rgb="FFFFFFFF"/>
      <name val="Calibri"/>
    </font>
    <font>
      <b/>
      <sz val="30"/>
      <color rgb="FFFFFFFF"/>
      <name val="Calibri"/>
      <family val="2"/>
    </font>
    <font>
      <sz val="3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1F415A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5" borderId="0" xfId="0" applyFont="1" applyFill="1" applyAlignment="1">
      <alignment horizontal="left" vertical="center" wrapText="1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2">
    <dxf>
      <font>
        <b/>
        <color rgb="FF000000"/>
      </font>
      <fill>
        <patternFill>
          <bgColor rgb="FF92D050"/>
        </patternFill>
      </fill>
    </dxf>
    <dxf>
      <font>
        <b/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r>
              <a:rPr lang="es-ES"/>
              <a:t>Cashflow &amp; Kumulierte Liquidität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02870551961674"/>
          <c:y val="0.26441483664656401"/>
          <c:w val="0.80749485310618696"/>
          <c:h val="0.66363688781688046"/>
        </c:manualLayout>
      </c:layout>
      <c:barChart>
        <c:barDir val="col"/>
        <c:grouping val="clustered"/>
        <c:varyColors val="1"/>
        <c:ser>
          <c:idx val="0"/>
          <c:order val="0"/>
          <c:tx>
            <c:v>Netto Cashflow</c:v>
          </c:tx>
          <c:spPr>
            <a:ln/>
          </c:spPr>
          <c:invertIfNegative val="1"/>
          <c:cat>
            <c:strRef>
              <c:f>Kapitalbedarf!$M$47:$X$47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Kapitalbedarf!$M$50:$X$50</c:f>
              <c:numCache>
                <c:formatCode>\€\ #,##0.00</c:formatCode>
                <c:ptCount val="12"/>
                <c:pt idx="0">
                  <c:v>-17229.900000000001</c:v>
                </c:pt>
                <c:pt idx="1">
                  <c:v>28.5</c:v>
                </c:pt>
                <c:pt idx="2">
                  <c:v>-16393.5</c:v>
                </c:pt>
                <c:pt idx="3">
                  <c:v>3836.5</c:v>
                </c:pt>
                <c:pt idx="4">
                  <c:v>3836.5</c:v>
                </c:pt>
                <c:pt idx="5">
                  <c:v>3836.5</c:v>
                </c:pt>
                <c:pt idx="6">
                  <c:v>3836.5</c:v>
                </c:pt>
                <c:pt idx="7">
                  <c:v>3836.5</c:v>
                </c:pt>
                <c:pt idx="8">
                  <c:v>3836.5</c:v>
                </c:pt>
                <c:pt idx="9">
                  <c:v>3836.5</c:v>
                </c:pt>
                <c:pt idx="10">
                  <c:v>3836.5</c:v>
                </c:pt>
                <c:pt idx="11">
                  <c:v>3836.5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D-4F89-AFEA-14EAA576B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\€\ #,##0.00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>
        <c:manualLayout>
          <c:xMode val="edge"/>
          <c:yMode val="edge"/>
          <c:x val="0.73922305583361714"/>
          <c:y val="0.57518003397339179"/>
          <c:w val="0.25029201625026232"/>
          <c:h val="0.37260411813841327"/>
        </c:manualLayout>
      </c:layout>
      <c:overlay val="1"/>
    </c:legend>
    <c:plotVisOnly val="1"/>
    <c:dispBlanksAs val="zero"/>
    <c:showDLblsOverMax val="1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126205</xdr:colOff>
      <xdr:row>0</xdr:row>
      <xdr:rowOff>19050</xdr:rowOff>
    </xdr:from>
    <xdr:to>
      <xdr:col>24</xdr:col>
      <xdr:colOff>726280</xdr:colOff>
      <xdr:row>5</xdr:row>
      <xdr:rowOff>216694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showGridLines="0" tabSelected="1" zoomScale="80" zoomScaleNormal="80" workbookViewId="0">
      <selection activeCell="H54" sqref="H54"/>
    </sheetView>
  </sheetViews>
  <sheetFormatPr baseColWidth="10" defaultColWidth="9.140625" defaultRowHeight="15" x14ac:dyDescent="0.25"/>
  <cols>
    <col min="1" max="1" width="16" customWidth="1"/>
    <col min="2" max="2" width="28" customWidth="1"/>
    <col min="3" max="3" width="10" customWidth="1"/>
    <col min="4" max="4" width="18" customWidth="1"/>
    <col min="5" max="5" width="10" customWidth="1"/>
    <col min="6" max="8" width="16" customWidth="1"/>
    <col min="9" max="9" width="22" customWidth="1"/>
    <col min="10" max="10" width="2" customWidth="1"/>
    <col min="11" max="11" width="24" customWidth="1"/>
    <col min="12" max="12" width="16" customWidth="1"/>
    <col min="13" max="24" width="10" customWidth="1"/>
    <col min="25" max="25" width="12" customWidth="1"/>
    <col min="26" max="26" width="6" customWidth="1"/>
  </cols>
  <sheetData>
    <row r="1" spans="1:26" ht="33.950000000000003" customHeight="1" x14ac:dyDescent="0.6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Z1">
        <v>0</v>
      </c>
    </row>
    <row r="2" spans="1:26" x14ac:dyDescent="0.25">
      <c r="Z2">
        <v>7.0000000000000007E-2</v>
      </c>
    </row>
    <row r="3" spans="1:26" x14ac:dyDescent="0.25">
      <c r="A3" s="1" t="s">
        <v>1</v>
      </c>
      <c r="B3" s="2" t="s">
        <v>2</v>
      </c>
      <c r="D3" s="1" t="s">
        <v>3</v>
      </c>
      <c r="E3" s="3">
        <v>2026</v>
      </c>
      <c r="G3" s="1" t="s">
        <v>4</v>
      </c>
      <c r="H3" s="3" t="s">
        <v>5</v>
      </c>
      <c r="K3" s="21" t="s">
        <v>6</v>
      </c>
      <c r="L3" s="16"/>
      <c r="Z3">
        <v>0.19</v>
      </c>
    </row>
    <row r="4" spans="1:26" ht="30" x14ac:dyDescent="0.25">
      <c r="A4" s="4" t="s">
        <v>7</v>
      </c>
      <c r="B4" s="19" t="s">
        <v>8</v>
      </c>
      <c r="C4" s="20"/>
      <c r="D4" s="20"/>
      <c r="E4" s="20"/>
      <c r="F4" s="20"/>
      <c r="G4" s="20"/>
      <c r="H4" s="20"/>
      <c r="I4" s="16"/>
      <c r="K4" s="6" t="s">
        <v>9</v>
      </c>
      <c r="L4" s="7">
        <f>G16</f>
        <v>31207.4</v>
      </c>
    </row>
    <row r="5" spans="1:26" ht="45" x14ac:dyDescent="0.25">
      <c r="K5" s="6" t="s">
        <v>10</v>
      </c>
      <c r="L5" s="7">
        <f>E26</f>
        <v>3087</v>
      </c>
    </row>
    <row r="6" spans="1:26" ht="21.95" customHeight="1" x14ac:dyDescent="0.25">
      <c r="A6" s="17" t="s">
        <v>11</v>
      </c>
      <c r="B6" s="18"/>
      <c r="C6" s="18"/>
      <c r="D6" s="18"/>
      <c r="E6" s="18"/>
      <c r="F6" s="18"/>
      <c r="G6" s="18"/>
      <c r="H6" s="18"/>
      <c r="I6" s="18"/>
      <c r="K6" s="6" t="s">
        <v>12</v>
      </c>
      <c r="L6" s="7">
        <f>Y37</f>
        <v>132772</v>
      </c>
    </row>
    <row r="7" spans="1:26" ht="20.100000000000001" customHeight="1" x14ac:dyDescent="0.25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21</v>
      </c>
      <c r="K7" s="6" t="s">
        <v>22</v>
      </c>
      <c r="L7" s="7">
        <f>MAX(0,-MIN(M51:X51))</f>
        <v>33594.9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8" t="s">
        <v>30</v>
      </c>
      <c r="U7" s="8" t="s">
        <v>31</v>
      </c>
      <c r="V7" s="8" t="s">
        <v>32</v>
      </c>
      <c r="W7" s="8" t="s">
        <v>33</v>
      </c>
      <c r="X7" s="8" t="s">
        <v>34</v>
      </c>
      <c r="Y7" s="8" t="s">
        <v>35</v>
      </c>
    </row>
    <row r="8" spans="1:26" x14ac:dyDescent="0.25">
      <c r="A8" s="2" t="s">
        <v>36</v>
      </c>
      <c r="B8" s="2" t="s">
        <v>37</v>
      </c>
      <c r="C8" s="3">
        <v>3</v>
      </c>
      <c r="D8" s="9">
        <v>1200</v>
      </c>
      <c r="E8" s="10">
        <v>0.19</v>
      </c>
      <c r="F8" s="7">
        <f t="shared" ref="F8:F15" si="0">IF(OR($C8="",$D8=""),"",$C8*$D8)</f>
        <v>3600</v>
      </c>
      <c r="G8" s="7">
        <f t="shared" ref="G8:G15" si="1">IF($F8="","",$F8*(1+$E8))</f>
        <v>4284</v>
      </c>
      <c r="H8" s="3">
        <v>1</v>
      </c>
      <c r="I8" s="2" t="s">
        <v>38</v>
      </c>
      <c r="K8" s="6" t="s">
        <v>39</v>
      </c>
      <c r="L8" s="11">
        <v>5000</v>
      </c>
      <c r="M8" s="7">
        <f t="shared" ref="M8:M15" si="2">IF($H8=1,$G8,0)</f>
        <v>4284</v>
      </c>
      <c r="N8" s="7">
        <f t="shared" ref="N8:N15" si="3">IF($H8=2,$G8,0)</f>
        <v>0</v>
      </c>
      <c r="O8" s="7">
        <f t="shared" ref="O8:O15" si="4">IF($H8=3,$G8,0)</f>
        <v>0</v>
      </c>
      <c r="P8" s="7">
        <f t="shared" ref="P8:P15" si="5">IF($H8=4,$G8,0)</f>
        <v>0</v>
      </c>
      <c r="Q8" s="7">
        <f t="shared" ref="Q8:Q15" si="6">IF($H8=5,$G8,0)</f>
        <v>0</v>
      </c>
      <c r="R8" s="7">
        <f t="shared" ref="R8:R15" si="7">IF($H8=6,$G8,0)</f>
        <v>0</v>
      </c>
      <c r="S8" s="7">
        <f t="shared" ref="S8:S15" si="8">IF($H8=7,$G8,0)</f>
        <v>0</v>
      </c>
      <c r="T8" s="7">
        <f t="shared" ref="T8:T15" si="9">IF($H8=8,$G8,0)</f>
        <v>0</v>
      </c>
      <c r="U8" s="7">
        <f t="shared" ref="U8:U15" si="10">IF($H8=9,$G8,0)</f>
        <v>0</v>
      </c>
      <c r="V8" s="7">
        <f t="shared" ref="V8:V15" si="11">IF($H8=10,$G8,0)</f>
        <v>0</v>
      </c>
      <c r="W8" s="7">
        <f t="shared" ref="W8:W15" si="12">IF($H8=11,$G8,0)</f>
        <v>0</v>
      </c>
      <c r="X8" s="7">
        <f t="shared" ref="X8:X15" si="13">IF($H8=12,$G8,0)</f>
        <v>0</v>
      </c>
      <c r="Y8" s="7">
        <f t="shared" ref="Y8:Y15" si="14">SUM(M8:X8)</f>
        <v>4284</v>
      </c>
    </row>
    <row r="9" spans="1:26" x14ac:dyDescent="0.25">
      <c r="A9" s="2" t="s">
        <v>40</v>
      </c>
      <c r="B9" s="2" t="s">
        <v>41</v>
      </c>
      <c r="C9" s="3">
        <v>4</v>
      </c>
      <c r="D9" s="9">
        <v>250</v>
      </c>
      <c r="E9" s="10">
        <v>0.19</v>
      </c>
      <c r="F9" s="7">
        <f t="shared" si="0"/>
        <v>1000</v>
      </c>
      <c r="G9" s="7">
        <f t="shared" si="1"/>
        <v>1190</v>
      </c>
      <c r="H9" s="3">
        <v>1</v>
      </c>
      <c r="I9" s="2" t="s">
        <v>42</v>
      </c>
      <c r="K9" s="6" t="s">
        <v>43</v>
      </c>
      <c r="L9" s="7">
        <f>L7+L8</f>
        <v>38594.9</v>
      </c>
      <c r="M9" s="7">
        <f t="shared" si="2"/>
        <v>1190</v>
      </c>
      <c r="N9" s="7">
        <f t="shared" si="3"/>
        <v>0</v>
      </c>
      <c r="O9" s="7">
        <f t="shared" si="4"/>
        <v>0</v>
      </c>
      <c r="P9" s="7">
        <f t="shared" si="5"/>
        <v>0</v>
      </c>
      <c r="Q9" s="7">
        <f t="shared" si="6"/>
        <v>0</v>
      </c>
      <c r="R9" s="7">
        <f t="shared" si="7"/>
        <v>0</v>
      </c>
      <c r="S9" s="7">
        <f t="shared" si="8"/>
        <v>0</v>
      </c>
      <c r="T9" s="7">
        <f t="shared" si="9"/>
        <v>0</v>
      </c>
      <c r="U9" s="7">
        <f t="shared" si="10"/>
        <v>0</v>
      </c>
      <c r="V9" s="7">
        <f t="shared" si="11"/>
        <v>0</v>
      </c>
      <c r="W9" s="7">
        <f t="shared" si="12"/>
        <v>0</v>
      </c>
      <c r="X9" s="7">
        <f t="shared" si="13"/>
        <v>0</v>
      </c>
      <c r="Y9" s="7">
        <f t="shared" si="14"/>
        <v>1190</v>
      </c>
    </row>
    <row r="10" spans="1:26" x14ac:dyDescent="0.25">
      <c r="A10" s="2" t="s">
        <v>40</v>
      </c>
      <c r="B10" s="2" t="s">
        <v>44</v>
      </c>
      <c r="C10" s="3">
        <v>4</v>
      </c>
      <c r="D10" s="9">
        <v>140</v>
      </c>
      <c r="E10" s="10">
        <v>0.19</v>
      </c>
      <c r="F10" s="7">
        <f t="shared" si="0"/>
        <v>560</v>
      </c>
      <c r="G10" s="7">
        <f t="shared" si="1"/>
        <v>666.4</v>
      </c>
      <c r="H10" s="3">
        <v>1</v>
      </c>
      <c r="I10" s="2" t="s">
        <v>42</v>
      </c>
      <c r="M10" s="7">
        <f t="shared" si="2"/>
        <v>666.4</v>
      </c>
      <c r="N10" s="7">
        <f t="shared" si="3"/>
        <v>0</v>
      </c>
      <c r="O10" s="7">
        <f t="shared" si="4"/>
        <v>0</v>
      </c>
      <c r="P10" s="7">
        <f t="shared" si="5"/>
        <v>0</v>
      </c>
      <c r="Q10" s="7">
        <f t="shared" si="6"/>
        <v>0</v>
      </c>
      <c r="R10" s="7">
        <f t="shared" si="7"/>
        <v>0</v>
      </c>
      <c r="S10" s="7">
        <f t="shared" si="8"/>
        <v>0</v>
      </c>
      <c r="T10" s="7">
        <f t="shared" si="9"/>
        <v>0</v>
      </c>
      <c r="U10" s="7">
        <f t="shared" si="10"/>
        <v>0</v>
      </c>
      <c r="V10" s="7">
        <f t="shared" si="11"/>
        <v>0</v>
      </c>
      <c r="W10" s="7">
        <f t="shared" si="12"/>
        <v>0</v>
      </c>
      <c r="X10" s="7">
        <f t="shared" si="13"/>
        <v>0</v>
      </c>
      <c r="Y10" s="7">
        <f t="shared" si="14"/>
        <v>666.4</v>
      </c>
    </row>
    <row r="11" spans="1:26" x14ac:dyDescent="0.25">
      <c r="A11" s="2" t="s">
        <v>45</v>
      </c>
      <c r="B11" s="2" t="s">
        <v>46</v>
      </c>
      <c r="C11" s="3">
        <v>1</v>
      </c>
      <c r="D11" s="9">
        <v>800</v>
      </c>
      <c r="E11" s="10">
        <v>0.19</v>
      </c>
      <c r="F11" s="7">
        <f t="shared" si="0"/>
        <v>800</v>
      </c>
      <c r="G11" s="7">
        <f t="shared" si="1"/>
        <v>952</v>
      </c>
      <c r="H11" s="3">
        <v>2</v>
      </c>
      <c r="I11" s="2" t="s">
        <v>47</v>
      </c>
      <c r="K11" s="15" t="s">
        <v>48</v>
      </c>
      <c r="L11" s="16"/>
      <c r="M11" s="7">
        <f t="shared" si="2"/>
        <v>0</v>
      </c>
      <c r="N11" s="7">
        <f t="shared" si="3"/>
        <v>952</v>
      </c>
      <c r="O11" s="7">
        <f t="shared" si="4"/>
        <v>0</v>
      </c>
      <c r="P11" s="7">
        <f t="shared" si="5"/>
        <v>0</v>
      </c>
      <c r="Q11" s="7">
        <f t="shared" si="6"/>
        <v>0</v>
      </c>
      <c r="R11" s="7">
        <f t="shared" si="7"/>
        <v>0</v>
      </c>
      <c r="S11" s="7">
        <f t="shared" si="8"/>
        <v>0</v>
      </c>
      <c r="T11" s="7">
        <f t="shared" si="9"/>
        <v>0</v>
      </c>
      <c r="U11" s="7">
        <f t="shared" si="10"/>
        <v>0</v>
      </c>
      <c r="V11" s="7">
        <f t="shared" si="11"/>
        <v>0</v>
      </c>
      <c r="W11" s="7">
        <f t="shared" si="12"/>
        <v>0</v>
      </c>
      <c r="X11" s="7">
        <f t="shared" si="13"/>
        <v>0</v>
      </c>
      <c r="Y11" s="7">
        <f t="shared" si="14"/>
        <v>952</v>
      </c>
    </row>
    <row r="12" spans="1:26" x14ac:dyDescent="0.25">
      <c r="A12" s="2" t="s">
        <v>49</v>
      </c>
      <c r="B12" s="2" t="s">
        <v>50</v>
      </c>
      <c r="C12" s="3">
        <v>1</v>
      </c>
      <c r="D12" s="9">
        <v>1500</v>
      </c>
      <c r="E12" s="10">
        <v>0.19</v>
      </c>
      <c r="F12" s="7">
        <f t="shared" si="0"/>
        <v>1500</v>
      </c>
      <c r="G12" s="7">
        <f t="shared" si="1"/>
        <v>1785</v>
      </c>
      <c r="H12" s="3">
        <v>2</v>
      </c>
      <c r="I12" s="2" t="s">
        <v>42</v>
      </c>
      <c r="K12" s="5" t="s">
        <v>51</v>
      </c>
      <c r="L12" s="11">
        <v>25000</v>
      </c>
      <c r="M12" s="7">
        <f t="shared" si="2"/>
        <v>0</v>
      </c>
      <c r="N12" s="7">
        <f t="shared" si="3"/>
        <v>1785</v>
      </c>
      <c r="O12" s="7">
        <f t="shared" si="4"/>
        <v>0</v>
      </c>
      <c r="P12" s="7">
        <f t="shared" si="5"/>
        <v>0</v>
      </c>
      <c r="Q12" s="7">
        <f t="shared" si="6"/>
        <v>0</v>
      </c>
      <c r="R12" s="7">
        <f t="shared" si="7"/>
        <v>0</v>
      </c>
      <c r="S12" s="7">
        <f t="shared" si="8"/>
        <v>0</v>
      </c>
      <c r="T12" s="7">
        <f t="shared" si="9"/>
        <v>0</v>
      </c>
      <c r="U12" s="7">
        <f t="shared" si="10"/>
        <v>0</v>
      </c>
      <c r="V12" s="7">
        <f t="shared" si="11"/>
        <v>0</v>
      </c>
      <c r="W12" s="7">
        <f t="shared" si="12"/>
        <v>0</v>
      </c>
      <c r="X12" s="7">
        <f t="shared" si="13"/>
        <v>0</v>
      </c>
      <c r="Y12" s="7">
        <f t="shared" si="14"/>
        <v>1785</v>
      </c>
    </row>
    <row r="13" spans="1:26" x14ac:dyDescent="0.25">
      <c r="A13" s="2" t="s">
        <v>52</v>
      </c>
      <c r="B13" s="2" t="s">
        <v>53</v>
      </c>
      <c r="C13" s="3">
        <v>1</v>
      </c>
      <c r="D13" s="9">
        <v>5000</v>
      </c>
      <c r="E13" s="10">
        <v>0.19</v>
      </c>
      <c r="F13" s="7">
        <f t="shared" si="0"/>
        <v>5000</v>
      </c>
      <c r="G13" s="7">
        <f t="shared" si="1"/>
        <v>5950</v>
      </c>
      <c r="H13" s="3">
        <v>3</v>
      </c>
      <c r="I13" s="2" t="s">
        <v>54</v>
      </c>
      <c r="K13" s="5" t="s">
        <v>55</v>
      </c>
      <c r="L13" s="11">
        <v>20000</v>
      </c>
      <c r="M13" s="7">
        <f t="shared" si="2"/>
        <v>0</v>
      </c>
      <c r="N13" s="7">
        <f t="shared" si="3"/>
        <v>0</v>
      </c>
      <c r="O13" s="7">
        <f t="shared" si="4"/>
        <v>5950</v>
      </c>
      <c r="P13" s="7">
        <f t="shared" si="5"/>
        <v>0</v>
      </c>
      <c r="Q13" s="7">
        <f t="shared" si="6"/>
        <v>0</v>
      </c>
      <c r="R13" s="7">
        <f t="shared" si="7"/>
        <v>0</v>
      </c>
      <c r="S13" s="7">
        <f t="shared" si="8"/>
        <v>0</v>
      </c>
      <c r="T13" s="7">
        <f t="shared" si="9"/>
        <v>0</v>
      </c>
      <c r="U13" s="7">
        <f t="shared" si="10"/>
        <v>0</v>
      </c>
      <c r="V13" s="7">
        <f t="shared" si="11"/>
        <v>0</v>
      </c>
      <c r="W13" s="7">
        <f t="shared" si="12"/>
        <v>0</v>
      </c>
      <c r="X13" s="7">
        <f t="shared" si="13"/>
        <v>0</v>
      </c>
      <c r="Y13" s="7">
        <f t="shared" si="14"/>
        <v>5950</v>
      </c>
    </row>
    <row r="14" spans="1:26" x14ac:dyDescent="0.25">
      <c r="A14" s="2" t="s">
        <v>56</v>
      </c>
      <c r="B14" s="2" t="s">
        <v>57</v>
      </c>
      <c r="C14" s="3">
        <v>1</v>
      </c>
      <c r="D14" s="9">
        <v>12000</v>
      </c>
      <c r="E14" s="10">
        <v>0.19</v>
      </c>
      <c r="F14" s="7">
        <f t="shared" si="0"/>
        <v>12000</v>
      </c>
      <c r="G14" s="7">
        <f t="shared" si="1"/>
        <v>14280</v>
      </c>
      <c r="H14" s="3">
        <v>3</v>
      </c>
      <c r="I14" s="2" t="s">
        <v>42</v>
      </c>
      <c r="K14" s="5" t="s">
        <v>58</v>
      </c>
      <c r="L14" s="11">
        <v>5000</v>
      </c>
      <c r="M14" s="7">
        <f t="shared" si="2"/>
        <v>0</v>
      </c>
      <c r="N14" s="7">
        <f t="shared" si="3"/>
        <v>0</v>
      </c>
      <c r="O14" s="7">
        <f t="shared" si="4"/>
        <v>14280</v>
      </c>
      <c r="P14" s="7">
        <f t="shared" si="5"/>
        <v>0</v>
      </c>
      <c r="Q14" s="7">
        <f t="shared" si="6"/>
        <v>0</v>
      </c>
      <c r="R14" s="7">
        <f t="shared" si="7"/>
        <v>0</v>
      </c>
      <c r="S14" s="7">
        <f t="shared" si="8"/>
        <v>0</v>
      </c>
      <c r="T14" s="7">
        <f t="shared" si="9"/>
        <v>0</v>
      </c>
      <c r="U14" s="7">
        <f t="shared" si="10"/>
        <v>0</v>
      </c>
      <c r="V14" s="7">
        <f t="shared" si="11"/>
        <v>0</v>
      </c>
      <c r="W14" s="7">
        <f t="shared" si="12"/>
        <v>0</v>
      </c>
      <c r="X14" s="7">
        <f t="shared" si="13"/>
        <v>0</v>
      </c>
      <c r="Y14" s="7">
        <f t="shared" si="14"/>
        <v>14280</v>
      </c>
    </row>
    <row r="15" spans="1:26" x14ac:dyDescent="0.25">
      <c r="A15" s="2" t="s">
        <v>59</v>
      </c>
      <c r="B15" s="2" t="s">
        <v>60</v>
      </c>
      <c r="C15" s="3">
        <v>1</v>
      </c>
      <c r="D15" s="9">
        <v>2100</v>
      </c>
      <c r="E15" s="10">
        <v>0</v>
      </c>
      <c r="F15" s="7">
        <f t="shared" si="0"/>
        <v>2100</v>
      </c>
      <c r="G15" s="7">
        <f t="shared" si="1"/>
        <v>2100</v>
      </c>
      <c r="H15" s="3">
        <v>1</v>
      </c>
      <c r="I15" s="2" t="s">
        <v>61</v>
      </c>
      <c r="K15" s="5" t="s">
        <v>62</v>
      </c>
      <c r="L15" s="11">
        <v>0</v>
      </c>
      <c r="M15" s="7">
        <f t="shared" si="2"/>
        <v>2100</v>
      </c>
      <c r="N15" s="7">
        <f t="shared" si="3"/>
        <v>0</v>
      </c>
      <c r="O15" s="7">
        <f t="shared" si="4"/>
        <v>0</v>
      </c>
      <c r="P15" s="7">
        <f t="shared" si="5"/>
        <v>0</v>
      </c>
      <c r="Q15" s="7">
        <f t="shared" si="6"/>
        <v>0</v>
      </c>
      <c r="R15" s="7">
        <f t="shared" si="7"/>
        <v>0</v>
      </c>
      <c r="S15" s="7">
        <f t="shared" si="8"/>
        <v>0</v>
      </c>
      <c r="T15" s="7">
        <f t="shared" si="9"/>
        <v>0</v>
      </c>
      <c r="U15" s="7">
        <f t="shared" si="10"/>
        <v>0</v>
      </c>
      <c r="V15" s="7">
        <f t="shared" si="11"/>
        <v>0</v>
      </c>
      <c r="W15" s="7">
        <f t="shared" si="12"/>
        <v>0</v>
      </c>
      <c r="X15" s="7">
        <f t="shared" si="13"/>
        <v>0</v>
      </c>
      <c r="Y15" s="7">
        <f t="shared" si="14"/>
        <v>2100</v>
      </c>
    </row>
    <row r="16" spans="1:26" ht="47.25" x14ac:dyDescent="0.25">
      <c r="E16" s="12" t="s">
        <v>63</v>
      </c>
      <c r="F16" s="13">
        <f>SUM(F8:F15)</f>
        <v>26560</v>
      </c>
      <c r="G16" s="13">
        <f>SUM(G8:G15)</f>
        <v>31207.4</v>
      </c>
      <c r="K16" s="5" t="s">
        <v>59</v>
      </c>
      <c r="L16" s="11">
        <v>0</v>
      </c>
    </row>
    <row r="17" spans="1:25" ht="15.75" x14ac:dyDescent="0.25">
      <c r="B17" s="6" t="s">
        <v>64</v>
      </c>
      <c r="K17" s="14" t="s">
        <v>65</v>
      </c>
      <c r="L17" s="13">
        <f>SUM(L12:L16)</f>
        <v>50000</v>
      </c>
      <c r="M17" s="13">
        <f t="shared" ref="M17:X17" si="15">SUM(M8:M15)</f>
        <v>8240.4</v>
      </c>
      <c r="N17" s="13">
        <f t="shared" si="15"/>
        <v>2737</v>
      </c>
      <c r="O17" s="13">
        <f t="shared" si="15"/>
        <v>20230</v>
      </c>
      <c r="P17" s="13">
        <f t="shared" si="15"/>
        <v>0</v>
      </c>
      <c r="Q17" s="13">
        <f t="shared" si="15"/>
        <v>0</v>
      </c>
      <c r="R17" s="13">
        <f t="shared" si="15"/>
        <v>0</v>
      </c>
      <c r="S17" s="13">
        <f t="shared" si="15"/>
        <v>0</v>
      </c>
      <c r="T17" s="13">
        <f t="shared" si="15"/>
        <v>0</v>
      </c>
      <c r="U17" s="13">
        <f t="shared" si="15"/>
        <v>0</v>
      </c>
      <c r="V17" s="13">
        <f t="shared" si="15"/>
        <v>0</v>
      </c>
      <c r="W17" s="13">
        <f t="shared" si="15"/>
        <v>0</v>
      </c>
      <c r="X17" s="13">
        <f t="shared" si="15"/>
        <v>0</v>
      </c>
      <c r="Y17" s="13">
        <f>SUM(M17:X17)</f>
        <v>31207.4</v>
      </c>
    </row>
    <row r="18" spans="1:25" ht="15.75" x14ac:dyDescent="0.25">
      <c r="K18" s="14" t="s">
        <v>66</v>
      </c>
      <c r="L18" s="13">
        <f>L9-L17</f>
        <v>-11405.099999999999</v>
      </c>
    </row>
    <row r="19" spans="1:25" ht="21.95" customHeight="1" x14ac:dyDescent="0.25">
      <c r="A19" s="17" t="s">
        <v>67</v>
      </c>
      <c r="B19" s="18"/>
      <c r="C19" s="18"/>
      <c r="D19" s="18"/>
      <c r="E19" s="18"/>
      <c r="F19" s="18"/>
      <c r="G19" s="18"/>
    </row>
    <row r="20" spans="1:25" ht="20.100000000000001" customHeight="1" x14ac:dyDescent="0.25">
      <c r="A20" s="8" t="s">
        <v>13</v>
      </c>
      <c r="B20" s="8" t="s">
        <v>14</v>
      </c>
      <c r="C20" s="8" t="s">
        <v>68</v>
      </c>
      <c r="D20" s="8" t="s">
        <v>17</v>
      </c>
      <c r="E20" s="8" t="s">
        <v>19</v>
      </c>
      <c r="F20" s="8" t="s">
        <v>20</v>
      </c>
      <c r="G20" s="8" t="s">
        <v>21</v>
      </c>
      <c r="M20" s="8" t="s">
        <v>23</v>
      </c>
      <c r="N20" s="8" t="s">
        <v>24</v>
      </c>
      <c r="O20" s="8" t="s">
        <v>25</v>
      </c>
      <c r="P20" s="8" t="s">
        <v>26</v>
      </c>
      <c r="Q20" s="8" t="s">
        <v>27</v>
      </c>
      <c r="R20" s="8" t="s">
        <v>28</v>
      </c>
      <c r="S20" s="8" t="s">
        <v>29</v>
      </c>
      <c r="T20" s="8" t="s">
        <v>30</v>
      </c>
      <c r="U20" s="8" t="s">
        <v>31</v>
      </c>
      <c r="V20" s="8" t="s">
        <v>32</v>
      </c>
      <c r="W20" s="8" t="s">
        <v>33</v>
      </c>
      <c r="X20" s="8" t="s">
        <v>34</v>
      </c>
      <c r="Y20" s="8" t="s">
        <v>35</v>
      </c>
    </row>
    <row r="21" spans="1:25" x14ac:dyDescent="0.25">
      <c r="A21" s="2" t="s">
        <v>69</v>
      </c>
      <c r="B21" s="2" t="s">
        <v>70</v>
      </c>
      <c r="C21" s="9">
        <v>900</v>
      </c>
      <c r="D21" s="10">
        <v>0.19</v>
      </c>
      <c r="E21" s="7">
        <f>IF($C21="","",$C21*(1+$D21))</f>
        <v>1071</v>
      </c>
      <c r="F21" s="3">
        <v>1</v>
      </c>
      <c r="G21" s="2" t="s">
        <v>42</v>
      </c>
      <c r="M21" s="7">
        <f>IF($F21=1,$E21,0)</f>
        <v>1071</v>
      </c>
      <c r="N21" s="7">
        <f>IF($F21=2,$E21,0)</f>
        <v>0</v>
      </c>
      <c r="O21" s="7">
        <f>IF($F21=3,$E21,0)</f>
        <v>0</v>
      </c>
      <c r="P21" s="7">
        <f>IF($F21=4,$E21,0)</f>
        <v>0</v>
      </c>
      <c r="Q21" s="7">
        <f>IF($F21=5,$E21,0)</f>
        <v>0</v>
      </c>
      <c r="R21" s="7">
        <f>IF($F21=6,$E21,0)</f>
        <v>0</v>
      </c>
      <c r="S21" s="7">
        <f>IF($F21=7,$E21,0)</f>
        <v>0</v>
      </c>
      <c r="T21" s="7">
        <f>IF($F21=8,$E21,0)</f>
        <v>0</v>
      </c>
      <c r="U21" s="7">
        <f>IF($F21=9,$E21,0)</f>
        <v>0</v>
      </c>
      <c r="V21" s="7">
        <f>IF($F21=10,$E21,0)</f>
        <v>0</v>
      </c>
      <c r="W21" s="7">
        <f>IF($F21=11,$E21,0)</f>
        <v>0</v>
      </c>
      <c r="X21" s="7">
        <f>IF($F21=12,$E21,0)</f>
        <v>0</v>
      </c>
      <c r="Y21" s="7">
        <f>SUM(M21:X21)</f>
        <v>1071</v>
      </c>
    </row>
    <row r="22" spans="1:25" x14ac:dyDescent="0.25">
      <c r="A22" s="2" t="s">
        <v>71</v>
      </c>
      <c r="B22" s="2" t="s">
        <v>72</v>
      </c>
      <c r="C22" s="9">
        <v>350</v>
      </c>
      <c r="D22" s="10">
        <v>0</v>
      </c>
      <c r="E22" s="7">
        <f>IF($C22="","",$C22*(1+$D22))</f>
        <v>350</v>
      </c>
      <c r="F22" s="3">
        <v>1</v>
      </c>
      <c r="G22" s="2" t="s">
        <v>42</v>
      </c>
      <c r="M22" s="7">
        <f>IF($F22=1,$E22,0)</f>
        <v>350</v>
      </c>
      <c r="N22" s="7">
        <f>IF($F22=2,$E22,0)</f>
        <v>0</v>
      </c>
      <c r="O22" s="7">
        <f>IF($F22=3,$E22,0)</f>
        <v>0</v>
      </c>
      <c r="P22" s="7">
        <f>IF($F22=4,$E22,0)</f>
        <v>0</v>
      </c>
      <c r="Q22" s="7">
        <f>IF($F22=5,$E22,0)</f>
        <v>0</v>
      </c>
      <c r="R22" s="7">
        <f>IF($F22=6,$E22,0)</f>
        <v>0</v>
      </c>
      <c r="S22" s="7">
        <f>IF($F22=7,$E22,0)</f>
        <v>0</v>
      </c>
      <c r="T22" s="7">
        <f>IF($F22=8,$E22,0)</f>
        <v>0</v>
      </c>
      <c r="U22" s="7">
        <f>IF($F22=9,$E22,0)</f>
        <v>0</v>
      </c>
      <c r="V22" s="7">
        <f>IF($F22=10,$E22,0)</f>
        <v>0</v>
      </c>
      <c r="W22" s="7">
        <f>IF($F22=11,$E22,0)</f>
        <v>0</v>
      </c>
      <c r="X22" s="7">
        <f>IF($F22=12,$E22,0)</f>
        <v>0</v>
      </c>
      <c r="Y22" s="7">
        <f>SUM(M22:X22)</f>
        <v>350</v>
      </c>
    </row>
    <row r="23" spans="1:25" x14ac:dyDescent="0.25">
      <c r="A23" s="2" t="s">
        <v>73</v>
      </c>
      <c r="B23" s="2" t="s">
        <v>74</v>
      </c>
      <c r="C23" s="9">
        <v>600</v>
      </c>
      <c r="D23" s="10">
        <v>0.19</v>
      </c>
      <c r="E23" s="7">
        <f>IF($C23="","",$C23*(1+$D23))</f>
        <v>714</v>
      </c>
      <c r="F23" s="3">
        <v>2</v>
      </c>
      <c r="G23" s="2" t="s">
        <v>42</v>
      </c>
      <c r="M23" s="7">
        <f>IF($F23=1,$E23,0)</f>
        <v>0</v>
      </c>
      <c r="N23" s="7">
        <f>IF($F23=2,$E23,0)</f>
        <v>714</v>
      </c>
      <c r="O23" s="7">
        <f>IF($F23=3,$E23,0)</f>
        <v>0</v>
      </c>
      <c r="P23" s="7">
        <f>IF($F23=4,$E23,0)</f>
        <v>0</v>
      </c>
      <c r="Q23" s="7">
        <f>IF($F23=5,$E23,0)</f>
        <v>0</v>
      </c>
      <c r="R23" s="7">
        <f>IF($F23=6,$E23,0)</f>
        <v>0</v>
      </c>
      <c r="S23" s="7">
        <f>IF($F23=7,$E23,0)</f>
        <v>0</v>
      </c>
      <c r="T23" s="7">
        <f>IF($F23=8,$E23,0)</f>
        <v>0</v>
      </c>
      <c r="U23" s="7">
        <f>IF($F23=9,$E23,0)</f>
        <v>0</v>
      </c>
      <c r="V23" s="7">
        <f>IF($F23=10,$E23,0)</f>
        <v>0</v>
      </c>
      <c r="W23" s="7">
        <f>IF($F23=11,$E23,0)</f>
        <v>0</v>
      </c>
      <c r="X23" s="7">
        <f>IF($F23=12,$E23,0)</f>
        <v>0</v>
      </c>
      <c r="Y23" s="7">
        <f>SUM(M23:X23)</f>
        <v>714</v>
      </c>
    </row>
    <row r="24" spans="1:25" x14ac:dyDescent="0.25">
      <c r="A24" s="2" t="s">
        <v>75</v>
      </c>
      <c r="B24" s="2" t="s">
        <v>76</v>
      </c>
      <c r="C24" s="9">
        <v>500</v>
      </c>
      <c r="D24" s="10">
        <v>0.19</v>
      </c>
      <c r="E24" s="7">
        <f>IF($C24="","",$C24*(1+$D24))</f>
        <v>595</v>
      </c>
      <c r="F24" s="3">
        <v>1</v>
      </c>
      <c r="G24" s="2" t="s">
        <v>42</v>
      </c>
      <c r="M24" s="7">
        <f>IF($F24=1,$E24,0)</f>
        <v>595</v>
      </c>
      <c r="N24" s="7">
        <f>IF($F24=2,$E24,0)</f>
        <v>0</v>
      </c>
      <c r="O24" s="7">
        <f>IF($F24=3,$E24,0)</f>
        <v>0</v>
      </c>
      <c r="P24" s="7">
        <f>IF($F24=4,$E24,0)</f>
        <v>0</v>
      </c>
      <c r="Q24" s="7">
        <f>IF($F24=5,$E24,0)</f>
        <v>0</v>
      </c>
      <c r="R24" s="7">
        <f>IF($F24=6,$E24,0)</f>
        <v>0</v>
      </c>
      <c r="S24" s="7">
        <f>IF($F24=7,$E24,0)</f>
        <v>0</v>
      </c>
      <c r="T24" s="7">
        <f>IF($F24=8,$E24,0)</f>
        <v>0</v>
      </c>
      <c r="U24" s="7">
        <f>IF($F24=9,$E24,0)</f>
        <v>0</v>
      </c>
      <c r="V24" s="7">
        <f>IF($F24=10,$E24,0)</f>
        <v>0</v>
      </c>
      <c r="W24" s="7">
        <f>IF($F24=11,$E24,0)</f>
        <v>0</v>
      </c>
      <c r="X24" s="7">
        <f>IF($F24=12,$E24,0)</f>
        <v>0</v>
      </c>
      <c r="Y24" s="7">
        <f>SUM(M24:X24)</f>
        <v>595</v>
      </c>
    </row>
    <row r="25" spans="1:25" x14ac:dyDescent="0.25">
      <c r="A25" s="2" t="s">
        <v>77</v>
      </c>
      <c r="B25" s="2" t="s">
        <v>78</v>
      </c>
      <c r="C25" s="9">
        <v>300</v>
      </c>
      <c r="D25" s="10">
        <v>0.19</v>
      </c>
      <c r="E25" s="7">
        <f>IF($C25="","",$C25*(1+$D25))</f>
        <v>357</v>
      </c>
      <c r="F25" s="3">
        <v>2</v>
      </c>
      <c r="G25" s="2" t="s">
        <v>42</v>
      </c>
      <c r="M25" s="7">
        <f>IF($F25=1,$E25,0)</f>
        <v>0</v>
      </c>
      <c r="N25" s="7">
        <f>IF($F25=2,$E25,0)</f>
        <v>357</v>
      </c>
      <c r="O25" s="7">
        <f>IF($F25=3,$E25,0)</f>
        <v>0</v>
      </c>
      <c r="P25" s="7">
        <f>IF($F25=4,$E25,0)</f>
        <v>0</v>
      </c>
      <c r="Q25" s="7">
        <f>IF($F25=5,$E25,0)</f>
        <v>0</v>
      </c>
      <c r="R25" s="7">
        <f>IF($F25=6,$E25,0)</f>
        <v>0</v>
      </c>
      <c r="S25" s="7">
        <f>IF($F25=7,$E25,0)</f>
        <v>0</v>
      </c>
      <c r="T25" s="7">
        <f>IF($F25=8,$E25,0)</f>
        <v>0</v>
      </c>
      <c r="U25" s="7">
        <f>IF($F25=9,$E25,0)</f>
        <v>0</v>
      </c>
      <c r="V25" s="7">
        <f>IF($F25=10,$E25,0)</f>
        <v>0</v>
      </c>
      <c r="W25" s="7">
        <f>IF($F25=11,$E25,0)</f>
        <v>0</v>
      </c>
      <c r="X25" s="7">
        <f>IF($F25=12,$E25,0)</f>
        <v>0</v>
      </c>
      <c r="Y25" s="7">
        <f>SUM(M25:X25)</f>
        <v>357</v>
      </c>
    </row>
    <row r="26" spans="1:25" ht="15.75" x14ac:dyDescent="0.25">
      <c r="B26" s="12" t="s">
        <v>79</v>
      </c>
      <c r="C26" s="13">
        <f>SUM(C21:C25)</f>
        <v>2650</v>
      </c>
      <c r="E26" s="13">
        <f>SUM(E21:E25)</f>
        <v>3087</v>
      </c>
    </row>
    <row r="27" spans="1:25" ht="15.75" x14ac:dyDescent="0.25">
      <c r="B27" s="6" t="s">
        <v>80</v>
      </c>
      <c r="M27" s="13">
        <f t="shared" ref="M27:X27" si="16">SUM(M21:M25)</f>
        <v>2016</v>
      </c>
      <c r="N27" s="13">
        <f t="shared" si="16"/>
        <v>1071</v>
      </c>
      <c r="O27" s="13">
        <f t="shared" si="16"/>
        <v>0</v>
      </c>
      <c r="P27" s="13">
        <f t="shared" si="16"/>
        <v>0</v>
      </c>
      <c r="Q27" s="13">
        <f t="shared" si="16"/>
        <v>0</v>
      </c>
      <c r="R27" s="13">
        <f t="shared" si="16"/>
        <v>0</v>
      </c>
      <c r="S27" s="13">
        <f t="shared" si="16"/>
        <v>0</v>
      </c>
      <c r="T27" s="13">
        <f t="shared" si="16"/>
        <v>0</v>
      </c>
      <c r="U27" s="13">
        <f t="shared" si="16"/>
        <v>0</v>
      </c>
      <c r="V27" s="13">
        <f t="shared" si="16"/>
        <v>0</v>
      </c>
      <c r="W27" s="13">
        <f t="shared" si="16"/>
        <v>0</v>
      </c>
      <c r="X27" s="13">
        <f t="shared" si="16"/>
        <v>0</v>
      </c>
      <c r="Y27" s="13">
        <f>SUM(M27:X27)</f>
        <v>3087</v>
      </c>
    </row>
    <row r="29" spans="1:25" ht="21.95" customHeight="1" x14ac:dyDescent="0.25">
      <c r="A29" s="17" t="s">
        <v>81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20.100000000000001" customHeight="1" x14ac:dyDescent="0.25">
      <c r="A30" s="8" t="s">
        <v>82</v>
      </c>
      <c r="B30" s="8" t="s">
        <v>14</v>
      </c>
      <c r="C30" s="8" t="s">
        <v>83</v>
      </c>
      <c r="D30" s="8" t="s">
        <v>17</v>
      </c>
      <c r="E30" s="8" t="s">
        <v>84</v>
      </c>
      <c r="F30" s="8" t="s">
        <v>85</v>
      </c>
      <c r="G30" s="8" t="s">
        <v>86</v>
      </c>
      <c r="H30" s="8" t="s">
        <v>87</v>
      </c>
      <c r="I30" s="8" t="s">
        <v>21</v>
      </c>
      <c r="M30" s="8" t="s">
        <v>23</v>
      </c>
      <c r="N30" s="8" t="s">
        <v>24</v>
      </c>
      <c r="O30" s="8" t="s">
        <v>25</v>
      </c>
      <c r="P30" s="8" t="s">
        <v>26</v>
      </c>
      <c r="Q30" s="8" t="s">
        <v>27</v>
      </c>
      <c r="R30" s="8" t="s">
        <v>28</v>
      </c>
      <c r="S30" s="8" t="s">
        <v>29</v>
      </c>
      <c r="T30" s="8" t="s">
        <v>30</v>
      </c>
      <c r="U30" s="8" t="s">
        <v>31</v>
      </c>
      <c r="V30" s="8" t="s">
        <v>32</v>
      </c>
      <c r="W30" s="8" t="s">
        <v>33</v>
      </c>
      <c r="X30" s="8" t="s">
        <v>34</v>
      </c>
      <c r="Y30" s="8" t="s">
        <v>88</v>
      </c>
    </row>
    <row r="31" spans="1:25" x14ac:dyDescent="0.25">
      <c r="A31" s="2" t="s">
        <v>89</v>
      </c>
      <c r="B31" s="2" t="s">
        <v>90</v>
      </c>
      <c r="C31" s="9">
        <v>1200</v>
      </c>
      <c r="D31" s="10">
        <v>0</v>
      </c>
      <c r="E31" s="7">
        <f t="shared" ref="E31:E36" si="17">IF($C31="","",$C31*(1+$D31))</f>
        <v>1200</v>
      </c>
      <c r="F31" s="3">
        <v>1</v>
      </c>
      <c r="G31" s="3">
        <v>12</v>
      </c>
      <c r="H31" s="3"/>
      <c r="I31" s="2" t="s">
        <v>42</v>
      </c>
      <c r="M31" s="7">
        <f t="shared" ref="M31:M36" si="18">IF($E31="","",IF(1&lt;$F31,0,IF(1&gt;$G31,0,$E31)))</f>
        <v>1200</v>
      </c>
      <c r="N31" s="7">
        <f t="shared" ref="N31:N36" si="19">IF($E31="","",IF(2&lt;$F31,0,IF(2&gt;$G31,0,$E31)))</f>
        <v>1200</v>
      </c>
      <c r="O31" s="7">
        <f t="shared" ref="O31:O36" si="20">IF($E31="","",IF(3&lt;$F31,0,IF(3&gt;$G31,0,$E31)))</f>
        <v>1200</v>
      </c>
      <c r="P31" s="7">
        <f t="shared" ref="P31:P36" si="21">IF($E31="","",IF(4&lt;$F31,0,IF(4&gt;$G31,0,$E31)))</f>
        <v>1200</v>
      </c>
      <c r="Q31" s="7">
        <f t="shared" ref="Q31:Q36" si="22">IF($E31="","",IF(5&lt;$F31,0,IF(5&gt;$G31,0,$E31)))</f>
        <v>1200</v>
      </c>
      <c r="R31" s="7">
        <f t="shared" ref="R31:R36" si="23">IF($E31="","",IF(6&lt;$F31,0,IF(6&gt;$G31,0,$E31)))</f>
        <v>1200</v>
      </c>
      <c r="S31" s="7">
        <f t="shared" ref="S31:S36" si="24">IF($E31="","",IF(7&lt;$F31,0,IF(7&gt;$G31,0,$E31)))</f>
        <v>1200</v>
      </c>
      <c r="T31" s="7">
        <f t="shared" ref="T31:T36" si="25">IF($E31="","",IF(8&lt;$F31,0,IF(8&gt;$G31,0,$E31)))</f>
        <v>1200</v>
      </c>
      <c r="U31" s="7">
        <f t="shared" ref="U31:U36" si="26">IF($E31="","",IF(9&lt;$F31,0,IF(9&gt;$G31,0,$E31)))</f>
        <v>1200</v>
      </c>
      <c r="V31" s="7">
        <f t="shared" ref="V31:V36" si="27">IF($E31="","",IF(10&lt;$F31,0,IF(10&gt;$G31,0,$E31)))</f>
        <v>1200</v>
      </c>
      <c r="W31" s="7">
        <f t="shared" ref="W31:W36" si="28">IF($E31="","",IF(11&lt;$F31,0,IF(11&gt;$G31,0,$E31)))</f>
        <v>1200</v>
      </c>
      <c r="X31" s="7">
        <f t="shared" ref="X31:X36" si="29">IF($E31="","",IF(12&lt;$F31,0,IF(12&gt;$G31,0,$E31)))</f>
        <v>1200</v>
      </c>
      <c r="Y31" s="7">
        <f t="shared" ref="Y31:Y36" si="30">IF($E31="","",SUM(M31:X31))</f>
        <v>14400</v>
      </c>
    </row>
    <row r="32" spans="1:25" x14ac:dyDescent="0.25">
      <c r="A32" s="2" t="s">
        <v>91</v>
      </c>
      <c r="B32" s="2" t="s">
        <v>92</v>
      </c>
      <c r="C32" s="9">
        <v>8000</v>
      </c>
      <c r="D32" s="10">
        <v>0</v>
      </c>
      <c r="E32" s="7">
        <f t="shared" si="17"/>
        <v>8000</v>
      </c>
      <c r="F32" s="3">
        <v>1</v>
      </c>
      <c r="G32" s="3">
        <v>12</v>
      </c>
      <c r="H32" s="3"/>
      <c r="I32" s="2" t="s">
        <v>42</v>
      </c>
      <c r="M32" s="7">
        <f t="shared" si="18"/>
        <v>8000</v>
      </c>
      <c r="N32" s="7">
        <f t="shared" si="19"/>
        <v>8000</v>
      </c>
      <c r="O32" s="7">
        <f t="shared" si="20"/>
        <v>8000</v>
      </c>
      <c r="P32" s="7">
        <f t="shared" si="21"/>
        <v>8000</v>
      </c>
      <c r="Q32" s="7">
        <f t="shared" si="22"/>
        <v>8000</v>
      </c>
      <c r="R32" s="7">
        <f t="shared" si="23"/>
        <v>8000</v>
      </c>
      <c r="S32" s="7">
        <f t="shared" si="24"/>
        <v>8000</v>
      </c>
      <c r="T32" s="7">
        <f t="shared" si="25"/>
        <v>8000</v>
      </c>
      <c r="U32" s="7">
        <f t="shared" si="26"/>
        <v>8000</v>
      </c>
      <c r="V32" s="7">
        <f t="shared" si="27"/>
        <v>8000</v>
      </c>
      <c r="W32" s="7">
        <f t="shared" si="28"/>
        <v>8000</v>
      </c>
      <c r="X32" s="7">
        <f t="shared" si="29"/>
        <v>8000</v>
      </c>
      <c r="Y32" s="7">
        <f t="shared" si="30"/>
        <v>96000</v>
      </c>
    </row>
    <row r="33" spans="1:25" x14ac:dyDescent="0.25">
      <c r="A33" s="2" t="s">
        <v>45</v>
      </c>
      <c r="B33" s="2" t="s">
        <v>93</v>
      </c>
      <c r="C33" s="9">
        <v>350</v>
      </c>
      <c r="D33" s="10">
        <v>0.19</v>
      </c>
      <c r="E33" s="7">
        <f t="shared" si="17"/>
        <v>416.5</v>
      </c>
      <c r="F33" s="3">
        <v>1</v>
      </c>
      <c r="G33" s="3">
        <v>12</v>
      </c>
      <c r="H33" s="3"/>
      <c r="I33" s="2" t="s">
        <v>42</v>
      </c>
      <c r="M33" s="7">
        <f t="shared" si="18"/>
        <v>416.5</v>
      </c>
      <c r="N33" s="7">
        <f t="shared" si="19"/>
        <v>416.5</v>
      </c>
      <c r="O33" s="7">
        <f t="shared" si="20"/>
        <v>416.5</v>
      </c>
      <c r="P33" s="7">
        <f t="shared" si="21"/>
        <v>416.5</v>
      </c>
      <c r="Q33" s="7">
        <f t="shared" si="22"/>
        <v>416.5</v>
      </c>
      <c r="R33" s="7">
        <f t="shared" si="23"/>
        <v>416.5</v>
      </c>
      <c r="S33" s="7">
        <f t="shared" si="24"/>
        <v>416.5</v>
      </c>
      <c r="T33" s="7">
        <f t="shared" si="25"/>
        <v>416.5</v>
      </c>
      <c r="U33" s="7">
        <f t="shared" si="26"/>
        <v>416.5</v>
      </c>
      <c r="V33" s="7">
        <f t="shared" si="27"/>
        <v>416.5</v>
      </c>
      <c r="W33" s="7">
        <f t="shared" si="28"/>
        <v>416.5</v>
      </c>
      <c r="X33" s="7">
        <f t="shared" si="29"/>
        <v>416.5</v>
      </c>
      <c r="Y33" s="7">
        <f t="shared" si="30"/>
        <v>4998</v>
      </c>
    </row>
    <row r="34" spans="1:25" x14ac:dyDescent="0.25">
      <c r="A34" s="2" t="s">
        <v>49</v>
      </c>
      <c r="B34" s="2" t="s">
        <v>94</v>
      </c>
      <c r="C34" s="9">
        <v>1000</v>
      </c>
      <c r="D34" s="10">
        <v>0.19</v>
      </c>
      <c r="E34" s="7">
        <f t="shared" si="17"/>
        <v>1190</v>
      </c>
      <c r="F34" s="3">
        <v>2</v>
      </c>
      <c r="G34" s="3">
        <v>12</v>
      </c>
      <c r="H34" s="3"/>
      <c r="I34" s="2" t="s">
        <v>42</v>
      </c>
      <c r="M34" s="7">
        <f t="shared" si="18"/>
        <v>0</v>
      </c>
      <c r="N34" s="7">
        <f t="shared" si="19"/>
        <v>1190</v>
      </c>
      <c r="O34" s="7">
        <f t="shared" si="20"/>
        <v>1190</v>
      </c>
      <c r="P34" s="7">
        <f t="shared" si="21"/>
        <v>1190</v>
      </c>
      <c r="Q34" s="7">
        <f t="shared" si="22"/>
        <v>1190</v>
      </c>
      <c r="R34" s="7">
        <f t="shared" si="23"/>
        <v>1190</v>
      </c>
      <c r="S34" s="7">
        <f t="shared" si="24"/>
        <v>1190</v>
      </c>
      <c r="T34" s="7">
        <f t="shared" si="25"/>
        <v>1190</v>
      </c>
      <c r="U34" s="7">
        <f t="shared" si="26"/>
        <v>1190</v>
      </c>
      <c r="V34" s="7">
        <f t="shared" si="27"/>
        <v>1190</v>
      </c>
      <c r="W34" s="7">
        <f t="shared" si="28"/>
        <v>1190</v>
      </c>
      <c r="X34" s="7">
        <f t="shared" si="29"/>
        <v>1190</v>
      </c>
      <c r="Y34" s="7">
        <f t="shared" si="30"/>
        <v>13090</v>
      </c>
    </row>
    <row r="35" spans="1:25" x14ac:dyDescent="0.25">
      <c r="A35" s="2" t="s">
        <v>77</v>
      </c>
      <c r="B35" s="2" t="s">
        <v>95</v>
      </c>
      <c r="C35" s="9">
        <v>180</v>
      </c>
      <c r="D35" s="10">
        <v>0.19</v>
      </c>
      <c r="E35" s="7">
        <f t="shared" si="17"/>
        <v>214.2</v>
      </c>
      <c r="F35" s="3">
        <v>1</v>
      </c>
      <c r="G35" s="3">
        <v>12</v>
      </c>
      <c r="H35" s="3"/>
      <c r="I35" s="2" t="s">
        <v>42</v>
      </c>
      <c r="M35" s="7">
        <f t="shared" si="18"/>
        <v>214.2</v>
      </c>
      <c r="N35" s="7">
        <f t="shared" si="19"/>
        <v>214.2</v>
      </c>
      <c r="O35" s="7">
        <f t="shared" si="20"/>
        <v>214.2</v>
      </c>
      <c r="P35" s="7">
        <f t="shared" si="21"/>
        <v>214.2</v>
      </c>
      <c r="Q35" s="7">
        <f t="shared" si="22"/>
        <v>214.2</v>
      </c>
      <c r="R35" s="7">
        <f t="shared" si="23"/>
        <v>214.2</v>
      </c>
      <c r="S35" s="7">
        <f t="shared" si="24"/>
        <v>214.2</v>
      </c>
      <c r="T35" s="7">
        <f t="shared" si="25"/>
        <v>214.2</v>
      </c>
      <c r="U35" s="7">
        <f t="shared" si="26"/>
        <v>214.2</v>
      </c>
      <c r="V35" s="7">
        <f t="shared" si="27"/>
        <v>214.2</v>
      </c>
      <c r="W35" s="7">
        <f t="shared" si="28"/>
        <v>214.2</v>
      </c>
      <c r="X35" s="7">
        <f t="shared" si="29"/>
        <v>214.2</v>
      </c>
      <c r="Y35" s="7">
        <f t="shared" si="30"/>
        <v>2570.3999999999996</v>
      </c>
    </row>
    <row r="36" spans="1:25" x14ac:dyDescent="0.25">
      <c r="A36" s="2" t="s">
        <v>59</v>
      </c>
      <c r="B36" s="2" t="s">
        <v>96</v>
      </c>
      <c r="C36" s="9">
        <v>120</v>
      </c>
      <c r="D36" s="10">
        <v>0.19</v>
      </c>
      <c r="E36" s="7">
        <f t="shared" si="17"/>
        <v>142.79999999999998</v>
      </c>
      <c r="F36" s="3">
        <v>1</v>
      </c>
      <c r="G36" s="3">
        <v>12</v>
      </c>
      <c r="H36" s="3"/>
      <c r="I36" s="2" t="s">
        <v>42</v>
      </c>
      <c r="M36" s="7">
        <f t="shared" si="18"/>
        <v>142.79999999999998</v>
      </c>
      <c r="N36" s="7">
        <f t="shared" si="19"/>
        <v>142.79999999999998</v>
      </c>
      <c r="O36" s="7">
        <f t="shared" si="20"/>
        <v>142.79999999999998</v>
      </c>
      <c r="P36" s="7">
        <f t="shared" si="21"/>
        <v>142.79999999999998</v>
      </c>
      <c r="Q36" s="7">
        <f t="shared" si="22"/>
        <v>142.79999999999998</v>
      </c>
      <c r="R36" s="7">
        <f t="shared" si="23"/>
        <v>142.79999999999998</v>
      </c>
      <c r="S36" s="7">
        <f t="shared" si="24"/>
        <v>142.79999999999998</v>
      </c>
      <c r="T36" s="7">
        <f t="shared" si="25"/>
        <v>142.79999999999998</v>
      </c>
      <c r="U36" s="7">
        <f t="shared" si="26"/>
        <v>142.79999999999998</v>
      </c>
      <c r="V36" s="7">
        <f t="shared" si="27"/>
        <v>142.79999999999998</v>
      </c>
      <c r="W36" s="7">
        <f t="shared" si="28"/>
        <v>142.79999999999998</v>
      </c>
      <c r="X36" s="7">
        <f t="shared" si="29"/>
        <v>142.79999999999998</v>
      </c>
      <c r="Y36" s="7">
        <f t="shared" si="30"/>
        <v>1713.5999999999997</v>
      </c>
    </row>
    <row r="37" spans="1:25" ht="31.5" x14ac:dyDescent="0.25">
      <c r="B37" s="12" t="s">
        <v>97</v>
      </c>
      <c r="M37" s="13">
        <f t="shared" ref="M37:X37" si="31">SUM(M31:M36)</f>
        <v>9973.5</v>
      </c>
      <c r="N37" s="13">
        <f t="shared" si="31"/>
        <v>11163.5</v>
      </c>
      <c r="O37" s="13">
        <f t="shared" si="31"/>
        <v>11163.5</v>
      </c>
      <c r="P37" s="13">
        <f t="shared" si="31"/>
        <v>11163.5</v>
      </c>
      <c r="Q37" s="13">
        <f t="shared" si="31"/>
        <v>11163.5</v>
      </c>
      <c r="R37" s="13">
        <f t="shared" si="31"/>
        <v>11163.5</v>
      </c>
      <c r="S37" s="13">
        <f t="shared" si="31"/>
        <v>11163.5</v>
      </c>
      <c r="T37" s="13">
        <f t="shared" si="31"/>
        <v>11163.5</v>
      </c>
      <c r="U37" s="13">
        <f t="shared" si="31"/>
        <v>11163.5</v>
      </c>
      <c r="V37" s="13">
        <f t="shared" si="31"/>
        <v>11163.5</v>
      </c>
      <c r="W37" s="13">
        <f t="shared" si="31"/>
        <v>11163.5</v>
      </c>
      <c r="X37" s="13">
        <f t="shared" si="31"/>
        <v>11163.5</v>
      </c>
      <c r="Y37" s="13">
        <f>SUM(M37:X37)</f>
        <v>132772</v>
      </c>
    </row>
    <row r="39" spans="1:25" ht="21.95" customHeight="1" x14ac:dyDescent="0.25">
      <c r="A39" s="17" t="s">
        <v>98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20.100000000000001" customHeight="1" x14ac:dyDescent="0.25">
      <c r="A40" s="8" t="s">
        <v>99</v>
      </c>
      <c r="B40" s="8" t="s">
        <v>14</v>
      </c>
      <c r="C40" s="8" t="s">
        <v>100</v>
      </c>
      <c r="D40" s="8" t="s">
        <v>85</v>
      </c>
      <c r="E40" s="8" t="s">
        <v>86</v>
      </c>
      <c r="F40" s="8" t="s">
        <v>87</v>
      </c>
      <c r="G40" s="8" t="s">
        <v>21</v>
      </c>
      <c r="M40" s="8" t="s">
        <v>23</v>
      </c>
      <c r="N40" s="8" t="s">
        <v>24</v>
      </c>
      <c r="O40" s="8" t="s">
        <v>25</v>
      </c>
      <c r="P40" s="8" t="s">
        <v>26</v>
      </c>
      <c r="Q40" s="8" t="s">
        <v>27</v>
      </c>
      <c r="R40" s="8" t="s">
        <v>28</v>
      </c>
      <c r="S40" s="8" t="s">
        <v>29</v>
      </c>
      <c r="T40" s="8" t="s">
        <v>30</v>
      </c>
      <c r="U40" s="8" t="s">
        <v>31</v>
      </c>
      <c r="V40" s="8" t="s">
        <v>32</v>
      </c>
      <c r="W40" s="8" t="s">
        <v>33</v>
      </c>
      <c r="X40" s="8" t="s">
        <v>34</v>
      </c>
      <c r="Y40" s="8" t="s">
        <v>88</v>
      </c>
    </row>
    <row r="41" spans="1:25" x14ac:dyDescent="0.25">
      <c r="A41" s="2" t="s">
        <v>101</v>
      </c>
      <c r="B41" s="2" t="s">
        <v>102</v>
      </c>
      <c r="C41" s="9">
        <v>12000</v>
      </c>
      <c r="D41" s="3">
        <v>2</v>
      </c>
      <c r="E41" s="3">
        <v>12</v>
      </c>
      <c r="F41" s="3"/>
      <c r="G41" s="2" t="s">
        <v>42</v>
      </c>
      <c r="M41" s="7">
        <f>IF($C41="","",IF(1&lt;$D41,0,IF(1&gt;$E41,0,$C41)))</f>
        <v>0</v>
      </c>
      <c r="N41" s="7">
        <f>IF($C41="","",IF(2&lt;$D41,0,IF(2&gt;$E41,0,$C41)))</f>
        <v>12000</v>
      </c>
      <c r="O41" s="7">
        <f>IF($C41="","",IF(3&lt;$D41,0,IF(3&gt;$E41,0,$C41)))</f>
        <v>12000</v>
      </c>
      <c r="P41" s="7">
        <f>IF($C41="","",IF(4&lt;$D41,0,IF(4&gt;$E41,0,$C41)))</f>
        <v>12000</v>
      </c>
      <c r="Q41" s="7">
        <f>IF($C41="","",IF(5&lt;$D41,0,IF(5&gt;$E41,0,$C41)))</f>
        <v>12000</v>
      </c>
      <c r="R41" s="7">
        <f>IF($C41="","",IF(6&lt;$D41,0,IF(6&gt;$E41,0,$C41)))</f>
        <v>12000</v>
      </c>
      <c r="S41" s="7">
        <f>IF($C41="","",IF(7&lt;$D41,0,IF(7&gt;$E41,0,$C41)))</f>
        <v>12000</v>
      </c>
      <c r="T41" s="7">
        <f>IF($C41="","",IF(8&lt;$D41,0,IF(8&gt;$E41,0,$C41)))</f>
        <v>12000</v>
      </c>
      <c r="U41" s="7">
        <f>IF($C41="","",IF(9&lt;$D41,0,IF(9&gt;$E41,0,$C41)))</f>
        <v>12000</v>
      </c>
      <c r="V41" s="7">
        <f>IF($C41="","",IF(10&lt;$D41,0,IF(10&gt;$E41,0,$C41)))</f>
        <v>12000</v>
      </c>
      <c r="W41" s="7">
        <f>IF($C41="","",IF(11&lt;$D41,0,IF(11&gt;$E41,0,$C41)))</f>
        <v>12000</v>
      </c>
      <c r="X41" s="7">
        <f>IF($C41="","",IF(12&lt;$D41,0,IF(12&gt;$E41,0,$C41)))</f>
        <v>12000</v>
      </c>
      <c r="Y41" s="7">
        <f>IF($C41="","",SUM(M41:X41))</f>
        <v>132000</v>
      </c>
    </row>
    <row r="42" spans="1:25" x14ac:dyDescent="0.25">
      <c r="A42" s="2" t="s">
        <v>101</v>
      </c>
      <c r="B42" s="2" t="s">
        <v>103</v>
      </c>
      <c r="C42" s="9">
        <v>3000</v>
      </c>
      <c r="D42" s="3">
        <v>1</v>
      </c>
      <c r="E42" s="3">
        <v>12</v>
      </c>
      <c r="F42" s="3"/>
      <c r="G42" s="2" t="s">
        <v>42</v>
      </c>
      <c r="M42" s="7">
        <f>IF($C42="","",IF(1&lt;$D42,0,IF(1&gt;$E42,0,$C42)))</f>
        <v>3000</v>
      </c>
      <c r="N42" s="7">
        <f>IF($C42="","",IF(2&lt;$D42,0,IF(2&gt;$E42,0,$C42)))</f>
        <v>3000</v>
      </c>
      <c r="O42" s="7">
        <f>IF($C42="","",IF(3&lt;$D42,0,IF(3&gt;$E42,0,$C42)))</f>
        <v>3000</v>
      </c>
      <c r="P42" s="7">
        <f>IF($C42="","",IF(4&lt;$D42,0,IF(4&gt;$E42,0,$C42)))</f>
        <v>3000</v>
      </c>
      <c r="Q42" s="7">
        <f>IF($C42="","",IF(5&lt;$D42,0,IF(5&gt;$E42,0,$C42)))</f>
        <v>3000</v>
      </c>
      <c r="R42" s="7">
        <f>IF($C42="","",IF(6&lt;$D42,0,IF(6&gt;$E42,0,$C42)))</f>
        <v>3000</v>
      </c>
      <c r="S42" s="7">
        <f>IF($C42="","",IF(7&lt;$D42,0,IF(7&gt;$E42,0,$C42)))</f>
        <v>3000</v>
      </c>
      <c r="T42" s="7">
        <f>IF($C42="","",IF(8&lt;$D42,0,IF(8&gt;$E42,0,$C42)))</f>
        <v>3000</v>
      </c>
      <c r="U42" s="7">
        <f>IF($C42="","",IF(9&lt;$D42,0,IF(9&gt;$E42,0,$C42)))</f>
        <v>3000</v>
      </c>
      <c r="V42" s="7">
        <f>IF($C42="","",IF(10&lt;$D42,0,IF(10&gt;$E42,0,$C42)))</f>
        <v>3000</v>
      </c>
      <c r="W42" s="7">
        <f>IF($C42="","",IF(11&lt;$D42,0,IF(11&gt;$E42,0,$C42)))</f>
        <v>3000</v>
      </c>
      <c r="X42" s="7">
        <f>IF($C42="","",IF(12&lt;$D42,0,IF(12&gt;$E42,0,$C42)))</f>
        <v>3000</v>
      </c>
      <c r="Y42" s="7">
        <f>IF($C42="","",SUM(M42:X42))</f>
        <v>36000</v>
      </c>
    </row>
    <row r="44" spans="1:25" ht="15.75" x14ac:dyDescent="0.25">
      <c r="B44" s="12" t="s">
        <v>104</v>
      </c>
      <c r="M44" s="13">
        <f t="shared" ref="M44:X44" si="32">SUM(M41:M42)</f>
        <v>3000</v>
      </c>
      <c r="N44" s="13">
        <f t="shared" si="32"/>
        <v>15000</v>
      </c>
      <c r="O44" s="13">
        <f t="shared" si="32"/>
        <v>15000</v>
      </c>
      <c r="P44" s="13">
        <f t="shared" si="32"/>
        <v>15000</v>
      </c>
      <c r="Q44" s="13">
        <f t="shared" si="32"/>
        <v>15000</v>
      </c>
      <c r="R44" s="13">
        <f t="shared" si="32"/>
        <v>15000</v>
      </c>
      <c r="S44" s="13">
        <f t="shared" si="32"/>
        <v>15000</v>
      </c>
      <c r="T44" s="13">
        <f t="shared" si="32"/>
        <v>15000</v>
      </c>
      <c r="U44" s="13">
        <f t="shared" si="32"/>
        <v>15000</v>
      </c>
      <c r="V44" s="13">
        <f t="shared" si="32"/>
        <v>15000</v>
      </c>
      <c r="W44" s="13">
        <f t="shared" si="32"/>
        <v>15000</v>
      </c>
      <c r="X44" s="13">
        <f t="shared" si="32"/>
        <v>15000</v>
      </c>
      <c r="Y44" s="13">
        <f>SUM(M44:X44)</f>
        <v>168000</v>
      </c>
    </row>
    <row r="46" spans="1:25" ht="21.95" customHeight="1" x14ac:dyDescent="0.25">
      <c r="A46" s="17" t="s">
        <v>105</v>
      </c>
      <c r="B46" s="18"/>
      <c r="C46" s="18"/>
      <c r="D46" s="18"/>
      <c r="E46" s="18"/>
      <c r="F46" s="18"/>
      <c r="G46" s="18"/>
      <c r="H46" s="18"/>
      <c r="I46" s="18"/>
    </row>
    <row r="47" spans="1:25" x14ac:dyDescent="0.25">
      <c r="A47" s="8" t="s">
        <v>106</v>
      </c>
      <c r="M47" s="8" t="s">
        <v>23</v>
      </c>
      <c r="N47" s="8" t="s">
        <v>24</v>
      </c>
      <c r="O47" s="8" t="s">
        <v>25</v>
      </c>
      <c r="P47" s="8" t="s">
        <v>26</v>
      </c>
      <c r="Q47" s="8" t="s">
        <v>27</v>
      </c>
      <c r="R47" s="8" t="s">
        <v>28</v>
      </c>
      <c r="S47" s="8" t="s">
        <v>29</v>
      </c>
      <c r="T47" s="8" t="s">
        <v>30</v>
      </c>
      <c r="U47" s="8" t="s">
        <v>31</v>
      </c>
      <c r="V47" s="8" t="s">
        <v>32</v>
      </c>
      <c r="W47" s="8" t="s">
        <v>33</v>
      </c>
      <c r="X47" s="8" t="s">
        <v>34</v>
      </c>
      <c r="Y47" s="8" t="s">
        <v>107</v>
      </c>
    </row>
    <row r="48" spans="1:25" x14ac:dyDescent="0.25">
      <c r="A48" s="6" t="s">
        <v>108</v>
      </c>
      <c r="M48" s="7">
        <f t="shared" ref="M48:X48" si="33">M44</f>
        <v>3000</v>
      </c>
      <c r="N48" s="7">
        <f t="shared" si="33"/>
        <v>15000</v>
      </c>
      <c r="O48" s="7">
        <f t="shared" si="33"/>
        <v>15000</v>
      </c>
      <c r="P48" s="7">
        <f t="shared" si="33"/>
        <v>15000</v>
      </c>
      <c r="Q48" s="7">
        <f t="shared" si="33"/>
        <v>15000</v>
      </c>
      <c r="R48" s="7">
        <f t="shared" si="33"/>
        <v>15000</v>
      </c>
      <c r="S48" s="7">
        <f t="shared" si="33"/>
        <v>15000</v>
      </c>
      <c r="T48" s="7">
        <f t="shared" si="33"/>
        <v>15000</v>
      </c>
      <c r="U48" s="7">
        <f t="shared" si="33"/>
        <v>15000</v>
      </c>
      <c r="V48" s="7">
        <f t="shared" si="33"/>
        <v>15000</v>
      </c>
      <c r="W48" s="7">
        <f t="shared" si="33"/>
        <v>15000</v>
      </c>
      <c r="X48" s="7">
        <f t="shared" si="33"/>
        <v>15000</v>
      </c>
      <c r="Y48" s="7">
        <f>SUM(M48:X48)</f>
        <v>168000</v>
      </c>
    </row>
    <row r="49" spans="1:25" x14ac:dyDescent="0.25">
      <c r="A49" s="6" t="s">
        <v>109</v>
      </c>
      <c r="M49" s="7">
        <f t="shared" ref="M49:X49" si="34">M17+M27+M37</f>
        <v>20229.900000000001</v>
      </c>
      <c r="N49" s="7">
        <f t="shared" si="34"/>
        <v>14971.5</v>
      </c>
      <c r="O49" s="7">
        <f t="shared" si="34"/>
        <v>31393.5</v>
      </c>
      <c r="P49" s="7">
        <f t="shared" si="34"/>
        <v>11163.5</v>
      </c>
      <c r="Q49" s="7">
        <f t="shared" si="34"/>
        <v>11163.5</v>
      </c>
      <c r="R49" s="7">
        <f t="shared" si="34"/>
        <v>11163.5</v>
      </c>
      <c r="S49" s="7">
        <f t="shared" si="34"/>
        <v>11163.5</v>
      </c>
      <c r="T49" s="7">
        <f t="shared" si="34"/>
        <v>11163.5</v>
      </c>
      <c r="U49" s="7">
        <f t="shared" si="34"/>
        <v>11163.5</v>
      </c>
      <c r="V49" s="7">
        <f t="shared" si="34"/>
        <v>11163.5</v>
      </c>
      <c r="W49" s="7">
        <f t="shared" si="34"/>
        <v>11163.5</v>
      </c>
      <c r="X49" s="7">
        <f t="shared" si="34"/>
        <v>11163.5</v>
      </c>
      <c r="Y49" s="7">
        <f>SUM(M49:X49)</f>
        <v>167066.4</v>
      </c>
    </row>
    <row r="50" spans="1:25" x14ac:dyDescent="0.25">
      <c r="A50" s="6" t="s">
        <v>110</v>
      </c>
      <c r="M50" s="7">
        <f t="shared" ref="M50:X50" si="35">M48-M49</f>
        <v>-17229.900000000001</v>
      </c>
      <c r="N50" s="7">
        <f t="shared" si="35"/>
        <v>28.5</v>
      </c>
      <c r="O50" s="7">
        <f t="shared" si="35"/>
        <v>-16393.5</v>
      </c>
      <c r="P50" s="7">
        <f t="shared" si="35"/>
        <v>3836.5</v>
      </c>
      <c r="Q50" s="7">
        <f t="shared" si="35"/>
        <v>3836.5</v>
      </c>
      <c r="R50" s="7">
        <f t="shared" si="35"/>
        <v>3836.5</v>
      </c>
      <c r="S50" s="7">
        <f t="shared" si="35"/>
        <v>3836.5</v>
      </c>
      <c r="T50" s="7">
        <f t="shared" si="35"/>
        <v>3836.5</v>
      </c>
      <c r="U50" s="7">
        <f t="shared" si="35"/>
        <v>3836.5</v>
      </c>
      <c r="V50" s="7">
        <f t="shared" si="35"/>
        <v>3836.5</v>
      </c>
      <c r="W50" s="7">
        <f t="shared" si="35"/>
        <v>3836.5</v>
      </c>
      <c r="X50" s="7">
        <f t="shared" si="35"/>
        <v>3836.5</v>
      </c>
      <c r="Y50" s="7">
        <f>SUM(M50:X50)</f>
        <v>933.59999999999854</v>
      </c>
    </row>
    <row r="51" spans="1:25" x14ac:dyDescent="0.25">
      <c r="A51" s="6" t="s">
        <v>111</v>
      </c>
      <c r="M51" s="7">
        <f>M50</f>
        <v>-17229.900000000001</v>
      </c>
      <c r="N51" s="7">
        <f t="shared" ref="N51:X51" si="36">M51+N50</f>
        <v>-17201.400000000001</v>
      </c>
      <c r="O51" s="7">
        <f t="shared" si="36"/>
        <v>-33594.9</v>
      </c>
      <c r="P51" s="7">
        <f t="shared" si="36"/>
        <v>-29758.400000000001</v>
      </c>
      <c r="Q51" s="7">
        <f t="shared" si="36"/>
        <v>-25921.9</v>
      </c>
      <c r="R51" s="7">
        <f t="shared" si="36"/>
        <v>-22085.4</v>
      </c>
      <c r="S51" s="7">
        <f t="shared" si="36"/>
        <v>-18248.900000000001</v>
      </c>
      <c r="T51" s="7">
        <f t="shared" si="36"/>
        <v>-14412.400000000001</v>
      </c>
      <c r="U51" s="7">
        <f t="shared" si="36"/>
        <v>-10575.900000000001</v>
      </c>
      <c r="V51" s="7">
        <f t="shared" si="36"/>
        <v>-6739.4000000000015</v>
      </c>
      <c r="W51" s="7">
        <f t="shared" si="36"/>
        <v>-2902.9000000000015</v>
      </c>
      <c r="X51" s="7">
        <f t="shared" si="36"/>
        <v>933.59999999999854</v>
      </c>
      <c r="Y51" s="7">
        <f>X51</f>
        <v>933.59999999999854</v>
      </c>
    </row>
  </sheetData>
  <mergeCells count="9">
    <mergeCell ref="B4:I4"/>
    <mergeCell ref="K3:L3"/>
    <mergeCell ref="A1:N1"/>
    <mergeCell ref="K11:L11"/>
    <mergeCell ref="A39:Y39"/>
    <mergeCell ref="A46:I46"/>
    <mergeCell ref="A6:I6"/>
    <mergeCell ref="A29:Y29"/>
    <mergeCell ref="A19:G19"/>
  </mergeCells>
  <conditionalFormatting sqref="L18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Kapitalbedarf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2026-02-16T07:23:34Z</dcterms:modified>
</cp:coreProperties>
</file>