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Stammdaten" sheetId="2" state="visible" r:id="rId4"/>
    <sheet name="Mieteinnahmen" sheetId="3" state="visible" r:id="rId5"/>
    <sheet name="Nebenkosten" sheetId="4" state="visible" r:id="rId6"/>
    <sheet name="Wartung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<sst xmlns="http://schemas.openxmlformats.org/spreadsheetml/2006/main" count="295" uniqueCount="234">
  <si>
    <t xml:space="preserve">Hausverwaltung</t>
  </si>
  <si>
    <t xml:space="preserve">Wirtschaftsjahr 2026 · Übersicht und Kennzahlen</t>
  </si>
  <si>
    <t xml:space="preserve">Mehrfamilienhaus Birkenallee  ·  Birkenallee 14, 48143 Münster  ·  Baujahr 1998  ·  5 Wohneinheiten  ·  365 m²</t>
  </si>
  <si>
    <t xml:space="preserve">FINANZKENNZAHLEN JAHR 2026</t>
  </si>
  <si>
    <t xml:space="preserve">SOLL-MIETEINNAHMEN JAHR</t>
  </si>
  <si>
    <t xml:space="preserve">IST-MIETEINNAHMEN YTD</t>
  </si>
  <si>
    <t xml:space="preserve">MIETAUSFALL YTD</t>
  </si>
  <si>
    <t xml:space="preserve">Brutto-Soll bei Vollvermietung</t>
  </si>
  <si>
    <t xml:space="preserve">Eingegangene Zahlungen Jahr-zu-Datum</t>
  </si>
  <si>
    <t xml:space="preserve">Soll YTD minus Ist YTD</t>
  </si>
  <si>
    <t xml:space="preserve">WOHNEINHEITEN GESAMT</t>
  </si>
  <si>
    <t xml:space="preserve">GESAMTWOHNFLÄCHE</t>
  </si>
  <si>
    <t xml:space="preserve">WARTUNGSKOSTEN YTD 2026</t>
  </si>
  <si>
    <t xml:space="preserve">davon aktuell vermietet: 5</t>
  </si>
  <si>
    <t xml:space="preserve">Vermietbare Fläche in m²</t>
  </si>
  <si>
    <t xml:space="preserve">Erledigt + in Bearbeitung</t>
  </si>
  <si>
    <t xml:space="preserve">STATUS DER WOHNEINHEITEN · STAND JUNI 2026</t>
  </si>
  <si>
    <t xml:space="preserve">WE</t>
  </si>
  <si>
    <t xml:space="preserve">Mieter</t>
  </si>
  <si>
    <t xml:space="preserve">Fläche</t>
  </si>
  <si>
    <t xml:space="preserve">Soll / Monat</t>
  </si>
  <si>
    <t xml:space="preserve">Ist YTD</t>
  </si>
  <si>
    <t xml:space="preserve">Soll YTD</t>
  </si>
  <si>
    <t xml:space="preserve">Differenz</t>
  </si>
  <si>
    <t xml:space="preserve">Quote</t>
  </si>
  <si>
    <t xml:space="preserve">Status Juni</t>
  </si>
  <si>
    <t xml:space="preserve">WE 1</t>
  </si>
  <si>
    <t xml:space="preserve">Hoffmann, Andreas</t>
  </si>
  <si>
    <t xml:space="preserve">WE 2</t>
  </si>
  <si>
    <t xml:space="preserve">Krüger, Sabine</t>
  </si>
  <si>
    <t xml:space="preserve">WE 3</t>
  </si>
  <si>
    <t xml:space="preserve">Lehmann, Markus</t>
  </si>
  <si>
    <t xml:space="preserve">WE 4</t>
  </si>
  <si>
    <t xml:space="preserve">Brandt, Jonas</t>
  </si>
  <si>
    <t xml:space="preserve">WE 5</t>
  </si>
  <si>
    <t xml:space="preserve">Engel, Christine</t>
  </si>
  <si>
    <t xml:space="preserve">GESAMT</t>
  </si>
  <si>
    <t xml:space="preserve">WARTUNG &amp; INSTANDHALTUNG JAHR 2026</t>
  </si>
  <si>
    <t xml:space="preserve">ERLEDIGT</t>
  </si>
  <si>
    <t xml:space="preserve">IN BEARBEITUNG</t>
  </si>
  <si>
    <t xml:space="preserve">GEPLANT</t>
  </si>
  <si>
    <t xml:space="preserve">Hinweis: Eingabefelder sind in blauer Schrift dargestellt; Formelfelder erscheinen schwarz, Verknüpfungen grün.</t>
  </si>
  <si>
    <t xml:space="preserve">Stammdaten</t>
  </si>
  <si>
    <t xml:space="preserve">Objekt · Wohneinheiten · Mieterstamm</t>
  </si>
  <si>
    <t xml:space="preserve">OBJEKT-STAMMDATEN</t>
  </si>
  <si>
    <t xml:space="preserve">Objektbezeichnung</t>
  </si>
  <si>
    <t xml:space="preserve">Mehrfamilienhaus Birkenallee</t>
  </si>
  <si>
    <t xml:space="preserve">Eigentümer</t>
  </si>
  <si>
    <t xml:space="preserve">Grundbesitz Birkenallee GbR</t>
  </si>
  <si>
    <t xml:space="preserve">Straße / Hausnr.</t>
  </si>
  <si>
    <t xml:space="preserve">Birkenallee 14</t>
  </si>
  <si>
    <t xml:space="preserve">Ansprechpartner</t>
  </si>
  <si>
    <t xml:space="preserve">Verwaltung Friedrich Lorenz</t>
  </si>
  <si>
    <t xml:space="preserve">PLZ / Ort</t>
  </si>
  <si>
    <t xml:space="preserve">48143 Münster</t>
  </si>
  <si>
    <t xml:space="preserve">Telefon</t>
  </si>
  <si>
    <t xml:space="preserve">+49 251 9028 4471</t>
  </si>
  <si>
    <t xml:space="preserve">Baujahr</t>
  </si>
  <si>
    <t xml:space="preserve">E-Mail</t>
  </si>
  <si>
    <t xml:space="preserve">verwaltung@birkenallee-mfh.example</t>
  </si>
  <si>
    <t xml:space="preserve">Letzte Sanierung</t>
  </si>
  <si>
    <t xml:space="preserve">Verwaltungsbeginn</t>
  </si>
  <si>
    <t xml:space="preserve">01.01.2022</t>
  </si>
  <si>
    <t xml:space="preserve">Wohneinheiten</t>
  </si>
  <si>
    <t xml:space="preserve">Personen gesamt</t>
  </si>
  <si>
    <t xml:space="preserve">Gesamtwohnfläche</t>
  </si>
  <si>
    <t xml:space="preserve">Ø Miete / m²</t>
  </si>
  <si>
    <t xml:space="preserve">WOHNEINHEITEN &amp; MIETERSTAMM</t>
  </si>
  <si>
    <t xml:space="preserve">Lage</t>
  </si>
  <si>
    <t xml:space="preserve">m²</t>
  </si>
  <si>
    <t xml:space="preserve">Zi.</t>
  </si>
  <si>
    <t xml:space="preserve">Pers.</t>
  </si>
  <si>
    <t xml:space="preserve">Name</t>
  </si>
  <si>
    <t xml:space="preserve">Vorname</t>
  </si>
  <si>
    <t xml:space="preserve">Mietbeginn</t>
  </si>
  <si>
    <t xml:space="preserve">Kaltmiete</t>
  </si>
  <si>
    <t xml:space="preserve">NK-Vor.</t>
  </si>
  <si>
    <t xml:space="preserve">Gesamt</t>
  </si>
  <si>
    <t xml:space="preserve">Kaution</t>
  </si>
  <si>
    <t xml:space="preserve">Status</t>
  </si>
  <si>
    <t xml:space="preserve">EG links</t>
  </si>
  <si>
    <t xml:space="preserve">Hoffmann</t>
  </si>
  <si>
    <t xml:space="preserve">Andreas</t>
  </si>
  <si>
    <t xml:space="preserve">a.hoffmann@example.de</t>
  </si>
  <si>
    <t xml:space="preserve">0171-2451029</t>
  </si>
  <si>
    <t xml:space="preserve">01.04.2022</t>
  </si>
  <si>
    <t xml:space="preserve">Aktiv</t>
  </si>
  <si>
    <t xml:space="preserve">EG rechts</t>
  </si>
  <si>
    <t xml:space="preserve">Krüger</t>
  </si>
  <si>
    <t xml:space="preserve">Sabine</t>
  </si>
  <si>
    <t xml:space="preserve">s.krueger@example.de</t>
  </si>
  <si>
    <t xml:space="preserve">0172-8847301</t>
  </si>
  <si>
    <t xml:space="preserve">01.10.2023</t>
  </si>
  <si>
    <t xml:space="preserve">1.OG links</t>
  </si>
  <si>
    <t xml:space="preserve">Lehmann</t>
  </si>
  <si>
    <t xml:space="preserve">Markus</t>
  </si>
  <si>
    <t xml:space="preserve">m.lehmann@example.de</t>
  </si>
  <si>
    <t xml:space="preserve">0173-4128890</t>
  </si>
  <si>
    <t xml:space="preserve">15.06.2021</t>
  </si>
  <si>
    <t xml:space="preserve">1.OG rechts</t>
  </si>
  <si>
    <t xml:space="preserve">Brandt</t>
  </si>
  <si>
    <t xml:space="preserve">Jonas</t>
  </si>
  <si>
    <t xml:space="preserve">j.brandt@example.de</t>
  </si>
  <si>
    <t xml:space="preserve">0174-6709255</t>
  </si>
  <si>
    <t xml:space="preserve">01.01.2024</t>
  </si>
  <si>
    <t xml:space="preserve">DG</t>
  </si>
  <si>
    <t xml:space="preserve">Engel</t>
  </si>
  <si>
    <t xml:space="preserve">Christine</t>
  </si>
  <si>
    <t xml:space="preserve">c.engel@example.de</t>
  </si>
  <si>
    <t xml:space="preserve">0175-3328174</t>
  </si>
  <si>
    <t xml:space="preserve">01.09.2025</t>
  </si>
  <si>
    <t xml:space="preserve">Eingabefelder in blau (Stammdaten direkt überschreibbar). Spalte Gesamt errechnet sich aus Kaltmiete + NK-Vorauszahlung.</t>
  </si>
  <si>
    <t xml:space="preserve">Mieteinnahmen 2026</t>
  </si>
  <si>
    <t xml:space="preserve">Monatliche Zahlungsverfolgung · Soll- versus Ist-Vergleich</t>
  </si>
  <si>
    <t xml:space="preserve">ZAHLUNGSERFASSUNG PRO WOHNEINHEIT</t>
  </si>
  <si>
    <t xml:space="preserve">Soll/Mt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</si>
  <si>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</si>
  <si>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</si>
  <si>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</si>
  <si>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</si>
  <si>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</si>
  <si>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</si>
  <si>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</si>
  <si>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</si>
  <si>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</si>
  <si>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</si>
  <si>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</si>
  <si>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</si>
  <si>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Ist Jahr</t>
  </si>
  <si>
    <t xml:space="preserve">Soll Jahr</t>
  </si>
  <si>
    <t xml:space="preserve">Diff. YTD</t>
  </si>
  <si>
    <t xml:space="preserve">Quote YTD</t>
  </si>
  <si>
    <t xml:space="preserve">Hoffmann, Andreas  ·  EG links</t>
  </si>
  <si>
    <t xml:space="preserve">Krüger, Sabine  ·  EG rechts</t>
  </si>
  <si>
    <t xml:space="preserve">Lehmann, Markus  ·  1.OG links</t>
  </si>
  <si>
    <t xml:space="preserve">Brandt, Jonas  ·  1.OG rechts</t>
  </si>
  <si>
    <t xml:space="preserve">Engel, Christine  ·  DG</t>
  </si>
  <si>
    <t xml:space="preserve">SOLL gesamt</t>
  </si>
  <si>
    <t xml:space="preserve">IST gesamt</t>
  </si>
  <si>
    <t xml:space="preserve">LEGENDE</t>
  </si>
  <si>
    <t xml:space="preserve">Blau: Eingabewerte</t>
  </si>
  <si>
    <t xml:space="preserve">Grün: Verknüpfung zu Stammdaten</t>
  </si>
  <si>
    <t xml:space="preserve">Schwarz: berechnete Formel</t>
  </si>
  <si>
    <t xml:space="preserve">Leere Zelle: noch nicht erfasst</t>
  </si>
  <si>
    <t xml:space="preserve">Nebenkostenabrechnung</t>
  </si>
  <si>
    <t xml:space="preserve">Betriebskosten gemäß § 2 BetrKV · Abrechnungszeitraum 2025</t>
  </si>
  <si>
    <t xml:space="preserve">Abrechnungszeitraum: 01.01.2025 – 31.12.2025  ·  Frist Zustellung: 31.12.2026  ·  Erstellt am: 30.06.2026</t>
  </si>
  <si>
    <t xml:space="preserve">UMLAGEFÄHIGE BETRIEBSKOSTEN</t>
  </si>
  <si>
    <t xml:space="preserve">Pos.</t>
  </si>
  <si>
    <t xml:space="preserve">Kostenart</t>
  </si>
  <si>
    <t xml:space="preserve">Gesamtbetrag</t>
  </si>
  <si>
    <t xml:space="preserve">Verteilerschlüssel</t>
  </si>
  <si>
    <t xml:space="preserve">Bezugsgröße</t>
  </si>
  <si>
    <t xml:space="preserve">Heizkosten</t>
  </si>
  <si>
    <t xml:space="preserve">Verbrauch</t>
  </si>
  <si>
    <t xml:space="preserve">Warmwasser</t>
  </si>
  <si>
    <t xml:space="preserve">Kaltwasser / Abwasser</t>
  </si>
  <si>
    <t xml:space="preserve">Personen</t>
  </si>
  <si>
    <t xml:space="preserve">Müllabfuhr</t>
  </si>
  <si>
    <t xml:space="preserve">Hausmeister</t>
  </si>
  <si>
    <t xml:space="preserve">Wohnfläche</t>
  </si>
  <si>
    <t xml:space="preserve">Gartenpflege</t>
  </si>
  <si>
    <t xml:space="preserve">Allgemeinstrom</t>
  </si>
  <si>
    <t xml:space="preserve">Gebäudeversicherung</t>
  </si>
  <si>
    <t xml:space="preserve">Grundsteuer</t>
  </si>
  <si>
    <t xml:space="preserve">SUMME BETRIEBSKOSTEN</t>
  </si>
  <si>
    <t xml:space="preserve">EINZELABRECHNUNG PRO WOHNEINHEIT</t>
  </si>
  <si>
    <t xml:space="preserve">kWh</t>
  </si>
  <si>
    <t xml:space="preserve">m³</t>
  </si>
  <si>
    <t xml:space="preserve">Heiz.</t>
  </si>
  <si>
    <t xml:space="preserve">WW</t>
  </si>
  <si>
    <t xml:space="preserve">Wasser</t>
  </si>
  <si>
    <t xml:space="preserve">Müll</t>
  </si>
  <si>
    <t xml:space="preserve">Hausm.</t>
  </si>
  <si>
    <t xml:space="preserve">Garten</t>
  </si>
  <si>
    <t xml:space="preserve">Strom</t>
  </si>
  <si>
    <t xml:space="preserve">Vers.</t>
  </si>
  <si>
    <t xml:space="preserve">Grund.</t>
  </si>
  <si>
    <t xml:space="preserve">Anteil</t>
  </si>
  <si>
    <t xml:space="preserve">Saldo</t>
  </si>
  <si>
    <t xml:space="preserve">Positive Salden bedeuten Guthaben zugunsten des Mieters, negative Salden Nachzahlungen. Die Heiz- und Warmwasserkosten werden nach Verbrauch umgelegt; Wasser/Müll nach Personenanzahl; übrige Positionen nach Wohnfläche.</t>
  </si>
  <si>
    <t xml:space="preserve">Wartung &amp; Instandhaltung</t>
  </si>
  <si>
    <t xml:space="preserve">Dokumentation Reparaturen, Wartungsarbeiten und Termine · Jahr 2026</t>
  </si>
  <si>
    <t xml:space="preserve">VORGÄNGE JAHR 2026</t>
  </si>
  <si>
    <t xml:space="preserve">Nr.</t>
  </si>
  <si>
    <t xml:space="preserve">Datum</t>
  </si>
  <si>
    <t xml:space="preserve">Bereich</t>
  </si>
  <si>
    <t xml:space="preserve">Kategorie</t>
  </si>
  <si>
    <t xml:space="preserve">Beschreibung</t>
  </si>
  <si>
    <t xml:space="preserve">Firma / Handwerker</t>
  </si>
  <si>
    <t xml:space="preserve">Kosten</t>
  </si>
  <si>
    <t xml:space="preserve">Nächste Wartung</t>
  </si>
  <si>
    <t xml:space="preserve">12.01.2026</t>
  </si>
  <si>
    <t xml:space="preserve">Allgemein</t>
  </si>
  <si>
    <t xml:space="preserve">Heizung</t>
  </si>
  <si>
    <t xml:space="preserve">Jährliche Heizungswartung</t>
  </si>
  <si>
    <t xml:space="preserve">Heizungsbau Westermann GmbH</t>
  </si>
  <si>
    <t xml:space="preserve">Erledigt</t>
  </si>
  <si>
    <t xml:space="preserve">12.01.2027</t>
  </si>
  <si>
    <t xml:space="preserve">04.02.2026</t>
  </si>
  <si>
    <t xml:space="preserve">Sanitär</t>
  </si>
  <si>
    <t xml:space="preserve">Wasserhahn Bad reparieren</t>
  </si>
  <si>
    <t xml:space="preserve">Sanitär Niemeyer</t>
  </si>
  <si>
    <t xml:space="preserve">18.03.2026</t>
  </si>
  <si>
    <t xml:space="preserve">Maler</t>
  </si>
  <si>
    <t xml:space="preserve">Treppenhaus streichen</t>
  </si>
  <si>
    <t xml:space="preserve">Malerbetrieb Hartmann</t>
  </si>
  <si>
    <t xml:space="preserve">22.04.2026</t>
  </si>
  <si>
    <t xml:space="preserve">Aufzug</t>
  </si>
  <si>
    <t xml:space="preserve">Halbjährliche Aufzugsprüfung</t>
  </si>
  <si>
    <t xml:space="preserve">Aufzugsservice Diercks</t>
  </si>
  <si>
    <t xml:space="preserve">22.10.2026</t>
  </si>
  <si>
    <t xml:space="preserve">09.05.2026</t>
  </si>
  <si>
    <t xml:space="preserve">Sonstiges</t>
  </si>
  <si>
    <t xml:space="preserve">Rollladen DG erneuern</t>
  </si>
  <si>
    <t xml:space="preserve">Rollladen Voigt</t>
  </si>
  <si>
    <t xml:space="preserve">02.06.2026</t>
  </si>
  <si>
    <t xml:space="preserve">Schornstein</t>
  </si>
  <si>
    <t xml:space="preserve">Schornsteinfegerbesuch</t>
  </si>
  <si>
    <t xml:space="preserve">Bezirksschornsteinfeger</t>
  </si>
  <si>
    <t xml:space="preserve">02.06.2027</t>
  </si>
  <si>
    <t xml:space="preserve">14.06.2026</t>
  </si>
  <si>
    <t xml:space="preserve">Fensterdichtung Küche erneuern</t>
  </si>
  <si>
    <t xml:space="preserve">Fensterbau Möller</t>
  </si>
  <si>
    <t xml:space="preserve">In Bearbeitung</t>
  </si>
  <si>
    <t xml:space="preserve">28.06.2026</t>
  </si>
  <si>
    <t xml:space="preserve">Frühjahrsschnitt Hecken</t>
  </si>
  <si>
    <t xml:space="preserve">Garten- u. Landschaftsbau Renz</t>
  </si>
  <si>
    <t xml:space="preserve">Geplant</t>
  </si>
  <si>
    <t xml:space="preserve">SUMME GESAMTKOSTEN</t>
  </si>
  <si>
    <t xml:space="preserve">AUFSCHLÜSSELUNG NACH STATUS</t>
  </si>
  <si>
    <t xml:space="preserve">Anzahl Vorgänge</t>
  </si>
  <si>
    <t xml:space="preserve">Summe Kosten</t>
  </si>
  <si>
    <t xml:space="preserve">Tragen Sie für jeden Wartungstermin das Datum, den betroffenen Bereich, die ausführende Firma und die Kosten ein. Wiederkehrende Wartungen (Heizung, Aufzug, Schornsteinfeger) im Feld „Nächste Wartung" vermerken.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</si>
</sst>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&quot; €&quot;;[RED]\(#,##0&quot;) €&quot;;\–"/>
    <numFmt numFmtId="166" formatCode="#,##0;[RED]\(#,##0\);\–"/>
    <numFmt numFmtId="167" formatCode="#,##0&quot; m²&quot;"/>
    <numFmt numFmtId="168" formatCode="#,##0.00&quot; €&quot;;[RED]\(#,##0.00&quot;) €&quot;;&quot;– €&quot;"/>
    <numFmt numFmtId="169" formatCode="0.0%;[RED]\(0.0%\);\–"/>
    <numFmt numFmtId="170" formatCode="0"/>
    <numFmt numFmtId="171" formatCode="#,##0.00&quot; €/m²&quot;"/>
    <numFmt numFmtId="172" formatCode="#,##0&quot; kWh&quot;"/>
    <numFmt numFmtId="173" formatCode="#,##0&quot; m³&quot;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D3D"/>
      <name val="Calibri"/>
      <family val="0"/>
      <charset val="1"/>
    </font>
    <font>
      <i val="true"/>
      <sz val="10"/>
      <color rgb="FF7A7468"/>
      <name val="Calibri"/>
      <family val="0"/>
      <charset val="1"/>
    </font>
    <font>
      <sz val="10"/>
      <color rgb="FF4A5868"/>
      <name val="Calibri"/>
      <family val="0"/>
      <charset val="1"/>
    </font>
    <font>
      <b val="true"/>
      <sz val="10"/>
      <color rgb="FFA07238"/>
      <name val="Calibri"/>
      <family val="0"/>
      <charset val="1"/>
    </font>
    <font>
      <b val="true"/>
      <sz val="8"/>
      <color rgb="FF7A7468"/>
      <name val="Calibri"/>
      <family val="0"/>
      <charset val="1"/>
    </font>
    <font>
      <b val="true"/>
      <sz val="18"/>
      <color rgb="FF1F2D3D"/>
      <name val="Calibri"/>
      <family val="0"/>
      <charset val="1"/>
    </font>
    <font>
      <i val="true"/>
      <sz val="8"/>
      <color rgb="FF7A7468"/>
      <name val="Calibri"/>
      <family val="0"/>
      <charset val="1"/>
    </font>
    <font>
      <b val="true"/>
      <sz val="9"/>
      <color rgb="FF1F2D3D"/>
      <name val="Calibri"/>
      <family val="0"/>
      <charset val="1"/>
    </font>
    <font>
      <b val="true"/>
      <sz val="10"/>
      <color rgb="FF1F2D3D"/>
      <name val="Calibri"/>
      <family val="0"/>
      <charset val="1"/>
    </font>
    <font>
      <sz val="10"/>
      <color rgb="FF1F2D3D"/>
      <name val="Calibri"/>
      <family val="0"/>
      <charset val="1"/>
    </font>
    <font>
      <b val="true"/>
      <sz val="16"/>
      <color rgb="FF5C7E5F"/>
      <name val="Calibri"/>
      <family val="0"/>
      <charset val="1"/>
    </font>
    <font>
      <b val="true"/>
      <sz val="16"/>
      <color rgb="FFB8862F"/>
      <name val="Calibri"/>
      <family val="0"/>
      <charset val="1"/>
    </font>
    <font>
      <b val="true"/>
      <sz val="16"/>
      <color rgb="FFA07238"/>
      <name val="Calibri"/>
      <family val="0"/>
      <charset val="1"/>
    </font>
    <font>
      <sz val="9"/>
      <color rgb="FF7A7468"/>
      <name val="Calibri"/>
      <family val="0"/>
      <charset val="1"/>
    </font>
    <font>
      <sz val="10"/>
      <color rgb="FF0000FF"/>
      <name val="Calibri"/>
      <family val="0"/>
      <charset val="1"/>
    </font>
    <font>
      <sz val="9"/>
      <color rgb="FF0000FF"/>
      <name val="Calibri"/>
      <family val="0"/>
      <charset val="1"/>
    </font>
    <font>
      <b val="true"/>
      <sz val="9"/>
      <color rgb="FF5C7E5F"/>
      <name val="Calibri"/>
      <family val="0"/>
      <charset val="1"/>
    </font>
    <font>
      <b val="true"/>
      <sz val="10"/>
      <color rgb="FF5C7E5F"/>
      <name val="Calibri"/>
      <family val="0"/>
      <charset val="1"/>
    </font>
    <font>
      <sz val="10"/>
      <color rgb="FF7A7468"/>
      <name val="Calibri"/>
      <family val="0"/>
      <charset val="1"/>
    </font>
    <font>
      <sz val="9"/>
      <color rgb="FF5C7E5F"/>
      <name val="Calibri"/>
      <family val="0"/>
      <charset val="1"/>
    </font>
    <font>
      <sz val="9"/>
      <color rgb="FF1F2D3D"/>
      <name val="Calibri"/>
      <family val="0"/>
      <charset val="1"/>
    </font>
    <font>
      <i val="true"/>
      <sz val="9"/>
      <color rgb="FF7A7468"/>
      <name val="Calibri"/>
      <family val="0"/>
      <charset val="1"/>
    </font>
    <font>
      <i val="true"/>
      <sz val="10"/>
      <color rgb="FF4A5868"/>
      <name val="Calibri"/>
      <family val="0"/>
      <charset val="1"/>
    </font>
    <font>
      <sz val="10"/>
      <color rgb="FF5C7E5F"/>
      <name val="Calibri"/>
      <family val="0"/>
      <charset val="1"/>
    </font>
    <font>
      <b val="true"/>
      <sz val="11"/>
      <color rgb="FF1F2D3D"/>
      <name val="Calibri"/>
      <family val="0"/>
      <charset val="1"/>
    </font>
    <font>
      <b val="true"/>
      <sz val="10"/>
      <color rgb="FFB8862F"/>
      <name val="Calibri"/>
      <family val="0"/>
      <charset val="1"/>
    </font>
    <font>
      <b val="true"/>
      <sz val="9"/>
      <color rgb="FF7A7468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A07238"/>
        <bgColor rgb="FFB8862F"/>
      </patternFill>
    </fill>
    <fill>
      <patternFill patternType="solid">
        <fgColor rgb="FFFAF7F0"/>
        <bgColor rgb="FFFFFFFF"/>
      </patternFill>
    </fill>
    <fill>
      <patternFill patternType="solid">
        <fgColor rgb="FFF0EADD"/>
        <bgColor rgb="FFFAF7F0"/>
      </patternFill>
    </fill>
    <fill>
      <patternFill patternType="solid">
        <fgColor rgb="FFFFFFFF"/>
        <bgColor rgb="FFFAF7F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2D3D"/>
      </bottom>
      <diagonal/>
    </border>
    <border diagonalUp="false" diagonalDown="false">
      <left/>
      <right/>
      <top/>
      <bottom style="thin">
        <color rgb="FFD9D2C2"/>
      </bottom>
      <diagonal/>
    </border>
    <border diagonalUp="false" diagonalDown="false">
      <left style="medium">
        <color rgb="FFA07238"/>
      </left>
      <right/>
      <top style="thin">
        <color rgb="FFD9D2C2"/>
      </top>
      <bottom/>
      <diagonal/>
    </border>
    <border diagonalUp="false" diagonalDown="false">
      <left style="medium">
        <color rgb="FFA07238"/>
      </left>
      <right/>
      <top/>
      <bottom/>
      <diagonal/>
    </border>
    <border diagonalUp="false" diagonalDown="false">
      <left style="medium">
        <color rgb="FFA07238"/>
      </left>
      <right/>
      <top/>
      <bottom style="thin">
        <color rgb="FFD9D2C2"/>
      </bottom>
      <diagonal/>
    </border>
    <border diagonalUp="false" diagonalDown="false">
      <left/>
      <right/>
      <top style="thin">
        <color rgb="FF1F2D3D"/>
      </top>
      <bottom style="medium">
        <color rgb="FF1F2D3D"/>
      </bottom>
      <diagonal/>
    </border>
    <border diagonalUp="false" diagonalDown="false">
      <left/>
      <right/>
      <top style="medium">
        <color rgb="FF1F2D3D"/>
      </top>
      <bottom style="thin">
        <color rgb="FF1F2D3D"/>
      </bottom>
      <diagonal/>
    </border>
    <border diagonalUp="false" diagonalDown="false">
      <left/>
      <right/>
      <top style="thin">
        <color rgb="FFD9D2C2"/>
      </top>
      <bottom/>
      <diagonal/>
    </border>
    <border diagonalUp="false" diagonalDown="false">
      <left/>
      <right/>
      <top style="medium">
        <color rgb="FF1F2D3D"/>
      </top>
      <bottom/>
      <diagonal/>
    </border>
    <border diagonalUp="false" diagonalDown="false">
      <left/>
      <right/>
      <top/>
      <bottom style="medium">
        <color rgb="FF1F2D3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3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8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3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07238"/>
      <rgbColor rgb="FF800080"/>
      <rgbColor rgb="FF008080"/>
      <rgbColor rgb="FFD9D2C2"/>
      <rgbColor rgb="FF7A7468"/>
      <rgbColor rgb="FF9999FF"/>
      <rgbColor rgb="FF993366"/>
      <rgbColor rgb="FFFAF7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0EA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868"/>
      <rgbColor rgb="FFB8862F"/>
      <rgbColor rgb="FF003366"/>
      <rgbColor rgb="FF5C7E5F"/>
      <rgbColor rgb="FF003300"/>
      <rgbColor rgb="FF333300"/>
      <rgbColor rgb="FF993300"/>
      <rgbColor rgb="FF993366"/>
      <rgbColor rgb="FF333399"/>
      <rgbColor rgb="FF1F2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8" min="5" style="0" width="13"/>
    <col collapsed="false" customWidth="true" hidden="false" outlineLevel="0" max="10" min="9" style="0" width="11"/>
    <col collapsed="false" customWidth="true" hidden="false" outlineLevel="0" max="11" min="11" style="0" width="13"/>
    <col collapsed="false" customWidth="true" hidden="false" outlineLevel="0" max="12" min="12" style="0" width="14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3.75" hidden="false" customHeight="true" outlineLevel="0" collapsed="false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true" outlineLevel="0" collapsed="false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3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customFormat="false" ht="21.75" hidden="false" customHeight="tru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customFormat="false" ht="21.75" hidden="false" customHeight="true" outlineLevel="0" collapsed="false">
      <c r="A8" s="7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3" hidden="false" customHeight="tru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8" hidden="false" customHeight="true" outlineLevel="0" collapsed="false">
      <c r="A11" s="9" t="s">
        <v>4</v>
      </c>
      <c r="B11" s="9"/>
      <c r="C11" s="9"/>
      <c r="D11" s="9"/>
      <c r="E11" s="9" t="s">
        <v>5</v>
      </c>
      <c r="F11" s="9"/>
      <c r="G11" s="9"/>
      <c r="H11" s="9"/>
      <c r="I11" s="9" t="s">
        <v>6</v>
      </c>
      <c r="J11" s="9"/>
      <c r="K11" s="9"/>
      <c r="L11" s="9"/>
    </row>
    <row r="12" customFormat="false" ht="31.5" hidden="false" customHeight="true" outlineLevel="0" collapsed="false">
      <c r="A12" s="10" t="n">
        <f aca="false">Mieteinnahmen!Q17</f>
        <v>51420</v>
      </c>
      <c r="B12" s="10"/>
      <c r="C12" s="10"/>
      <c r="D12" s="10"/>
      <c r="E12" s="10" t="n">
        <f aca="false">Mieteinnahmen!P18</f>
        <v>24925</v>
      </c>
      <c r="F12" s="10"/>
      <c r="G12" s="10"/>
      <c r="H12" s="10"/>
      <c r="I12" s="10" t="n">
        <f aca="false">Mieteinnahmen!Q18-Mieteinnahmen!P18</f>
        <v>785</v>
      </c>
      <c r="J12" s="10"/>
      <c r="K12" s="10"/>
      <c r="L12" s="10"/>
    </row>
    <row r="13" customFormat="false" ht="15.75" hidden="false" customHeight="true" outlineLevel="0" collapsed="false">
      <c r="A13" s="11" t="s">
        <v>7</v>
      </c>
      <c r="B13" s="11"/>
      <c r="C13" s="11"/>
      <c r="D13" s="11"/>
      <c r="E13" s="11" t="s">
        <v>8</v>
      </c>
      <c r="F13" s="11"/>
      <c r="G13" s="11"/>
      <c r="H13" s="11"/>
      <c r="I13" s="11" t="s">
        <v>9</v>
      </c>
      <c r="J13" s="11"/>
      <c r="K13" s="11"/>
      <c r="L13" s="11"/>
    </row>
    <row r="14" customFormat="false" ht="3.75" hidden="false" customHeight="true" outlineLevel="0" collapsed="false">
      <c r="A14" s="12"/>
      <c r="B14" s="13"/>
      <c r="C14" s="13"/>
      <c r="D14" s="13"/>
      <c r="E14" s="12"/>
      <c r="F14" s="13"/>
      <c r="G14" s="13"/>
      <c r="H14" s="13"/>
      <c r="I14" s="12"/>
      <c r="J14" s="13"/>
      <c r="K14" s="13"/>
      <c r="L14" s="13"/>
    </row>
    <row r="15" customFormat="false" ht="7.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customFormat="false" ht="18" hidden="false" customHeight="true" outlineLevel="0" collapsed="false">
      <c r="A16" s="9" t="s">
        <v>10</v>
      </c>
      <c r="B16" s="9"/>
      <c r="C16" s="9"/>
      <c r="D16" s="9"/>
      <c r="E16" s="9" t="s">
        <v>11</v>
      </c>
      <c r="F16" s="9"/>
      <c r="G16" s="9"/>
      <c r="H16" s="9"/>
      <c r="I16" s="9" t="s">
        <v>12</v>
      </c>
      <c r="J16" s="9"/>
      <c r="K16" s="9"/>
      <c r="L16" s="9"/>
    </row>
    <row r="17" customFormat="false" ht="31.5" hidden="false" customHeight="true" outlineLevel="0" collapsed="false">
      <c r="A17" s="14" t="n">
        <f aca="false">5</f>
        <v>5</v>
      </c>
      <c r="B17" s="14"/>
      <c r="C17" s="14"/>
      <c r="D17" s="14"/>
      <c r="E17" s="15" t="n">
        <f aca="false">SUM(Stammdaten!C22:C26)</f>
        <v>365</v>
      </c>
      <c r="F17" s="15"/>
      <c r="G17" s="15"/>
      <c r="H17" s="15"/>
      <c r="I17" s="10" t="n">
        <f aca="false">SUMIF(Wartung!H13:H20,"&lt;&gt;"&amp;"Geplant",Wartung!G13:G20)</f>
        <v>2780</v>
      </c>
      <c r="J17" s="10"/>
      <c r="K17" s="10"/>
      <c r="L17" s="10"/>
    </row>
    <row r="18" customFormat="false" ht="15.75" hidden="false" customHeight="true" outlineLevel="0" collapsed="false">
      <c r="A18" s="11" t="s">
        <v>13</v>
      </c>
      <c r="B18" s="11"/>
      <c r="C18" s="11"/>
      <c r="D18" s="11"/>
      <c r="E18" s="11" t="s">
        <v>14</v>
      </c>
      <c r="F18" s="11"/>
      <c r="G18" s="11"/>
      <c r="H18" s="11"/>
      <c r="I18" s="11" t="s">
        <v>15</v>
      </c>
      <c r="J18" s="11"/>
      <c r="K18" s="11"/>
      <c r="L18" s="11"/>
    </row>
    <row r="19" customFormat="false" ht="3.75" hidden="false" customHeight="true" outlineLevel="0" collapsed="false">
      <c r="A19" s="12"/>
      <c r="B19" s="13"/>
      <c r="C19" s="13"/>
      <c r="D19" s="13"/>
      <c r="E19" s="12"/>
      <c r="F19" s="13"/>
      <c r="G19" s="13"/>
      <c r="H19" s="13"/>
      <c r="I19" s="12"/>
      <c r="J19" s="13"/>
      <c r="K19" s="13"/>
      <c r="L19" s="13"/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customFormat="false" ht="21.75" hidden="false" customHeight="true" outlineLevel="0" collapsed="false">
      <c r="A22" s="7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customFormat="false" ht="3" hidden="false" customHeight="tru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customFormat="false" ht="25.5" hidden="false" customHeight="true" outlineLevel="0" collapsed="false">
      <c r="A24" s="16" t="s">
        <v>17</v>
      </c>
      <c r="B24" s="16" t="s">
        <v>18</v>
      </c>
      <c r="C24" s="16"/>
      <c r="D24" s="16" t="s">
        <v>19</v>
      </c>
      <c r="E24" s="16" t="s">
        <v>20</v>
      </c>
      <c r="F24" s="16" t="s">
        <v>21</v>
      </c>
      <c r="G24" s="16" t="s">
        <v>22</v>
      </c>
      <c r="H24" s="16" t="s">
        <v>23</v>
      </c>
      <c r="I24" s="16" t="s">
        <v>24</v>
      </c>
      <c r="J24" s="16" t="s">
        <v>25</v>
      </c>
      <c r="K24" s="16"/>
      <c r="L24" s="16"/>
    </row>
    <row r="25" customFormat="false" ht="21.75" hidden="false" customHeight="true" outlineLevel="0" collapsed="false">
      <c r="A25" s="17" t="s">
        <v>26</v>
      </c>
      <c r="B25" s="18" t="s">
        <v>27</v>
      </c>
      <c r="C25" s="18"/>
      <c r="D25" s="19" t="n">
        <v>78</v>
      </c>
      <c r="E25" s="20" t="n">
        <f aca="false">Stammdaten!M22</f>
        <v>915</v>
      </c>
      <c r="F25" s="21" t="n">
        <f aca="false">Mieteinnahmen!P10</f>
        <v>5490</v>
      </c>
      <c r="G25" s="22" t="n">
        <f aca="false">Stammdaten!M22*6</f>
        <v>5490</v>
      </c>
      <c r="H25" s="23" t="n">
        <f aca="false">F25-G25</f>
        <v>0</v>
      </c>
      <c r="I25" s="24" t="n">
        <f aca="false">IFERROR(F25/G25,0)</f>
        <v>1</v>
      </c>
      <c r="J25" s="17" t="str">
        <f aca="false">IF(Mieteinnahmen!I10&gt;=Stammdaten!M22,"● Eingegangen",IF(Mieteinnahmen!I10&gt;0,"● Teilzahlung","○ Ausstehend"))</f>
        <v>● Eingegangen</v>
      </c>
      <c r="K25" s="17"/>
      <c r="L25" s="17"/>
    </row>
    <row r="26" customFormat="false" ht="21.75" hidden="false" customHeight="true" outlineLevel="0" collapsed="false">
      <c r="A26" s="25" t="s">
        <v>28</v>
      </c>
      <c r="B26" s="26" t="s">
        <v>29</v>
      </c>
      <c r="C26" s="26"/>
      <c r="D26" s="27" t="n">
        <v>62</v>
      </c>
      <c r="E26" s="28" t="n">
        <f aca="false">Stammdaten!M23</f>
        <v>735</v>
      </c>
      <c r="F26" s="29" t="n">
        <f aca="false">Mieteinnahmen!P11</f>
        <v>3675</v>
      </c>
      <c r="G26" s="30" t="n">
        <f aca="false">Stammdaten!M23*6</f>
        <v>4410</v>
      </c>
      <c r="H26" s="31" t="n">
        <f aca="false">F26-G26</f>
        <v>-735</v>
      </c>
      <c r="I26" s="32" t="n">
        <f aca="false">IFERROR(F26/G26,0)</f>
        <v>0.833333333333333</v>
      </c>
      <c r="J26" s="25" t="str">
        <f aca="false">IF(Mieteinnahmen!I11&gt;=Stammdaten!M23,"● Eingegangen",IF(Mieteinnahmen!I11&gt;0,"● Teilzahlung","○ Ausstehend"))</f>
        <v>○ Ausstehend</v>
      </c>
      <c r="K26" s="25"/>
      <c r="L26" s="25"/>
    </row>
    <row r="27" customFormat="false" ht="21.75" hidden="false" customHeight="true" outlineLevel="0" collapsed="false">
      <c r="A27" s="17" t="s">
        <v>30</v>
      </c>
      <c r="B27" s="18" t="s">
        <v>31</v>
      </c>
      <c r="C27" s="18"/>
      <c r="D27" s="19" t="n">
        <v>85</v>
      </c>
      <c r="E27" s="20" t="n">
        <f aca="false">Stammdaten!M24</f>
        <v>1005</v>
      </c>
      <c r="F27" s="21" t="n">
        <f aca="false">Mieteinnahmen!P12</f>
        <v>5980</v>
      </c>
      <c r="G27" s="22" t="n">
        <f aca="false">Stammdaten!M24*6</f>
        <v>6030</v>
      </c>
      <c r="H27" s="23" t="n">
        <f aca="false">F27-G27</f>
        <v>-50</v>
      </c>
      <c r="I27" s="24" t="n">
        <f aca="false">IFERROR(F27/G27,0)</f>
        <v>0.991708126036484</v>
      </c>
      <c r="J27" s="17" t="str">
        <f aca="false">IF(Mieteinnahmen!I12&gt;=Stammdaten!M24,"● Eingegangen",IF(Mieteinnahmen!I12&gt;0,"● Teilzahlung","○ Ausstehend"))</f>
        <v>● Eingegangen</v>
      </c>
      <c r="K27" s="17"/>
      <c r="L27" s="17"/>
    </row>
    <row r="28" customFormat="false" ht="21.75" hidden="false" customHeight="true" outlineLevel="0" collapsed="false">
      <c r="A28" s="25" t="s">
        <v>32</v>
      </c>
      <c r="B28" s="26" t="s">
        <v>33</v>
      </c>
      <c r="C28" s="26"/>
      <c r="D28" s="27" t="n">
        <v>60</v>
      </c>
      <c r="E28" s="28" t="n">
        <f aca="false">Stammdaten!M25</f>
        <v>755</v>
      </c>
      <c r="F28" s="29" t="n">
        <f aca="false">Mieteinnahmen!P13</f>
        <v>4530</v>
      </c>
      <c r="G28" s="30" t="n">
        <f aca="false">Stammdaten!M25*6</f>
        <v>4530</v>
      </c>
      <c r="H28" s="31" t="n">
        <f aca="false">F28-G28</f>
        <v>0</v>
      </c>
      <c r="I28" s="32" t="n">
        <f aca="false">IFERROR(F28/G28,0)</f>
        <v>1</v>
      </c>
      <c r="J28" s="25" t="str">
        <f aca="false">IF(Mieteinnahmen!I13&gt;=Stammdaten!M25,"● Eingegangen",IF(Mieteinnahmen!I13&gt;0,"● Teilzahlung","○ Ausstehend"))</f>
        <v>● Eingegangen</v>
      </c>
      <c r="K28" s="25"/>
      <c r="L28" s="25"/>
    </row>
    <row r="29" customFormat="false" ht="21.75" hidden="false" customHeight="true" outlineLevel="0" collapsed="false">
      <c r="A29" s="17" t="s">
        <v>34</v>
      </c>
      <c r="B29" s="18" t="s">
        <v>35</v>
      </c>
      <c r="C29" s="18"/>
      <c r="D29" s="19" t="n">
        <v>80</v>
      </c>
      <c r="E29" s="20" t="n">
        <f aca="false">Stammdaten!M26</f>
        <v>875</v>
      </c>
      <c r="F29" s="21" t="n">
        <f aca="false">Mieteinnahmen!P14</f>
        <v>5250</v>
      </c>
      <c r="G29" s="22" t="n">
        <f aca="false">Stammdaten!M26*6</f>
        <v>5250</v>
      </c>
      <c r="H29" s="23" t="n">
        <f aca="false">F29-G29</f>
        <v>0</v>
      </c>
      <c r="I29" s="24" t="n">
        <f aca="false">IFERROR(F29/G29,0)</f>
        <v>1</v>
      </c>
      <c r="J29" s="17" t="str">
        <f aca="false">IF(Mieteinnahmen!I14&gt;=Stammdaten!M26,"● Eingegangen",IF(Mieteinnahmen!I14&gt;0,"● Teilzahlung","○ Ausstehend"))</f>
        <v>● Eingegangen</v>
      </c>
      <c r="K29" s="17"/>
      <c r="L29" s="17"/>
    </row>
    <row r="30" customFormat="false" ht="25.5" hidden="false" customHeight="true" outlineLevel="0" collapsed="false">
      <c r="A30" s="33" t="s">
        <v>36</v>
      </c>
      <c r="B30" s="34"/>
      <c r="C30" s="34"/>
      <c r="D30" s="35" t="n">
        <f aca="false">SUM(D25:D29)</f>
        <v>365</v>
      </c>
      <c r="E30" s="36" t="n">
        <f aca="false">SUM(E25:E29)</f>
        <v>4285</v>
      </c>
      <c r="F30" s="37" t="n">
        <f aca="false">SUM(F25:F29)</f>
        <v>24925</v>
      </c>
      <c r="G30" s="37" t="n">
        <f aca="false">SUM(G25:G29)</f>
        <v>25710</v>
      </c>
      <c r="H30" s="37" t="n">
        <f aca="false">SUM(H25:H29)</f>
        <v>-785</v>
      </c>
      <c r="I30" s="38" t="n">
        <f aca="false">IFERROR(F30/G30,0)</f>
        <v>0.969467133411124</v>
      </c>
      <c r="J30" s="34"/>
      <c r="K30" s="34"/>
      <c r="L30" s="34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customFormat="false" ht="21.75" hidden="false" customHeight="true" outlineLevel="0" collapsed="false">
      <c r="A33" s="7" t="s">
        <v>37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customFormat="false" ht="3" hidden="false" customHeight="tru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customFormat="false" ht="18" hidden="false" customHeight="true" outlineLevel="0" collapsed="false">
      <c r="A35" s="39" t="s">
        <v>38</v>
      </c>
      <c r="B35" s="39"/>
      <c r="C35" s="39"/>
      <c r="D35" s="39"/>
      <c r="E35" s="39" t="s">
        <v>39</v>
      </c>
      <c r="F35" s="39"/>
      <c r="G35" s="39"/>
      <c r="H35" s="39"/>
      <c r="I35" s="39" t="s">
        <v>40</v>
      </c>
      <c r="J35" s="39"/>
      <c r="K35" s="39"/>
      <c r="L35" s="39"/>
    </row>
    <row r="36" customFormat="false" ht="27.75" hidden="false" customHeight="true" outlineLevel="0" collapsed="false">
      <c r="A36" s="40" t="n">
        <f aca="false">SUMIF(Wartung!H13:H20,"Erledigt",Wartung!G13:G20)</f>
        <v>2600</v>
      </c>
      <c r="B36" s="40"/>
      <c r="C36" s="40"/>
      <c r="D36" s="40"/>
      <c r="E36" s="41" t="n">
        <f aca="false">SUMIF(Wartung!H13:H20,"In Bearbeitung",Wartung!G13:G20)</f>
        <v>180</v>
      </c>
      <c r="F36" s="41"/>
      <c r="G36" s="41"/>
      <c r="H36" s="41"/>
      <c r="I36" s="42" t="n">
        <f aca="false">SUMIF(Wartung!H13:H20,"Geplant",Wartung!G13:G20)</f>
        <v>380</v>
      </c>
      <c r="J36" s="42"/>
      <c r="K36" s="42"/>
      <c r="L36" s="42"/>
    </row>
    <row r="37" customFormat="false" ht="15.75" hidden="false" customHeight="true" outlineLevel="0" collapsed="false">
      <c r="A37" s="43" t="str">
        <f aca="false">COUNTIF(Wartung!H13:H20,"Erledigt") &amp; " Vorgänge abgeschlossen"</f>
        <v>6 Vorgänge abgeschlossen</v>
      </c>
      <c r="B37" s="43"/>
      <c r="C37" s="43"/>
      <c r="D37" s="43"/>
      <c r="E37" s="43" t="str">
        <f aca="false">COUNTIF(Wartung!H13:H20,"In Bearbeitung") &amp; " Vorgänge offen"</f>
        <v>1 Vorgänge offen</v>
      </c>
      <c r="F37" s="43"/>
      <c r="G37" s="43"/>
      <c r="H37" s="43"/>
      <c r="I37" s="43" t="str">
        <f aca="false">COUNTIF(Wartung!H13:H20,"Geplant") &amp; " Vorgänge geplant"</f>
        <v>1 Vorgänge geplant</v>
      </c>
      <c r="J37" s="43"/>
      <c r="K37" s="43"/>
      <c r="L37" s="4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3.5" hidden="false" customHeight="true" outlineLevel="0" collapsed="false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customFormat="false" ht="15" hidden="false" customHeight="false" outlineLevel="0" collapsed="false">
      <c r="A41" s="45" t="s">
        <v>41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customFormat="false" ht="1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customFormat="false" ht="1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customFormat="false" ht="1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customFormat="false" ht="1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customFormat="false" ht="1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customFormat="false" ht="1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customFormat="false" ht="1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customFormat="false" ht="1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customFormat="false" ht="1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customFormat="false" ht="1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customFormat="false" ht="1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customFormat="false" ht="1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customFormat="false" ht="1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customFormat="false" ht="1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customFormat="false" ht="1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customFormat="false" ht="1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</sheetData>
  <mergeCells count="42">
    <mergeCell ref="A6:L6"/>
    <mergeCell ref="A11:D11"/>
    <mergeCell ref="E11:H11"/>
    <mergeCell ref="I11:L11"/>
    <mergeCell ref="A12:D12"/>
    <mergeCell ref="E12:H12"/>
    <mergeCell ref="I12:L12"/>
    <mergeCell ref="A13:D13"/>
    <mergeCell ref="E13:H13"/>
    <mergeCell ref="I13:L13"/>
    <mergeCell ref="A16:D16"/>
    <mergeCell ref="E16:H16"/>
    <mergeCell ref="I16:L16"/>
    <mergeCell ref="A17:D17"/>
    <mergeCell ref="E17:H17"/>
    <mergeCell ref="I17:L17"/>
    <mergeCell ref="A18:D18"/>
    <mergeCell ref="E18:H18"/>
    <mergeCell ref="I18:L18"/>
    <mergeCell ref="B24:C24"/>
    <mergeCell ref="J24:L24"/>
    <mergeCell ref="B25:C25"/>
    <mergeCell ref="J25:L25"/>
    <mergeCell ref="B26:C26"/>
    <mergeCell ref="J26:L26"/>
    <mergeCell ref="B27:C27"/>
    <mergeCell ref="J27:L27"/>
    <mergeCell ref="B28:C28"/>
    <mergeCell ref="J28:L28"/>
    <mergeCell ref="B29:C29"/>
    <mergeCell ref="J29:L29"/>
    <mergeCell ref="B30:C30"/>
    <mergeCell ref="A35:D35"/>
    <mergeCell ref="E35:H35"/>
    <mergeCell ref="I35:L35"/>
    <mergeCell ref="A36:D36"/>
    <mergeCell ref="E36:H36"/>
    <mergeCell ref="I36:L36"/>
    <mergeCell ref="A37:D37"/>
    <mergeCell ref="E37:H37"/>
    <mergeCell ref="I37:L37"/>
    <mergeCell ref="A41:L41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9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5" ySplit="21" topLeftCell="F22" activePane="bottomRight" state="frozen"/>
      <selection pane="topLeft" activeCell="A1" activeCellId="0" sqref="A1"/>
      <selection pane="topRight" activeCell="F1" activeCellId="0" sqref="F1"/>
      <selection pane="bottomLeft" activeCell="A22" activeCellId="0" sqref="A2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9"/>
    <col collapsed="false" customWidth="true" hidden="false" outlineLevel="0" max="4" min="4" style="0" width="8"/>
    <col collapsed="false" customWidth="true" hidden="false" outlineLevel="0" max="5" min="5" style="0" width="9"/>
    <col collapsed="false" customWidth="true" hidden="false" outlineLevel="0" max="7" min="6" style="0" width="14"/>
    <col collapsed="false" customWidth="true" hidden="false" outlineLevel="0" max="8" min="8" style="0" width="24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11"/>
    <col collapsed="false" customWidth="true" hidden="false" outlineLevel="0" max="13" min="12" style="0" width="12"/>
    <col collapsed="false" customWidth="true" hidden="false" outlineLevel="0" max="14" min="14" style="0" width="13"/>
    <col collapsed="false" customWidth="true" hidden="false" outlineLevel="0" max="15" min="15" style="0" width="12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3.75" hidden="false" customHeight="true" outlineLevel="0" collapsed="false">
      <c r="A2" s="2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8" hidden="false" customHeight="true" outlineLevel="0" collapsed="false">
      <c r="A3" s="4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3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Format="false" ht="21.75" hidden="false" customHeight="true" outlineLevel="0" collapsed="false">
      <c r="A7" s="7" t="s">
        <v>44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customFormat="false" ht="3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customFormat="false" ht="21.75" hidden="false" customHeight="true" outlineLevel="0" collapsed="false">
      <c r="A9" s="46" t="s">
        <v>45</v>
      </c>
      <c r="B9" s="46"/>
      <c r="C9" s="47" t="s">
        <v>46</v>
      </c>
      <c r="D9" s="47"/>
      <c r="E9" s="47"/>
      <c r="F9" s="46" t="s">
        <v>47</v>
      </c>
      <c r="G9" s="46"/>
      <c r="H9" s="47" t="s">
        <v>48</v>
      </c>
      <c r="I9" s="47"/>
      <c r="J9" s="3"/>
      <c r="K9" s="3"/>
      <c r="L9" s="3"/>
      <c r="M9" s="3"/>
      <c r="N9" s="3"/>
      <c r="O9" s="3"/>
    </row>
    <row r="10" customFormat="false" ht="21.75" hidden="false" customHeight="true" outlineLevel="0" collapsed="false">
      <c r="A10" s="46" t="s">
        <v>49</v>
      </c>
      <c r="B10" s="46"/>
      <c r="C10" s="47" t="s">
        <v>50</v>
      </c>
      <c r="D10" s="47"/>
      <c r="E10" s="47"/>
      <c r="F10" s="46" t="s">
        <v>51</v>
      </c>
      <c r="G10" s="46"/>
      <c r="H10" s="47" t="s">
        <v>52</v>
      </c>
      <c r="I10" s="47"/>
      <c r="J10" s="3"/>
      <c r="K10" s="3"/>
      <c r="L10" s="3"/>
      <c r="M10" s="3"/>
      <c r="N10" s="3"/>
      <c r="O10" s="3"/>
    </row>
    <row r="11" customFormat="false" ht="21.75" hidden="false" customHeight="true" outlineLevel="0" collapsed="false">
      <c r="A11" s="46" t="s">
        <v>53</v>
      </c>
      <c r="B11" s="46"/>
      <c r="C11" s="47" t="s">
        <v>54</v>
      </c>
      <c r="D11" s="47"/>
      <c r="E11" s="3"/>
      <c r="F11" s="46" t="s">
        <v>55</v>
      </c>
      <c r="G11" s="46"/>
      <c r="H11" s="47" t="s">
        <v>56</v>
      </c>
      <c r="I11" s="47"/>
      <c r="J11" s="3"/>
      <c r="K11" s="3"/>
      <c r="L11" s="3"/>
      <c r="M11" s="3"/>
      <c r="N11" s="3"/>
      <c r="O11" s="3"/>
    </row>
    <row r="12" customFormat="false" ht="21.75" hidden="false" customHeight="true" outlineLevel="0" collapsed="false">
      <c r="A12" s="46" t="s">
        <v>57</v>
      </c>
      <c r="B12" s="46"/>
      <c r="C12" s="48" t="n">
        <v>1998</v>
      </c>
      <c r="D12" s="48"/>
      <c r="E12" s="3"/>
      <c r="F12" s="46" t="s">
        <v>58</v>
      </c>
      <c r="G12" s="46"/>
      <c r="H12" s="47" t="s">
        <v>59</v>
      </c>
      <c r="I12" s="47"/>
      <c r="J12" s="3"/>
      <c r="K12" s="3"/>
      <c r="L12" s="3"/>
      <c r="M12" s="3"/>
      <c r="N12" s="3"/>
      <c r="O12" s="3"/>
    </row>
    <row r="13" customFormat="false" ht="21.75" hidden="false" customHeight="true" outlineLevel="0" collapsed="false">
      <c r="A13" s="46" t="s">
        <v>60</v>
      </c>
      <c r="B13" s="46"/>
      <c r="C13" s="48" t="n">
        <v>2019</v>
      </c>
      <c r="D13" s="48"/>
      <c r="E13" s="3"/>
      <c r="F13" s="46" t="s">
        <v>61</v>
      </c>
      <c r="G13" s="46"/>
      <c r="H13" s="47" t="s">
        <v>62</v>
      </c>
      <c r="I13" s="47"/>
      <c r="J13" s="3"/>
      <c r="K13" s="3"/>
      <c r="L13" s="3"/>
      <c r="M13" s="3"/>
      <c r="N13" s="3"/>
      <c r="O13" s="3"/>
    </row>
    <row r="14" customFormat="false" ht="21.75" hidden="false" customHeight="true" outlineLevel="0" collapsed="false">
      <c r="A14" s="46" t="s">
        <v>63</v>
      </c>
      <c r="B14" s="46"/>
      <c r="C14" s="49" t="n">
        <v>5</v>
      </c>
      <c r="D14" s="49"/>
      <c r="E14" s="3"/>
      <c r="F14" s="46" t="s">
        <v>64</v>
      </c>
      <c r="G14" s="46"/>
      <c r="H14" s="49" t="n">
        <f aca="false">SUM(E22:E26)</f>
        <v>9</v>
      </c>
      <c r="I14" s="49"/>
      <c r="J14" s="3"/>
      <c r="K14" s="3"/>
      <c r="L14" s="3"/>
      <c r="M14" s="3"/>
      <c r="N14" s="3"/>
      <c r="O14" s="3"/>
    </row>
    <row r="15" customFormat="false" ht="21.75" hidden="false" customHeight="true" outlineLevel="0" collapsed="false">
      <c r="A15" s="46" t="s">
        <v>65</v>
      </c>
      <c r="B15" s="46"/>
      <c r="C15" s="50" t="n">
        <v>365</v>
      </c>
      <c r="D15" s="50"/>
      <c r="E15" s="3"/>
      <c r="F15" s="46" t="s">
        <v>66</v>
      </c>
      <c r="G15" s="46"/>
      <c r="H15" s="51" t="n">
        <f aca="false">K27/C27</f>
        <v>9.24657534246575</v>
      </c>
      <c r="I15" s="51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1.75" hidden="false" customHeight="true" outlineLevel="0" collapsed="false">
      <c r="A18" s="7" t="s">
        <v>67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3" hidden="false" customHeight="tru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customFormat="false" ht="25.5" hidden="false" customHeight="true" outlineLevel="0" collapsed="false">
      <c r="A20" s="16" t="s">
        <v>17</v>
      </c>
      <c r="B20" s="16" t="s">
        <v>68</v>
      </c>
      <c r="C20" s="16" t="s">
        <v>69</v>
      </c>
      <c r="D20" s="16" t="s">
        <v>70</v>
      </c>
      <c r="E20" s="16" t="s">
        <v>71</v>
      </c>
      <c r="F20" s="16" t="s">
        <v>72</v>
      </c>
      <c r="G20" s="16" t="s">
        <v>73</v>
      </c>
      <c r="H20" s="16" t="s">
        <v>58</v>
      </c>
      <c r="I20" s="16" t="s">
        <v>55</v>
      </c>
      <c r="J20" s="16" t="s">
        <v>74</v>
      </c>
      <c r="K20" s="16" t="s">
        <v>75</v>
      </c>
      <c r="L20" s="16" t="s">
        <v>76</v>
      </c>
      <c r="M20" s="16" t="s">
        <v>77</v>
      </c>
      <c r="N20" s="16" t="s">
        <v>78</v>
      </c>
      <c r="O20" s="16" t="s">
        <v>79</v>
      </c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1.75" hidden="false" customHeight="true" outlineLevel="0" collapsed="false">
      <c r="A22" s="52" t="s">
        <v>26</v>
      </c>
      <c r="B22" s="53" t="s">
        <v>80</v>
      </c>
      <c r="C22" s="54" t="n">
        <v>78</v>
      </c>
      <c r="D22" s="55" t="n">
        <v>3</v>
      </c>
      <c r="E22" s="55" t="n">
        <v>2</v>
      </c>
      <c r="F22" s="56" t="s">
        <v>81</v>
      </c>
      <c r="G22" s="56" t="s">
        <v>82</v>
      </c>
      <c r="H22" s="57" t="s">
        <v>83</v>
      </c>
      <c r="I22" s="56" t="s">
        <v>84</v>
      </c>
      <c r="J22" s="58" t="s">
        <v>85</v>
      </c>
      <c r="K22" s="59" t="n">
        <v>720</v>
      </c>
      <c r="L22" s="59" t="n">
        <v>195</v>
      </c>
      <c r="M22" s="60" t="n">
        <f aca="false">K22+L22</f>
        <v>915</v>
      </c>
      <c r="N22" s="61" t="n">
        <v>2160</v>
      </c>
      <c r="O22" s="62" t="s">
        <v>86</v>
      </c>
    </row>
    <row r="23" customFormat="false" ht="21.75" hidden="false" customHeight="true" outlineLevel="0" collapsed="false">
      <c r="A23" s="63" t="s">
        <v>28</v>
      </c>
      <c r="B23" s="64" t="s">
        <v>87</v>
      </c>
      <c r="C23" s="65" t="n">
        <v>62</v>
      </c>
      <c r="D23" s="66" t="n">
        <v>2</v>
      </c>
      <c r="E23" s="66" t="n">
        <v>1</v>
      </c>
      <c r="F23" s="67" t="s">
        <v>88</v>
      </c>
      <c r="G23" s="67" t="s">
        <v>89</v>
      </c>
      <c r="H23" s="68" t="s">
        <v>90</v>
      </c>
      <c r="I23" s="67" t="s">
        <v>91</v>
      </c>
      <c r="J23" s="69" t="s">
        <v>92</v>
      </c>
      <c r="K23" s="70" t="n">
        <v>580</v>
      </c>
      <c r="L23" s="70" t="n">
        <v>155</v>
      </c>
      <c r="M23" s="71" t="n">
        <f aca="false">K23+L23</f>
        <v>735</v>
      </c>
      <c r="N23" s="72" t="n">
        <v>1740</v>
      </c>
      <c r="O23" s="73" t="s">
        <v>86</v>
      </c>
    </row>
    <row r="24" customFormat="false" ht="21.75" hidden="false" customHeight="true" outlineLevel="0" collapsed="false">
      <c r="A24" s="52" t="s">
        <v>30</v>
      </c>
      <c r="B24" s="53" t="s">
        <v>93</v>
      </c>
      <c r="C24" s="54" t="n">
        <v>85</v>
      </c>
      <c r="D24" s="55" t="n">
        <v>4</v>
      </c>
      <c r="E24" s="55" t="n">
        <v>3</v>
      </c>
      <c r="F24" s="56" t="s">
        <v>94</v>
      </c>
      <c r="G24" s="56" t="s">
        <v>95</v>
      </c>
      <c r="H24" s="57" t="s">
        <v>96</v>
      </c>
      <c r="I24" s="56" t="s">
        <v>97</v>
      </c>
      <c r="J24" s="58" t="s">
        <v>98</v>
      </c>
      <c r="K24" s="59" t="n">
        <v>790</v>
      </c>
      <c r="L24" s="59" t="n">
        <v>215</v>
      </c>
      <c r="M24" s="60" t="n">
        <f aca="false">K24+L24</f>
        <v>1005</v>
      </c>
      <c r="N24" s="61" t="n">
        <v>2370</v>
      </c>
      <c r="O24" s="62" t="s">
        <v>86</v>
      </c>
    </row>
    <row r="25" customFormat="false" ht="21.75" hidden="false" customHeight="true" outlineLevel="0" collapsed="false">
      <c r="A25" s="63" t="s">
        <v>32</v>
      </c>
      <c r="B25" s="64" t="s">
        <v>99</v>
      </c>
      <c r="C25" s="65" t="n">
        <v>60</v>
      </c>
      <c r="D25" s="66" t="n">
        <v>2</v>
      </c>
      <c r="E25" s="66" t="n">
        <v>1</v>
      </c>
      <c r="F25" s="67" t="s">
        <v>100</v>
      </c>
      <c r="G25" s="67" t="s">
        <v>101</v>
      </c>
      <c r="H25" s="68" t="s">
        <v>102</v>
      </c>
      <c r="I25" s="67" t="s">
        <v>103</v>
      </c>
      <c r="J25" s="69" t="s">
        <v>104</v>
      </c>
      <c r="K25" s="70" t="n">
        <v>595</v>
      </c>
      <c r="L25" s="70" t="n">
        <v>160</v>
      </c>
      <c r="M25" s="71" t="n">
        <f aca="false">K25+L25</f>
        <v>755</v>
      </c>
      <c r="N25" s="72" t="n">
        <v>1785</v>
      </c>
      <c r="O25" s="73" t="s">
        <v>86</v>
      </c>
    </row>
    <row r="26" customFormat="false" ht="21.75" hidden="false" customHeight="true" outlineLevel="0" collapsed="false">
      <c r="A26" s="52" t="s">
        <v>34</v>
      </c>
      <c r="B26" s="53" t="s">
        <v>105</v>
      </c>
      <c r="C26" s="54" t="n">
        <v>80</v>
      </c>
      <c r="D26" s="55" t="n">
        <v>3</v>
      </c>
      <c r="E26" s="55" t="n">
        <v>2</v>
      </c>
      <c r="F26" s="56" t="s">
        <v>106</v>
      </c>
      <c r="G26" s="56" t="s">
        <v>107</v>
      </c>
      <c r="H26" s="57" t="s">
        <v>108</v>
      </c>
      <c r="I26" s="56" t="s">
        <v>109</v>
      </c>
      <c r="J26" s="58" t="s">
        <v>110</v>
      </c>
      <c r="K26" s="59" t="n">
        <v>690</v>
      </c>
      <c r="L26" s="59" t="n">
        <v>185</v>
      </c>
      <c r="M26" s="60" t="n">
        <f aca="false">K26+L26</f>
        <v>875</v>
      </c>
      <c r="N26" s="61" t="n">
        <v>2070</v>
      </c>
      <c r="O26" s="62" t="s">
        <v>86</v>
      </c>
    </row>
    <row r="27" customFormat="false" ht="25.5" hidden="false" customHeight="true" outlineLevel="0" collapsed="false">
      <c r="A27" s="74" t="s">
        <v>36</v>
      </c>
      <c r="B27" s="34"/>
      <c r="C27" s="75" t="n">
        <f aca="false">SUM(C22:C26)</f>
        <v>365</v>
      </c>
      <c r="D27" s="34"/>
      <c r="E27" s="76" t="n">
        <f aca="false">SUM(E22:E26)</f>
        <v>9</v>
      </c>
      <c r="F27" s="34"/>
      <c r="G27" s="34"/>
      <c r="H27" s="34"/>
      <c r="I27" s="34"/>
      <c r="J27" s="34"/>
      <c r="K27" s="36" t="n">
        <f aca="false">SUM(K22:K26)</f>
        <v>3375</v>
      </c>
      <c r="L27" s="36" t="n">
        <f aca="false">SUM(L22:L26)</f>
        <v>910</v>
      </c>
      <c r="M27" s="36" t="n">
        <f aca="false">SUM(N22:N26)</f>
        <v>10125</v>
      </c>
      <c r="N27" s="37" t="n">
        <f aca="false">SUM(O22:O26)</f>
        <v>0</v>
      </c>
      <c r="O27" s="34"/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customFormat="false" ht="15" hidden="false" customHeight="false" outlineLevel="0" collapsed="false">
      <c r="A29" s="45" t="s">
        <v>111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29"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D11"/>
    <mergeCell ref="F11:G11"/>
    <mergeCell ref="H11:I11"/>
    <mergeCell ref="A12:B12"/>
    <mergeCell ref="C12:D12"/>
    <mergeCell ref="F12:G12"/>
    <mergeCell ref="H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29:O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4"/>
  <sheetViews>
    <sheetView showFormulas="false" showGridLines="false" showRowColHeaders="true" showZeros="true" rightToLeft="false" tabSelected="false" showOutlineSymbols="true" defaultGridColor="true" view="normal" topLeftCell="A1" colorId="64" zoomScale="105" zoomScaleNormal="10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11"/>
    <col collapsed="false" customWidth="true" hidden="false" outlineLevel="0" max="15" min="4" style="0" width="10"/>
    <col collapsed="false" customWidth="true" hidden="false" outlineLevel="0" max="18" min="16" style="0" width="12"/>
    <col collapsed="false" customWidth="true" hidden="false" outlineLevel="0" max="19" min="19" style="0" width="8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3.75" hidden="false" customHeight="true" outlineLevel="0" collapsed="false">
      <c r="A2" s="2" t="s">
        <v>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8" hidden="false" customHeight="true" outlineLevel="0" collapsed="false">
      <c r="A3" s="4" t="s">
        <v>113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Format="false" ht="3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21.75" hidden="false" customHeight="true" outlineLevel="0" collapsed="false">
      <c r="A7" s="7" t="s">
        <v>114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customFormat="false" ht="25.5" hidden="false" customHeight="true" outlineLevel="0" collapsed="false">
      <c r="A8" s="16" t="s">
        <v>17</v>
      </c>
      <c r="B8" s="16" t="s">
        <v>18</v>
      </c>
      <c r="C8" s="16" t="s">
        <v>115</v>
      </c>
      <c r="D8" s="16" t="s">
        <v>116</v>
      </c>
      <c r="E8" s="16" t="s">
        <v>117</v>
      </c>
      <c r="F8" s="16" t="s">
        <v>118</v>
      </c>
      <c r="G8" s="16" t="s">
        <v>119</v>
      </c>
      <c r="H8" s="16" t="s">
        <v>120</v>
      </c>
      <c r="I8" s="16" t="s">
        <v>121</v>
      </c>
      <c r="J8" s="16" t="s">
        <v>122</v>
      </c>
      <c r="K8" s="16" t="s">
        <v>123</v>
      </c>
      <c r="L8" s="16" t="s">
        <v>124</v>
      </c>
      <c r="M8" s="16" t="s">
        <v>125</v>
      </c>
      <c r="N8" s="16" t="s">
        <v>126</v>
      </c>
      <c r="O8" s="16" t="s">
        <v>127</v>
      </c>
      <c r="P8" s="16" t="s">
        <v>128</v>
      </c>
      <c r="Q8" s="16" t="s">
        <v>129</v>
      </c>
      <c r="R8" s="16" t="s">
        <v>130</v>
      </c>
      <c r="S8" s="16" t="s">
        <v>131</v>
      </c>
    </row>
    <row r="9" customFormat="false" ht="15" hidden="false" customHeight="fals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customFormat="false" ht="24" hidden="false" customHeight="true" outlineLevel="0" collapsed="false">
      <c r="A10" s="52" t="s">
        <v>26</v>
      </c>
      <c r="B10" s="53" t="s">
        <v>132</v>
      </c>
      <c r="C10" s="77" t="n">
        <f aca="false">Stammdaten!M22</f>
        <v>915</v>
      </c>
      <c r="D10" s="61" t="n">
        <v>915</v>
      </c>
      <c r="E10" s="61" t="n">
        <v>915</v>
      </c>
      <c r="F10" s="61" t="n">
        <v>915</v>
      </c>
      <c r="G10" s="61" t="n">
        <v>915</v>
      </c>
      <c r="H10" s="61" t="n">
        <v>915</v>
      </c>
      <c r="I10" s="61" t="n">
        <v>915</v>
      </c>
      <c r="J10" s="61"/>
      <c r="K10" s="61"/>
      <c r="L10" s="61"/>
      <c r="M10" s="61"/>
      <c r="N10" s="61"/>
      <c r="O10" s="61"/>
      <c r="P10" s="23" t="n">
        <f aca="false">SUM(D10:O10)</f>
        <v>5490</v>
      </c>
      <c r="Q10" s="22" t="n">
        <f aca="false">C10*12</f>
        <v>10980</v>
      </c>
      <c r="R10" s="23" t="n">
        <f aca="false">P10-C10*COUNT(D10:O10)</f>
        <v>0</v>
      </c>
      <c r="S10" s="24" t="n">
        <f aca="false">IFERROR(P10/(C10*COUNT(D10:O10)),0)</f>
        <v>1</v>
      </c>
    </row>
    <row r="11" customFormat="false" ht="24" hidden="false" customHeight="true" outlineLevel="0" collapsed="false">
      <c r="A11" s="63" t="s">
        <v>28</v>
      </c>
      <c r="B11" s="64" t="s">
        <v>133</v>
      </c>
      <c r="C11" s="78" t="n">
        <f aca="false">Stammdaten!M23</f>
        <v>735</v>
      </c>
      <c r="D11" s="72" t="n">
        <v>735</v>
      </c>
      <c r="E11" s="72" t="n">
        <v>735</v>
      </c>
      <c r="F11" s="72" t="n">
        <v>735</v>
      </c>
      <c r="G11" s="72" t="n">
        <v>735</v>
      </c>
      <c r="H11" s="72" t="n">
        <v>735</v>
      </c>
      <c r="I11" s="72" t="n">
        <v>0</v>
      </c>
      <c r="J11" s="72"/>
      <c r="K11" s="72"/>
      <c r="L11" s="72"/>
      <c r="M11" s="72"/>
      <c r="N11" s="72"/>
      <c r="O11" s="72"/>
      <c r="P11" s="31" t="n">
        <f aca="false">SUM(D11:O11)</f>
        <v>3675</v>
      </c>
      <c r="Q11" s="30" t="n">
        <f aca="false">C11*12</f>
        <v>8820</v>
      </c>
      <c r="R11" s="31" t="n">
        <f aca="false">P11-C11*COUNT(D11:O11)</f>
        <v>-735</v>
      </c>
      <c r="S11" s="32" t="n">
        <f aca="false">IFERROR(P11/(C11*COUNT(D11:O11)),0)</f>
        <v>0.833333333333333</v>
      </c>
    </row>
    <row r="12" customFormat="false" ht="24" hidden="false" customHeight="true" outlineLevel="0" collapsed="false">
      <c r="A12" s="52" t="s">
        <v>30</v>
      </c>
      <c r="B12" s="53" t="s">
        <v>134</v>
      </c>
      <c r="C12" s="77" t="n">
        <f aca="false">Stammdaten!M24</f>
        <v>1005</v>
      </c>
      <c r="D12" s="61" t="n">
        <v>1005</v>
      </c>
      <c r="E12" s="61" t="n">
        <v>1005</v>
      </c>
      <c r="F12" s="61" t="n">
        <v>1005</v>
      </c>
      <c r="G12" s="61" t="n">
        <v>1005</v>
      </c>
      <c r="H12" s="61" t="n">
        <v>955</v>
      </c>
      <c r="I12" s="61" t="n">
        <v>1005</v>
      </c>
      <c r="J12" s="61"/>
      <c r="K12" s="61"/>
      <c r="L12" s="61"/>
      <c r="M12" s="61"/>
      <c r="N12" s="61"/>
      <c r="O12" s="61"/>
      <c r="P12" s="23" t="n">
        <f aca="false">SUM(D12:O12)</f>
        <v>5980</v>
      </c>
      <c r="Q12" s="22" t="n">
        <f aca="false">C12*12</f>
        <v>12060</v>
      </c>
      <c r="R12" s="23" t="n">
        <f aca="false">P12-C12*COUNT(D12:O12)</f>
        <v>-50</v>
      </c>
      <c r="S12" s="24" t="n">
        <f aca="false">IFERROR(P12/(C12*COUNT(D12:O12)),0)</f>
        <v>0.991708126036484</v>
      </c>
    </row>
    <row r="13" customFormat="false" ht="24" hidden="false" customHeight="true" outlineLevel="0" collapsed="false">
      <c r="A13" s="63" t="s">
        <v>32</v>
      </c>
      <c r="B13" s="64" t="s">
        <v>135</v>
      </c>
      <c r="C13" s="78" t="n">
        <f aca="false">Stammdaten!M25</f>
        <v>755</v>
      </c>
      <c r="D13" s="72" t="n">
        <v>755</v>
      </c>
      <c r="E13" s="72" t="n">
        <v>755</v>
      </c>
      <c r="F13" s="72" t="n">
        <v>755</v>
      </c>
      <c r="G13" s="72" t="n">
        <v>755</v>
      </c>
      <c r="H13" s="72" t="n">
        <v>755</v>
      </c>
      <c r="I13" s="72" t="n">
        <v>755</v>
      </c>
      <c r="J13" s="72"/>
      <c r="K13" s="72"/>
      <c r="L13" s="72"/>
      <c r="M13" s="72"/>
      <c r="N13" s="72"/>
      <c r="O13" s="72"/>
      <c r="P13" s="31" t="n">
        <f aca="false">SUM(D13:O13)</f>
        <v>4530</v>
      </c>
      <c r="Q13" s="30" t="n">
        <f aca="false">C13*12</f>
        <v>9060</v>
      </c>
      <c r="R13" s="31" t="n">
        <f aca="false">P13-C13*COUNT(D13:O13)</f>
        <v>0</v>
      </c>
      <c r="S13" s="32" t="n">
        <f aca="false">IFERROR(P13/(C13*COUNT(D13:O13)),0)</f>
        <v>1</v>
      </c>
    </row>
    <row r="14" customFormat="false" ht="24" hidden="false" customHeight="true" outlineLevel="0" collapsed="false">
      <c r="A14" s="52" t="s">
        <v>34</v>
      </c>
      <c r="B14" s="53" t="s">
        <v>136</v>
      </c>
      <c r="C14" s="77" t="n">
        <f aca="false">Stammdaten!M26</f>
        <v>875</v>
      </c>
      <c r="D14" s="61" t="n">
        <v>875</v>
      </c>
      <c r="E14" s="61" t="n">
        <v>875</v>
      </c>
      <c r="F14" s="61" t="n">
        <v>875</v>
      </c>
      <c r="G14" s="61" t="n">
        <v>875</v>
      </c>
      <c r="H14" s="61" t="n">
        <v>875</v>
      </c>
      <c r="I14" s="61" t="n">
        <v>875</v>
      </c>
      <c r="J14" s="61"/>
      <c r="K14" s="61"/>
      <c r="L14" s="61"/>
      <c r="M14" s="61"/>
      <c r="N14" s="61"/>
      <c r="O14" s="61"/>
      <c r="P14" s="23" t="n">
        <f aca="false">SUM(D14:O14)</f>
        <v>5250</v>
      </c>
      <c r="Q14" s="22" t="n">
        <f aca="false">C14*12</f>
        <v>10500</v>
      </c>
      <c r="R14" s="23" t="n">
        <f aca="false">P14-C14*COUNT(D14:O14)</f>
        <v>0</v>
      </c>
      <c r="S14" s="24" t="n">
        <f aca="false">IFERROR(P14/(C14*COUNT(D14:O14)),0)</f>
        <v>1</v>
      </c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customFormat="false" ht="6" hidden="false" customHeight="tru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customFormat="false" ht="21.75" hidden="false" customHeight="true" outlineLevel="0" collapsed="false">
      <c r="A17" s="79" t="s">
        <v>137</v>
      </c>
      <c r="B17" s="79"/>
      <c r="C17" s="80" t="n">
        <f aca="false">SUM(C10:C14)</f>
        <v>4285</v>
      </c>
      <c r="D17" s="81" t="n">
        <f aca="false">$C$17</f>
        <v>4285</v>
      </c>
      <c r="E17" s="81" t="n">
        <f aca="false">$C$17</f>
        <v>4285</v>
      </c>
      <c r="F17" s="81" t="n">
        <f aca="false">$C$17</f>
        <v>4285</v>
      </c>
      <c r="G17" s="81" t="n">
        <f aca="false">$C$17</f>
        <v>4285</v>
      </c>
      <c r="H17" s="81" t="n">
        <f aca="false">$C$17</f>
        <v>4285</v>
      </c>
      <c r="I17" s="81" t="n">
        <f aca="false">$C$17</f>
        <v>4285</v>
      </c>
      <c r="J17" s="81" t="n">
        <f aca="false">$C$17</f>
        <v>4285</v>
      </c>
      <c r="K17" s="81" t="n">
        <f aca="false">$C$17</f>
        <v>4285</v>
      </c>
      <c r="L17" s="81" t="n">
        <f aca="false">$C$17</f>
        <v>4285</v>
      </c>
      <c r="M17" s="81" t="n">
        <f aca="false">$C$17</f>
        <v>4285</v>
      </c>
      <c r="N17" s="81" t="n">
        <f aca="false">$C$17</f>
        <v>4285</v>
      </c>
      <c r="O17" s="81" t="n">
        <f aca="false">$C$17</f>
        <v>4285</v>
      </c>
      <c r="P17" s="82"/>
      <c r="Q17" s="80" t="n">
        <f aca="false">SUM(Q10:Q14)</f>
        <v>51420</v>
      </c>
      <c r="R17" s="83"/>
      <c r="S17" s="83"/>
    </row>
    <row r="18" customFormat="false" ht="21.75" hidden="false" customHeight="true" outlineLevel="0" collapsed="false">
      <c r="A18" s="84" t="s">
        <v>138</v>
      </c>
      <c r="B18" s="84"/>
      <c r="C18" s="85"/>
      <c r="D18" s="86" t="n">
        <f aca="false">SUM(D10:D14)</f>
        <v>4285</v>
      </c>
      <c r="E18" s="86" t="n">
        <f aca="false">SUM(E10:E14)</f>
        <v>4285</v>
      </c>
      <c r="F18" s="86" t="n">
        <f aca="false">SUM(F10:F14)</f>
        <v>4285</v>
      </c>
      <c r="G18" s="86" t="n">
        <f aca="false">SUM(G10:G14)</f>
        <v>4285</v>
      </c>
      <c r="H18" s="86" t="n">
        <f aca="false">SUM(H10:H14)</f>
        <v>4235</v>
      </c>
      <c r="I18" s="86" t="n">
        <f aca="false">SUM(I10:I14)</f>
        <v>3550</v>
      </c>
      <c r="J18" s="86" t="n">
        <f aca="false">SUM(J10:J14)</f>
        <v>0</v>
      </c>
      <c r="K18" s="86" t="n">
        <f aca="false">SUM(K10:K14)</f>
        <v>0</v>
      </c>
      <c r="L18" s="86" t="n">
        <f aca="false">SUM(L10:L14)</f>
        <v>0</v>
      </c>
      <c r="M18" s="86" t="n">
        <f aca="false">SUM(M10:M14)</f>
        <v>0</v>
      </c>
      <c r="N18" s="86" t="n">
        <f aca="false">SUM(N10:N14)</f>
        <v>0</v>
      </c>
      <c r="O18" s="86" t="n">
        <f aca="false">SUM(O10:O14)</f>
        <v>0</v>
      </c>
      <c r="P18" s="86" t="n">
        <f aca="false">SUM(P10:P14)</f>
        <v>24925</v>
      </c>
      <c r="Q18" s="87" t="n">
        <f aca="false">SUM(D17:I17)</f>
        <v>25710</v>
      </c>
      <c r="R18" s="3"/>
      <c r="S18" s="88" t="n">
        <f aca="false">IFERROR(P18/Q18,0)</f>
        <v>0.969467133411124</v>
      </c>
    </row>
    <row r="19" customFormat="false" ht="21.75" hidden="false" customHeight="true" outlineLevel="0" collapsed="false">
      <c r="A19" s="89" t="s">
        <v>23</v>
      </c>
      <c r="B19" s="89"/>
      <c r="C19" s="90"/>
      <c r="D19" s="91" t="n">
        <f aca="false">D18-D17</f>
        <v>0</v>
      </c>
      <c r="E19" s="91" t="n">
        <f aca="false">E18-E17</f>
        <v>0</v>
      </c>
      <c r="F19" s="91" t="n">
        <f aca="false">F18-F17</f>
        <v>0</v>
      </c>
      <c r="G19" s="91" t="n">
        <f aca="false">G18-G17</f>
        <v>0</v>
      </c>
      <c r="H19" s="91" t="n">
        <f aca="false">H18-H17</f>
        <v>-50</v>
      </c>
      <c r="I19" s="91" t="n">
        <f aca="false">I18-I17</f>
        <v>-735</v>
      </c>
      <c r="J19" s="91" t="n">
        <f aca="false">J18-J17</f>
        <v>-4285</v>
      </c>
      <c r="K19" s="91" t="n">
        <f aca="false">K18-K17</f>
        <v>-4285</v>
      </c>
      <c r="L19" s="91" t="n">
        <f aca="false">L18-L17</f>
        <v>-4285</v>
      </c>
      <c r="M19" s="91" t="n">
        <f aca="false">M18-M17</f>
        <v>-4285</v>
      </c>
      <c r="N19" s="91" t="n">
        <f aca="false">N18-N17</f>
        <v>-4285</v>
      </c>
      <c r="O19" s="91" t="n">
        <f aca="false">O18-O17</f>
        <v>-4285</v>
      </c>
      <c r="P19" s="92"/>
      <c r="Q19" s="92"/>
      <c r="R19" s="93" t="n">
        <f aca="false">SUM(R10:R14)</f>
        <v>-785</v>
      </c>
      <c r="S19" s="92"/>
    </row>
    <row r="20" customFormat="false" ht="7.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customFormat="false" ht="18" hidden="false" customHeight="true" outlineLevel="0" collapsed="false">
      <c r="A22" s="94" t="s">
        <v>139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</row>
    <row r="23" customFormat="false" ht="15.75" hidden="false" customHeight="true" outlineLevel="0" collapsed="false">
      <c r="A23" s="95" t="s">
        <v>140</v>
      </c>
      <c r="B23" s="3"/>
      <c r="C23" s="3"/>
      <c r="D23" s="3"/>
      <c r="E23" s="96" t="s">
        <v>141</v>
      </c>
      <c r="F23" s="3"/>
      <c r="G23" s="3"/>
      <c r="H23" s="3"/>
      <c r="I23" s="3"/>
      <c r="J23" s="97" t="s">
        <v>142</v>
      </c>
      <c r="K23" s="3"/>
      <c r="L23" s="3"/>
      <c r="M23" s="3"/>
      <c r="N23" s="3"/>
      <c r="O23" s="98" t="s">
        <v>143</v>
      </c>
      <c r="P23" s="3"/>
      <c r="Q23" s="3"/>
      <c r="R23" s="3"/>
      <c r="S23" s="3"/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</sheetData>
  <mergeCells count="4">
    <mergeCell ref="A17:B17"/>
    <mergeCell ref="A18:B18"/>
    <mergeCell ref="A19:B19"/>
    <mergeCell ref="A22:S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false" showRowColHeaders="true" showZeros="true" rightToLeft="false" tabSelected="false" showOutlineSymbols="true" defaultGridColor="true" view="normal" topLeftCell="A1" colorId="64" zoomScale="105" zoomScaleNormal="10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15" min="5" style="0" width="11"/>
    <col collapsed="false" customWidth="true" hidden="false" outlineLevel="0" max="17" min="16" style="0" width="12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33.75" hidden="false" customHeight="true" outlineLevel="0" collapsed="false">
      <c r="A2" s="2" t="s">
        <v>144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8" hidden="false" customHeight="true" outlineLevel="0" collapsed="false">
      <c r="A3" s="4" t="s">
        <v>145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3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19.5" hidden="false" customHeight="true" outlineLevel="0" collapsed="false">
      <c r="A7" s="99" t="s">
        <v>146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customFormat="false" ht="15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21.75" hidden="false" customHeight="true" outlineLevel="0" collapsed="false">
      <c r="A9" s="7" t="s">
        <v>147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3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customFormat="false" ht="25.5" hidden="false" customHeight="true" outlineLevel="0" collapsed="false">
      <c r="A11" s="16" t="s">
        <v>148</v>
      </c>
      <c r="B11" s="16" t="s">
        <v>149</v>
      </c>
      <c r="C11" s="16" t="s">
        <v>150</v>
      </c>
      <c r="D11" s="16" t="s">
        <v>151</v>
      </c>
      <c r="E11" s="16" t="s">
        <v>152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customFormat="false" ht="19.5" hidden="false" customHeight="true" outlineLevel="0" collapsed="false">
      <c r="A13" s="100" t="n">
        <v>1</v>
      </c>
      <c r="B13" s="101" t="s">
        <v>153</v>
      </c>
      <c r="C13" s="59" t="n">
        <v>7850</v>
      </c>
      <c r="D13" s="102" t="s">
        <v>154</v>
      </c>
      <c r="E13" s="103" t="n">
        <v>62400</v>
      </c>
      <c r="F13" s="10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19.5" hidden="false" customHeight="true" outlineLevel="0" collapsed="false">
      <c r="A14" s="104" t="n">
        <v>2</v>
      </c>
      <c r="B14" s="105" t="s">
        <v>155</v>
      </c>
      <c r="C14" s="70" t="n">
        <v>2180</v>
      </c>
      <c r="D14" s="106" t="s">
        <v>154</v>
      </c>
      <c r="E14" s="107" t="n">
        <v>148</v>
      </c>
      <c r="F14" s="10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customFormat="false" ht="19.5" hidden="false" customHeight="true" outlineLevel="0" collapsed="false">
      <c r="A15" s="100" t="n">
        <v>3</v>
      </c>
      <c r="B15" s="101" t="s">
        <v>156</v>
      </c>
      <c r="C15" s="59" t="n">
        <v>2640</v>
      </c>
      <c r="D15" s="102" t="s">
        <v>157</v>
      </c>
      <c r="E15" s="108" t="n">
        <f aca="false">Stammdaten!E27</f>
        <v>9</v>
      </c>
      <c r="F15" s="10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customFormat="false" ht="19.5" hidden="false" customHeight="true" outlineLevel="0" collapsed="false">
      <c r="A16" s="104" t="n">
        <v>4</v>
      </c>
      <c r="B16" s="105" t="s">
        <v>158</v>
      </c>
      <c r="C16" s="70" t="n">
        <v>1430</v>
      </c>
      <c r="D16" s="106" t="s">
        <v>157</v>
      </c>
      <c r="E16" s="109" t="n">
        <f aca="false">Stammdaten!E27</f>
        <v>9</v>
      </c>
      <c r="F16" s="10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customFormat="false" ht="19.5" hidden="false" customHeight="true" outlineLevel="0" collapsed="false">
      <c r="A17" s="100" t="n">
        <v>5</v>
      </c>
      <c r="B17" s="101" t="s">
        <v>159</v>
      </c>
      <c r="C17" s="59" t="n">
        <v>2160</v>
      </c>
      <c r="D17" s="102" t="s">
        <v>160</v>
      </c>
      <c r="E17" s="110" t="n">
        <f aca="false">Stammdaten!C27</f>
        <v>365</v>
      </c>
      <c r="F17" s="1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customFormat="false" ht="19.5" hidden="false" customHeight="true" outlineLevel="0" collapsed="false">
      <c r="A18" s="104" t="n">
        <v>6</v>
      </c>
      <c r="B18" s="105" t="s">
        <v>161</v>
      </c>
      <c r="C18" s="70" t="n">
        <v>980</v>
      </c>
      <c r="D18" s="106" t="s">
        <v>160</v>
      </c>
      <c r="E18" s="111" t="n">
        <f aca="false">Stammdaten!C27</f>
        <v>365</v>
      </c>
      <c r="F18" s="1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customFormat="false" ht="19.5" hidden="false" customHeight="true" outlineLevel="0" collapsed="false">
      <c r="A19" s="100" t="n">
        <v>7</v>
      </c>
      <c r="B19" s="101" t="s">
        <v>162</v>
      </c>
      <c r="C19" s="59" t="n">
        <v>720</v>
      </c>
      <c r="D19" s="102" t="s">
        <v>160</v>
      </c>
      <c r="E19" s="110" t="n">
        <f aca="false">Stammdaten!C27</f>
        <v>365</v>
      </c>
      <c r="F19" s="1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customFormat="false" ht="19.5" hidden="false" customHeight="true" outlineLevel="0" collapsed="false">
      <c r="A20" s="104" t="n">
        <v>8</v>
      </c>
      <c r="B20" s="105" t="s">
        <v>163</v>
      </c>
      <c r="C20" s="70" t="n">
        <v>1850</v>
      </c>
      <c r="D20" s="106" t="s">
        <v>160</v>
      </c>
      <c r="E20" s="111" t="n">
        <f aca="false">Stammdaten!C27</f>
        <v>365</v>
      </c>
      <c r="F20" s="1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customFormat="false" ht="19.5" hidden="false" customHeight="true" outlineLevel="0" collapsed="false">
      <c r="A21" s="100" t="n">
        <v>9</v>
      </c>
      <c r="B21" s="101" t="s">
        <v>164</v>
      </c>
      <c r="C21" s="59" t="n">
        <v>1180</v>
      </c>
      <c r="D21" s="102" t="s">
        <v>160</v>
      </c>
      <c r="E21" s="110" t="n">
        <f aca="false">Stammdaten!C27</f>
        <v>365</v>
      </c>
      <c r="F21" s="11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customFormat="false" ht="24" hidden="false" customHeight="true" outlineLevel="0" collapsed="false">
      <c r="A22" s="33" t="s">
        <v>165</v>
      </c>
      <c r="B22" s="33"/>
      <c r="C22" s="112" t="n">
        <f aca="false">SUM(C13:C21)</f>
        <v>20990</v>
      </c>
      <c r="D22" s="34"/>
      <c r="E22" s="34"/>
      <c r="F22" s="3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customFormat="false" ht="21.75" hidden="false" customHeight="true" outlineLevel="0" collapsed="false">
      <c r="A25" s="7" t="s">
        <v>166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customFormat="false" ht="3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customFormat="false" ht="25.5" hidden="false" customHeight="true" outlineLevel="0" collapsed="false">
      <c r="A27" s="16" t="s">
        <v>17</v>
      </c>
      <c r="B27" s="16" t="s">
        <v>18</v>
      </c>
      <c r="C27" s="16" t="s">
        <v>69</v>
      </c>
      <c r="D27" s="16" t="s">
        <v>71</v>
      </c>
      <c r="E27" s="16" t="s">
        <v>167</v>
      </c>
      <c r="F27" s="16" t="s">
        <v>168</v>
      </c>
      <c r="G27" s="16" t="s">
        <v>169</v>
      </c>
      <c r="H27" s="16" t="s">
        <v>170</v>
      </c>
      <c r="I27" s="16" t="s">
        <v>171</v>
      </c>
      <c r="J27" s="16" t="s">
        <v>172</v>
      </c>
      <c r="K27" s="16" t="s">
        <v>173</v>
      </c>
      <c r="L27" s="16" t="s">
        <v>174</v>
      </c>
      <c r="M27" s="16" t="s">
        <v>175</v>
      </c>
      <c r="N27" s="16" t="s">
        <v>176</v>
      </c>
      <c r="O27" s="16" t="s">
        <v>177</v>
      </c>
      <c r="P27" s="16" t="s">
        <v>178</v>
      </c>
      <c r="Q27" s="16" t="s">
        <v>179</v>
      </c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customFormat="false" ht="21.75" hidden="false" customHeight="true" outlineLevel="0" collapsed="false">
      <c r="A29" s="52" t="s">
        <v>26</v>
      </c>
      <c r="B29" s="53" t="s">
        <v>27</v>
      </c>
      <c r="C29" s="110" t="n">
        <f aca="false">Stammdaten!C22</f>
        <v>78</v>
      </c>
      <c r="D29" s="113" t="n">
        <f aca="false">Stammdaten!E22</f>
        <v>2</v>
      </c>
      <c r="E29" s="103" t="n">
        <v>13200</v>
      </c>
      <c r="F29" s="114" t="n">
        <v>31</v>
      </c>
      <c r="G29" s="20" t="n">
        <f aca="false">E29/$E$13*$C$13</f>
        <v>1660.57692307692</v>
      </c>
      <c r="H29" s="20" t="n">
        <f aca="false">F29/$E$14*$C$14</f>
        <v>456.621621621622</v>
      </c>
      <c r="I29" s="20" t="n">
        <f aca="false">D29/$E$15*$C$15</f>
        <v>586.666666666667</v>
      </c>
      <c r="J29" s="20" t="n">
        <f aca="false">D29/$E$16*$C$16</f>
        <v>317.777777777778</v>
      </c>
      <c r="K29" s="20" t="n">
        <f aca="false">C29/$E$17*$C$17</f>
        <v>461.58904109589</v>
      </c>
      <c r="L29" s="20" t="n">
        <f aca="false">C29/$E$18*$C$18</f>
        <v>209.424657534247</v>
      </c>
      <c r="M29" s="20" t="n">
        <f aca="false">C29/$E$19*$C$19</f>
        <v>153.86301369863</v>
      </c>
      <c r="N29" s="20" t="n">
        <f aca="false">C29/$E$20*$C$20</f>
        <v>395.342465753425</v>
      </c>
      <c r="O29" s="20" t="n">
        <f aca="false">C29/$E$21*$C$21</f>
        <v>252.164383561644</v>
      </c>
      <c r="P29" s="60" t="n">
        <f aca="false">SUM(G29:O29)</f>
        <v>4494.02655078683</v>
      </c>
      <c r="Q29" s="60" t="n">
        <f aca="false">Stammdaten!L22*12-P29</f>
        <v>-2154.02655078683</v>
      </c>
    </row>
    <row r="30" customFormat="false" ht="21.75" hidden="false" customHeight="true" outlineLevel="0" collapsed="false">
      <c r="A30" s="63" t="s">
        <v>28</v>
      </c>
      <c r="B30" s="64" t="s">
        <v>29</v>
      </c>
      <c r="C30" s="111" t="n">
        <f aca="false">Stammdaten!C23</f>
        <v>62</v>
      </c>
      <c r="D30" s="115" t="n">
        <f aca="false">Stammdaten!E23</f>
        <v>1</v>
      </c>
      <c r="E30" s="116" t="n">
        <v>10800</v>
      </c>
      <c r="F30" s="107" t="n">
        <v>24</v>
      </c>
      <c r="G30" s="28" t="n">
        <f aca="false">E30/$E$13*$C$13</f>
        <v>1358.65384615385</v>
      </c>
      <c r="H30" s="28" t="n">
        <f aca="false">F30/$E$14*$C$14</f>
        <v>353.513513513514</v>
      </c>
      <c r="I30" s="28" t="n">
        <f aca="false">D30/$E$15*$C$15</f>
        <v>293.333333333333</v>
      </c>
      <c r="J30" s="28" t="n">
        <f aca="false">D30/$E$16*$C$16</f>
        <v>158.888888888889</v>
      </c>
      <c r="K30" s="28" t="n">
        <f aca="false">C30/$E$17*$C$17</f>
        <v>366.904109589041</v>
      </c>
      <c r="L30" s="28" t="n">
        <f aca="false">C30/$E$18*$C$18</f>
        <v>166.465753424658</v>
      </c>
      <c r="M30" s="28" t="n">
        <f aca="false">C30/$E$19*$C$19</f>
        <v>122.301369863014</v>
      </c>
      <c r="N30" s="28" t="n">
        <f aca="false">C30/$E$20*$C$20</f>
        <v>314.246575342466</v>
      </c>
      <c r="O30" s="28" t="n">
        <f aca="false">C30/$E$21*$C$21</f>
        <v>200.438356164384</v>
      </c>
      <c r="P30" s="71" t="n">
        <f aca="false">SUM(G30:O30)</f>
        <v>3334.74574627314</v>
      </c>
      <c r="Q30" s="71" t="n">
        <f aca="false">Stammdaten!L23*12-P30</f>
        <v>-1474.74574627314</v>
      </c>
    </row>
    <row r="31" customFormat="false" ht="21.75" hidden="false" customHeight="true" outlineLevel="0" collapsed="false">
      <c r="A31" s="52" t="s">
        <v>30</v>
      </c>
      <c r="B31" s="53" t="s">
        <v>31</v>
      </c>
      <c r="C31" s="110" t="n">
        <f aca="false">Stammdaten!C24</f>
        <v>85</v>
      </c>
      <c r="D31" s="113" t="n">
        <f aca="false">Stammdaten!E24</f>
        <v>3</v>
      </c>
      <c r="E31" s="103" t="n">
        <v>15600</v>
      </c>
      <c r="F31" s="114" t="n">
        <v>38</v>
      </c>
      <c r="G31" s="20" t="n">
        <f aca="false">E31/$E$13*$C$13</f>
        <v>1962.5</v>
      </c>
      <c r="H31" s="20" t="n">
        <f aca="false">F31/$E$14*$C$14</f>
        <v>559.72972972973</v>
      </c>
      <c r="I31" s="20" t="n">
        <f aca="false">D31/$E$15*$C$15</f>
        <v>880</v>
      </c>
      <c r="J31" s="20" t="n">
        <f aca="false">D31/$E$16*$C$16</f>
        <v>476.666666666667</v>
      </c>
      <c r="K31" s="20" t="n">
        <f aca="false">C31/$E$17*$C$17</f>
        <v>503.013698630137</v>
      </c>
      <c r="L31" s="20" t="n">
        <f aca="false">C31/$E$18*$C$18</f>
        <v>228.219178082192</v>
      </c>
      <c r="M31" s="20" t="n">
        <f aca="false">C31/$E$19*$C$19</f>
        <v>167.671232876712</v>
      </c>
      <c r="N31" s="20" t="n">
        <f aca="false">C31/$E$20*$C$20</f>
        <v>430.821917808219</v>
      </c>
      <c r="O31" s="20" t="n">
        <f aca="false">C31/$E$21*$C$21</f>
        <v>274.794520547945</v>
      </c>
      <c r="P31" s="60" t="n">
        <f aca="false">SUM(G31:O31)</f>
        <v>5483.4169443416</v>
      </c>
      <c r="Q31" s="60" t="n">
        <f aca="false">Stammdaten!L24*12-P31</f>
        <v>-2903.4169443416</v>
      </c>
    </row>
    <row r="32" customFormat="false" ht="21.75" hidden="false" customHeight="true" outlineLevel="0" collapsed="false">
      <c r="A32" s="63" t="s">
        <v>32</v>
      </c>
      <c r="B32" s="64" t="s">
        <v>33</v>
      </c>
      <c r="C32" s="111" t="n">
        <f aca="false">Stammdaten!C25</f>
        <v>60</v>
      </c>
      <c r="D32" s="115" t="n">
        <f aca="false">Stammdaten!E25</f>
        <v>1</v>
      </c>
      <c r="E32" s="116" t="n">
        <v>10200</v>
      </c>
      <c r="F32" s="107" t="n">
        <v>22</v>
      </c>
      <c r="G32" s="28" t="n">
        <f aca="false">E32/$E$13*$C$13</f>
        <v>1283.17307692308</v>
      </c>
      <c r="H32" s="28" t="n">
        <f aca="false">F32/$E$14*$C$14</f>
        <v>324.054054054054</v>
      </c>
      <c r="I32" s="28" t="n">
        <f aca="false">D32/$E$15*$C$15</f>
        <v>293.333333333333</v>
      </c>
      <c r="J32" s="28" t="n">
        <f aca="false">D32/$E$16*$C$16</f>
        <v>158.888888888889</v>
      </c>
      <c r="K32" s="28" t="n">
        <f aca="false">C32/$E$17*$C$17</f>
        <v>355.068493150685</v>
      </c>
      <c r="L32" s="28" t="n">
        <f aca="false">C32/$E$18*$C$18</f>
        <v>161.095890410959</v>
      </c>
      <c r="M32" s="28" t="n">
        <f aca="false">C32/$E$19*$C$19</f>
        <v>118.356164383562</v>
      </c>
      <c r="N32" s="28" t="n">
        <f aca="false">C32/$E$20*$C$20</f>
        <v>304.109589041096</v>
      </c>
      <c r="O32" s="28" t="n">
        <f aca="false">C32/$E$21*$C$21</f>
        <v>193.972602739726</v>
      </c>
      <c r="P32" s="71" t="n">
        <f aca="false">SUM(G32:O32)</f>
        <v>3192.05209292538</v>
      </c>
      <c r="Q32" s="71" t="n">
        <f aca="false">Stammdaten!L25*12-P32</f>
        <v>-1272.05209292538</v>
      </c>
    </row>
    <row r="33" customFormat="false" ht="21.75" hidden="false" customHeight="true" outlineLevel="0" collapsed="false">
      <c r="A33" s="52" t="s">
        <v>34</v>
      </c>
      <c r="B33" s="53" t="s">
        <v>35</v>
      </c>
      <c r="C33" s="110" t="n">
        <f aca="false">Stammdaten!C26</f>
        <v>80</v>
      </c>
      <c r="D33" s="113" t="n">
        <f aca="false">Stammdaten!E26</f>
        <v>2</v>
      </c>
      <c r="E33" s="103" t="n">
        <v>12600</v>
      </c>
      <c r="F33" s="114" t="n">
        <v>33</v>
      </c>
      <c r="G33" s="20" t="n">
        <f aca="false">E33/$E$13*$C$13</f>
        <v>1585.09615384615</v>
      </c>
      <c r="H33" s="20" t="n">
        <f aca="false">F33/$E$14*$C$14</f>
        <v>486.081081081081</v>
      </c>
      <c r="I33" s="20" t="n">
        <f aca="false">D33/$E$15*$C$15</f>
        <v>586.666666666667</v>
      </c>
      <c r="J33" s="20" t="n">
        <f aca="false">D33/$E$16*$C$16</f>
        <v>317.777777777778</v>
      </c>
      <c r="K33" s="20" t="n">
        <f aca="false">C33/$E$17*$C$17</f>
        <v>473.424657534247</v>
      </c>
      <c r="L33" s="20" t="n">
        <f aca="false">C33/$E$18*$C$18</f>
        <v>214.794520547945</v>
      </c>
      <c r="M33" s="20" t="n">
        <f aca="false">C33/$E$19*$C$19</f>
        <v>157.808219178082</v>
      </c>
      <c r="N33" s="20" t="n">
        <f aca="false">C33/$E$20*$C$20</f>
        <v>405.479452054795</v>
      </c>
      <c r="O33" s="20" t="n">
        <f aca="false">C33/$E$21*$C$21</f>
        <v>258.630136986301</v>
      </c>
      <c r="P33" s="60" t="n">
        <f aca="false">SUM(G33:O33)</f>
        <v>4485.75866567305</v>
      </c>
      <c r="Q33" s="60" t="n">
        <f aca="false">Stammdaten!L26*12-P33</f>
        <v>-2265.75866567305</v>
      </c>
    </row>
    <row r="34" customFormat="false" ht="25.5" hidden="false" customHeight="true" outlineLevel="0" collapsed="false">
      <c r="A34" s="33" t="s">
        <v>36</v>
      </c>
      <c r="B34" s="33"/>
      <c r="C34" s="35" t="n">
        <f aca="false">SUM(C29:C33)</f>
        <v>365</v>
      </c>
      <c r="D34" s="75" t="n">
        <f aca="false">SUM(D29:D33)</f>
        <v>9</v>
      </c>
      <c r="E34" s="117" t="n">
        <f aca="false">SUM(E29:E33)</f>
        <v>62400</v>
      </c>
      <c r="F34" s="118" t="n">
        <f aca="false">SUM(F29:F33)</f>
        <v>148</v>
      </c>
      <c r="G34" s="36" t="n">
        <f aca="false">SUM(G29:G33)</f>
        <v>7850</v>
      </c>
      <c r="H34" s="36" t="n">
        <f aca="false">SUM(H29:H33)</f>
        <v>2180</v>
      </c>
      <c r="I34" s="36" t="n">
        <f aca="false">SUM(I29:I33)</f>
        <v>2640</v>
      </c>
      <c r="J34" s="36" t="n">
        <f aca="false">SUM(J29:J33)</f>
        <v>1430</v>
      </c>
      <c r="K34" s="36" t="n">
        <f aca="false">SUM(K29:K33)</f>
        <v>2160</v>
      </c>
      <c r="L34" s="36" t="n">
        <f aca="false">SUM(L29:L33)</f>
        <v>980</v>
      </c>
      <c r="M34" s="36" t="n">
        <f aca="false">SUM(M29:M33)</f>
        <v>720</v>
      </c>
      <c r="N34" s="36" t="n">
        <f aca="false">SUM(N29:N33)</f>
        <v>1850</v>
      </c>
      <c r="O34" s="36" t="n">
        <f aca="false">SUM(O29:O33)</f>
        <v>1180</v>
      </c>
      <c r="P34" s="36" t="n">
        <f aca="false">SUM(P29:P33)</f>
        <v>20990</v>
      </c>
      <c r="Q34" s="36" t="n">
        <f aca="false">SUM(Q29:Q33)</f>
        <v>-10070</v>
      </c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customFormat="false" ht="27.75" hidden="false" customHeight="true" outlineLevel="0" collapsed="false">
      <c r="A36" s="119" t="s">
        <v>180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customFormat="false" ht="1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customFormat="false" ht="1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4">
    <mergeCell ref="A7:Q7"/>
    <mergeCell ref="E11:F11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A22:B22"/>
    <mergeCell ref="A34:B34"/>
    <mergeCell ref="A36:Q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13"/>
    <col collapsed="false" customWidth="true" hidden="false" outlineLevel="0" max="4" min="4" style="0" width="14"/>
    <col collapsed="false" customWidth="true" hidden="false" outlineLevel="0" max="5" min="5" style="0" width="30"/>
    <col collapsed="false" customWidth="true" hidden="false" outlineLevel="0" max="6" min="6" style="0" width="22"/>
    <col collapsed="false" customWidth="true" hidden="false" outlineLevel="0" max="7" min="7" style="0" width="12"/>
    <col collapsed="false" customWidth="true" hidden="false" outlineLevel="0" max="8" min="8" style="0" width="15"/>
    <col collapsed="false" customWidth="true" hidden="false" outlineLevel="0" max="9" min="9" style="0" width="14"/>
    <col collapsed="false" customWidth="true" hidden="false" outlineLevel="0" max="10" min="10" style="0" width="4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33.75" hidden="false" customHeight="true" outlineLevel="0" collapsed="false">
      <c r="A2" s="2" t="s">
        <v>181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8" hidden="false" customHeight="true" outlineLevel="0" collapsed="false">
      <c r="A3" s="4" t="s">
        <v>182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3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</row>
    <row r="7" customFormat="false" ht="21.75" hidden="false" customHeight="true" outlineLevel="0" collapsed="false">
      <c r="A7" s="7" t="s">
        <v>183</v>
      </c>
      <c r="B7" s="3"/>
      <c r="C7" s="3"/>
      <c r="D7" s="3"/>
      <c r="E7" s="3"/>
      <c r="F7" s="3"/>
      <c r="G7" s="3"/>
      <c r="H7" s="3"/>
      <c r="I7" s="3"/>
      <c r="J7" s="3"/>
    </row>
    <row r="8" customFormat="false" ht="3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</row>
    <row r="9" customFormat="false" ht="13.5" hidden="false" customHeight="true" outlineLevel="0" collapsed="false">
      <c r="A9" s="120"/>
      <c r="B9" s="120"/>
      <c r="C9" s="120"/>
      <c r="D9" s="120"/>
      <c r="E9" s="120"/>
      <c r="F9" s="120"/>
      <c r="G9" s="120"/>
      <c r="H9" s="120"/>
      <c r="I9" s="120"/>
      <c r="J9" s="120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customFormat="false" ht="25.5" hidden="false" customHeight="true" outlineLevel="0" collapsed="false">
      <c r="A11" s="16" t="s">
        <v>184</v>
      </c>
      <c r="B11" s="16" t="s">
        <v>185</v>
      </c>
      <c r="C11" s="16" t="s">
        <v>186</v>
      </c>
      <c r="D11" s="16" t="s">
        <v>187</v>
      </c>
      <c r="E11" s="16" t="s">
        <v>188</v>
      </c>
      <c r="F11" s="16" t="s">
        <v>189</v>
      </c>
      <c r="G11" s="16" t="s">
        <v>190</v>
      </c>
      <c r="H11" s="16" t="s">
        <v>79</v>
      </c>
      <c r="I11" s="16" t="s">
        <v>191</v>
      </c>
      <c r="J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customFormat="false" ht="24" hidden="false" customHeight="true" outlineLevel="0" collapsed="false">
      <c r="A13" s="100" t="n">
        <v>1</v>
      </c>
      <c r="B13" s="58" t="s">
        <v>192</v>
      </c>
      <c r="C13" s="56" t="s">
        <v>193</v>
      </c>
      <c r="D13" s="56" t="s">
        <v>194</v>
      </c>
      <c r="E13" s="121" t="s">
        <v>195</v>
      </c>
      <c r="F13" s="56" t="s">
        <v>196</v>
      </c>
      <c r="G13" s="59" t="n">
        <v>480</v>
      </c>
      <c r="H13" s="122" t="s">
        <v>197</v>
      </c>
      <c r="I13" s="58" t="s">
        <v>198</v>
      </c>
      <c r="J13" s="123"/>
    </row>
    <row r="14" customFormat="false" ht="24" hidden="false" customHeight="true" outlineLevel="0" collapsed="false">
      <c r="A14" s="104" t="n">
        <v>2</v>
      </c>
      <c r="B14" s="69" t="s">
        <v>199</v>
      </c>
      <c r="C14" s="67" t="s">
        <v>30</v>
      </c>
      <c r="D14" s="67" t="s">
        <v>200</v>
      </c>
      <c r="E14" s="124" t="s">
        <v>201</v>
      </c>
      <c r="F14" s="67" t="s">
        <v>202</v>
      </c>
      <c r="G14" s="70" t="n">
        <v>95</v>
      </c>
      <c r="H14" s="125" t="s">
        <v>197</v>
      </c>
      <c r="I14" s="69"/>
      <c r="J14" s="13"/>
    </row>
    <row r="15" customFormat="false" ht="24" hidden="false" customHeight="true" outlineLevel="0" collapsed="false">
      <c r="A15" s="100" t="n">
        <v>3</v>
      </c>
      <c r="B15" s="58" t="s">
        <v>203</v>
      </c>
      <c r="C15" s="56" t="s">
        <v>193</v>
      </c>
      <c r="D15" s="56" t="s">
        <v>204</v>
      </c>
      <c r="E15" s="121" t="s">
        <v>205</v>
      </c>
      <c r="F15" s="56" t="s">
        <v>206</v>
      </c>
      <c r="G15" s="59" t="n">
        <v>1250</v>
      </c>
      <c r="H15" s="122" t="s">
        <v>197</v>
      </c>
      <c r="I15" s="58"/>
      <c r="J15" s="123"/>
    </row>
    <row r="16" customFormat="false" ht="24" hidden="false" customHeight="true" outlineLevel="0" collapsed="false">
      <c r="A16" s="104" t="n">
        <v>4</v>
      </c>
      <c r="B16" s="69" t="s">
        <v>207</v>
      </c>
      <c r="C16" s="67" t="s">
        <v>193</v>
      </c>
      <c r="D16" s="67" t="s">
        <v>208</v>
      </c>
      <c r="E16" s="124" t="s">
        <v>209</v>
      </c>
      <c r="F16" s="67" t="s">
        <v>210</v>
      </c>
      <c r="G16" s="70" t="n">
        <v>410</v>
      </c>
      <c r="H16" s="125" t="s">
        <v>197</v>
      </c>
      <c r="I16" s="69" t="s">
        <v>211</v>
      </c>
      <c r="J16" s="13"/>
    </row>
    <row r="17" customFormat="false" ht="24" hidden="false" customHeight="true" outlineLevel="0" collapsed="false">
      <c r="A17" s="100" t="n">
        <v>5</v>
      </c>
      <c r="B17" s="58" t="s">
        <v>212</v>
      </c>
      <c r="C17" s="56" t="s">
        <v>34</v>
      </c>
      <c r="D17" s="56" t="s">
        <v>213</v>
      </c>
      <c r="E17" s="121" t="s">
        <v>214</v>
      </c>
      <c r="F17" s="56" t="s">
        <v>215</v>
      </c>
      <c r="G17" s="59" t="n">
        <v>220</v>
      </c>
      <c r="H17" s="122" t="s">
        <v>197</v>
      </c>
      <c r="I17" s="58"/>
      <c r="J17" s="123"/>
    </row>
    <row r="18" customFormat="false" ht="24" hidden="false" customHeight="true" outlineLevel="0" collapsed="false">
      <c r="A18" s="104" t="n">
        <v>6</v>
      </c>
      <c r="B18" s="69" t="s">
        <v>216</v>
      </c>
      <c r="C18" s="67" t="s">
        <v>193</v>
      </c>
      <c r="D18" s="67" t="s">
        <v>217</v>
      </c>
      <c r="E18" s="124" t="s">
        <v>218</v>
      </c>
      <c r="F18" s="67" t="s">
        <v>219</v>
      </c>
      <c r="G18" s="70" t="n">
        <v>145</v>
      </c>
      <c r="H18" s="125" t="s">
        <v>197</v>
      </c>
      <c r="I18" s="69" t="s">
        <v>220</v>
      </c>
      <c r="J18" s="13"/>
    </row>
    <row r="19" customFormat="false" ht="24" hidden="false" customHeight="true" outlineLevel="0" collapsed="false">
      <c r="A19" s="100" t="n">
        <v>7</v>
      </c>
      <c r="B19" s="58" t="s">
        <v>221</v>
      </c>
      <c r="C19" s="56" t="s">
        <v>28</v>
      </c>
      <c r="D19" s="56" t="s">
        <v>200</v>
      </c>
      <c r="E19" s="121" t="s">
        <v>222</v>
      </c>
      <c r="F19" s="56" t="s">
        <v>223</v>
      </c>
      <c r="G19" s="59" t="n">
        <v>180</v>
      </c>
      <c r="H19" s="126" t="s">
        <v>224</v>
      </c>
      <c r="I19" s="58"/>
      <c r="J19" s="123"/>
    </row>
    <row r="20" customFormat="false" ht="24" hidden="false" customHeight="true" outlineLevel="0" collapsed="false">
      <c r="A20" s="104" t="n">
        <v>8</v>
      </c>
      <c r="B20" s="69" t="s">
        <v>225</v>
      </c>
      <c r="C20" s="67" t="s">
        <v>193</v>
      </c>
      <c r="D20" s="67" t="s">
        <v>174</v>
      </c>
      <c r="E20" s="124" t="s">
        <v>226</v>
      </c>
      <c r="F20" s="67" t="s">
        <v>227</v>
      </c>
      <c r="G20" s="70" t="n">
        <v>380</v>
      </c>
      <c r="H20" s="127" t="s">
        <v>228</v>
      </c>
      <c r="I20" s="69"/>
      <c r="J20" s="13"/>
    </row>
    <row r="21" customFormat="false" ht="25.5" hidden="false" customHeight="true" outlineLevel="0" collapsed="false">
      <c r="A21" s="33" t="s">
        <v>229</v>
      </c>
      <c r="B21" s="33"/>
      <c r="C21" s="33"/>
      <c r="D21" s="33"/>
      <c r="E21" s="33"/>
      <c r="F21" s="33"/>
      <c r="G21" s="112" t="n">
        <f aca="false">SUM(G13:G20)</f>
        <v>3160</v>
      </c>
      <c r="H21" s="34"/>
      <c r="I21" s="34"/>
      <c r="J21" s="34"/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customFormat="false" ht="21.75" hidden="false" customHeight="true" outlineLevel="0" collapsed="false">
      <c r="A24" s="7" t="s">
        <v>230</v>
      </c>
      <c r="B24" s="3"/>
      <c r="C24" s="3"/>
      <c r="D24" s="3"/>
      <c r="E24" s="3"/>
      <c r="F24" s="3"/>
      <c r="G24" s="3"/>
      <c r="H24" s="3"/>
      <c r="I24" s="3"/>
      <c r="J24" s="3"/>
    </row>
    <row r="25" customFormat="false" ht="3" hidden="false" customHeight="tru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customFormat="false" ht="21.75" hidden="false" customHeight="true" outlineLevel="0" collapsed="false">
      <c r="A26" s="3"/>
      <c r="B26" s="128" t="s">
        <v>79</v>
      </c>
      <c r="C26" s="128" t="s">
        <v>231</v>
      </c>
      <c r="D26" s="128" t="s">
        <v>232</v>
      </c>
      <c r="E26" s="3"/>
      <c r="F26" s="3"/>
      <c r="G26" s="3"/>
      <c r="H26" s="3"/>
      <c r="I26" s="3"/>
      <c r="J26" s="3"/>
    </row>
    <row r="27" customFormat="false" ht="21.75" hidden="false" customHeight="true" outlineLevel="0" collapsed="false">
      <c r="A27" s="3"/>
      <c r="B27" s="129" t="s">
        <v>197</v>
      </c>
      <c r="C27" s="130" t="n">
        <f aca="false">COUNTIF(H13:H20,"Erledigt")</f>
        <v>6</v>
      </c>
      <c r="D27" s="131" t="n">
        <f aca="false">SUMIF(H13:H20,"Erledigt",G13:G20)</f>
        <v>2600</v>
      </c>
      <c r="E27" s="3"/>
      <c r="F27" s="3"/>
      <c r="G27" s="3"/>
      <c r="H27" s="3"/>
      <c r="I27" s="3"/>
      <c r="J27" s="3"/>
    </row>
    <row r="28" customFormat="false" ht="21.75" hidden="false" customHeight="true" outlineLevel="0" collapsed="false">
      <c r="A28" s="3"/>
      <c r="B28" s="132" t="s">
        <v>224</v>
      </c>
      <c r="C28" s="130" t="n">
        <f aca="false">COUNTIF(H13:H20,"In Bearbeitung")</f>
        <v>1</v>
      </c>
      <c r="D28" s="131" t="n">
        <f aca="false">SUMIF(H13:H20,"In Bearbeitung",G13:G20)</f>
        <v>180</v>
      </c>
      <c r="E28" s="3"/>
      <c r="F28" s="3"/>
      <c r="G28" s="3"/>
      <c r="H28" s="3"/>
      <c r="I28" s="3"/>
      <c r="J28" s="3"/>
    </row>
    <row r="29" customFormat="false" ht="21.75" hidden="false" customHeight="true" outlineLevel="0" collapsed="false">
      <c r="A29" s="3"/>
      <c r="B29" s="133" t="s">
        <v>228</v>
      </c>
      <c r="C29" s="130" t="n">
        <f aca="false">COUNTIF(H13:H20,"Geplant")</f>
        <v>1</v>
      </c>
      <c r="D29" s="131" t="n">
        <f aca="false">SUMIF(H13:H20,"Geplant",G13:G20)</f>
        <v>380</v>
      </c>
      <c r="E29" s="3"/>
      <c r="F29" s="3"/>
      <c r="G29" s="3"/>
      <c r="H29" s="3"/>
      <c r="I29" s="3"/>
      <c r="J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customFormat="false" ht="27.75" hidden="false" customHeight="true" outlineLevel="0" collapsed="false">
      <c r="A31" s="119" t="s">
        <v>233</v>
      </c>
      <c r="B31" s="119"/>
      <c r="C31" s="119"/>
      <c r="D31" s="119"/>
      <c r="E31" s="119"/>
      <c r="F31" s="119"/>
      <c r="G31" s="119"/>
      <c r="H31" s="119"/>
      <c r="I31" s="119"/>
      <c r="J31" s="119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</row>
  </sheetData>
  <mergeCells count="2">
    <mergeCell ref="A21:F21"/>
    <mergeCell ref="A31:J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2026-06-18T05:22:57Z</dcterms:created>
  <dc:creator>openpyxl</dc:creator>
  <dc:description/>
  <dc:language>en-US</dc:language>
  <cp:lastModifiedBy/>
  <dcterms:modified xsi:type="dcterms:W3CDTF">2026-06-18T05:22:57Z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