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E48814F-D0E9-4735-8DD7-9E693ACFCE1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ßnahmenplan" sheetId="2" r:id="rId1"/>
    <sheet name="Dashboard" sheetId="1" r:id="rId2"/>
    <sheet name="Stammdaten" sheetId="3" r:id="rId3"/>
  </sheets>
  <definedNames>
    <definedName name="_xlnm.Print_Area" localSheetId="1">Dashboard!$A$1:$N$44</definedName>
    <definedName name="_xlnm.Print_Titles" localSheetId="0">Maßnahmenplan!$1:$4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3" i="2" l="1"/>
  <c r="K23" i="2"/>
  <c r="J23" i="2"/>
  <c r="M22" i="2"/>
  <c r="H22" i="2"/>
  <c r="A22" i="2"/>
  <c r="M21" i="2"/>
  <c r="H21" i="2"/>
  <c r="A21" i="2"/>
  <c r="M20" i="2"/>
  <c r="H20" i="2"/>
  <c r="A20" i="2"/>
  <c r="M19" i="2"/>
  <c r="H19" i="2"/>
  <c r="A19" i="2"/>
  <c r="M18" i="2"/>
  <c r="H18" i="2"/>
  <c r="A18" i="2"/>
  <c r="M17" i="2"/>
  <c r="H17" i="2"/>
  <c r="A17" i="2"/>
  <c r="M16" i="2"/>
  <c r="H16" i="2"/>
  <c r="A16" i="2"/>
  <c r="M15" i="2"/>
  <c r="H15" i="2"/>
  <c r="A15" i="2"/>
  <c r="M14" i="2"/>
  <c r="H14" i="2"/>
  <c r="A14" i="2"/>
  <c r="M13" i="2"/>
  <c r="H13" i="2"/>
  <c r="A13" i="2"/>
  <c r="M12" i="2"/>
  <c r="H12" i="2"/>
  <c r="A12" i="2"/>
  <c r="M11" i="2"/>
  <c r="H11" i="2"/>
  <c r="A11" i="2"/>
  <c r="M10" i="2"/>
  <c r="H10" i="2"/>
  <c r="A10" i="2"/>
  <c r="M9" i="2"/>
  <c r="H9" i="2"/>
  <c r="A9" i="2"/>
  <c r="M8" i="2"/>
  <c r="H8" i="2"/>
  <c r="A8" i="2"/>
  <c r="M7" i="2"/>
  <c r="H7" i="2"/>
  <c r="A7" i="2"/>
  <c r="M6" i="2"/>
  <c r="H6" i="2"/>
  <c r="A6" i="2"/>
  <c r="M5" i="2"/>
  <c r="M23" i="2" s="1"/>
  <c r="H5" i="2"/>
  <c r="A5" i="2"/>
  <c r="Z3" i="2"/>
  <c r="Y3" i="2"/>
  <c r="X3" i="2"/>
  <c r="W3" i="2"/>
  <c r="V3" i="2"/>
  <c r="U3" i="2"/>
  <c r="T3" i="2"/>
  <c r="S3" i="2"/>
  <c r="R3" i="2"/>
  <c r="Q3" i="2"/>
  <c r="P3" i="2"/>
  <c r="O3" i="2"/>
  <c r="J2" i="2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D37" i="1"/>
  <c r="C37" i="1"/>
  <c r="D36" i="1"/>
  <c r="C36" i="1"/>
  <c r="D35" i="1"/>
  <c r="C35" i="1"/>
  <c r="D34" i="1"/>
  <c r="C34" i="1"/>
  <c r="D29" i="1"/>
  <c r="D30" i="1" s="1"/>
  <c r="C29" i="1"/>
  <c r="E29" i="1" s="1"/>
  <c r="D28" i="1"/>
  <c r="C28" i="1"/>
  <c r="E28" i="1" s="1"/>
  <c r="D27" i="1"/>
  <c r="C27" i="1"/>
  <c r="E27" i="1" s="1"/>
  <c r="E26" i="1"/>
  <c r="D26" i="1"/>
  <c r="C26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D22" i="1" s="1"/>
  <c r="C12" i="1"/>
  <c r="C22" i="1" s="1"/>
  <c r="K8" i="1"/>
  <c r="G8" i="1"/>
  <c r="C8" i="1"/>
  <c r="K5" i="1"/>
  <c r="G5" i="1"/>
  <c r="C5" i="1"/>
  <c r="A2" i="1"/>
  <c r="C30" i="1" l="1"/>
  <c r="E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4" authorId="0" shapeId="0" xr:uid="{00000000-0006-0000-0100-000001000000}">
      <text>
        <r>
          <rPr>
            <sz val="10"/>
            <rFont val="Arial"/>
            <family val="2"/>
          </rPr>
          <t>Automatisch berechnete Laufzeit in Monaten aus Start- und Enddatum.</t>
        </r>
      </text>
    </comment>
    <comment ref="M4" authorId="0" shapeId="0" xr:uid="{00000000-0006-0000-0100-000002000000}">
      <text>
        <r>
          <rPr>
            <sz val="10"/>
            <rFont val="Arial"/>
            <family val="2"/>
          </rPr>
          <t>Abweichung = Budget geplant − Ist-Kosten. Positiv = Restbudget, negativ = Überschreitung.</t>
        </r>
      </text>
    </comment>
  </commentList>
</comments>
</file>

<file path=xl/sharedStrings.xml><?xml version="1.0" encoding="utf-8"?>
<sst xmlns="http://schemas.openxmlformats.org/spreadsheetml/2006/main" count="197" uniqueCount="108">
  <si>
    <t xml:space="preserve">   DASHBOARD · MARKETINGPLAN</t>
  </si>
  <si>
    <t>Geplantes Budget</t>
  </si>
  <si>
    <t>Ist-Kosten</t>
  </si>
  <si>
    <t>Restbudget</t>
  </si>
  <si>
    <t>Budgetauslastung</t>
  </si>
  <si>
    <t>Maßnahmen gesamt</t>
  </si>
  <si>
    <t>Ø Fortschritt</t>
  </si>
  <si>
    <t>BUDGET NACH KANAL</t>
  </si>
  <si>
    <t>Kanal</t>
  </si>
  <si>
    <t>Geplant</t>
  </si>
  <si>
    <t>Ist</t>
  </si>
  <si>
    <t>SEO</t>
  </si>
  <si>
    <t>SEA</t>
  </si>
  <si>
    <t>Social Media</t>
  </si>
  <si>
    <t>E-Mail</t>
  </si>
  <si>
    <t>Content</t>
  </si>
  <si>
    <t>PR</t>
  </si>
  <si>
    <t>Events</t>
  </si>
  <si>
    <t>Influencer</t>
  </si>
  <si>
    <t>Display</t>
  </si>
  <si>
    <t>Sonstiges</t>
  </si>
  <si>
    <t>Summe</t>
  </si>
  <si>
    <t>BUDGET NACH FUNNEL-PHASE</t>
  </si>
  <si>
    <t>Phase</t>
  </si>
  <si>
    <t>Anteil</t>
  </si>
  <si>
    <t>Awareness</t>
  </si>
  <si>
    <t>Consideration</t>
  </si>
  <si>
    <t>Conversion</t>
  </si>
  <si>
    <t>Bindung</t>
  </si>
  <si>
    <t>STATUS-ÜBERSICHT</t>
  </si>
  <si>
    <t>Status</t>
  </si>
  <si>
    <t>Anzahl</t>
  </si>
  <si>
    <t>Budget geplant</t>
  </si>
  <si>
    <t>In Umsetzung</t>
  </si>
  <si>
    <t>Abgeschlossen</t>
  </si>
  <si>
    <t>Pausiert</t>
  </si>
  <si>
    <t>GEPLANTES BUDGET JE MONAT (nach Startmonat)</t>
  </si>
  <si>
    <t>Kennzahl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</si>
  <si>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</si>
  <si>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</si>
  <si>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</si>
  <si>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</si>
  <si>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</si>
  <si>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</si>
  <si>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</si>
  <si>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</si>
  <si>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</si>
  <si>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</si>
  <si>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</si>
  <si>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</si>
  <si>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Alle Werte aktualisieren sich automatisch aus dem Blatt »Maßnahmenplan«. Tragen Sie dort neue Maßnahmen ein.</t>
  </si>
  <si>
    <t>MARKETINGPLAN</t>
  </si>
  <si>
    <t>Unternehmen:</t>
  </si>
  <si>
    <t>Muster GmbH</t>
  </si>
  <si>
    <t>Planjahr:</t>
  </si>
  <si>
    <t>Stand:</t>
  </si>
  <si>
    <t>■ Eingabefeld (blau)   ■ Berechnet (grau)</t>
  </si>
  <si>
    <t>Nr.</t>
  </si>
  <si>
    <t>Maßnahme</t>
  </si>
  <si>
    <t>Funnel-
Phase</t>
  </si>
  <si>
    <t>Verantwortlich</t>
  </si>
  <si>
    <t>Start</t>
  </si>
  <si>
    <t>Ende</t>
  </si>
  <si>
    <t>Dauer
(Mon.)</t>
  </si>
  <si>
    <t>Fort-
schritt</t>
  </si>
  <si>
    <t>Budget
geplant</t>
  </si>
  <si>
    <t>Ist-
Kosten</t>
  </si>
  <si>
    <t>Abwei-
chung</t>
  </si>
  <si>
    <t>Ziel / KPI</t>
  </si>
  <si>
    <t>SEO-Optimierung Kategorieseiten</t>
  </si>
  <si>
    <t>Marketing</t>
  </si>
  <si>
    <t>Organischer Traffic +25 %</t>
  </si>
  <si>
    <t>Google-Ads Frühjahrskampagne</t>
  </si>
  <si>
    <t>Performance</t>
  </si>
  <si>
    <t>ROAS ≥ 4,0</t>
  </si>
  <si>
    <t>Social-Media-Redaktion 2026</t>
  </si>
  <si>
    <t>Content-Team</t>
  </si>
  <si>
    <t>Reichweite 500.000 / Monat</t>
  </si>
  <si>
    <t>Newsletter &amp; E-Mail-Automation</t>
  </si>
  <si>
    <t>Öffnungsrate ≥ 35 %</t>
  </si>
  <si>
    <t>Content- &amp; Blog-Redaktionsplan</t>
  </si>
  <si>
    <t>12 Beiträge · Sitzungen +15 %</t>
  </si>
  <si>
    <t>Messeauftritt Fachmesse</t>
  </si>
  <si>
    <t>Vertrieb</t>
  </si>
  <si>
    <t>150 qualifizierte Leads</t>
  </si>
  <si>
    <t>Influencer-Kooperation Sommer</t>
  </si>
  <si>
    <t>Agentur</t>
  </si>
  <si>
    <t>1.200 Conversions</t>
  </si>
  <si>
    <t>Webinar-Reihe Produktwissen</t>
  </si>
  <si>
    <t>600 Anmeldungen</t>
  </si>
  <si>
    <t>PR- &amp; Pressearbeit</t>
  </si>
  <si>
    <t>20 Veröffentlichungen</t>
  </si>
  <si>
    <t>Retargeting Display-Kampagne</t>
  </si>
  <si>
    <t>CPA ≤ 18 €</t>
  </si>
  <si>
    <t>Kundenbindungsprogramm</t>
  </si>
  <si>
    <t>Wiederkaufrate +10 %</t>
  </si>
  <si>
    <t>Website-Relaunch &amp; SEO-Migration</t>
  </si>
  <si>
    <t>0 Ranking-Verluste</t>
  </si>
  <si>
    <t>GESAMT / SUMME</t>
  </si>
  <si>
    <t>Legende:</t>
  </si>
  <si>
    <t>Laufzeit (Gantt)</t>
  </si>
  <si>
    <t>Eingabe</t>
  </si>
  <si>
    <t>Berechnet</t>
  </si>
  <si>
    <t>STAMMDATEN · AUSWAHLLISTEN</t>
  </si>
  <si>
    <t>Funnel-Phase</t>
  </si>
  <si>
    <t>Geschäftsführung</t>
  </si>
  <si>
    <t>Extern</t>
  </si>
  <si>
    <t>Diese Listen speisen die Drop-down-Menüs im Maßnahmenplan. Einträge können ergänzt oder angepasst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</si>
</sst>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0.0\ %"/>
    <numFmt numFmtId="166" formatCode="0\ %"/>
    <numFmt numFmtId="167" formatCode="dd\.mm\.yyyy"/>
    <numFmt numFmtId="168" formatCode="#,##0&quot; €&quot;;\-#,##0&quot; €&quot;"/>
  </numFmts>
  <fonts count="23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"/>
      <color rgb="FF6B5E66"/>
      <name val="Calibri"/>
      <charset val="1"/>
    </font>
    <font>
      <b/>
      <sz val="10"/>
      <color rgb="FFFFFFFF"/>
      <name val="Calibri"/>
      <charset val="1"/>
    </font>
    <font>
      <b/>
      <sz val="20"/>
      <color rgb="FFC9743D"/>
      <name val="Calibri"/>
      <charset val="1"/>
    </font>
    <font>
      <b/>
      <sz val="20"/>
      <color rgb="FF6E3F5B"/>
      <name val="Calibri"/>
      <charset val="1"/>
    </font>
    <font>
      <b/>
      <sz val="20"/>
      <color rgb="FF4E7C6E"/>
      <name val="Calibri"/>
      <charset val="1"/>
    </font>
    <font>
      <b/>
      <sz val="20"/>
      <color rgb="FF3E2A47"/>
      <name val="Calibri"/>
      <charset val="1"/>
    </font>
    <font>
      <b/>
      <sz val="11"/>
      <color rgb="FFFFFFFF"/>
      <name val="Calibri"/>
      <charset val="1"/>
    </font>
    <font>
      <b/>
      <sz val="9"/>
      <color rgb="FF6E3F5B"/>
      <name val="Calibri"/>
      <charset val="1"/>
    </font>
    <font>
      <sz val="10"/>
      <color rgb="FF222222"/>
      <name val="Calibri"/>
      <charset val="1"/>
    </font>
    <font>
      <sz val="8"/>
      <color rgb="FF222222"/>
      <name val="Calibri"/>
      <charset val="1"/>
    </font>
    <font>
      <i/>
      <sz val="9"/>
      <color rgb="FF6B5E66"/>
      <name val="Calibri"/>
      <charset val="1"/>
    </font>
    <font>
      <b/>
      <sz val="10"/>
      <color rgb="FF1F4E79"/>
      <name val="Calibri"/>
      <charset val="1"/>
    </font>
    <font>
      <sz val="8"/>
      <color rgb="FF6B5E66"/>
      <name val="Calibri"/>
      <charset val="1"/>
    </font>
    <font>
      <b/>
      <sz val="9"/>
      <color rgb="FFFFFFFF"/>
      <name val="Calibri"/>
      <charset val="1"/>
    </font>
    <font>
      <sz val="9"/>
      <color rgb="FF222222"/>
      <name val="Calibri"/>
      <charset val="1"/>
    </font>
    <font>
      <sz val="10"/>
      <color rgb="FF1F4E79"/>
      <name val="Calibri"/>
      <charset val="1"/>
    </font>
    <font>
      <b/>
      <sz val="10"/>
      <color rgb="FF222222"/>
      <name val="Calibri"/>
      <charset val="1"/>
    </font>
    <font>
      <sz val="9"/>
      <color rgb="FF1F4E79"/>
      <name val="Calibri"/>
      <charset val="1"/>
    </font>
    <font>
      <sz val="9"/>
      <color rgb="FF6B5E66"/>
      <name val="Calibri"/>
      <charset val="1"/>
    </font>
    <font>
      <sz val="10"/>
      <name val="Arial"/>
      <family val="2"/>
    </font>
    <font>
      <b/>
      <sz val="13"/>
      <color rgb="FFFFFFFF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3E2A47"/>
        <bgColor rgb="FF222222"/>
      </patternFill>
    </fill>
    <fill>
      <patternFill patternType="solid">
        <fgColor rgb="FFC9743D"/>
        <bgColor rgb="FFB5495B"/>
      </patternFill>
    </fill>
    <fill>
      <patternFill patternType="solid">
        <fgColor rgb="FF6E3F5B"/>
        <bgColor rgb="FF6B5E66"/>
      </patternFill>
    </fill>
    <fill>
      <patternFill patternType="solid">
        <fgColor rgb="FF4E7C6E"/>
        <bgColor rgb="FF6B5E66"/>
      </patternFill>
    </fill>
    <fill>
      <patternFill patternType="solid">
        <fgColor rgb="FFF6F1F4"/>
        <bgColor rgb="FFF1ECF0"/>
      </patternFill>
    </fill>
    <fill>
      <patternFill patternType="solid">
        <fgColor rgb="FFFFFFFF"/>
        <bgColor rgb="FFFBF8FA"/>
      </patternFill>
    </fill>
    <fill>
      <patternFill patternType="solid">
        <fgColor rgb="FFFBF8FA"/>
        <bgColor rgb="FFFFFFFF"/>
      </patternFill>
    </fill>
    <fill>
      <patternFill patternType="solid">
        <fgColor rgb="FFE8F0FB"/>
        <bgColor rgb="FFF1ECF0"/>
      </patternFill>
    </fill>
    <fill>
      <patternFill patternType="solid">
        <fgColor rgb="FFF1ECF0"/>
        <bgColor rgb="FFF6F1F4"/>
      </patternFill>
    </fill>
  </fills>
  <borders count="7">
    <border>
      <left/>
      <right/>
      <top/>
      <bottom/>
      <diagonal/>
    </border>
    <border>
      <left style="thin">
        <color rgb="FFC9743D"/>
      </left>
      <right style="thin">
        <color rgb="FFC9743D"/>
      </right>
      <top style="thin">
        <color rgb="FFC9743D"/>
      </top>
      <bottom style="thin">
        <color rgb="FFC9743D"/>
      </bottom>
      <diagonal/>
    </border>
    <border>
      <left style="thin">
        <color rgb="FF6E3F5B"/>
      </left>
      <right style="thin">
        <color rgb="FF6E3F5B"/>
      </right>
      <top style="thin">
        <color rgb="FF6E3F5B"/>
      </top>
      <bottom style="thin">
        <color rgb="FF6E3F5B"/>
      </bottom>
      <diagonal/>
    </border>
    <border>
      <left style="thin">
        <color rgb="FF4E7C6E"/>
      </left>
      <right style="thin">
        <color rgb="FF4E7C6E"/>
      </right>
      <top style="thin">
        <color rgb="FF4E7C6E"/>
      </top>
      <bottom style="thin">
        <color rgb="FF4E7C6E"/>
      </bottom>
      <diagonal/>
    </border>
    <border>
      <left style="thin">
        <color rgb="FF3E2A47"/>
      </left>
      <right style="thin">
        <color rgb="FF3E2A47"/>
      </right>
      <top style="thin">
        <color rgb="FF3E2A47"/>
      </top>
      <bottom style="thin">
        <color rgb="FF3E2A47"/>
      </bottom>
      <diagonal/>
    </border>
    <border>
      <left style="thin">
        <color rgb="FFD8CCD4"/>
      </left>
      <right style="thin">
        <color rgb="FFD8CCD4"/>
      </right>
      <top style="thin">
        <color rgb="FFD8CCD4"/>
      </top>
      <bottom style="thin">
        <color rgb="FFD8CCD4"/>
      </bottom>
      <diagonal/>
    </border>
    <border>
      <left style="thin">
        <color rgb="FFD8CCD4"/>
      </left>
      <right/>
      <top style="thin">
        <color rgb="FFD8CCD4"/>
      </top>
      <bottom style="thin">
        <color rgb="FFD8CCD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2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66" fontId="6" fillId="6" borderId="3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right" vertical="center"/>
    </xf>
    <xf numFmtId="0" fontId="10" fillId="7" borderId="5" xfId="0" applyFont="1" applyFill="1" applyBorder="1" applyAlignment="1">
      <alignment horizontal="left" vertical="center"/>
    </xf>
    <xf numFmtId="164" fontId="10" fillId="7" borderId="5" xfId="0" applyNumberFormat="1" applyFont="1" applyFill="1" applyBorder="1" applyAlignment="1">
      <alignment horizontal="right" vertical="center"/>
    </xf>
    <xf numFmtId="0" fontId="10" fillId="8" borderId="5" xfId="0" applyFont="1" applyFill="1" applyBorder="1" applyAlignment="1">
      <alignment horizontal="left" vertical="center"/>
    </xf>
    <xf numFmtId="164" fontId="10" fillId="8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right" vertical="center"/>
    </xf>
    <xf numFmtId="166" fontId="10" fillId="7" borderId="5" xfId="0" applyNumberFormat="1" applyFont="1" applyFill="1" applyBorder="1" applyAlignment="1">
      <alignment horizontal="right" vertical="center"/>
    </xf>
    <xf numFmtId="166" fontId="10" fillId="8" borderId="5" xfId="0" applyNumberFormat="1" applyFont="1" applyFill="1" applyBorder="1" applyAlignment="1">
      <alignment horizontal="right" vertical="center"/>
    </xf>
    <xf numFmtId="166" fontId="3" fillId="2" borderId="5" xfId="0" applyNumberFormat="1" applyFont="1" applyFill="1" applyBorder="1" applyAlignment="1">
      <alignment horizontal="right" vertical="center"/>
    </xf>
    <xf numFmtId="1" fontId="10" fillId="7" borderId="5" xfId="0" applyNumberFormat="1" applyFont="1" applyFill="1" applyBorder="1" applyAlignment="1">
      <alignment horizontal="right" vertical="center"/>
    </xf>
    <xf numFmtId="1" fontId="10" fillId="8" borderId="5" xfId="0" applyNumberFormat="1" applyFont="1" applyFill="1" applyBorder="1" applyAlignment="1">
      <alignment horizontal="right" vertical="center"/>
    </xf>
    <xf numFmtId="0" fontId="9" fillId="6" borderId="5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8" borderId="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3" fillId="9" borderId="5" xfId="0" applyFont="1" applyFill="1" applyBorder="1" applyAlignment="1">
      <alignment horizontal="center" vertical="center"/>
    </xf>
    <xf numFmtId="167" fontId="13" fillId="9" borderId="5" xfId="0" applyNumberFormat="1" applyFont="1" applyFill="1" applyBorder="1" applyAlignment="1">
      <alignment horizontal="left" vertical="center"/>
    </xf>
    <xf numFmtId="167" fontId="0" fillId="0" borderId="0" xfId="0" applyNumberFormat="1"/>
    <xf numFmtId="0" fontId="15" fillId="4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" fontId="16" fillId="7" borderId="5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left" vertical="center"/>
    </xf>
    <xf numFmtId="167" fontId="17" fillId="7" borderId="5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166" fontId="17" fillId="7" borderId="5" xfId="0" applyNumberFormat="1" applyFont="1" applyFill="1" applyBorder="1" applyAlignment="1">
      <alignment horizontal="center" vertical="center"/>
    </xf>
    <xf numFmtId="164" fontId="17" fillId="7" borderId="5" xfId="0" applyNumberFormat="1" applyFont="1" applyFill="1" applyBorder="1" applyAlignment="1">
      <alignment horizontal="right" vertical="center"/>
    </xf>
    <xf numFmtId="168" fontId="18" fillId="7" borderId="5" xfId="0" applyNumberFormat="1" applyFont="1" applyFill="1" applyBorder="1" applyAlignment="1">
      <alignment horizontal="right" vertical="center"/>
    </xf>
    <xf numFmtId="0" fontId="19" fillId="7" borderId="5" xfId="0" applyFont="1" applyFill="1" applyBorder="1" applyAlignment="1">
      <alignment horizontal="left" vertical="center" shrinkToFit="1"/>
    </xf>
    <xf numFmtId="0" fontId="0" fillId="7" borderId="5" xfId="0" applyFill="1" applyBorder="1"/>
    <xf numFmtId="1" fontId="16" fillId="8" borderId="5" xfId="0" applyNumberFormat="1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left" vertical="center"/>
    </xf>
    <xf numFmtId="167" fontId="17" fillId="8" borderId="5" xfId="0" applyNumberFormat="1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166" fontId="17" fillId="8" borderId="5" xfId="0" applyNumberFormat="1" applyFont="1" applyFill="1" applyBorder="1" applyAlignment="1">
      <alignment horizontal="center" vertical="center"/>
    </xf>
    <xf numFmtId="164" fontId="17" fillId="8" borderId="5" xfId="0" applyNumberFormat="1" applyFont="1" applyFill="1" applyBorder="1" applyAlignment="1">
      <alignment horizontal="right" vertical="center"/>
    </xf>
    <xf numFmtId="168" fontId="18" fillId="8" borderId="5" xfId="0" applyNumberFormat="1" applyFont="1" applyFill="1" applyBorder="1" applyAlignment="1">
      <alignment horizontal="right" vertical="center"/>
    </xf>
    <xf numFmtId="0" fontId="19" fillId="8" borderId="5" xfId="0" applyFont="1" applyFill="1" applyBorder="1" applyAlignment="1">
      <alignment horizontal="left" vertical="center" shrinkToFit="1"/>
    </xf>
    <xf numFmtId="0" fontId="0" fillId="8" borderId="5" xfId="0" applyFill="1" applyBorder="1"/>
    <xf numFmtId="0" fontId="0" fillId="2" borderId="5" xfId="0" applyFill="1" applyBorder="1"/>
    <xf numFmtId="166" fontId="3" fillId="2" borderId="5" xfId="0" applyNumberFormat="1" applyFont="1" applyFill="1" applyBorder="1" applyAlignment="1">
      <alignment horizontal="center" vertical="center"/>
    </xf>
    <xf numFmtId="168" fontId="3" fillId="2" borderId="5" xfId="0" applyNumberFormat="1" applyFont="1" applyFill="1" applyBorder="1" applyAlignment="1">
      <alignment horizontal="right" vertical="center"/>
    </xf>
    <xf numFmtId="0" fontId="9" fillId="0" borderId="0" xfId="0" applyFont="1"/>
    <xf numFmtId="0" fontId="0" fillId="3" borderId="5" xfId="0" applyFill="1" applyBorder="1"/>
    <xf numFmtId="0" fontId="20" fillId="0" borderId="0" xfId="0" applyFont="1"/>
    <xf numFmtId="0" fontId="0" fillId="9" borderId="5" xfId="0" applyFill="1" applyBorder="1"/>
    <xf numFmtId="0" fontId="0" fillId="10" borderId="5" xfId="0" applyFill="1" applyBorder="1"/>
    <xf numFmtId="0" fontId="3" fillId="4" borderId="5" xfId="0" applyFont="1" applyFill="1" applyBorder="1" applyAlignment="1">
      <alignment horizontal="left" vertical="center"/>
    </xf>
    <xf numFmtId="0" fontId="10" fillId="7" borderId="5" xfId="0" applyFont="1" applyFill="1" applyBorder="1"/>
    <xf numFmtId="0" fontId="10" fillId="8" borderId="5" xfId="0" applyFont="1" applyFill="1" applyBorder="1"/>
    <xf numFmtId="0" fontId="13" fillId="9" borderId="6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 wrapText="1"/>
    </xf>
  </cellXfs>
  <cellStyles count="1">
    <cellStyle name="Standard" xfId="0" builtinId="0"/>
  </cellStyles>
  <dxfs count="7">
    <dxf>
      <fill>
        <patternFill>
          <bgColor rgb="FFC9743D"/>
        </patternFill>
      </fill>
    </dxf>
    <dxf>
      <font>
        <b/>
        <sz val="10"/>
        <color rgb="FF4E7C6E"/>
        <name val="Calibri"/>
        <charset val="1"/>
      </font>
    </dxf>
    <dxf>
      <font>
        <b/>
        <sz val="10"/>
        <color rgb="FFB5495B"/>
        <name val="Calibri"/>
        <charset val="1"/>
      </font>
    </dxf>
    <dxf>
      <font>
        <b/>
        <sz val="10"/>
        <color rgb="FFB5495B"/>
        <name val="Calibri"/>
        <charset val="1"/>
      </font>
    </dxf>
    <dxf>
      <font>
        <b/>
        <sz val="10"/>
        <color rgb="FF6B5E66"/>
        <name val="Calibri"/>
        <charset val="1"/>
      </font>
    </dxf>
    <dxf>
      <font>
        <b/>
        <sz val="10"/>
        <color rgb="FFC9743D"/>
        <name val="Calibri"/>
        <charset val="1"/>
      </font>
    </dxf>
    <dxf>
      <font>
        <b/>
        <sz val="10"/>
        <color rgb="FF4E7C6E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5495B"/>
      <rgbColor rgb="FFFBF8FA"/>
      <rgbColor rgb="FFE8F0FB"/>
      <rgbColor rgb="FF660066"/>
      <rgbColor rgb="FFFF8080"/>
      <rgbColor rgb="FF0066CC"/>
      <rgbColor rgb="FFD8CC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ECF0"/>
      <rgbColor rgb="FFF6F1F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9743D"/>
      <rgbColor rgb="FF6B5E66"/>
      <rgbColor rgb="FF969696"/>
      <rgbColor rgb="FF003366"/>
      <rgbColor rgb="FF4E7C6E"/>
      <rgbColor rgb="FF003300"/>
      <rgbColor rgb="FF222222"/>
      <rgbColor rgb="FF993300"/>
      <rgbColor rgb="FF6E3F5B"/>
      <rgbColor rgb="FF1F4E79"/>
      <rgbColor rgb="FF3E2A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743D"/>
    <pageSetUpPr fitToPage="1"/>
  </sheetPr>
  <dimension ref="A1:Z25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14" sqref="AB14"/>
    </sheetView>
  </sheetViews>
  <sheetFormatPr baseColWidth="10" defaultColWidth="8.7109375" defaultRowHeight="15" x14ac:dyDescent="0.25"/>
  <cols>
    <col min="1" max="1" width="5" customWidth="1"/>
    <col min="2" max="2" width="29.28515625" bestFit="1" customWidth="1"/>
    <col min="3" max="3" width="11.28515625" bestFit="1" customWidth="1"/>
    <col min="4" max="4" width="13" bestFit="1" customWidth="1"/>
    <col min="5" max="5" width="11.7109375" bestFit="1" customWidth="1"/>
    <col min="6" max="7" width="9.85546875" bestFit="1" customWidth="1"/>
    <col min="8" max="8" width="5.7109375" bestFit="1" customWidth="1"/>
    <col min="9" max="9" width="12.28515625" bestFit="1" customWidth="1"/>
    <col min="10" max="10" width="9.85546875" bestFit="1" customWidth="1"/>
    <col min="11" max="13" width="7.85546875" bestFit="1" customWidth="1"/>
    <col min="14" max="14" width="23.5703125" bestFit="1" customWidth="1"/>
    <col min="15" max="26" width="4.5703125" customWidth="1"/>
  </cols>
  <sheetData>
    <row r="1" spans="1:26" ht="33.75" customHeight="1" x14ac:dyDescent="0.25">
      <c r="A1" s="14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9.5" customHeight="1" x14ac:dyDescent="0.25">
      <c r="B2" s="31" t="s">
        <v>52</v>
      </c>
      <c r="C2" s="68" t="s">
        <v>53</v>
      </c>
      <c r="D2" s="68"/>
      <c r="E2" s="68"/>
      <c r="F2" s="31" t="s">
        <v>54</v>
      </c>
      <c r="G2" s="32">
        <v>2026</v>
      </c>
      <c r="I2" s="31" t="s">
        <v>55</v>
      </c>
      <c r="J2" s="33">
        <f ca="1">TODAY()</f>
        <v>46197</v>
      </c>
      <c r="L2" s="69" t="s">
        <v>56</v>
      </c>
      <c r="M2" s="69"/>
      <c r="N2" s="69"/>
    </row>
    <row r="3" spans="1:26" hidden="1" x14ac:dyDescent="0.25">
      <c r="O3" s="34">
        <f>DATE($G$2,1,1)</f>
        <v>46023</v>
      </c>
      <c r="P3" s="34">
        <f>DATE($G$2,2,1)</f>
        <v>46054</v>
      </c>
      <c r="Q3" s="34">
        <f>DATE($G$2,3,1)</f>
        <v>46082</v>
      </c>
      <c r="R3" s="34">
        <f>DATE($G$2,4,1)</f>
        <v>46113</v>
      </c>
      <c r="S3" s="34">
        <f>DATE($G$2,5,1)</f>
        <v>46143</v>
      </c>
      <c r="T3" s="34">
        <f>DATE($G$2,6,1)</f>
        <v>46174</v>
      </c>
      <c r="U3" s="34">
        <f>DATE($G$2,7,1)</f>
        <v>46204</v>
      </c>
      <c r="V3" s="34">
        <f>DATE($G$2,8,1)</f>
        <v>46235</v>
      </c>
      <c r="W3" s="34">
        <f>DATE($G$2,9,1)</f>
        <v>46266</v>
      </c>
      <c r="X3" s="34">
        <f>DATE($G$2,10,1)</f>
        <v>46296</v>
      </c>
      <c r="Y3" s="34">
        <f>DATE($G$2,11,1)</f>
        <v>46327</v>
      </c>
      <c r="Z3" s="34">
        <f>DATE($G$2,12,1)</f>
        <v>46357</v>
      </c>
    </row>
    <row r="4" spans="1:26" ht="30" customHeight="1" x14ac:dyDescent="0.25">
      <c r="A4" s="35" t="s">
        <v>57</v>
      </c>
      <c r="B4" s="35" t="s">
        <v>58</v>
      </c>
      <c r="C4" s="35" t="s">
        <v>8</v>
      </c>
      <c r="D4" s="35" t="s">
        <v>59</v>
      </c>
      <c r="E4" s="35" t="s">
        <v>60</v>
      </c>
      <c r="F4" s="35" t="s">
        <v>61</v>
      </c>
      <c r="G4" s="35" t="s">
        <v>62</v>
      </c>
      <c r="H4" s="35" t="s">
        <v>63</v>
      </c>
      <c r="I4" s="35" t="s">
        <v>30</v>
      </c>
      <c r="J4" s="35" t="s">
        <v>64</v>
      </c>
      <c r="K4" s="35" t="s">
        <v>65</v>
      </c>
      <c r="L4" s="35" t="s">
        <v>66</v>
      </c>
      <c r="M4" s="35" t="s">
        <v>67</v>
      </c>
      <c r="N4" s="35" t="s">
        <v>68</v>
      </c>
      <c r="O4" s="36" t="s">
        <v>38</v>
      </c>
      <c r="P4" s="36" t="s">
        <v>39</v>
      </c>
      <c r="Q4" s="36" t="s">
        <v>40</v>
      </c>
      <c r="R4" s="36" t="s">
        <v>41</v>
      </c>
      <c r="S4" s="36" t="s">
        <v>42</v>
      </c>
      <c r="T4" s="36" t="s">
        <v>43</v>
      </c>
      <c r="U4" s="36" t="s">
        <v>44</v>
      </c>
      <c r="V4" s="36" t="s">
        <v>45</v>
      </c>
      <c r="W4" s="36" t="s">
        <v>46</v>
      </c>
      <c r="X4" s="36" t="s">
        <v>47</v>
      </c>
      <c r="Y4" s="36" t="s">
        <v>48</v>
      </c>
      <c r="Z4" s="36" t="s">
        <v>49</v>
      </c>
    </row>
    <row r="5" spans="1:26" ht="18" customHeight="1" x14ac:dyDescent="0.25">
      <c r="A5" s="37">
        <f t="shared" ref="A5:A22" si="0">IF($B5="","",ROW()-4)</f>
        <v>1</v>
      </c>
      <c r="B5" s="38" t="s">
        <v>69</v>
      </c>
      <c r="C5" s="38" t="s">
        <v>11</v>
      </c>
      <c r="D5" s="38" t="s">
        <v>26</v>
      </c>
      <c r="E5" s="38" t="s">
        <v>70</v>
      </c>
      <c r="F5" s="39">
        <v>46023</v>
      </c>
      <c r="G5" s="39">
        <v>46203</v>
      </c>
      <c r="H5" s="40">
        <f t="shared" ref="H5:H22" si="1">IF(OR($F5="",$G5=""),"",(YEAR($G5)*12+MONTH($G5))-(YEAR($F5)*12+MONTH($F5))+1)</f>
        <v>6</v>
      </c>
      <c r="I5" s="41" t="s">
        <v>33</v>
      </c>
      <c r="J5" s="42">
        <v>0.9</v>
      </c>
      <c r="K5" s="43">
        <v>6000</v>
      </c>
      <c r="L5" s="43">
        <v>3400</v>
      </c>
      <c r="M5" s="44">
        <f t="shared" ref="M5:M22" si="2">IF($K5="","",$K5-$L5)</f>
        <v>2600</v>
      </c>
      <c r="N5" s="45" t="s">
        <v>71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8" customHeight="1" x14ac:dyDescent="0.25">
      <c r="A6" s="47">
        <f t="shared" si="0"/>
        <v>2</v>
      </c>
      <c r="B6" s="48" t="s">
        <v>72</v>
      </c>
      <c r="C6" s="48" t="s">
        <v>12</v>
      </c>
      <c r="D6" s="48" t="s">
        <v>27</v>
      </c>
      <c r="E6" s="48" t="s">
        <v>73</v>
      </c>
      <c r="F6" s="49">
        <v>46082</v>
      </c>
      <c r="G6" s="49">
        <v>46173</v>
      </c>
      <c r="H6" s="50">
        <f t="shared" si="1"/>
        <v>3</v>
      </c>
      <c r="I6" s="51" t="s">
        <v>34</v>
      </c>
      <c r="J6" s="52">
        <v>1</v>
      </c>
      <c r="K6" s="53">
        <v>12000</v>
      </c>
      <c r="L6" s="53">
        <v>11200</v>
      </c>
      <c r="M6" s="54">
        <f t="shared" si="2"/>
        <v>800</v>
      </c>
      <c r="N6" s="55" t="s">
        <v>74</v>
      </c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8" customHeight="1" x14ac:dyDescent="0.25">
      <c r="A7" s="37">
        <f t="shared" si="0"/>
        <v>3</v>
      </c>
      <c r="B7" s="38" t="s">
        <v>75</v>
      </c>
      <c r="C7" s="38" t="s">
        <v>13</v>
      </c>
      <c r="D7" s="38" t="s">
        <v>25</v>
      </c>
      <c r="E7" s="38" t="s">
        <v>76</v>
      </c>
      <c r="F7" s="39">
        <v>46023</v>
      </c>
      <c r="G7" s="39">
        <v>46387</v>
      </c>
      <c r="H7" s="40">
        <f t="shared" si="1"/>
        <v>12</v>
      </c>
      <c r="I7" s="41" t="s">
        <v>33</v>
      </c>
      <c r="J7" s="42">
        <v>0.5</v>
      </c>
      <c r="K7" s="43">
        <v>9600</v>
      </c>
      <c r="L7" s="43">
        <v>4800</v>
      </c>
      <c r="M7" s="44">
        <f t="shared" si="2"/>
        <v>4800</v>
      </c>
      <c r="N7" s="45" t="s">
        <v>77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8" customHeight="1" x14ac:dyDescent="0.25">
      <c r="A8" s="47">
        <f t="shared" si="0"/>
        <v>4</v>
      </c>
      <c r="B8" s="48" t="s">
        <v>78</v>
      </c>
      <c r="C8" s="48" t="s">
        <v>14</v>
      </c>
      <c r="D8" s="48" t="s">
        <v>28</v>
      </c>
      <c r="E8" s="48" t="s">
        <v>70</v>
      </c>
      <c r="F8" s="49">
        <v>46054</v>
      </c>
      <c r="G8" s="49">
        <v>46387</v>
      </c>
      <c r="H8" s="50">
        <f t="shared" si="1"/>
        <v>11</v>
      </c>
      <c r="I8" s="51" t="s">
        <v>33</v>
      </c>
      <c r="J8" s="52">
        <v>0.45</v>
      </c>
      <c r="K8" s="53">
        <v>3600</v>
      </c>
      <c r="L8" s="53">
        <v>1500</v>
      </c>
      <c r="M8" s="54">
        <f t="shared" si="2"/>
        <v>2100</v>
      </c>
      <c r="N8" s="55" t="s">
        <v>79</v>
      </c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8" customHeight="1" x14ac:dyDescent="0.25">
      <c r="A9" s="37">
        <f t="shared" si="0"/>
        <v>5</v>
      </c>
      <c r="B9" s="38" t="s">
        <v>80</v>
      </c>
      <c r="C9" s="38" t="s">
        <v>15</v>
      </c>
      <c r="D9" s="38" t="s">
        <v>26</v>
      </c>
      <c r="E9" s="38" t="s">
        <v>76</v>
      </c>
      <c r="F9" s="39">
        <v>46023</v>
      </c>
      <c r="G9" s="39">
        <v>46387</v>
      </c>
      <c r="H9" s="40">
        <f t="shared" si="1"/>
        <v>12</v>
      </c>
      <c r="I9" s="41" t="s">
        <v>33</v>
      </c>
      <c r="J9" s="42">
        <v>0.5</v>
      </c>
      <c r="K9" s="43">
        <v>7200</v>
      </c>
      <c r="L9" s="43">
        <v>3600</v>
      </c>
      <c r="M9" s="44">
        <f t="shared" si="2"/>
        <v>3600</v>
      </c>
      <c r="N9" s="45" t="s">
        <v>81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 x14ac:dyDescent="0.25">
      <c r="A10" s="47">
        <f t="shared" si="0"/>
        <v>6</v>
      </c>
      <c r="B10" s="48" t="s">
        <v>82</v>
      </c>
      <c r="C10" s="48" t="s">
        <v>17</v>
      </c>
      <c r="D10" s="48" t="s">
        <v>25</v>
      </c>
      <c r="E10" s="48" t="s">
        <v>83</v>
      </c>
      <c r="F10" s="49">
        <v>46266</v>
      </c>
      <c r="G10" s="49">
        <v>46295</v>
      </c>
      <c r="H10" s="50">
        <f t="shared" si="1"/>
        <v>1</v>
      </c>
      <c r="I10" s="51" t="s">
        <v>9</v>
      </c>
      <c r="J10" s="52">
        <v>0</v>
      </c>
      <c r="K10" s="53">
        <v>15000</v>
      </c>
      <c r="L10" s="53">
        <v>0</v>
      </c>
      <c r="M10" s="54">
        <f t="shared" si="2"/>
        <v>15000</v>
      </c>
      <c r="N10" s="55" t="s">
        <v>84</v>
      </c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8" customHeight="1" x14ac:dyDescent="0.25">
      <c r="A11" s="37">
        <f t="shared" si="0"/>
        <v>7</v>
      </c>
      <c r="B11" s="38" t="s">
        <v>85</v>
      </c>
      <c r="C11" s="38" t="s">
        <v>18</v>
      </c>
      <c r="D11" s="38" t="s">
        <v>25</v>
      </c>
      <c r="E11" s="38" t="s">
        <v>86</v>
      </c>
      <c r="F11" s="39">
        <v>46174</v>
      </c>
      <c r="G11" s="39">
        <v>46265</v>
      </c>
      <c r="H11" s="40">
        <f t="shared" si="1"/>
        <v>3</v>
      </c>
      <c r="I11" s="41" t="s">
        <v>33</v>
      </c>
      <c r="J11" s="42">
        <v>0.2</v>
      </c>
      <c r="K11" s="43">
        <v>8000</v>
      </c>
      <c r="L11" s="43">
        <v>1600</v>
      </c>
      <c r="M11" s="44">
        <f t="shared" si="2"/>
        <v>6400</v>
      </c>
      <c r="N11" s="45" t="s">
        <v>87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8" customHeight="1" x14ac:dyDescent="0.25">
      <c r="A12" s="47">
        <f t="shared" si="0"/>
        <v>8</v>
      </c>
      <c r="B12" s="48" t="s">
        <v>88</v>
      </c>
      <c r="C12" s="48" t="s">
        <v>15</v>
      </c>
      <c r="D12" s="48" t="s">
        <v>27</v>
      </c>
      <c r="E12" s="48" t="s">
        <v>70</v>
      </c>
      <c r="F12" s="49">
        <v>46113</v>
      </c>
      <c r="G12" s="49">
        <v>46356</v>
      </c>
      <c r="H12" s="50">
        <f t="shared" si="1"/>
        <v>8</v>
      </c>
      <c r="I12" s="51" t="s">
        <v>33</v>
      </c>
      <c r="J12" s="52">
        <v>0.35</v>
      </c>
      <c r="K12" s="53">
        <v>4000</v>
      </c>
      <c r="L12" s="53">
        <v>1400</v>
      </c>
      <c r="M12" s="54">
        <f t="shared" si="2"/>
        <v>2600</v>
      </c>
      <c r="N12" s="55" t="s">
        <v>89</v>
      </c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8" customHeight="1" x14ac:dyDescent="0.25">
      <c r="A13" s="37">
        <f t="shared" si="0"/>
        <v>9</v>
      </c>
      <c r="B13" s="38" t="s">
        <v>90</v>
      </c>
      <c r="C13" s="38" t="s">
        <v>16</v>
      </c>
      <c r="D13" s="38" t="s">
        <v>25</v>
      </c>
      <c r="E13" s="38" t="s">
        <v>86</v>
      </c>
      <c r="F13" s="39">
        <v>46023</v>
      </c>
      <c r="G13" s="39">
        <v>46387</v>
      </c>
      <c r="H13" s="40">
        <f t="shared" si="1"/>
        <v>12</v>
      </c>
      <c r="I13" s="41" t="s">
        <v>33</v>
      </c>
      <c r="J13" s="42">
        <v>0.5</v>
      </c>
      <c r="K13" s="43">
        <v>5000</v>
      </c>
      <c r="L13" s="43">
        <v>2500</v>
      </c>
      <c r="M13" s="44">
        <f t="shared" si="2"/>
        <v>2500</v>
      </c>
      <c r="N13" s="45" t="s">
        <v>91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8" customHeight="1" x14ac:dyDescent="0.25">
      <c r="A14" s="47">
        <f t="shared" si="0"/>
        <v>10</v>
      </c>
      <c r="B14" s="48" t="s">
        <v>92</v>
      </c>
      <c r="C14" s="48" t="s">
        <v>19</v>
      </c>
      <c r="D14" s="48" t="s">
        <v>27</v>
      </c>
      <c r="E14" s="48" t="s">
        <v>73</v>
      </c>
      <c r="F14" s="49">
        <v>46143</v>
      </c>
      <c r="G14" s="49">
        <v>46387</v>
      </c>
      <c r="H14" s="50">
        <f t="shared" si="1"/>
        <v>8</v>
      </c>
      <c r="I14" s="51" t="s">
        <v>33</v>
      </c>
      <c r="J14" s="52">
        <v>0.25</v>
      </c>
      <c r="K14" s="53">
        <v>6000</v>
      </c>
      <c r="L14" s="53">
        <v>1500</v>
      </c>
      <c r="M14" s="54">
        <f t="shared" si="2"/>
        <v>4500</v>
      </c>
      <c r="N14" s="55" t="s">
        <v>93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8" customHeight="1" x14ac:dyDescent="0.25">
      <c r="A15" s="37">
        <f t="shared" si="0"/>
        <v>11</v>
      </c>
      <c r="B15" s="38" t="s">
        <v>94</v>
      </c>
      <c r="C15" s="38" t="s">
        <v>14</v>
      </c>
      <c r="D15" s="38" t="s">
        <v>28</v>
      </c>
      <c r="E15" s="38" t="s">
        <v>70</v>
      </c>
      <c r="F15" s="39">
        <v>46082</v>
      </c>
      <c r="G15" s="39">
        <v>46387</v>
      </c>
      <c r="H15" s="40">
        <f t="shared" si="1"/>
        <v>10</v>
      </c>
      <c r="I15" s="41" t="s">
        <v>33</v>
      </c>
      <c r="J15" s="42">
        <v>0.4</v>
      </c>
      <c r="K15" s="43">
        <v>3000</v>
      </c>
      <c r="L15" s="43">
        <v>1200</v>
      </c>
      <c r="M15" s="44">
        <f t="shared" si="2"/>
        <v>1800</v>
      </c>
      <c r="N15" s="45" t="s">
        <v>95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8" customHeight="1" x14ac:dyDescent="0.25">
      <c r="A16" s="47">
        <f t="shared" si="0"/>
        <v>12</v>
      </c>
      <c r="B16" s="48" t="s">
        <v>96</v>
      </c>
      <c r="C16" s="48" t="s">
        <v>11</v>
      </c>
      <c r="D16" s="48" t="s">
        <v>26</v>
      </c>
      <c r="E16" s="48" t="s">
        <v>86</v>
      </c>
      <c r="F16" s="49">
        <v>46204</v>
      </c>
      <c r="G16" s="49">
        <v>46295</v>
      </c>
      <c r="H16" s="50">
        <f t="shared" si="1"/>
        <v>3</v>
      </c>
      <c r="I16" s="51" t="s">
        <v>9</v>
      </c>
      <c r="J16" s="52">
        <v>0</v>
      </c>
      <c r="K16" s="53">
        <v>10000</v>
      </c>
      <c r="L16" s="53">
        <v>0</v>
      </c>
      <c r="M16" s="54">
        <f t="shared" si="2"/>
        <v>10000</v>
      </c>
      <c r="N16" s="55" t="s">
        <v>97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8" customHeight="1" x14ac:dyDescent="0.25">
      <c r="A17" s="37" t="str">
        <f t="shared" si="0"/>
        <v/>
      </c>
      <c r="B17" s="38"/>
      <c r="C17" s="38"/>
      <c r="D17" s="38"/>
      <c r="E17" s="38"/>
      <c r="F17" s="39"/>
      <c r="G17" s="39"/>
      <c r="H17" s="40" t="str">
        <f t="shared" si="1"/>
        <v/>
      </c>
      <c r="I17" s="41"/>
      <c r="J17" s="42"/>
      <c r="K17" s="43"/>
      <c r="L17" s="43"/>
      <c r="M17" s="44" t="str">
        <f t="shared" si="2"/>
        <v/>
      </c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8" customHeight="1" x14ac:dyDescent="0.25">
      <c r="A18" s="47" t="str">
        <f t="shared" si="0"/>
        <v/>
      </c>
      <c r="B18" s="48"/>
      <c r="C18" s="48"/>
      <c r="D18" s="48"/>
      <c r="E18" s="48"/>
      <c r="F18" s="49"/>
      <c r="G18" s="49"/>
      <c r="H18" s="50" t="str">
        <f t="shared" si="1"/>
        <v/>
      </c>
      <c r="I18" s="51"/>
      <c r="J18" s="52"/>
      <c r="K18" s="53"/>
      <c r="L18" s="53"/>
      <c r="M18" s="54" t="str">
        <f t="shared" si="2"/>
        <v/>
      </c>
      <c r="N18" s="55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8" customHeight="1" x14ac:dyDescent="0.25">
      <c r="A19" s="37" t="str">
        <f t="shared" si="0"/>
        <v/>
      </c>
      <c r="B19" s="38"/>
      <c r="C19" s="38"/>
      <c r="D19" s="38"/>
      <c r="E19" s="38"/>
      <c r="F19" s="39"/>
      <c r="G19" s="39"/>
      <c r="H19" s="40" t="str">
        <f t="shared" si="1"/>
        <v/>
      </c>
      <c r="I19" s="41"/>
      <c r="J19" s="42"/>
      <c r="K19" s="43"/>
      <c r="L19" s="43"/>
      <c r="M19" s="44" t="str">
        <f t="shared" si="2"/>
        <v/>
      </c>
      <c r="N19" s="45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8" customHeight="1" x14ac:dyDescent="0.25">
      <c r="A20" s="47" t="str">
        <f t="shared" si="0"/>
        <v/>
      </c>
      <c r="B20" s="48"/>
      <c r="C20" s="48"/>
      <c r="D20" s="48"/>
      <c r="E20" s="48"/>
      <c r="F20" s="49"/>
      <c r="G20" s="49"/>
      <c r="H20" s="50" t="str">
        <f t="shared" si="1"/>
        <v/>
      </c>
      <c r="I20" s="51"/>
      <c r="J20" s="52"/>
      <c r="K20" s="53"/>
      <c r="L20" s="53"/>
      <c r="M20" s="54" t="str">
        <f t="shared" si="2"/>
        <v/>
      </c>
      <c r="N20" s="55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8" customHeight="1" x14ac:dyDescent="0.25">
      <c r="A21" s="37" t="str">
        <f t="shared" si="0"/>
        <v/>
      </c>
      <c r="B21" s="38"/>
      <c r="C21" s="38"/>
      <c r="D21" s="38"/>
      <c r="E21" s="38"/>
      <c r="F21" s="39"/>
      <c r="G21" s="39"/>
      <c r="H21" s="40" t="str">
        <f t="shared" si="1"/>
        <v/>
      </c>
      <c r="I21" s="41"/>
      <c r="J21" s="42"/>
      <c r="K21" s="43"/>
      <c r="L21" s="43"/>
      <c r="M21" s="44" t="str">
        <f t="shared" si="2"/>
        <v/>
      </c>
      <c r="N21" s="45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8" customHeight="1" x14ac:dyDescent="0.25">
      <c r="A22" s="47" t="str">
        <f t="shared" si="0"/>
        <v/>
      </c>
      <c r="B22" s="48"/>
      <c r="C22" s="48"/>
      <c r="D22" s="48"/>
      <c r="E22" s="48"/>
      <c r="F22" s="49"/>
      <c r="G22" s="49"/>
      <c r="H22" s="50" t="str">
        <f t="shared" si="1"/>
        <v/>
      </c>
      <c r="I22" s="51"/>
      <c r="J22" s="52"/>
      <c r="K22" s="53"/>
      <c r="L22" s="53"/>
      <c r="M22" s="54" t="str">
        <f t="shared" si="2"/>
        <v/>
      </c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9.5" customHeight="1" x14ac:dyDescent="0.25">
      <c r="A23" s="57"/>
      <c r="B23" s="21" t="s">
        <v>98</v>
      </c>
      <c r="C23" s="57"/>
      <c r="D23" s="57"/>
      <c r="E23" s="57"/>
      <c r="F23" s="57"/>
      <c r="G23" s="57"/>
      <c r="H23" s="57"/>
      <c r="I23" s="57"/>
      <c r="J23" s="58">
        <f>IFERROR(AVERAGE(J5:J22),0)</f>
        <v>0.42083333333333339</v>
      </c>
      <c r="K23" s="22">
        <f>SUM(K5:K22)</f>
        <v>89400</v>
      </c>
      <c r="L23" s="22">
        <f>SUM(L5:L22)</f>
        <v>32700</v>
      </c>
      <c r="M23" s="59">
        <f>SUM(M5:M22)</f>
        <v>56700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5" spans="1:26" x14ac:dyDescent="0.25">
      <c r="B25" s="60" t="s">
        <v>99</v>
      </c>
      <c r="C25" s="61"/>
      <c r="D25" s="62" t="s">
        <v>100</v>
      </c>
      <c r="F25" s="63"/>
      <c r="G25" s="62" t="s">
        <v>101</v>
      </c>
      <c r="H25" s="64"/>
      <c r="I25" s="62" t="s">
        <v>102</v>
      </c>
    </row>
  </sheetData>
  <mergeCells count="3">
    <mergeCell ref="A1:Z1"/>
    <mergeCell ref="C2:E2"/>
    <mergeCell ref="L2:N2"/>
  </mergeCells>
  <conditionalFormatting sqref="I5:I22">
    <cfRule type="expression" dxfId="6" priority="6">
      <formula>$I5="Abgeschlossen"</formula>
    </cfRule>
    <cfRule type="expression" dxfId="5" priority="7">
      <formula>$I5="In Umsetzung"</formula>
    </cfRule>
    <cfRule type="expression" dxfId="4" priority="8">
      <formula>$I5="Geplant"</formula>
    </cfRule>
    <cfRule type="expression" dxfId="3" priority="9">
      <formula>$I5="Pausiert"</formula>
    </cfRule>
  </conditionalFormatting>
  <conditionalFormatting sqref="J5:J22">
    <cfRule type="dataBar" priority="3">
      <dataBar>
        <cfvo type="num" val="0"/>
        <cfvo type="num" val="1"/>
        <color rgb="FF4E7C6E"/>
      </dataBar>
      <extLst>
        <ext xmlns:x14="http://schemas.microsoft.com/office/spreadsheetml/2009/9/main" uri="{B025F937-C7B1-47D3-B67F-A62EFF666E3E}">
          <x14:id>{F25F6128-C577-4CCD-A151-95458B9C7470}</x14:id>
        </ext>
      </extLst>
    </cfRule>
  </conditionalFormatting>
  <conditionalFormatting sqref="M5:M22"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O5:Z22">
    <cfRule type="expression" dxfId="0" priority="2">
      <formula>AND($F5&lt;&gt;"",$G5&lt;&gt;"",O$3&lt;=$G5,EOMONTH(O$3,0)&gt;=$F5)</formula>
    </cfRule>
  </conditionalFormatting>
  <dataValidations count="1">
    <dataValidation type="decimal" allowBlank="1" errorTitle="Ungültig" error="Bitte einen Wert zwischen 0 % und 100 % eingeben." sqref="J5:J22" xr:uid="{00000000-0002-0000-0100-000004000000}">
      <formula1>0</formula1>
      <formula2>1</formula2>
    </dataValidation>
  </dataValidations>
  <pageMargins left="0.75" right="0.75" top="1" bottom="1" header="0.511811023622047" footer="0.511811023622047"/>
  <pageSetup paperSize="9" fitToHeight="0" orientation="landscape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5F6128-C577-4CCD-A151-95458B9C747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4E7C6E"/>
            </x14:dataBar>
          </x14:cfRule>
          <xm:sqref>J5:J22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promptTitle="Auswahl" prompt="Kanal auswählen" xr:uid="{00000000-0002-0000-0100-000000000000}">
          <x14:formula1>
            <xm:f>Stammdaten!$A$4:$A$13</xm:f>
          </x14:formula1>
          <x14:formula2>
            <xm:f>0</xm:f>
          </x14:formula2>
          <xm:sqref>C5:C22</xm:sqref>
        </x14:dataValidation>
        <x14:dataValidation type="list" allowBlank="1" promptTitle="Auswahl" prompt="Funnel-Phase auswählen" xr:uid="{00000000-0002-0000-0100-000001000000}">
          <x14:formula1>
            <xm:f>Stammdaten!$B$4:$B$7</xm:f>
          </x14:formula1>
          <x14:formula2>
            <xm:f>0</xm:f>
          </x14:formula2>
          <xm:sqref>D5:D22</xm:sqref>
        </x14:dataValidation>
        <x14:dataValidation type="list" allowBlank="1" promptTitle="Auswahl" prompt="Status auswählen" xr:uid="{00000000-0002-0000-0100-000002000000}">
          <x14:formula1>
            <xm:f>Stammdaten!$C$4:$C$7</xm:f>
          </x14:formula1>
          <x14:formula2>
            <xm:f>0</xm:f>
          </x14:formula2>
          <xm:sqref>I5:I22</xm:sqref>
        </x14:dataValidation>
        <x14:dataValidation type="list" allowBlank="1" promptTitle="Auswahl" prompt="Verantwortlich auswählen" xr:uid="{00000000-0002-0000-0100-000003000000}">
          <x14:formula1>
            <xm:f>Stammdaten!$D$4:$D$10</xm:f>
          </x14:formula1>
          <x14:formula2>
            <xm:f>0</xm:f>
          </x14:formula2>
          <xm:sqref>E5:E22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E2A47"/>
    <pageSetUpPr fitToPage="1"/>
  </sheetPr>
  <dimension ref="A1:N44"/>
  <sheetViews>
    <sheetView showGridLines="0" zoomScaleNormal="100" workbookViewId="0">
      <selection sqref="A1:N1"/>
    </sheetView>
  </sheetViews>
  <sheetFormatPr baseColWidth="10" defaultColWidth="8.7109375" defaultRowHeight="15" x14ac:dyDescent="0.25"/>
  <cols>
    <col min="1" max="1" width="2.42578125" customWidth="1"/>
    <col min="2" max="2" width="21" customWidth="1"/>
    <col min="3" max="14" width="9.140625" customWidth="1"/>
  </cols>
  <sheetData>
    <row r="1" spans="1:14" ht="36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" customHeight="1" x14ac:dyDescent="0.25">
      <c r="A2" s="13" t="str">
        <f>"   Auswertung des Maßnahmenplans · Planjahr "&amp;Maßnahmenplan!$G$2</f>
        <v xml:space="preserve">   Auswertung des Maßnahmenplans · Planjahr 2026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4" spans="1:14" ht="18" customHeight="1" x14ac:dyDescent="0.25">
      <c r="C4" s="12" t="s">
        <v>1</v>
      </c>
      <c r="D4" s="12"/>
      <c r="E4" s="12"/>
      <c r="F4" s="12"/>
      <c r="G4" s="11" t="s">
        <v>2</v>
      </c>
      <c r="H4" s="11"/>
      <c r="I4" s="11"/>
      <c r="J4" s="11"/>
      <c r="K4" s="10" t="s">
        <v>3</v>
      </c>
      <c r="L4" s="10"/>
      <c r="M4" s="10"/>
      <c r="N4" s="10"/>
    </row>
    <row r="5" spans="1:14" ht="33.75" customHeight="1" x14ac:dyDescent="0.25">
      <c r="C5" s="9">
        <f>SUM(Maßnahmenplan!$K$5:$K$22)</f>
        <v>89400</v>
      </c>
      <c r="D5" s="9"/>
      <c r="E5" s="9"/>
      <c r="F5" s="9"/>
      <c r="G5" s="8">
        <f>SUM(Maßnahmenplan!$L$5:$L$22)</f>
        <v>32700</v>
      </c>
      <c r="H5" s="8"/>
      <c r="I5" s="8"/>
      <c r="J5" s="8"/>
      <c r="K5" s="7">
        <f>SUM(Maßnahmenplan!$K$5:$K$22)-SUM(Maßnahmenplan!$L$5:$L$22)</f>
        <v>56700</v>
      </c>
      <c r="L5" s="7"/>
      <c r="M5" s="7"/>
      <c r="N5" s="7"/>
    </row>
    <row r="7" spans="1:14" ht="18" customHeight="1" x14ac:dyDescent="0.25">
      <c r="C7" s="6" t="s">
        <v>4</v>
      </c>
      <c r="D7" s="6"/>
      <c r="E7" s="6"/>
      <c r="F7" s="6"/>
      <c r="G7" s="12" t="s">
        <v>5</v>
      </c>
      <c r="H7" s="12"/>
      <c r="I7" s="12"/>
      <c r="J7" s="12"/>
      <c r="K7" s="10" t="s">
        <v>6</v>
      </c>
      <c r="L7" s="10"/>
      <c r="M7" s="10"/>
      <c r="N7" s="10"/>
    </row>
    <row r="8" spans="1:14" ht="33.75" customHeight="1" x14ac:dyDescent="0.25">
      <c r="C8" s="5">
        <f>IFERROR(SUM(Maßnahmenplan!$L$5:$L$22)/SUM(Maßnahmenplan!$K$5:$K$22),0)</f>
        <v>0.36577181208053694</v>
      </c>
      <c r="D8" s="5"/>
      <c r="E8" s="5"/>
      <c r="F8" s="5"/>
      <c r="G8" s="4">
        <f>COUNTA(Maßnahmenplan!$B$5:$B$22)</f>
        <v>12</v>
      </c>
      <c r="H8" s="4"/>
      <c r="I8" s="4"/>
      <c r="J8" s="4"/>
      <c r="K8" s="3">
        <f>IFERROR(AVERAGE(Maßnahmenplan!$J$5:$J$22),0)</f>
        <v>0.42083333333333339</v>
      </c>
      <c r="L8" s="3"/>
      <c r="M8" s="3"/>
      <c r="N8" s="3"/>
    </row>
    <row r="10" spans="1:14" ht="19.5" customHeight="1" x14ac:dyDescent="0.25">
      <c r="B10" s="2" t="s">
        <v>7</v>
      </c>
      <c r="C10" s="2"/>
      <c r="D10" s="2"/>
      <c r="E10" s="2"/>
      <c r="F10" s="2"/>
    </row>
    <row r="11" spans="1:14" x14ac:dyDescent="0.25">
      <c r="B11" s="15" t="s">
        <v>8</v>
      </c>
      <c r="C11" s="16" t="s">
        <v>9</v>
      </c>
      <c r="D11" s="16" t="s">
        <v>10</v>
      </c>
    </row>
    <row r="12" spans="1:14" x14ac:dyDescent="0.25">
      <c r="B12" s="17" t="s">
        <v>11</v>
      </c>
      <c r="C12" s="18">
        <f>SUMIF(Maßnahmenplan!$C$5:$C$22,$B12,Maßnahmenplan!$K$5:$K$22)</f>
        <v>16000</v>
      </c>
      <c r="D12" s="18">
        <f>SUMIF(Maßnahmenplan!$C$5:$C$22,$B12,Maßnahmenplan!$L$5:$L$22)</f>
        <v>3400</v>
      </c>
    </row>
    <row r="13" spans="1:14" x14ac:dyDescent="0.25">
      <c r="B13" s="19" t="s">
        <v>12</v>
      </c>
      <c r="C13" s="20">
        <f>SUMIF(Maßnahmenplan!$C$5:$C$22,$B13,Maßnahmenplan!$K$5:$K$22)</f>
        <v>12000</v>
      </c>
      <c r="D13" s="20">
        <f>SUMIF(Maßnahmenplan!$C$5:$C$22,$B13,Maßnahmenplan!$L$5:$L$22)</f>
        <v>11200</v>
      </c>
    </row>
    <row r="14" spans="1:14" x14ac:dyDescent="0.25">
      <c r="B14" s="17" t="s">
        <v>13</v>
      </c>
      <c r="C14" s="18">
        <f>SUMIF(Maßnahmenplan!$C$5:$C$22,$B14,Maßnahmenplan!$K$5:$K$22)</f>
        <v>9600</v>
      </c>
      <c r="D14" s="18">
        <f>SUMIF(Maßnahmenplan!$C$5:$C$22,$B14,Maßnahmenplan!$L$5:$L$22)</f>
        <v>4800</v>
      </c>
    </row>
    <row r="15" spans="1:14" x14ac:dyDescent="0.25">
      <c r="B15" s="19" t="s">
        <v>14</v>
      </c>
      <c r="C15" s="20">
        <f>SUMIF(Maßnahmenplan!$C$5:$C$22,$B15,Maßnahmenplan!$K$5:$K$22)</f>
        <v>6600</v>
      </c>
      <c r="D15" s="20">
        <f>SUMIF(Maßnahmenplan!$C$5:$C$22,$B15,Maßnahmenplan!$L$5:$L$22)</f>
        <v>2700</v>
      </c>
    </row>
    <row r="16" spans="1:14" x14ac:dyDescent="0.25">
      <c r="B16" s="17" t="s">
        <v>15</v>
      </c>
      <c r="C16" s="18">
        <f>SUMIF(Maßnahmenplan!$C$5:$C$22,$B16,Maßnahmenplan!$K$5:$K$22)</f>
        <v>11200</v>
      </c>
      <c r="D16" s="18">
        <f>SUMIF(Maßnahmenplan!$C$5:$C$22,$B16,Maßnahmenplan!$L$5:$L$22)</f>
        <v>5000</v>
      </c>
    </row>
    <row r="17" spans="2:6" x14ac:dyDescent="0.25">
      <c r="B17" s="19" t="s">
        <v>16</v>
      </c>
      <c r="C17" s="20">
        <f>SUMIF(Maßnahmenplan!$C$5:$C$22,$B17,Maßnahmenplan!$K$5:$K$22)</f>
        <v>5000</v>
      </c>
      <c r="D17" s="20">
        <f>SUMIF(Maßnahmenplan!$C$5:$C$22,$B17,Maßnahmenplan!$L$5:$L$22)</f>
        <v>2500</v>
      </c>
    </row>
    <row r="18" spans="2:6" x14ac:dyDescent="0.25">
      <c r="B18" s="17" t="s">
        <v>17</v>
      </c>
      <c r="C18" s="18">
        <f>SUMIF(Maßnahmenplan!$C$5:$C$22,$B18,Maßnahmenplan!$K$5:$K$22)</f>
        <v>15000</v>
      </c>
      <c r="D18" s="18">
        <f>SUMIF(Maßnahmenplan!$C$5:$C$22,$B18,Maßnahmenplan!$L$5:$L$22)</f>
        <v>0</v>
      </c>
    </row>
    <row r="19" spans="2:6" x14ac:dyDescent="0.25">
      <c r="B19" s="19" t="s">
        <v>18</v>
      </c>
      <c r="C19" s="20">
        <f>SUMIF(Maßnahmenplan!$C$5:$C$22,$B19,Maßnahmenplan!$K$5:$K$22)</f>
        <v>8000</v>
      </c>
      <c r="D19" s="20">
        <f>SUMIF(Maßnahmenplan!$C$5:$C$22,$B19,Maßnahmenplan!$L$5:$L$22)</f>
        <v>1600</v>
      </c>
    </row>
    <row r="20" spans="2:6" x14ac:dyDescent="0.25">
      <c r="B20" s="17" t="s">
        <v>19</v>
      </c>
      <c r="C20" s="18">
        <f>SUMIF(Maßnahmenplan!$C$5:$C$22,$B20,Maßnahmenplan!$K$5:$K$22)</f>
        <v>6000</v>
      </c>
      <c r="D20" s="18">
        <f>SUMIF(Maßnahmenplan!$C$5:$C$22,$B20,Maßnahmenplan!$L$5:$L$22)</f>
        <v>1500</v>
      </c>
    </row>
    <row r="21" spans="2:6" x14ac:dyDescent="0.25">
      <c r="B21" s="19" t="s">
        <v>20</v>
      </c>
      <c r="C21" s="20">
        <f>SUMIF(Maßnahmenplan!$C$5:$C$22,$B21,Maßnahmenplan!$K$5:$K$22)</f>
        <v>0</v>
      </c>
      <c r="D21" s="20">
        <f>SUMIF(Maßnahmenplan!$C$5:$C$22,$B21,Maßnahmenplan!$L$5:$L$22)</f>
        <v>0</v>
      </c>
    </row>
    <row r="22" spans="2:6" x14ac:dyDescent="0.25">
      <c r="B22" s="21" t="s">
        <v>21</v>
      </c>
      <c r="C22" s="22">
        <f>SUM(C12:C21)</f>
        <v>89400</v>
      </c>
      <c r="D22" s="22">
        <f>SUM(D12:D21)</f>
        <v>32700</v>
      </c>
    </row>
    <row r="24" spans="2:6" ht="19.5" customHeight="1" x14ac:dyDescent="0.25">
      <c r="B24" s="2" t="s">
        <v>22</v>
      </c>
      <c r="C24" s="2"/>
      <c r="D24" s="2"/>
      <c r="E24" s="2"/>
      <c r="F24" s="2"/>
    </row>
    <row r="25" spans="2:6" x14ac:dyDescent="0.25">
      <c r="B25" s="15" t="s">
        <v>23</v>
      </c>
      <c r="C25" s="16" t="s">
        <v>9</v>
      </c>
      <c r="D25" s="16" t="s">
        <v>10</v>
      </c>
      <c r="E25" s="16" t="s">
        <v>24</v>
      </c>
    </row>
    <row r="26" spans="2:6" x14ac:dyDescent="0.25">
      <c r="B26" s="17" t="s">
        <v>25</v>
      </c>
      <c r="C26" s="18">
        <f>SUMIF(Maßnahmenplan!$D$5:$D$22,$B26,Maßnahmenplan!$K$5:$K$22)</f>
        <v>37600</v>
      </c>
      <c r="D26" s="18">
        <f>SUMIF(Maßnahmenplan!$D$5:$D$22,$B26,Maßnahmenplan!$L$5:$L$22)</f>
        <v>8900</v>
      </c>
      <c r="E26" s="23">
        <f>IFERROR($C26/SUM(Maßnahmenplan!$K$5:$K$22),0)</f>
        <v>0.42058165548098436</v>
      </c>
    </row>
    <row r="27" spans="2:6" x14ac:dyDescent="0.25">
      <c r="B27" s="19" t="s">
        <v>26</v>
      </c>
      <c r="C27" s="20">
        <f>SUMIF(Maßnahmenplan!$D$5:$D$22,$B27,Maßnahmenplan!$K$5:$K$22)</f>
        <v>23200</v>
      </c>
      <c r="D27" s="20">
        <f>SUMIF(Maßnahmenplan!$D$5:$D$22,$B27,Maßnahmenplan!$L$5:$L$22)</f>
        <v>7000</v>
      </c>
      <c r="E27" s="24">
        <f>IFERROR($C27/SUM(Maßnahmenplan!$K$5:$K$22),0)</f>
        <v>0.25950782997762861</v>
      </c>
    </row>
    <row r="28" spans="2:6" x14ac:dyDescent="0.25">
      <c r="B28" s="17" t="s">
        <v>27</v>
      </c>
      <c r="C28" s="18">
        <f>SUMIF(Maßnahmenplan!$D$5:$D$22,$B28,Maßnahmenplan!$K$5:$K$22)</f>
        <v>22000</v>
      </c>
      <c r="D28" s="18">
        <f>SUMIF(Maßnahmenplan!$D$5:$D$22,$B28,Maßnahmenplan!$L$5:$L$22)</f>
        <v>14100</v>
      </c>
      <c r="E28" s="23">
        <f>IFERROR($C28/SUM(Maßnahmenplan!$K$5:$K$22),0)</f>
        <v>0.24608501118568232</v>
      </c>
    </row>
    <row r="29" spans="2:6" x14ac:dyDescent="0.25">
      <c r="B29" s="19" t="s">
        <v>28</v>
      </c>
      <c r="C29" s="20">
        <f>SUMIF(Maßnahmenplan!$D$5:$D$22,$B29,Maßnahmenplan!$K$5:$K$22)</f>
        <v>6600</v>
      </c>
      <c r="D29" s="20">
        <f>SUMIF(Maßnahmenplan!$D$5:$D$22,$B29,Maßnahmenplan!$L$5:$L$22)</f>
        <v>2700</v>
      </c>
      <c r="E29" s="24">
        <f>IFERROR($C29/SUM(Maßnahmenplan!$K$5:$K$22),0)</f>
        <v>7.3825503355704702E-2</v>
      </c>
    </row>
    <row r="30" spans="2:6" x14ac:dyDescent="0.25">
      <c r="B30" s="21" t="s">
        <v>21</v>
      </c>
      <c r="C30" s="22">
        <f>SUM(C26:C29)</f>
        <v>89400</v>
      </c>
      <c r="D30" s="22">
        <f>SUM(D26:D29)</f>
        <v>32700</v>
      </c>
      <c r="E30" s="25">
        <f>IFERROR(C30/SUM(Maßnahmenplan!$K$5:$K$22),0)</f>
        <v>1</v>
      </c>
    </row>
    <row r="32" spans="2:6" ht="19.5" customHeight="1" x14ac:dyDescent="0.25">
      <c r="B32" s="2" t="s">
        <v>29</v>
      </c>
      <c r="C32" s="2"/>
      <c r="D32" s="2"/>
      <c r="E32" s="2"/>
      <c r="F32" s="2"/>
    </row>
    <row r="33" spans="2:14" x14ac:dyDescent="0.25">
      <c r="B33" s="15" t="s">
        <v>30</v>
      </c>
      <c r="C33" s="16" t="s">
        <v>31</v>
      </c>
      <c r="D33" s="16" t="s">
        <v>32</v>
      </c>
    </row>
    <row r="34" spans="2:14" x14ac:dyDescent="0.25">
      <c r="B34" s="17" t="s">
        <v>9</v>
      </c>
      <c r="C34" s="26">
        <f>COUNTIF(Maßnahmenplan!$I$5:$I$22,$B34)</f>
        <v>2</v>
      </c>
      <c r="D34" s="18">
        <f>SUMIF(Maßnahmenplan!$I$5:$I$22,$B34,Maßnahmenplan!$K$5:$K$22)</f>
        <v>25000</v>
      </c>
    </row>
    <row r="35" spans="2:14" x14ac:dyDescent="0.25">
      <c r="B35" s="19" t="s">
        <v>33</v>
      </c>
      <c r="C35" s="27">
        <f>COUNTIF(Maßnahmenplan!$I$5:$I$22,$B35)</f>
        <v>9</v>
      </c>
      <c r="D35" s="20">
        <f>SUMIF(Maßnahmenplan!$I$5:$I$22,$B35,Maßnahmenplan!$K$5:$K$22)</f>
        <v>52400</v>
      </c>
    </row>
    <row r="36" spans="2:14" x14ac:dyDescent="0.25">
      <c r="B36" s="17" t="s">
        <v>34</v>
      </c>
      <c r="C36" s="26">
        <f>COUNTIF(Maßnahmenplan!$I$5:$I$22,$B36)</f>
        <v>1</v>
      </c>
      <c r="D36" s="18">
        <f>SUMIF(Maßnahmenplan!$I$5:$I$22,$B36,Maßnahmenplan!$K$5:$K$22)</f>
        <v>12000</v>
      </c>
    </row>
    <row r="37" spans="2:14" x14ac:dyDescent="0.25">
      <c r="B37" s="19" t="s">
        <v>35</v>
      </c>
      <c r="C37" s="27">
        <f>COUNTIF(Maßnahmenplan!$I$5:$I$22,$B37)</f>
        <v>0</v>
      </c>
      <c r="D37" s="20">
        <f>SUMIF(Maßnahmenplan!$I$5:$I$22,$B37,Maßnahmenplan!$K$5:$K$22)</f>
        <v>0</v>
      </c>
    </row>
    <row r="39" spans="2:14" ht="19.5" customHeight="1" x14ac:dyDescent="0.25">
      <c r="B39" s="2" t="s">
        <v>36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5">
      <c r="B40" s="15" t="s">
        <v>37</v>
      </c>
      <c r="C40" s="28" t="s">
        <v>38</v>
      </c>
      <c r="D40" s="28" t="s">
        <v>39</v>
      </c>
      <c r="E40" s="28" t="s">
        <v>40</v>
      </c>
      <c r="F40" s="28" t="s">
        <v>41</v>
      </c>
      <c r="G40" s="28" t="s">
        <v>42</v>
      </c>
      <c r="H40" s="28" t="s">
        <v>43</v>
      </c>
      <c r="I40" s="28" t="s">
        <v>44</v>
      </c>
      <c r="J40" s="28" t="s">
        <v>45</v>
      </c>
      <c r="K40" s="28" t="s">
        <v>46</v>
      </c>
      <c r="L40" s="28" t="s">
        <v>47</v>
      </c>
      <c r="M40" s="28" t="s">
        <v>48</v>
      </c>
      <c r="N40" s="28" t="s">
        <v>49</v>
      </c>
    </row>
    <row r="41" spans="2:14" x14ac:dyDescent="0.25">
      <c r="B41" s="17" t="s">
        <v>9</v>
      </c>
      <c r="C41" s="29">
        <f>SUMPRODUCT((MONTH(Maßnahmenplan!$F$5:$F$22)=1)*(YEAR(Maßnahmenplan!$F$5:$F$22)=Maßnahmenplan!$G$2)*Maßnahmenplan!$K$5:$K$22)</f>
        <v>27800</v>
      </c>
      <c r="D41" s="29">
        <f>SUMPRODUCT((MONTH(Maßnahmenplan!$F$5:$F$22)=2)*(YEAR(Maßnahmenplan!$F$5:$F$22)=Maßnahmenplan!$G$2)*Maßnahmenplan!$K$5:$K$22)</f>
        <v>3600</v>
      </c>
      <c r="E41" s="29">
        <f>SUMPRODUCT((MONTH(Maßnahmenplan!$F$5:$F$22)=3)*(YEAR(Maßnahmenplan!$F$5:$F$22)=Maßnahmenplan!$G$2)*Maßnahmenplan!$K$5:$K$22)</f>
        <v>15000</v>
      </c>
      <c r="F41" s="29">
        <f>SUMPRODUCT((MONTH(Maßnahmenplan!$F$5:$F$22)=4)*(YEAR(Maßnahmenplan!$F$5:$F$22)=Maßnahmenplan!$G$2)*Maßnahmenplan!$K$5:$K$22)</f>
        <v>4000</v>
      </c>
      <c r="G41" s="29">
        <f>SUMPRODUCT((MONTH(Maßnahmenplan!$F$5:$F$22)=5)*(YEAR(Maßnahmenplan!$F$5:$F$22)=Maßnahmenplan!$G$2)*Maßnahmenplan!$K$5:$K$22)</f>
        <v>6000</v>
      </c>
      <c r="H41" s="29">
        <f>SUMPRODUCT((MONTH(Maßnahmenplan!$F$5:$F$22)=6)*(YEAR(Maßnahmenplan!$F$5:$F$22)=Maßnahmenplan!$G$2)*Maßnahmenplan!$K$5:$K$22)</f>
        <v>8000</v>
      </c>
      <c r="I41" s="29">
        <f>SUMPRODUCT((MONTH(Maßnahmenplan!$F$5:$F$22)=7)*(YEAR(Maßnahmenplan!$F$5:$F$22)=Maßnahmenplan!$G$2)*Maßnahmenplan!$K$5:$K$22)</f>
        <v>10000</v>
      </c>
      <c r="J41" s="29">
        <f>SUMPRODUCT((MONTH(Maßnahmenplan!$F$5:$F$22)=8)*(YEAR(Maßnahmenplan!$F$5:$F$22)=Maßnahmenplan!$G$2)*Maßnahmenplan!$K$5:$K$22)</f>
        <v>0</v>
      </c>
      <c r="K41" s="29">
        <f>SUMPRODUCT((MONTH(Maßnahmenplan!$F$5:$F$22)=9)*(YEAR(Maßnahmenplan!$F$5:$F$22)=Maßnahmenplan!$G$2)*Maßnahmenplan!$K$5:$K$22)</f>
        <v>15000</v>
      </c>
      <c r="L41" s="29">
        <f>SUMPRODUCT((MONTH(Maßnahmenplan!$F$5:$F$22)=10)*(YEAR(Maßnahmenplan!$F$5:$F$22)=Maßnahmenplan!$G$2)*Maßnahmenplan!$K$5:$K$22)</f>
        <v>0</v>
      </c>
      <c r="M41" s="29">
        <f>SUMPRODUCT((MONTH(Maßnahmenplan!$F$5:$F$22)=11)*(YEAR(Maßnahmenplan!$F$5:$F$22)=Maßnahmenplan!$G$2)*Maßnahmenplan!$K$5:$K$22)</f>
        <v>0</v>
      </c>
      <c r="N41" s="29">
        <f>SUMPRODUCT((MONTH(Maßnahmenplan!$F$5:$F$22)=12)*(YEAR(Maßnahmenplan!$F$5:$F$22)=Maßnahmenplan!$G$2)*Maßnahmenplan!$K$5:$K$22)</f>
        <v>0</v>
      </c>
    </row>
    <row r="42" spans="2:14" x14ac:dyDescent="0.25">
      <c r="B42" s="19" t="s">
        <v>10</v>
      </c>
      <c r="C42" s="30">
        <f>SUMPRODUCT((MONTH(Maßnahmenplan!$F$5:$F$22)=1)*(YEAR(Maßnahmenplan!$F$5:$F$22)=Maßnahmenplan!$G$2)*Maßnahmenplan!$L$5:$L$22)</f>
        <v>14300</v>
      </c>
      <c r="D42" s="30">
        <f>SUMPRODUCT((MONTH(Maßnahmenplan!$F$5:$F$22)=2)*(YEAR(Maßnahmenplan!$F$5:$F$22)=Maßnahmenplan!$G$2)*Maßnahmenplan!$L$5:$L$22)</f>
        <v>1500</v>
      </c>
      <c r="E42" s="30">
        <f>SUMPRODUCT((MONTH(Maßnahmenplan!$F$5:$F$22)=3)*(YEAR(Maßnahmenplan!$F$5:$F$22)=Maßnahmenplan!$G$2)*Maßnahmenplan!$L$5:$L$22)</f>
        <v>12400</v>
      </c>
      <c r="F42" s="30">
        <f>SUMPRODUCT((MONTH(Maßnahmenplan!$F$5:$F$22)=4)*(YEAR(Maßnahmenplan!$F$5:$F$22)=Maßnahmenplan!$G$2)*Maßnahmenplan!$L$5:$L$22)</f>
        <v>1400</v>
      </c>
      <c r="G42" s="30">
        <f>SUMPRODUCT((MONTH(Maßnahmenplan!$F$5:$F$22)=5)*(YEAR(Maßnahmenplan!$F$5:$F$22)=Maßnahmenplan!$G$2)*Maßnahmenplan!$L$5:$L$22)</f>
        <v>1500</v>
      </c>
      <c r="H42" s="30">
        <f>SUMPRODUCT((MONTH(Maßnahmenplan!$F$5:$F$22)=6)*(YEAR(Maßnahmenplan!$F$5:$F$22)=Maßnahmenplan!$G$2)*Maßnahmenplan!$L$5:$L$22)</f>
        <v>1600</v>
      </c>
      <c r="I42" s="30">
        <f>SUMPRODUCT((MONTH(Maßnahmenplan!$F$5:$F$22)=7)*(YEAR(Maßnahmenplan!$F$5:$F$22)=Maßnahmenplan!$G$2)*Maßnahmenplan!$L$5:$L$22)</f>
        <v>0</v>
      </c>
      <c r="J42" s="30">
        <f>SUMPRODUCT((MONTH(Maßnahmenplan!$F$5:$F$22)=8)*(YEAR(Maßnahmenplan!$F$5:$F$22)=Maßnahmenplan!$G$2)*Maßnahmenplan!$L$5:$L$22)</f>
        <v>0</v>
      </c>
      <c r="K42" s="30">
        <f>SUMPRODUCT((MONTH(Maßnahmenplan!$F$5:$F$22)=9)*(YEAR(Maßnahmenplan!$F$5:$F$22)=Maßnahmenplan!$G$2)*Maßnahmenplan!$L$5:$L$22)</f>
        <v>0</v>
      </c>
      <c r="L42" s="30">
        <f>SUMPRODUCT((MONTH(Maßnahmenplan!$F$5:$F$22)=10)*(YEAR(Maßnahmenplan!$F$5:$F$22)=Maßnahmenplan!$G$2)*Maßnahmenplan!$L$5:$L$22)</f>
        <v>0</v>
      </c>
      <c r="M42" s="30">
        <f>SUMPRODUCT((MONTH(Maßnahmenplan!$F$5:$F$22)=11)*(YEAR(Maßnahmenplan!$F$5:$F$22)=Maßnahmenplan!$G$2)*Maßnahmenplan!$L$5:$L$22)</f>
        <v>0</v>
      </c>
      <c r="N42" s="30">
        <f>SUMPRODUCT((MONTH(Maßnahmenplan!$F$5:$F$22)=12)*(YEAR(Maßnahmenplan!$F$5:$F$22)=Maßnahmenplan!$G$2)*Maßnahmenplan!$L$5:$L$22)</f>
        <v>0</v>
      </c>
    </row>
    <row r="44" spans="2:14" x14ac:dyDescent="0.25">
      <c r="B44" s="1" t="s">
        <v>50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19">
    <mergeCell ref="B32:F32"/>
    <mergeCell ref="B39:N39"/>
    <mergeCell ref="B44:N44"/>
    <mergeCell ref="C8:F8"/>
    <mergeCell ref="G8:J8"/>
    <mergeCell ref="K8:N8"/>
    <mergeCell ref="B10:F10"/>
    <mergeCell ref="B24:F24"/>
    <mergeCell ref="C5:F5"/>
    <mergeCell ref="G5:J5"/>
    <mergeCell ref="K5:N5"/>
    <mergeCell ref="C7:F7"/>
    <mergeCell ref="G7:J7"/>
    <mergeCell ref="K7:N7"/>
    <mergeCell ref="A1:N1"/>
    <mergeCell ref="A2:N2"/>
    <mergeCell ref="C4:F4"/>
    <mergeCell ref="G4:J4"/>
    <mergeCell ref="K4:N4"/>
  </mergeCells>
  <conditionalFormatting sqref="C12:C21">
    <cfRule type="dataBar" priority="2">
      <dataBar>
        <cfvo type="num" val="0"/>
        <cfvo type="max"/>
        <color rgb="FFC9743D"/>
      </dataBar>
      <extLst>
        <ext xmlns:x14="http://schemas.microsoft.com/office/spreadsheetml/2009/9/main" uri="{B025F937-C7B1-47D3-B67F-A62EFF666E3E}">
          <x14:id>{6095D820-F08A-4823-B51C-C4D6A4F01479}</x14:id>
        </ext>
      </extLst>
    </cfRule>
  </conditionalFormatting>
  <conditionalFormatting sqref="C26:C29">
    <cfRule type="dataBar" priority="3">
      <dataBar>
        <cfvo type="num" val="0"/>
        <cfvo type="max"/>
        <color rgb="FF6E3F5B"/>
      </dataBar>
      <extLst>
        <ext xmlns:x14="http://schemas.microsoft.com/office/spreadsheetml/2009/9/main" uri="{B025F937-C7B1-47D3-B67F-A62EFF666E3E}">
          <x14:id>{1DB670E1-6720-47AF-9864-19ED89DE358B}</x14:id>
        </ext>
      </extLst>
    </cfRule>
  </conditionalFormatting>
  <conditionalFormatting sqref="C41:N41">
    <cfRule type="dataBar" priority="4">
      <dataBar>
        <cfvo type="num" val="0"/>
        <cfvo type="max"/>
        <color rgb="FFC9743D"/>
      </dataBar>
      <extLst>
        <ext xmlns:x14="http://schemas.microsoft.com/office/spreadsheetml/2009/9/main" uri="{B025F937-C7B1-47D3-B67F-A62EFF666E3E}">
          <x14:id>{B39044B0-7F42-4AB9-9CAE-446585B68A1F}</x14:id>
        </ext>
      </extLst>
    </cfRule>
  </conditionalFormatting>
  <conditionalFormatting sqref="C42:N42">
    <cfRule type="dataBar" priority="5">
      <dataBar>
        <cfvo type="num" val="0"/>
        <cfvo type="max"/>
        <color rgb="FF4E7C6E"/>
      </dataBar>
      <extLst>
        <ext xmlns:x14="http://schemas.microsoft.com/office/spreadsheetml/2009/9/main" uri="{B025F937-C7B1-47D3-B67F-A62EFF666E3E}">
          <x14:id>{E0C7689C-B23A-4E30-9EDC-DA4F1A30385E}</x14:id>
        </ext>
      </extLst>
    </cfRule>
  </conditionalFormatting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95D820-F08A-4823-B51C-C4D6A4F01479}">
            <x14:dataBar axisPosition="none">
              <x14:cfvo type="num">
                <xm:f>0</xm:f>
              </x14:cfvo>
              <x14:cfvo type="max"/>
              <x14:negativeFillColor rgb="FFC9743D"/>
            </x14:dataBar>
          </x14:cfRule>
          <xm:sqref>C12:C21</xm:sqref>
        </x14:conditionalFormatting>
        <x14:conditionalFormatting xmlns:xm="http://schemas.microsoft.com/office/excel/2006/main">
          <x14:cfRule type="dataBar" id="{1DB670E1-6720-47AF-9864-19ED89DE358B}">
            <x14:dataBar axisPosition="none">
              <x14:cfvo type="num">
                <xm:f>0</xm:f>
              </x14:cfvo>
              <x14:cfvo type="max"/>
              <x14:negativeFillColor rgb="FF6E3F5B"/>
            </x14:dataBar>
          </x14:cfRule>
          <xm:sqref>C26:C29</xm:sqref>
        </x14:conditionalFormatting>
        <x14:conditionalFormatting xmlns:xm="http://schemas.microsoft.com/office/excel/2006/main">
          <x14:cfRule type="dataBar" id="{B39044B0-7F42-4AB9-9CAE-446585B68A1F}">
            <x14:dataBar axisPosition="none">
              <x14:cfvo type="num">
                <xm:f>0</xm:f>
              </x14:cfvo>
              <x14:cfvo type="max"/>
              <x14:negativeFillColor rgb="FFC9743D"/>
            </x14:dataBar>
          </x14:cfRule>
          <xm:sqref>C41:N41</xm:sqref>
        </x14:conditionalFormatting>
        <x14:conditionalFormatting xmlns:xm="http://schemas.microsoft.com/office/excel/2006/main">
          <x14:cfRule type="dataBar" id="{E0C7689C-B23A-4E30-9EDC-DA4F1A30385E}">
            <x14:dataBar axisPosition="none">
              <x14:cfvo type="num">
                <xm:f>0</xm:f>
              </x14:cfvo>
              <x14:cfvo type="max"/>
              <x14:negativeFillColor rgb="FF4E7C6E"/>
            </x14:dataBar>
          </x14:cfRule>
          <xm:sqref>C42:N42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E3F5B"/>
  </sheetPr>
  <dimension ref="A1:D16"/>
  <sheetViews>
    <sheetView showGridLines="0" zoomScaleNormal="100" workbookViewId="0">
      <selection sqref="A1:D1"/>
    </sheetView>
  </sheetViews>
  <sheetFormatPr baseColWidth="10" defaultColWidth="8.7109375" defaultRowHeight="15" x14ac:dyDescent="0.25"/>
  <cols>
    <col min="1" max="3" width="16" customWidth="1"/>
    <col min="4" max="4" width="18" customWidth="1"/>
  </cols>
  <sheetData>
    <row r="1" spans="1:4" ht="25.5" customHeight="1" x14ac:dyDescent="0.25">
      <c r="A1" s="70" t="s">
        <v>103</v>
      </c>
      <c r="B1" s="70"/>
      <c r="C1" s="70"/>
      <c r="D1" s="70"/>
    </row>
    <row r="3" spans="1:4" x14ac:dyDescent="0.25">
      <c r="A3" s="65" t="s">
        <v>8</v>
      </c>
      <c r="B3" s="65" t="s">
        <v>104</v>
      </c>
      <c r="C3" s="65" t="s">
        <v>30</v>
      </c>
      <c r="D3" s="65" t="s">
        <v>60</v>
      </c>
    </row>
    <row r="4" spans="1:4" x14ac:dyDescent="0.25">
      <c r="A4" s="66" t="s">
        <v>11</v>
      </c>
      <c r="B4" s="66" t="s">
        <v>25</v>
      </c>
      <c r="C4" s="66" t="s">
        <v>9</v>
      </c>
      <c r="D4" s="66" t="s">
        <v>70</v>
      </c>
    </row>
    <row r="5" spans="1:4" x14ac:dyDescent="0.25">
      <c r="A5" s="67" t="s">
        <v>12</v>
      </c>
      <c r="B5" s="67" t="s">
        <v>26</v>
      </c>
      <c r="C5" s="67" t="s">
        <v>33</v>
      </c>
      <c r="D5" s="67" t="s">
        <v>76</v>
      </c>
    </row>
    <row r="6" spans="1:4" x14ac:dyDescent="0.25">
      <c r="A6" s="66" t="s">
        <v>13</v>
      </c>
      <c r="B6" s="66" t="s">
        <v>27</v>
      </c>
      <c r="C6" s="66" t="s">
        <v>34</v>
      </c>
      <c r="D6" s="66" t="s">
        <v>73</v>
      </c>
    </row>
    <row r="7" spans="1:4" x14ac:dyDescent="0.25">
      <c r="A7" s="67" t="s">
        <v>14</v>
      </c>
      <c r="B7" s="67" t="s">
        <v>28</v>
      </c>
      <c r="C7" s="67" t="s">
        <v>35</v>
      </c>
      <c r="D7" s="67" t="s">
        <v>86</v>
      </c>
    </row>
    <row r="8" spans="1:4" x14ac:dyDescent="0.25">
      <c r="A8" s="66" t="s">
        <v>15</v>
      </c>
      <c r="D8" s="66" t="s">
        <v>83</v>
      </c>
    </row>
    <row r="9" spans="1:4" x14ac:dyDescent="0.25">
      <c r="A9" s="67" t="s">
        <v>16</v>
      </c>
      <c r="D9" s="67" t="s">
        <v>105</v>
      </c>
    </row>
    <row r="10" spans="1:4" x14ac:dyDescent="0.25">
      <c r="A10" s="66" t="s">
        <v>17</v>
      </c>
      <c r="D10" s="66" t="s">
        <v>106</v>
      </c>
    </row>
    <row r="11" spans="1:4" x14ac:dyDescent="0.25">
      <c r="A11" s="67" t="s">
        <v>18</v>
      </c>
    </row>
    <row r="12" spans="1:4" x14ac:dyDescent="0.25">
      <c r="A12" s="66" t="s">
        <v>19</v>
      </c>
    </row>
    <row r="13" spans="1:4" x14ac:dyDescent="0.25">
      <c r="A13" s="67" t="s">
        <v>20</v>
      </c>
    </row>
    <row r="14" spans="1:4" ht="15" customHeight="1" x14ac:dyDescent="0.25">
      <c r="A14" s="71" t="s">
        <v>107</v>
      </c>
      <c r="B14" s="71"/>
      <c r="C14" s="71"/>
      <c r="D14" s="71"/>
    </row>
    <row r="15" spans="1:4" x14ac:dyDescent="0.25">
      <c r="A15" s="71"/>
      <c r="B15" s="71"/>
      <c r="C15" s="71"/>
      <c r="D15" s="71"/>
    </row>
    <row r="16" spans="1:4" x14ac:dyDescent="0.25">
      <c r="A16" s="71"/>
      <c r="B16" s="71"/>
      <c r="C16" s="71"/>
      <c r="D16" s="71"/>
    </row>
  </sheetData>
  <mergeCells count="2">
    <mergeCell ref="A1:D1"/>
    <mergeCell ref="A14:D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Maßnahmenplan</vt:lpstr>
      <vt:lpstr>Dashboard</vt:lpstr>
      <vt:lpstr>Stammdaten</vt:lpstr>
      <vt:lpstr>Dashboard!Druckbereich</vt:lpstr>
      <vt:lpstr>Maßnahmenplan!Drucktitel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2026-06-24T04:59:01Z</dcterms:created>
  <dcterms:modified xsi:type="dcterms:W3CDTF">2026-06-24T06:07:04Z</dcterms:modified>
  <dc:language>en-US</dc:language>
</cp:coreProperties>
</file>