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8_{373BF360-9732-44F4-860C-0C2C4B04B25E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Abrechnung" sheetId="1" r:id="rId1"/>
    <sheet name="Auswertung" sheetId="2" r:id="rId2"/>
  </sheets>
  <definedNames>
    <definedName name="_xlnm._FilterDatabase" localSheetId="0" hidden="1">Abrechnung!$A$18:$M$49</definedName>
    <definedName name="_xlnm.Print_Area" localSheetId="0">Abrechnung!$A$1:$M$50</definedName>
    <definedName name="Zeitraum_bis">Abrechnung!$I$9</definedName>
    <definedName name="Zeitraum_von">Abrechnung!$I$8</definedName>
  </definedName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9" i="2" l="1"/>
  <c r="E29" i="2"/>
  <c r="D29" i="2"/>
  <c r="C29" i="2"/>
  <c r="J28" i="2"/>
  <c r="I28" i="2"/>
  <c r="D28" i="2"/>
  <c r="C28" i="2"/>
  <c r="F16" i="2" s="1"/>
  <c r="J27" i="2"/>
  <c r="I27" i="2"/>
  <c r="D27" i="2"/>
  <c r="C27" i="2"/>
  <c r="F27" i="2" s="1"/>
  <c r="I26" i="2"/>
  <c r="D26" i="2"/>
  <c r="C26" i="2"/>
  <c r="E26" i="2" s="1"/>
  <c r="I25" i="2"/>
  <c r="I30" i="2" s="1"/>
  <c r="D25" i="2"/>
  <c r="C25" i="2"/>
  <c r="F25" i="2" s="1"/>
  <c r="D24" i="2"/>
  <c r="C24" i="2"/>
  <c r="E24" i="2" s="1"/>
  <c r="E23" i="2"/>
  <c r="D23" i="2"/>
  <c r="C23" i="2"/>
  <c r="D22" i="2"/>
  <c r="C22" i="2"/>
  <c r="E22" i="2" s="1"/>
  <c r="D21" i="2"/>
  <c r="C21" i="2"/>
  <c r="F21" i="2" s="1"/>
  <c r="D20" i="2"/>
  <c r="C20" i="2"/>
  <c r="F20" i="2" s="1"/>
  <c r="D19" i="2"/>
  <c r="C19" i="2"/>
  <c r="F23" i="2" s="1"/>
  <c r="D18" i="2"/>
  <c r="F18" i="2" s="1"/>
  <c r="C18" i="2"/>
  <c r="K17" i="2"/>
  <c r="I17" i="2"/>
  <c r="D17" i="2"/>
  <c r="D30" i="2" s="1"/>
  <c r="C17" i="2"/>
  <c r="F17" i="2" s="1"/>
  <c r="L16" i="2"/>
  <c r="K16" i="2"/>
  <c r="J16" i="2"/>
  <c r="I16" i="2"/>
  <c r="I18" i="2" s="1"/>
  <c r="D16" i="2"/>
  <c r="C16" i="2"/>
  <c r="E16" i="2" s="1"/>
  <c r="K15" i="2"/>
  <c r="K18" i="2" s="1"/>
  <c r="I15" i="2"/>
  <c r="D15" i="2"/>
  <c r="E15" i="2" s="1"/>
  <c r="C15" i="2"/>
  <c r="J7" i="2"/>
  <c r="F7" i="2"/>
  <c r="B7" i="2"/>
  <c r="H50" i="1"/>
  <c r="J49" i="1"/>
  <c r="K49" i="1" s="1"/>
  <c r="A49" i="1"/>
  <c r="J48" i="1"/>
  <c r="K48" i="1" s="1"/>
  <c r="A48" i="1"/>
  <c r="J47" i="1"/>
  <c r="K47" i="1" s="1"/>
  <c r="A47" i="1"/>
  <c r="K46" i="1"/>
  <c r="J46" i="1"/>
  <c r="A46" i="1"/>
  <c r="J45" i="1"/>
  <c r="K45" i="1" s="1"/>
  <c r="D38" i="2" s="1"/>
  <c r="A45" i="1"/>
  <c r="J44" i="1"/>
  <c r="K44" i="1" s="1"/>
  <c r="E38" i="2" s="1"/>
  <c r="A44" i="1"/>
  <c r="J43" i="1"/>
  <c r="K43" i="1" s="1"/>
  <c r="A43" i="1"/>
  <c r="J42" i="1"/>
  <c r="K42" i="1" s="1"/>
  <c r="A42" i="1"/>
  <c r="J41" i="1"/>
  <c r="K41" i="1" s="1"/>
  <c r="A41" i="1"/>
  <c r="K40" i="1"/>
  <c r="J40" i="1"/>
  <c r="A40" i="1"/>
  <c r="J39" i="1"/>
  <c r="K39" i="1" s="1"/>
  <c r="D37" i="2" s="1"/>
  <c r="F37" i="2" s="1"/>
  <c r="A39" i="1"/>
  <c r="J38" i="1"/>
  <c r="K38" i="1" s="1"/>
  <c r="E37" i="2" s="1"/>
  <c r="A38" i="1"/>
  <c r="J37" i="1"/>
  <c r="K37" i="1" s="1"/>
  <c r="K26" i="2" s="1"/>
  <c r="A37" i="1"/>
  <c r="K36" i="1"/>
  <c r="J36" i="1"/>
  <c r="A36" i="1"/>
  <c r="K35" i="1"/>
  <c r="J35" i="1"/>
  <c r="A35" i="1"/>
  <c r="K34" i="1"/>
  <c r="J34" i="1"/>
  <c r="A34" i="1"/>
  <c r="J33" i="1"/>
  <c r="K33" i="1" s="1"/>
  <c r="D36" i="2" s="1"/>
  <c r="F36" i="2" s="1"/>
  <c r="A33" i="1"/>
  <c r="J32" i="1"/>
  <c r="K32" i="1" s="1"/>
  <c r="K28" i="2" s="1"/>
  <c r="L28" i="2" s="1"/>
  <c r="A32" i="1"/>
  <c r="J31" i="1"/>
  <c r="K31" i="1" s="1"/>
  <c r="E36" i="2" s="1"/>
  <c r="A31" i="1"/>
  <c r="J30" i="1"/>
  <c r="K30" i="1" s="1"/>
  <c r="J29" i="2" s="1"/>
  <c r="L29" i="2" s="1"/>
  <c r="A30" i="1"/>
  <c r="J29" i="1"/>
  <c r="K29" i="1" s="1"/>
  <c r="A29" i="1"/>
  <c r="J28" i="1"/>
  <c r="K28" i="1" s="1"/>
  <c r="K29" i="2" s="1"/>
  <c r="A28" i="1"/>
  <c r="J27" i="1"/>
  <c r="K27" i="1" s="1"/>
  <c r="D35" i="2" s="1"/>
  <c r="A27" i="1"/>
  <c r="K26" i="1"/>
  <c r="J26" i="1"/>
  <c r="A26" i="1"/>
  <c r="J25" i="1"/>
  <c r="K25" i="1" s="1"/>
  <c r="A25" i="1"/>
  <c r="J24" i="1"/>
  <c r="B10" i="2" s="1"/>
  <c r="A24" i="1"/>
  <c r="J23" i="1"/>
  <c r="J50" i="1" s="1"/>
  <c r="A23" i="1"/>
  <c r="J22" i="1"/>
  <c r="K22" i="1" s="1"/>
  <c r="A22" i="1"/>
  <c r="J21" i="1"/>
  <c r="J14" i="1" s="1"/>
  <c r="A21" i="1"/>
  <c r="K20" i="1"/>
  <c r="J20" i="1"/>
  <c r="A20" i="1"/>
  <c r="K25" i="2" l="1"/>
  <c r="E35" i="2"/>
  <c r="F35" i="2" s="1"/>
  <c r="F38" i="2"/>
  <c r="F29" i="2"/>
  <c r="K24" i="1"/>
  <c r="J25" i="2" s="1"/>
  <c r="E28" i="2"/>
  <c r="C30" i="2"/>
  <c r="F10" i="2"/>
  <c r="E17" i="2"/>
  <c r="E30" i="2" s="1"/>
  <c r="E20" i="2"/>
  <c r="J17" i="2"/>
  <c r="F15" i="2"/>
  <c r="F30" i="2" s="1"/>
  <c r="L17" i="2"/>
  <c r="E21" i="2"/>
  <c r="F28" i="2"/>
  <c r="J15" i="2"/>
  <c r="K21" i="1"/>
  <c r="E18" i="2"/>
  <c r="L15" i="2"/>
  <c r="L18" i="2" s="1"/>
  <c r="F19" i="2"/>
  <c r="E27" i="2"/>
  <c r="F22" i="2"/>
  <c r="F26" i="2"/>
  <c r="K23" i="1"/>
  <c r="K27" i="2" s="1"/>
  <c r="L27" i="2" s="1"/>
  <c r="E19" i="2"/>
  <c r="F24" i="2"/>
  <c r="J10" i="2"/>
  <c r="E25" i="2"/>
  <c r="L25" i="2" l="1"/>
  <c r="K30" i="2"/>
  <c r="E34" i="2"/>
  <c r="E39" i="2" s="1"/>
  <c r="J18" i="2"/>
  <c r="K20" i="2" s="1"/>
  <c r="D14" i="1"/>
  <c r="J26" i="2"/>
  <c r="L26" i="2" s="1"/>
  <c r="A14" i="1"/>
  <c r="D34" i="2"/>
  <c r="G14" i="1"/>
  <c r="K50" i="1"/>
  <c r="D39" i="2" l="1"/>
  <c r="F34" i="2"/>
  <c r="F39" i="2" s="1"/>
  <c r="L30" i="2"/>
  <c r="J30" i="2"/>
</calcChain>
</file>

<file path=xl/sharedStrings.xml><?xml version="1.0" encoding="utf-8"?>
<sst xmlns="http://schemas.openxmlformats.org/spreadsheetml/2006/main" count="330" uniqueCount="175">
  <si>
    <t>ABRECHNUNG</t>
  </si>
  <si>
    <t>Übersicht der Einnahmen und Ausgaben  •  Buchungsperiode 2026</t>
  </si>
  <si>
    <t>UNTERNEHMEN</t>
  </si>
  <si>
    <t>Firma</t>
  </si>
  <si>
    <t>Nordlicht Kontor GmbH</t>
  </si>
  <si>
    <t>Abrechnungs-Nr.</t>
  </si>
  <si>
    <t>ABR-2026-07</t>
  </si>
  <si>
    <t>Anschrift</t>
  </si>
  <si>
    <t>Speicherstraße 14, 20457 Hamburg</t>
  </si>
  <si>
    <t>Zeitraum von</t>
  </si>
  <si>
    <t>Ansprechp.</t>
  </si>
  <si>
    <t>M. Brauer</t>
  </si>
  <si>
    <t>Zeitraum bis</t>
  </si>
  <si>
    <t>USt-IdNr.</t>
  </si>
  <si>
    <t>DE 289 456 712</t>
  </si>
  <si>
    <t>Erstellt am</t>
  </si>
  <si>
    <t>IBAN</t>
  </si>
  <si>
    <t>DE68 2005 0550 1234 5678 90</t>
  </si>
  <si>
    <t>Bearbeiter/in</t>
  </si>
  <si>
    <t>S. Marquardt</t>
  </si>
  <si>
    <t>SUMME EINNAHMEN</t>
  </si>
  <si>
    <t>SUMME AUSGABEN</t>
  </si>
  <si>
    <t>SALDO (BRUTTO)</t>
  </si>
  <si>
    <t>USt-ZAHLLAST</t>
  </si>
  <si>
    <t xml:space="preserve">  BUCHUNGEN</t>
  </si>
  <si>
    <t>Kategorien</t>
  </si>
  <si>
    <t>Typen</t>
  </si>
  <si>
    <t>Zahlungsarten</t>
  </si>
  <si>
    <t>USt-Sätze</t>
  </si>
  <si>
    <t>Status</t>
  </si>
  <si>
    <t>Nr.</t>
  </si>
  <si>
    <t>Datum</t>
  </si>
  <si>
    <t>Beleg-Nr.</t>
  </si>
  <si>
    <t>Beschreibung</t>
  </si>
  <si>
    <t>Kategorie</t>
  </si>
  <si>
    <t>Typ</t>
  </si>
  <si>
    <t>Zahlungsart</t>
  </si>
  <si>
    <t>Netto €</t>
  </si>
  <si>
    <t>USt-Satz</t>
  </si>
  <si>
    <t>USt €</t>
  </si>
  <si>
    <t>Brutto €</t>
  </si>
  <si>
    <t>Bemerkung</t>
  </si>
  <si>
    <t>Dienstleistungen</t>
  </si>
  <si>
    <t>Einnahme</t>
  </si>
  <si>
    <t>Überweisung</t>
  </si>
  <si>
    <t>Bezahlt</t>
  </si>
  <si>
    <t>Warenverkauf</t>
  </si>
  <si>
    <t>Ausgabe</t>
  </si>
  <si>
    <t>Lastschrift</t>
  </si>
  <si>
    <t>Offen</t>
  </si>
  <si>
    <t>ER-1024</t>
  </si>
  <si>
    <t>Beratungsprojekt Kunde Nord</t>
  </si>
  <si>
    <t>Sonstige Erträge</t>
  </si>
  <si>
    <t>Kreditkarte</t>
  </si>
  <si>
    <t>Storniert</t>
  </si>
  <si>
    <t>ER-1025</t>
  </si>
  <si>
    <t>Support-Pauschale Juli</t>
  </si>
  <si>
    <t>Wareneinkauf</t>
  </si>
  <si>
    <t>Bar</t>
  </si>
  <si>
    <t>AR-2401</t>
  </si>
  <si>
    <t>Büromiete Juli</t>
  </si>
  <si>
    <t>Miete</t>
  </si>
  <si>
    <t>steuerfrei §4 UStG</t>
  </si>
  <si>
    <t>PayPal</t>
  </si>
  <si>
    <t>AR-2402</t>
  </si>
  <si>
    <t>Softwarelizenz CRM</t>
  </si>
  <si>
    <t>IT &amp; Software</t>
  </si>
  <si>
    <t>Personalkosten</t>
  </si>
  <si>
    <t>ER-1026</t>
  </si>
  <si>
    <t>Warenverkauf Charge 07-A</t>
  </si>
  <si>
    <t>Bürobedarf</t>
  </si>
  <si>
    <t>AR-2403</t>
  </si>
  <si>
    <t>Bürobedarf &amp; Verbrauchsmaterial</t>
  </si>
  <si>
    <t>Marketing</t>
  </si>
  <si>
    <t>AR-2404</t>
  </si>
  <si>
    <t>Tankfüllung Firmen-Kfz</t>
  </si>
  <si>
    <t>Fahrzeugkosten</t>
  </si>
  <si>
    <t>ER-1027</t>
  </si>
  <si>
    <t>Wartungspauschale Q3</t>
  </si>
  <si>
    <t>Reisekosten</t>
  </si>
  <si>
    <t>AR-2405</t>
  </si>
  <si>
    <t>Fachliteratur</t>
  </si>
  <si>
    <t>Fortbildung</t>
  </si>
  <si>
    <t>AR-2406</t>
  </si>
  <si>
    <t>Werbeanzeigen Online</t>
  </si>
  <si>
    <t>ER-1028</t>
  </si>
  <si>
    <t>Verkauf Zubehörpaket</t>
  </si>
  <si>
    <t>Versicherungen</t>
  </si>
  <si>
    <t>AR-2407</t>
  </si>
  <si>
    <t>Reisekosten Kundentermin BER</t>
  </si>
  <si>
    <t>Bahnfahrt</t>
  </si>
  <si>
    <t>Bankgebühren</t>
  </si>
  <si>
    <t>AR-2408</t>
  </si>
  <si>
    <t>Bewirtungskosten Kundentermin</t>
  </si>
  <si>
    <t>Sonstige Kosten</t>
  </si>
  <si>
    <t>ER-1029</t>
  </si>
  <si>
    <t>Rechnung Retainer Kunde Süd</t>
  </si>
  <si>
    <t>Zahlungsziel 14 T</t>
  </si>
  <si>
    <t>AR-2409</t>
  </si>
  <si>
    <t>Personalkosten Juli (Teilzeit)</t>
  </si>
  <si>
    <t>keine USt</t>
  </si>
  <si>
    <t>AR-2410</t>
  </si>
  <si>
    <t>Betriebsversicherung Monatsrate</t>
  </si>
  <si>
    <t>steuerfrei</t>
  </si>
  <si>
    <t>ER-1030</t>
  </si>
  <si>
    <t>Verkauf Sondercharge</t>
  </si>
  <si>
    <t>AR-2411</t>
  </si>
  <si>
    <t>Hosting &amp; Domains</t>
  </si>
  <si>
    <t>AR-2412</t>
  </si>
  <si>
    <t>Weiterbildung Seminar Online</t>
  </si>
  <si>
    <t>ER-1031</t>
  </si>
  <si>
    <t>Beratungsleistung Kunde West</t>
  </si>
  <si>
    <t>AR-2413</t>
  </si>
  <si>
    <t>Cloud-Backup Jahreslizenz</t>
  </si>
  <si>
    <t>AR-2414</t>
  </si>
  <si>
    <t>Kontoführungsgebühren</t>
  </si>
  <si>
    <t>ER-1032</t>
  </si>
  <si>
    <t>Sonstige Erlöse (Erstattung)</t>
  </si>
  <si>
    <t>AR-2415</t>
  </si>
  <si>
    <t>Marketingmaterial Print</t>
  </si>
  <si>
    <t>AR-2416</t>
  </si>
  <si>
    <t>Wareneinkauf Lieferant Ost</t>
  </si>
  <si>
    <t>ER-1033</t>
  </si>
  <si>
    <t>Projektabrechnung Kunde Nord II</t>
  </si>
  <si>
    <t>AR-2417</t>
  </si>
  <si>
    <t>Reisekosten Konferenz</t>
  </si>
  <si>
    <t>AR-2418</t>
  </si>
  <si>
    <t>Sonstige Betriebskosten</t>
  </si>
  <si>
    <t>ER-1034</t>
  </si>
  <si>
    <t>Warenverkauf Endabrechnung</t>
  </si>
  <si>
    <t>Zahlungsziel 30 T</t>
  </si>
  <si>
    <t>AR-2419</t>
  </si>
  <si>
    <t>Bewirtungskosten Team-Meeting</t>
  </si>
  <si>
    <t>SUMMEN</t>
  </si>
  <si>
    <t>AUSWERTUNG</t>
  </si>
  <si>
    <t>Kennzahlen • Kategorien • Umsatzsteuer • Zeitliche Verteilung</t>
  </si>
  <si>
    <t>EINNAHMEN NETTO</t>
  </si>
  <si>
    <t>AUSGABEN NETTO</t>
  </si>
  <si>
    <t>ÜBERSCHUSS NETTO</t>
  </si>
  <si>
    <t>USt VEREINNAHMT</t>
  </si>
  <si>
    <t>VORSTEUER (ABZUG)</t>
  </si>
  <si>
    <t xml:space="preserve">  ANALYSE NACH KATEGORIE</t>
  </si>
  <si>
    <t xml:space="preserve">  UMSATZSTEUER NACH SATZ</t>
  </si>
  <si>
    <t>Einnahmen €</t>
  </si>
  <si>
    <t>Ausgaben €</t>
  </si>
  <si>
    <t>Saldo €</t>
  </si>
  <si>
    <t>Anteil %</t>
  </si>
  <si>
    <t>Einnahmen Netto</t>
  </si>
  <si>
    <t>USt verein.</t>
  </si>
  <si>
    <t>Ausgaben Netto</t>
  </si>
  <si>
    <t>Vorsteuer</t>
  </si>
  <si>
    <t>SUMME</t>
  </si>
  <si>
    <t>USt-ZAHLLAST (vereinnahmt − Vorsteuer)</t>
  </si>
  <si>
    <t xml:space="preserve">  ZAHLUNGSARTEN</t>
  </si>
  <si>
    <t>Anzahl</t>
  </si>
  <si>
    <t xml:space="preserve">  ZEITLICHE VERTEILUNG (KW 2026)</t>
  </si>
  <si>
    <t>KW</t>
  </si>
  <si>
    <t>Zeitraum</t>
  </si>
  <si>
    <t>KW 27</t>
  </si>
  <si>
    <t>29.06. – 05.07.</t>
  </si>
  <si>
    <t>KW 28</t>
  </si>
  <si>
    <t>06.07. – 12.07.</t>
  </si>
  <si>
    <t>KW 29</t>
  </si>
  <si>
    <t>13.07. – 19.07.</t>
  </si>
  <si>
    <t>KW 30</t>
  </si>
  <si>
    <t>20.07. – 26.07.</t>
  </si>
  <si>
    <t>KW 31</t>
  </si>
  <si>
    <t>27.07. – 02.08.</t>
  </si>
  <si>
    <t xml:space="preserve">  LEGENDE &amp; HINWEIS</t>
  </si>
  <si>
    <t>•  Eingabefelder sind creme hinterlegt. Berechnete Felder sind hellgrau — nicht überschreiben.</t>
  </si>
  <si>
    <t>•  USt wird je Zeile automatisch aus Netto × USt-Satz berechnet. Zulässige Sätze: 0 %, 7 %, 19 %.</t>
  </si>
  <si>
    <t>•  Der Typ (Einnahme / Ausgabe) steuert alle Auswertungen. Bei Kleinunternehmerregelung § 19 UStG: 0 % wählen.</t>
  </si>
  <si>
    <t>•  Die USt-Zahllast ergibt sich aus vereinnahmter USt abzüglich Vorsteuer. Kein Ersatz für steuerliche Beratung.</t>
  </si>
  <si>
    <t xml:space="preserve">  GRAFISCHE AUSWERTUNG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</si>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</sst>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&quot; €&quot;;[Red]\-#,##0.00&quot; €&quot;;&quot;–  €&quot;"/>
    <numFmt numFmtId="166" formatCode="0.0%;[Red]\-0.0%;\–"/>
    <numFmt numFmtId="167" formatCode="#,##0;[Red]\-#,##0;\–"/>
  </numFmts>
  <fonts count="24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i/>
      <sz val="10"/>
      <color rgb="FFFFFFFF"/>
      <name val="Calibri"/>
      <charset val="1"/>
    </font>
    <font>
      <b/>
      <sz val="9"/>
      <color rgb="FFC89732"/>
      <name val="Calibri"/>
      <charset val="1"/>
    </font>
    <font>
      <b/>
      <sz val="9"/>
      <color rgb="FF2E4661"/>
      <name val="Calibri"/>
      <charset val="1"/>
    </font>
    <font>
      <sz val="10"/>
      <color rgb="FF000000"/>
      <name val="Calibri"/>
      <charset val="1"/>
    </font>
    <font>
      <b/>
      <sz val="18"/>
      <color rgb="FF1A2C42"/>
      <name val="Calibri"/>
      <charset val="1"/>
    </font>
    <font>
      <b/>
      <sz val="8"/>
      <color rgb="FFC89732"/>
      <name val="Calibri"/>
      <charset val="1"/>
    </font>
    <font>
      <b/>
      <sz val="11"/>
      <color rgb="FFFFFFFF"/>
      <name val="Calibri"/>
      <charset val="1"/>
    </font>
    <font>
      <b/>
      <sz val="8"/>
      <color rgb="FFAAAAAA"/>
      <name val="Calibri"/>
      <charset val="1"/>
    </font>
    <font>
      <b/>
      <sz val="10"/>
      <color rgb="FFFFFFFF"/>
      <name val="Calibri"/>
      <charset val="1"/>
    </font>
    <font>
      <sz val="9"/>
      <color rgb="FF999999"/>
      <name val="Calibri"/>
      <charset val="1"/>
    </font>
    <font>
      <sz val="9"/>
      <color rgb="FF2E4661"/>
      <name val="Calibri"/>
      <charset val="1"/>
    </font>
    <font>
      <b/>
      <sz val="10"/>
      <color rgb="FF2E7D32"/>
      <name val="Calibri"/>
      <charset val="1"/>
    </font>
    <font>
      <sz val="10"/>
      <color rgb="FF2E4661"/>
      <name val="Calibri"/>
      <charset val="1"/>
    </font>
    <font>
      <b/>
      <sz val="10"/>
      <color rgb="FF1A2C42"/>
      <name val="Calibri"/>
      <charset val="1"/>
    </font>
    <font>
      <b/>
      <sz val="9"/>
      <color rgb="FF000000"/>
      <name val="Calibri"/>
      <charset val="1"/>
    </font>
    <font>
      <i/>
      <sz val="9"/>
      <color rgb="FF666666"/>
      <name val="Calibri"/>
      <charset val="1"/>
    </font>
    <font>
      <b/>
      <sz val="10"/>
      <color rgb="FFB0342A"/>
      <name val="Calibri"/>
      <charset val="1"/>
    </font>
    <font>
      <b/>
      <sz val="9"/>
      <color rgb="FFFFFFFF"/>
      <name val="Calibri"/>
      <charset val="1"/>
    </font>
    <font>
      <b/>
      <sz val="10"/>
      <color rgb="FF000000"/>
      <name val="Calibri"/>
      <charset val="1"/>
    </font>
    <font>
      <b/>
      <sz val="12"/>
      <color rgb="FFFFFFFF"/>
      <name val="Calibri"/>
      <charset val="1"/>
    </font>
    <font>
      <sz val="10"/>
      <color rgb="FF666666"/>
      <name val="Calibri"/>
      <charset val="1"/>
    </font>
    <font>
      <sz val="9"/>
      <color rgb="FF333333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1A2C42"/>
        <bgColor rgb="FF333333"/>
      </patternFill>
    </fill>
    <fill>
      <patternFill patternType="solid">
        <fgColor rgb="FF2E4661"/>
        <bgColor rgb="FF3F5E70"/>
      </patternFill>
    </fill>
    <fill>
      <patternFill patternType="solid">
        <fgColor rgb="FFC89732"/>
        <bgColor rgb="FFD07B3A"/>
      </patternFill>
    </fill>
    <fill>
      <patternFill patternType="solid">
        <fgColor rgb="FFFFF7DC"/>
        <bgColor rgb="FFFBEDEB"/>
      </patternFill>
    </fill>
    <fill>
      <patternFill patternType="solid">
        <fgColor rgb="FFFFFFFF"/>
        <bgColor rgb="FFFAFBFD"/>
      </patternFill>
    </fill>
    <fill>
      <patternFill patternType="solid">
        <fgColor rgb="FFF3F6F9"/>
        <bgColor rgb="FFFAFBFD"/>
      </patternFill>
    </fill>
    <fill>
      <patternFill patternType="solid">
        <fgColor rgb="FFFAFBFD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C89732"/>
      </bottom>
      <diagonal/>
    </border>
    <border>
      <left/>
      <right/>
      <top/>
      <bottom style="thin">
        <color rgb="FFD9DEE5"/>
      </bottom>
      <diagonal/>
    </border>
    <border>
      <left style="thin">
        <color rgb="FFD9DEE5"/>
      </left>
      <right/>
      <top style="thin">
        <color rgb="FFD9DEE5"/>
      </top>
      <bottom/>
      <diagonal/>
    </border>
    <border>
      <left style="thin">
        <color rgb="FFD9DEE5"/>
      </left>
      <right/>
      <top/>
      <bottom style="thin">
        <color rgb="FFD9DEE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EE5"/>
      </left>
      <right style="thin">
        <color rgb="FFD9DEE5"/>
      </right>
      <top style="thin">
        <color rgb="FFD9DEE5"/>
      </top>
      <bottom style="thin">
        <color rgb="FFD9DEE5"/>
      </bottom>
      <diagonal/>
    </border>
    <border>
      <left style="thin">
        <color rgb="FFD9DEE5"/>
      </left>
      <right style="thin">
        <color rgb="FFD9DEE5"/>
      </right>
      <top/>
      <bottom style="thin">
        <color rgb="FFD9DEE5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3" fillId="0" borderId="0" xfId="0" applyFont="1" applyAlignment="1">
      <alignment horizontal="left" vertical="center" indent="1"/>
    </xf>
    <xf numFmtId="165" fontId="21" fillId="4" borderId="0" xfId="0" applyNumberFormat="1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 indent="1"/>
    </xf>
    <xf numFmtId="0" fontId="8" fillId="2" borderId="0" xfId="0" applyFont="1" applyFill="1" applyAlignment="1">
      <alignment horizontal="right" vertical="center" indent="1"/>
    </xf>
    <xf numFmtId="0" fontId="8" fillId="2" borderId="0" xfId="0" applyFont="1" applyFill="1" applyAlignment="1">
      <alignment horizontal="left" vertical="center" indent="1"/>
    </xf>
    <xf numFmtId="0" fontId="7" fillId="6" borderId="4" xfId="0" applyFont="1" applyFill="1" applyBorder="1" applyAlignment="1">
      <alignment horizontal="center" vertical="top"/>
    </xf>
    <xf numFmtId="165" fontId="6" fillId="6" borderId="3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0" fillId="4" borderId="0" xfId="0" applyFill="1"/>
    <xf numFmtId="0" fontId="2" fillId="3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9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1" fillId="0" borderId="0" xfId="0" applyFont="1"/>
    <xf numFmtId="9" fontId="11" fillId="0" borderId="0" xfId="0" applyNumberFormat="1" applyFont="1"/>
    <xf numFmtId="0" fontId="12" fillId="6" borderId="6" xfId="0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indent="1"/>
    </xf>
    <xf numFmtId="0" fontId="13" fillId="5" borderId="6" xfId="0" applyFont="1" applyFill="1" applyBorder="1" applyAlignment="1">
      <alignment horizontal="center" vertical="center"/>
    </xf>
    <xf numFmtId="165" fontId="5" fillId="5" borderId="6" xfId="0" applyNumberFormat="1" applyFont="1" applyFill="1" applyBorder="1" applyAlignment="1">
      <alignment horizontal="right" vertical="center"/>
    </xf>
    <xf numFmtId="9" fontId="5" fillId="5" borderId="6" xfId="0" applyNumberFormat="1" applyFont="1" applyFill="1" applyBorder="1" applyAlignment="1">
      <alignment horizontal="center" vertical="center"/>
    </xf>
    <xf numFmtId="165" fontId="14" fillId="7" borderId="6" xfId="0" applyNumberFormat="1" applyFont="1" applyFill="1" applyBorder="1" applyAlignment="1">
      <alignment horizontal="right" vertical="center"/>
    </xf>
    <xf numFmtId="165" fontId="15" fillId="7" borderId="6" xfId="0" applyNumberFormat="1" applyFont="1" applyFill="1" applyBorder="1" applyAlignment="1">
      <alignment horizontal="right" vertical="center"/>
    </xf>
    <xf numFmtId="0" fontId="16" fillId="5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left" vertical="center" indent="1"/>
    </xf>
    <xf numFmtId="0" fontId="12" fillId="8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19" fillId="3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indent="1"/>
    </xf>
    <xf numFmtId="165" fontId="5" fillId="6" borderId="7" xfId="0" applyNumberFormat="1" applyFont="1" applyFill="1" applyBorder="1" applyAlignment="1">
      <alignment horizontal="right" vertical="center"/>
    </xf>
    <xf numFmtId="165" fontId="15" fillId="6" borderId="7" xfId="0" applyNumberFormat="1" applyFont="1" applyFill="1" applyBorder="1" applyAlignment="1">
      <alignment horizontal="right" vertical="center"/>
    </xf>
    <xf numFmtId="166" fontId="5" fillId="6" borderId="7" xfId="0" applyNumberFormat="1" applyFont="1" applyFill="1" applyBorder="1" applyAlignment="1">
      <alignment horizontal="right" vertical="center"/>
    </xf>
    <xf numFmtId="9" fontId="20" fillId="6" borderId="7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left" vertical="center" indent="1"/>
    </xf>
    <xf numFmtId="165" fontId="5" fillId="8" borderId="7" xfId="0" applyNumberFormat="1" applyFont="1" applyFill="1" applyBorder="1" applyAlignment="1">
      <alignment horizontal="right" vertical="center"/>
    </xf>
    <xf numFmtId="165" fontId="15" fillId="8" borderId="7" xfId="0" applyNumberFormat="1" applyFont="1" applyFill="1" applyBorder="1" applyAlignment="1">
      <alignment horizontal="right" vertical="center"/>
    </xf>
    <xf numFmtId="166" fontId="5" fillId="8" borderId="7" xfId="0" applyNumberFormat="1" applyFont="1" applyFill="1" applyBorder="1" applyAlignment="1">
      <alignment horizontal="right" vertical="center"/>
    </xf>
    <xf numFmtId="9" fontId="20" fillId="8" borderId="7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right" vertical="center"/>
    </xf>
    <xf numFmtId="167" fontId="5" fillId="6" borderId="7" xfId="0" applyNumberFormat="1" applyFont="1" applyFill="1" applyBorder="1" applyAlignment="1">
      <alignment horizontal="center" vertical="center"/>
    </xf>
    <xf numFmtId="167" fontId="5" fillId="8" borderId="7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Alignment="1">
      <alignment horizontal="right" vertical="center"/>
    </xf>
    <xf numFmtId="167" fontId="8" fillId="2" borderId="0" xfId="0" applyNumberFormat="1" applyFont="1" applyFill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</cellXfs>
  <cellStyles count="1">
    <cellStyle name="Standard" xfId="0" builtinId="0"/>
  </cellStyles>
  <dxfs count="5">
    <dxf>
      <font>
        <b/>
        <sz val="9"/>
        <color rgb="FF555555"/>
        <name val="Calibri"/>
        <charset val="1"/>
      </font>
      <fill>
        <patternFill>
          <bgColor rgb="FFE8E8E8"/>
        </patternFill>
      </fill>
    </dxf>
    <dxf>
      <font>
        <b/>
        <sz val="9"/>
        <color rgb="FF1F5D2A"/>
        <name val="Calibri"/>
        <charset val="1"/>
      </font>
      <fill>
        <patternFill>
          <bgColor rgb="FFDFF0DF"/>
        </patternFill>
      </fill>
    </dxf>
    <dxf>
      <font>
        <b/>
        <sz val="9"/>
        <color rgb="FF8A5A00"/>
        <name val="Calibri"/>
        <charset val="1"/>
      </font>
      <fill>
        <patternFill>
          <bgColor rgb="FFFFE7B0"/>
        </patternFill>
      </fill>
    </dxf>
    <dxf>
      <fill>
        <patternFill>
          <bgColor rgb="FFFBEDEB"/>
        </patternFill>
      </fill>
    </dxf>
    <dxf>
      <fill>
        <patternFill>
          <bgColor rgb="FFEAF5E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AFBFD"/>
      <rgbColor rgb="FFFF00FF"/>
      <rgbColor rgb="FF00FFFF"/>
      <rgbColor rgb="FF800000"/>
      <rgbColor rgb="FF1F5D2A"/>
      <rgbColor rgb="FF000080"/>
      <rgbColor rgb="FF8A5A00"/>
      <rgbColor rgb="FF800080"/>
      <rgbColor rgb="FF1F7A8C"/>
      <rgbColor rgb="FFAAAAAA"/>
      <rgbColor rgb="FF878787"/>
      <rgbColor rgb="FF7A8DA3"/>
      <rgbColor rgb="FF6A4B8F"/>
      <rgbColor rgb="FFFFF7DC"/>
      <rgbColor rgb="FFEAF5EC"/>
      <rgbColor rgb="FF660066"/>
      <rgbColor rgb="FFD07B3A"/>
      <rgbColor rgb="FF666666"/>
      <rgbColor rgb="FFD9D9D9"/>
      <rgbColor rgb="FF000080"/>
      <rgbColor rgb="FFFF00FF"/>
      <rgbColor rgb="FFFFFF00"/>
      <rgbColor rgb="FF00FFFF"/>
      <rgbColor rgb="FF800080"/>
      <rgbColor rgb="FF800000"/>
      <rgbColor rgb="FF3F5E70"/>
      <rgbColor rgb="FF0000FF"/>
      <rgbColor rgb="FF00CCFF"/>
      <rgbColor rgb="FFF3F6F9"/>
      <rgbColor rgb="FFDFF0DF"/>
      <rgbColor rgb="FFFFE7B0"/>
      <rgbColor rgb="FFD9DEE5"/>
      <rgbColor rgb="FFE8E8E8"/>
      <rgbColor rgb="FFFBEDEB"/>
      <rgbColor rgb="FFD6B76A"/>
      <rgbColor rgb="FF4F81BD"/>
      <rgbColor rgb="FF33CCCC"/>
      <rgbColor rgb="FF6C7A5A"/>
      <rgbColor rgb="FFFFCC00"/>
      <rgbColor rgb="FFC89732"/>
      <rgbColor rgb="FF8B6E4E"/>
      <rgbColor rgb="FF5C6F7B"/>
      <rgbColor rgb="FF999999"/>
      <rgbColor rgb="FF1A2C42"/>
      <rgbColor rgb="FF2E7D32"/>
      <rgbColor rgb="FF003300"/>
      <rgbColor rgb="FF555555"/>
      <rgbColor rgb="FFB0342A"/>
      <rgbColor rgb="FFA85B2E"/>
      <rgbColor rgb="FF2E4661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Einnahmen vs. Ausgaben je Kalenderwoche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Auswertung!$D$33</c:f>
              <c:strCache>
                <c:ptCount val="1"/>
                <c:pt idx="0">
                  <c:v>Einnahmen €</c:v>
                </c:pt>
              </c:strCache>
            </c:strRef>
          </c:tx>
          <c:spPr>
            <a:solidFill>
              <a:srgbClr val="1A2C4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Auswertung!$B$34:$B$38</c:f>
              <c:strCache>
                <c:ptCount val="5"/>
                <c:pt idx="0">
                  <c:v>KW 27</c:v>
                </c:pt>
                <c:pt idx="1">
                  <c:v>KW 28</c:v>
                </c:pt>
                <c:pt idx="2">
                  <c:v>KW 29</c:v>
                </c:pt>
                <c:pt idx="3">
                  <c:v>KW 30</c:v>
                </c:pt>
                <c:pt idx="4">
                  <c:v>KW 31</c:v>
                </c:pt>
              </c:strCache>
            </c:strRef>
          </c:cat>
          <c:val>
            <c:numRef>
              <c:f>Auswertung!$D$34:$D$38</c:f>
              <c:numCache>
                <c:formatCode>General</c:formatCode>
                <c:ptCount val="5"/>
                <c:pt idx="0">
                  <c:v>7830.2</c:v>
                </c:pt>
                <c:pt idx="1">
                  <c:v>1921.85</c:v>
                </c:pt>
                <c:pt idx="2">
                  <c:v>4278.05</c:v>
                </c:pt>
                <c:pt idx="3">
                  <c:v>2293.8000000000002</c:v>
                </c:pt>
                <c:pt idx="4">
                  <c:v>4319.7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A-4242-B0E5-34C159938AFC}"/>
            </c:ext>
          </c:extLst>
        </c:ser>
        <c:ser>
          <c:idx val="1"/>
          <c:order val="1"/>
          <c:tx>
            <c:strRef>
              <c:f>Auswertung!$E$33</c:f>
              <c:strCache>
                <c:ptCount val="1"/>
                <c:pt idx="0">
                  <c:v>Ausgaben €</c:v>
                </c:pt>
              </c:strCache>
            </c:strRef>
          </c:tx>
          <c:spPr>
            <a:solidFill>
              <a:srgbClr val="C897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Auswertung!$B$34:$B$38</c:f>
              <c:strCache>
                <c:ptCount val="5"/>
                <c:pt idx="0">
                  <c:v>KW 27</c:v>
                </c:pt>
                <c:pt idx="1">
                  <c:v>KW 28</c:v>
                </c:pt>
                <c:pt idx="2">
                  <c:v>KW 29</c:v>
                </c:pt>
                <c:pt idx="3">
                  <c:v>KW 30</c:v>
                </c:pt>
                <c:pt idx="4">
                  <c:v>KW 31</c:v>
                </c:pt>
              </c:strCache>
            </c:strRef>
          </c:cat>
          <c:val>
            <c:numRef>
              <c:f>Auswertung!$E$34:$E$38</c:f>
              <c:numCache>
                <c:formatCode>General</c:formatCode>
                <c:ptCount val="5"/>
                <c:pt idx="0">
                  <c:v>1424.91</c:v>
                </c:pt>
                <c:pt idx="1">
                  <c:v>750.73</c:v>
                </c:pt>
                <c:pt idx="2">
                  <c:v>2223.2599999999998</c:v>
                </c:pt>
                <c:pt idx="3">
                  <c:v>1048.25</c:v>
                </c:pt>
                <c:pt idx="4">
                  <c:v>1930.81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A-4242-B0E5-34C159938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58255"/>
        <c:axId val="22255300"/>
      </c:barChart>
      <c:catAx>
        <c:axId val="669582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KW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2255300"/>
        <c:crosses val="autoZero"/>
        <c:auto val="1"/>
        <c:lblAlgn val="ctr"/>
        <c:lblOffset val="100"/>
        <c:noMultiLvlLbl val="0"/>
      </c:catAx>
      <c:valAx>
        <c:axId val="222553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695825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Ausgabenverteilung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1A2C4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133F-4760-B52F-DCFE78F46B32}"/>
              </c:ext>
            </c:extLst>
          </c:dPt>
          <c:dPt>
            <c:idx val="1"/>
            <c:bubble3D val="0"/>
            <c:spPr>
              <a:solidFill>
                <a:srgbClr val="2E4661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133F-4760-B52F-DCFE78F46B32}"/>
              </c:ext>
            </c:extLst>
          </c:dPt>
          <c:dPt>
            <c:idx val="2"/>
            <c:bubble3D val="0"/>
            <c:spPr>
              <a:solidFill>
                <a:srgbClr val="C8973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133F-4760-B52F-DCFE78F46B32}"/>
              </c:ext>
            </c:extLst>
          </c:dPt>
          <c:dPt>
            <c:idx val="3"/>
            <c:bubble3D val="0"/>
            <c:spPr>
              <a:solidFill>
                <a:srgbClr val="B0342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133F-4760-B52F-DCFE78F46B32}"/>
              </c:ext>
            </c:extLst>
          </c:dPt>
          <c:dPt>
            <c:idx val="4"/>
            <c:bubble3D val="0"/>
            <c:spPr>
              <a:solidFill>
                <a:srgbClr val="2E7D3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133F-4760-B52F-DCFE78F46B32}"/>
              </c:ext>
            </c:extLst>
          </c:dPt>
          <c:dPt>
            <c:idx val="5"/>
            <c:bubble3D val="0"/>
            <c:spPr>
              <a:solidFill>
                <a:srgbClr val="6A4B8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133F-4760-B52F-DCFE78F46B32}"/>
              </c:ext>
            </c:extLst>
          </c:dPt>
          <c:dPt>
            <c:idx val="6"/>
            <c:bubble3D val="0"/>
            <c:spPr>
              <a:solidFill>
                <a:srgbClr val="1F7A8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133F-4760-B52F-DCFE78F46B32}"/>
              </c:ext>
            </c:extLst>
          </c:dPt>
          <c:dPt>
            <c:idx val="7"/>
            <c:bubble3D val="0"/>
            <c:spPr>
              <a:solidFill>
                <a:srgbClr val="D07B3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133F-4760-B52F-DCFE78F46B32}"/>
              </c:ext>
            </c:extLst>
          </c:dPt>
          <c:dPt>
            <c:idx val="8"/>
            <c:bubble3D val="0"/>
            <c:spPr>
              <a:solidFill>
                <a:srgbClr val="5C6F7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133F-4760-B52F-DCFE78F46B32}"/>
              </c:ext>
            </c:extLst>
          </c:dPt>
          <c:dPt>
            <c:idx val="9"/>
            <c:bubble3D val="0"/>
            <c:spPr>
              <a:solidFill>
                <a:srgbClr val="8B6E4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133F-4760-B52F-DCFE78F46B32}"/>
              </c:ext>
            </c:extLst>
          </c:dPt>
          <c:dPt>
            <c:idx val="10"/>
            <c:bubble3D val="0"/>
            <c:spPr>
              <a:solidFill>
                <a:srgbClr val="7A8DA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133F-4760-B52F-DCFE78F46B32}"/>
              </c:ext>
            </c:extLst>
          </c:dPt>
          <c:dPt>
            <c:idx val="11"/>
            <c:bubble3D val="0"/>
            <c:spPr>
              <a:solidFill>
                <a:srgbClr val="D6B76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133F-4760-B52F-DCFE78F46B32}"/>
              </c:ext>
            </c:extLst>
          </c:dPt>
          <c:dPt>
            <c:idx val="12"/>
            <c:bubble3D val="0"/>
            <c:spPr>
              <a:solidFill>
                <a:srgbClr val="3F5E7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133F-4760-B52F-DCFE78F46B32}"/>
              </c:ext>
            </c:extLst>
          </c:dPt>
          <c:dPt>
            <c:idx val="13"/>
            <c:bubble3D val="0"/>
            <c:spPr>
              <a:solidFill>
                <a:srgbClr val="A85B2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B-133F-4760-B52F-DCFE78F46B32}"/>
              </c:ext>
            </c:extLst>
          </c:dPt>
          <c:dPt>
            <c:idx val="14"/>
            <c:bubble3D val="0"/>
            <c:spPr>
              <a:solidFill>
                <a:srgbClr val="6C7A5A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D-133F-4760-B52F-DCFE78F46B3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133F-4760-B52F-DCFE78F46B32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133F-4760-B52F-DCFE78F46B32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133F-4760-B52F-DCFE78F46B32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133F-4760-B52F-DCFE78F46B32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133F-4760-B52F-DCFE78F46B32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B-133F-4760-B52F-DCFE78F46B32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D-133F-4760-B52F-DCFE78F46B32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F-133F-4760-B52F-DCFE78F46B32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1-133F-4760-B52F-DCFE78F46B32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3-133F-4760-B52F-DCFE78F46B32}"/>
                </c:ext>
              </c:extLst>
            </c:dLbl>
            <c:dLbl>
              <c:idx val="1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5-133F-4760-B52F-DCFE78F46B32}"/>
                </c:ext>
              </c:extLst>
            </c:dLbl>
            <c:dLbl>
              <c:idx val="1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7-133F-4760-B52F-DCFE78F46B32}"/>
                </c:ext>
              </c:extLst>
            </c:dLbl>
            <c:dLbl>
              <c:idx val="1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9-133F-4760-B52F-DCFE78F46B32}"/>
                </c:ext>
              </c:extLst>
            </c:dLbl>
            <c:dLbl>
              <c:idx val="1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B-133F-4760-B52F-DCFE78F46B32}"/>
                </c:ext>
              </c:extLst>
            </c:dLbl>
            <c:dLbl>
              <c:idx val="1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D-133F-4760-B52F-DCFE78F46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Auswertung!$B$15:$B$29</c:f>
              <c:strCache>
                <c:ptCount val="15"/>
                <c:pt idx="0">
                  <c:v>Dienstleistungen</c:v>
                </c:pt>
                <c:pt idx="1">
                  <c:v>Warenverkauf</c:v>
                </c:pt>
                <c:pt idx="2">
                  <c:v>Sonstige Erträge</c:v>
                </c:pt>
                <c:pt idx="3">
                  <c:v>Wareneinkauf</c:v>
                </c:pt>
                <c:pt idx="4">
                  <c:v>Miete</c:v>
                </c:pt>
                <c:pt idx="5">
                  <c:v>Personalkosten</c:v>
                </c:pt>
                <c:pt idx="6">
                  <c:v>Bürobedarf</c:v>
                </c:pt>
                <c:pt idx="7">
                  <c:v>Marketing</c:v>
                </c:pt>
                <c:pt idx="8">
                  <c:v>Fahrzeugkosten</c:v>
                </c:pt>
                <c:pt idx="9">
                  <c:v>Reisekosten</c:v>
                </c:pt>
                <c:pt idx="10">
                  <c:v>Fortbildung</c:v>
                </c:pt>
                <c:pt idx="11">
                  <c:v>IT &amp; Software</c:v>
                </c:pt>
                <c:pt idx="12">
                  <c:v>Versicherungen</c:v>
                </c:pt>
                <c:pt idx="13">
                  <c:v>Bankgebühren</c:v>
                </c:pt>
                <c:pt idx="14">
                  <c:v>Sonstige Kosten</c:v>
                </c:pt>
              </c:strCache>
            </c:strRef>
          </c:cat>
          <c:val>
            <c:numRef>
              <c:f>Auswertung!$D$15:$D$29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967.4</c:v>
                </c:pt>
                <c:pt idx="4">
                  <c:v>1200</c:v>
                </c:pt>
                <c:pt idx="5">
                  <c:v>1918.2</c:v>
                </c:pt>
                <c:pt idx="6">
                  <c:v>94.6</c:v>
                </c:pt>
                <c:pt idx="7">
                  <c:v>705</c:v>
                </c:pt>
                <c:pt idx="8">
                  <c:v>72.3</c:v>
                </c:pt>
                <c:pt idx="9">
                  <c:v>661.95</c:v>
                </c:pt>
                <c:pt idx="10">
                  <c:v>388.9</c:v>
                </c:pt>
                <c:pt idx="11">
                  <c:v>471.5</c:v>
                </c:pt>
                <c:pt idx="12">
                  <c:v>118.5</c:v>
                </c:pt>
                <c:pt idx="13">
                  <c:v>18.899999999999999</c:v>
                </c:pt>
                <c:pt idx="14">
                  <c:v>145.80000000000001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33F-4760-B52F-DCFE78F4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7</xdr:col>
      <xdr:colOff>417960</xdr:colOff>
      <xdr:row>61</xdr:row>
      <xdr:rowOff>39240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47</xdr:row>
      <xdr:rowOff>0</xdr:rowOff>
    </xdr:from>
    <xdr:to>
      <xdr:col>11</xdr:col>
      <xdr:colOff>316800</xdr:colOff>
      <xdr:row>61</xdr:row>
      <xdr:rowOff>39240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showGridLines="0" tabSelected="1" zoomScaleNormal="100" workbookViewId="0">
      <selection activeCell="J62" sqref="J62"/>
    </sheetView>
  </sheetViews>
  <sheetFormatPr baseColWidth="10" defaultColWidth="8.7109375" defaultRowHeight="15" x14ac:dyDescent="0.25"/>
  <cols>
    <col min="1" max="1" width="5" customWidth="1"/>
    <col min="2" max="3" width="12" customWidth="1"/>
    <col min="4" max="4" width="32" customWidth="1"/>
    <col min="5" max="5" width="20" customWidth="1"/>
    <col min="6" max="6" width="12" customWidth="1"/>
    <col min="7" max="7" width="14" customWidth="1"/>
    <col min="8" max="8" width="12" customWidth="1"/>
    <col min="9" max="9" width="10" customWidth="1"/>
    <col min="10" max="10" width="12" customWidth="1"/>
    <col min="11" max="11" width="13" customWidth="1"/>
    <col min="12" max="12" width="12" customWidth="1"/>
    <col min="13" max="13" width="28" customWidth="1"/>
    <col min="15" max="19" width="13" hidden="1" customWidth="1"/>
  </cols>
  <sheetData>
    <row r="1" spans="1:13" ht="7.5" customHeight="1" x14ac:dyDescent="0.25"/>
    <row r="2" spans="1:13" ht="33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1.75" customHeight="1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6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3" ht="18" customHeight="1" x14ac:dyDescent="0.25">
      <c r="A6" s="10" t="s">
        <v>2</v>
      </c>
      <c r="B6" s="10"/>
      <c r="C6" s="10"/>
      <c r="D6" s="10"/>
      <c r="E6" s="10"/>
      <c r="F6" s="10"/>
      <c r="H6" s="10" t="s">
        <v>0</v>
      </c>
      <c r="I6" s="10"/>
      <c r="J6" s="10"/>
      <c r="K6" s="10"/>
      <c r="L6" s="10"/>
      <c r="M6" s="10"/>
    </row>
    <row r="7" spans="1:13" ht="18" customHeight="1" x14ac:dyDescent="0.25">
      <c r="A7" s="14" t="s">
        <v>3</v>
      </c>
      <c r="B7" s="9" t="s">
        <v>4</v>
      </c>
      <c r="C7" s="9"/>
      <c r="D7" s="9"/>
      <c r="E7" s="9"/>
      <c r="F7" s="9"/>
      <c r="H7" s="14" t="s">
        <v>5</v>
      </c>
      <c r="I7" s="9" t="s">
        <v>6</v>
      </c>
      <c r="J7" s="9"/>
      <c r="K7" s="9"/>
      <c r="L7" s="9"/>
      <c r="M7" s="9"/>
    </row>
    <row r="8" spans="1:13" ht="18" customHeight="1" x14ac:dyDescent="0.25">
      <c r="A8" s="14" t="s">
        <v>7</v>
      </c>
      <c r="B8" s="9" t="s">
        <v>8</v>
      </c>
      <c r="C8" s="9"/>
      <c r="D8" s="9"/>
      <c r="E8" s="9"/>
      <c r="F8" s="9"/>
      <c r="H8" s="14" t="s">
        <v>9</v>
      </c>
      <c r="I8" s="8">
        <v>46204</v>
      </c>
      <c r="J8" s="8"/>
      <c r="K8" s="8"/>
      <c r="L8" s="8"/>
      <c r="M8" s="8"/>
    </row>
    <row r="9" spans="1:13" ht="18" customHeight="1" x14ac:dyDescent="0.25">
      <c r="A9" s="14" t="s">
        <v>10</v>
      </c>
      <c r="B9" s="9" t="s">
        <v>11</v>
      </c>
      <c r="C9" s="9"/>
      <c r="D9" s="9"/>
      <c r="E9" s="9"/>
      <c r="F9" s="9"/>
      <c r="H9" s="14" t="s">
        <v>12</v>
      </c>
      <c r="I9" s="8">
        <v>46234</v>
      </c>
      <c r="J9" s="8"/>
      <c r="K9" s="8"/>
      <c r="L9" s="8"/>
      <c r="M9" s="8"/>
    </row>
    <row r="10" spans="1:13" ht="18" customHeight="1" x14ac:dyDescent="0.25">
      <c r="A10" s="14" t="s">
        <v>13</v>
      </c>
      <c r="B10" s="9" t="s">
        <v>14</v>
      </c>
      <c r="C10" s="9"/>
      <c r="D10" s="9"/>
      <c r="E10" s="9"/>
      <c r="F10" s="9"/>
      <c r="H10" s="14" t="s">
        <v>15</v>
      </c>
      <c r="I10" s="8">
        <v>46234</v>
      </c>
      <c r="J10" s="8"/>
      <c r="K10" s="8"/>
      <c r="L10" s="8"/>
      <c r="M10" s="8"/>
    </row>
    <row r="11" spans="1:13" ht="18" customHeight="1" x14ac:dyDescent="0.25">
      <c r="A11" s="14" t="s">
        <v>16</v>
      </c>
      <c r="B11" s="9" t="s">
        <v>17</v>
      </c>
      <c r="C11" s="9"/>
      <c r="D11" s="9"/>
      <c r="E11" s="9"/>
      <c r="F11" s="9"/>
      <c r="H11" s="14" t="s">
        <v>18</v>
      </c>
      <c r="I11" s="9" t="s">
        <v>19</v>
      </c>
      <c r="J11" s="9"/>
      <c r="K11" s="9"/>
      <c r="L11" s="9"/>
      <c r="M11" s="9"/>
    </row>
    <row r="13" spans="1:13" ht="6" customHeight="1" x14ac:dyDescent="0.25"/>
    <row r="14" spans="1:13" ht="33.75" customHeight="1" x14ac:dyDescent="0.25">
      <c r="A14" s="7">
        <f>SUMIFS(K20:K49,F20:F49,"Einnahme")</f>
        <v>20643.600000000002</v>
      </c>
      <c r="B14" s="7"/>
      <c r="C14" s="7"/>
      <c r="D14" s="7">
        <f>SUMIFS(K20:K49,F20:F49,"Ausgabe")</f>
        <v>7377.96</v>
      </c>
      <c r="E14" s="7"/>
      <c r="F14" s="7"/>
      <c r="G14" s="7">
        <f>SUMIFS(K20:K49,F20:F49,"Einnahme")-SUMIFS(K20:K49,F20:F49,"Ausgabe")</f>
        <v>13265.640000000003</v>
      </c>
      <c r="H14" s="7"/>
      <c r="I14" s="7"/>
      <c r="J14" s="7">
        <f>SUMIFS(J20:J49,F20:F49,"Einnahme")-SUMIFS(J20:J49,F20:F49,"Ausgabe")</f>
        <v>2660.69</v>
      </c>
      <c r="K14" s="7"/>
      <c r="L14" s="7"/>
      <c r="M14" s="7"/>
    </row>
    <row r="15" spans="1:13" ht="15.75" customHeight="1" x14ac:dyDescent="0.25">
      <c r="A15" s="6" t="s">
        <v>20</v>
      </c>
      <c r="B15" s="6"/>
      <c r="C15" s="6"/>
      <c r="D15" s="6" t="s">
        <v>21</v>
      </c>
      <c r="E15" s="6"/>
      <c r="F15" s="6"/>
      <c r="G15" s="6" t="s">
        <v>22</v>
      </c>
      <c r="H15" s="6"/>
      <c r="I15" s="6"/>
      <c r="J15" s="6" t="s">
        <v>23</v>
      </c>
      <c r="K15" s="6"/>
      <c r="L15" s="6"/>
      <c r="M15" s="6"/>
    </row>
    <row r="16" spans="1:13" ht="6" customHeight="1" x14ac:dyDescent="0.25"/>
    <row r="17" spans="1:19" ht="21.75" customHeight="1" x14ac:dyDescent="0.25">
      <c r="A17" s="5" t="s">
        <v>24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O17" s="16" t="s">
        <v>25</v>
      </c>
      <c r="P17" s="16" t="s">
        <v>26</v>
      </c>
      <c r="Q17" s="16" t="s">
        <v>27</v>
      </c>
      <c r="R17" s="16" t="s">
        <v>28</v>
      </c>
      <c r="S17" s="16" t="s">
        <v>29</v>
      </c>
    </row>
    <row r="18" spans="1:19" ht="25.5" customHeight="1" x14ac:dyDescent="0.25">
      <c r="A18" s="17" t="s">
        <v>30</v>
      </c>
      <c r="B18" s="17" t="s">
        <v>31</v>
      </c>
      <c r="C18" s="17" t="s">
        <v>32</v>
      </c>
      <c r="D18" s="17" t="s">
        <v>33</v>
      </c>
      <c r="E18" s="17" t="s">
        <v>34</v>
      </c>
      <c r="F18" s="17" t="s">
        <v>35</v>
      </c>
      <c r="G18" s="17" t="s">
        <v>36</v>
      </c>
      <c r="H18" s="17" t="s">
        <v>37</v>
      </c>
      <c r="I18" s="17" t="s">
        <v>38</v>
      </c>
      <c r="J18" s="17" t="s">
        <v>39</v>
      </c>
      <c r="K18" s="17" t="s">
        <v>40</v>
      </c>
      <c r="L18" s="17" t="s">
        <v>29</v>
      </c>
      <c r="M18" s="17" t="s">
        <v>41</v>
      </c>
      <c r="O18" s="18" t="s">
        <v>42</v>
      </c>
      <c r="P18" s="18" t="s">
        <v>43</v>
      </c>
      <c r="Q18" s="18" t="s">
        <v>44</v>
      </c>
      <c r="R18" s="19">
        <v>0</v>
      </c>
      <c r="S18" s="18" t="s">
        <v>45</v>
      </c>
    </row>
    <row r="19" spans="1:19" x14ac:dyDescent="0.25">
      <c r="O19" s="18" t="s">
        <v>46</v>
      </c>
      <c r="P19" s="18" t="s">
        <v>47</v>
      </c>
      <c r="Q19" s="18" t="s">
        <v>48</v>
      </c>
      <c r="R19" s="19">
        <v>7.0000000000000007E-2</v>
      </c>
      <c r="S19" s="18" t="s">
        <v>49</v>
      </c>
    </row>
    <row r="20" spans="1:19" ht="18" customHeight="1" x14ac:dyDescent="0.25">
      <c r="A20" s="20">
        <f t="shared" ref="A20:A49" si="0">IF(B20="","",ROW()-19)</f>
        <v>1</v>
      </c>
      <c r="B20" s="21">
        <v>46204</v>
      </c>
      <c r="C20" s="22" t="s">
        <v>50</v>
      </c>
      <c r="D20" s="23" t="s">
        <v>51</v>
      </c>
      <c r="E20" s="23" t="s">
        <v>42</v>
      </c>
      <c r="F20" s="24" t="s">
        <v>43</v>
      </c>
      <c r="G20" s="22" t="s">
        <v>44</v>
      </c>
      <c r="H20" s="25">
        <v>3450</v>
      </c>
      <c r="I20" s="26">
        <v>0.19</v>
      </c>
      <c r="J20" s="27">
        <f t="shared" ref="J20:J49" si="1">IF(H20="","",ROUND(H20*I20,2))</f>
        <v>655.5</v>
      </c>
      <c r="K20" s="28">
        <f t="shared" ref="K20:K49" si="2">IF(H20="","",H20+J20)</f>
        <v>4105.5</v>
      </c>
      <c r="L20" s="29" t="s">
        <v>45</v>
      </c>
      <c r="M20" s="30"/>
      <c r="O20" s="18" t="s">
        <v>52</v>
      </c>
      <c r="Q20" s="18" t="s">
        <v>53</v>
      </c>
      <c r="R20" s="19">
        <v>0.19</v>
      </c>
      <c r="S20" s="18" t="s">
        <v>54</v>
      </c>
    </row>
    <row r="21" spans="1:19" ht="18" customHeight="1" x14ac:dyDescent="0.25">
      <c r="A21" s="31">
        <f t="shared" si="0"/>
        <v>2</v>
      </c>
      <c r="B21" s="21">
        <v>46205</v>
      </c>
      <c r="C21" s="22" t="s">
        <v>55</v>
      </c>
      <c r="D21" s="23" t="s">
        <v>56</v>
      </c>
      <c r="E21" s="23" t="s">
        <v>42</v>
      </c>
      <c r="F21" s="24" t="s">
        <v>43</v>
      </c>
      <c r="G21" s="22" t="s">
        <v>48</v>
      </c>
      <c r="H21" s="25">
        <v>850</v>
      </c>
      <c r="I21" s="26">
        <v>0.19</v>
      </c>
      <c r="J21" s="27">
        <f t="shared" si="1"/>
        <v>161.5</v>
      </c>
      <c r="K21" s="28">
        <f t="shared" si="2"/>
        <v>1011.5</v>
      </c>
      <c r="L21" s="29" t="s">
        <v>45</v>
      </c>
      <c r="M21" s="30"/>
      <c r="O21" s="18" t="s">
        <v>57</v>
      </c>
      <c r="Q21" s="18" t="s">
        <v>58</v>
      </c>
    </row>
    <row r="22" spans="1:19" ht="18" customHeight="1" x14ac:dyDescent="0.25">
      <c r="A22" s="20">
        <f t="shared" si="0"/>
        <v>3</v>
      </c>
      <c r="B22" s="21">
        <v>46205</v>
      </c>
      <c r="C22" s="22" t="s">
        <v>59</v>
      </c>
      <c r="D22" s="23" t="s">
        <v>60</v>
      </c>
      <c r="E22" s="23" t="s">
        <v>61</v>
      </c>
      <c r="F22" s="32" t="s">
        <v>47</v>
      </c>
      <c r="G22" s="22" t="s">
        <v>44</v>
      </c>
      <c r="H22" s="25">
        <v>1200</v>
      </c>
      <c r="I22" s="26">
        <v>0</v>
      </c>
      <c r="J22" s="27">
        <f t="shared" si="1"/>
        <v>0</v>
      </c>
      <c r="K22" s="28">
        <f t="shared" si="2"/>
        <v>1200</v>
      </c>
      <c r="L22" s="29" t="s">
        <v>45</v>
      </c>
      <c r="M22" s="30" t="s">
        <v>62</v>
      </c>
      <c r="O22" s="18" t="s">
        <v>61</v>
      </c>
      <c r="Q22" s="18" t="s">
        <v>63</v>
      </c>
    </row>
    <row r="23" spans="1:19" ht="18" customHeight="1" x14ac:dyDescent="0.25">
      <c r="A23" s="31">
        <f t="shared" si="0"/>
        <v>4</v>
      </c>
      <c r="B23" s="21">
        <v>46206</v>
      </c>
      <c r="C23" s="22" t="s">
        <v>64</v>
      </c>
      <c r="D23" s="23" t="s">
        <v>65</v>
      </c>
      <c r="E23" s="23" t="s">
        <v>66</v>
      </c>
      <c r="F23" s="32" t="s">
        <v>47</v>
      </c>
      <c r="G23" s="22" t="s">
        <v>53</v>
      </c>
      <c r="H23" s="25">
        <v>189</v>
      </c>
      <c r="I23" s="26">
        <v>0.19</v>
      </c>
      <c r="J23" s="27">
        <f t="shared" si="1"/>
        <v>35.909999999999997</v>
      </c>
      <c r="K23" s="28">
        <f t="shared" si="2"/>
        <v>224.91</v>
      </c>
      <c r="L23" s="29" t="s">
        <v>45</v>
      </c>
      <c r="M23" s="30"/>
      <c r="O23" s="18" t="s">
        <v>67</v>
      </c>
    </row>
    <row r="24" spans="1:19" ht="18" customHeight="1" x14ac:dyDescent="0.25">
      <c r="A24" s="20">
        <f t="shared" si="0"/>
        <v>5</v>
      </c>
      <c r="B24" s="21">
        <v>46206</v>
      </c>
      <c r="C24" s="22" t="s">
        <v>68</v>
      </c>
      <c r="D24" s="23" t="s">
        <v>69</v>
      </c>
      <c r="E24" s="23" t="s">
        <v>46</v>
      </c>
      <c r="F24" s="24" t="s">
        <v>43</v>
      </c>
      <c r="G24" s="22" t="s">
        <v>44</v>
      </c>
      <c r="H24" s="25">
        <v>2280</v>
      </c>
      <c r="I24" s="26">
        <v>0.19</v>
      </c>
      <c r="J24" s="27">
        <f t="shared" si="1"/>
        <v>433.2</v>
      </c>
      <c r="K24" s="28">
        <f t="shared" si="2"/>
        <v>2713.2</v>
      </c>
      <c r="L24" s="29" t="s">
        <v>45</v>
      </c>
      <c r="M24" s="30"/>
      <c r="O24" s="18" t="s">
        <v>70</v>
      </c>
    </row>
    <row r="25" spans="1:19" ht="18" customHeight="1" x14ac:dyDescent="0.25">
      <c r="A25" s="31">
        <f t="shared" si="0"/>
        <v>6</v>
      </c>
      <c r="B25" s="21">
        <v>46209</v>
      </c>
      <c r="C25" s="22" t="s">
        <v>71</v>
      </c>
      <c r="D25" s="23" t="s">
        <v>72</v>
      </c>
      <c r="E25" s="23" t="s">
        <v>70</v>
      </c>
      <c r="F25" s="32" t="s">
        <v>47</v>
      </c>
      <c r="G25" s="22" t="s">
        <v>53</v>
      </c>
      <c r="H25" s="25">
        <v>94.6</v>
      </c>
      <c r="I25" s="26">
        <v>0.19</v>
      </c>
      <c r="J25" s="27">
        <f t="shared" si="1"/>
        <v>17.97</v>
      </c>
      <c r="K25" s="28">
        <f t="shared" si="2"/>
        <v>112.57</v>
      </c>
      <c r="L25" s="29" t="s">
        <v>45</v>
      </c>
      <c r="M25" s="30"/>
      <c r="O25" s="18" t="s">
        <v>73</v>
      </c>
    </row>
    <row r="26" spans="1:19" ht="18" customHeight="1" x14ac:dyDescent="0.25">
      <c r="A26" s="20">
        <f t="shared" si="0"/>
        <v>7</v>
      </c>
      <c r="B26" s="21">
        <v>46210</v>
      </c>
      <c r="C26" s="22" t="s">
        <v>74</v>
      </c>
      <c r="D26" s="23" t="s">
        <v>75</v>
      </c>
      <c r="E26" s="23" t="s">
        <v>76</v>
      </c>
      <c r="F26" s="32" t="s">
        <v>47</v>
      </c>
      <c r="G26" s="22" t="s">
        <v>53</v>
      </c>
      <c r="H26" s="25">
        <v>72.3</v>
      </c>
      <c r="I26" s="26">
        <v>0.19</v>
      </c>
      <c r="J26" s="27">
        <f t="shared" si="1"/>
        <v>13.74</v>
      </c>
      <c r="K26" s="28">
        <f t="shared" si="2"/>
        <v>86.039999999999992</v>
      </c>
      <c r="L26" s="29" t="s">
        <v>45</v>
      </c>
      <c r="M26" s="30"/>
      <c r="O26" s="18" t="s">
        <v>76</v>
      </c>
    </row>
    <row r="27" spans="1:19" ht="18" customHeight="1" x14ac:dyDescent="0.25">
      <c r="A27" s="31">
        <f t="shared" si="0"/>
        <v>8</v>
      </c>
      <c r="B27" s="21">
        <v>46210</v>
      </c>
      <c r="C27" s="22" t="s">
        <v>77</v>
      </c>
      <c r="D27" s="23" t="s">
        <v>78</v>
      </c>
      <c r="E27" s="23" t="s">
        <v>42</v>
      </c>
      <c r="F27" s="24" t="s">
        <v>43</v>
      </c>
      <c r="G27" s="22" t="s">
        <v>44</v>
      </c>
      <c r="H27" s="25">
        <v>1250</v>
      </c>
      <c r="I27" s="26">
        <v>0.19</v>
      </c>
      <c r="J27" s="27">
        <f t="shared" si="1"/>
        <v>237.5</v>
      </c>
      <c r="K27" s="28">
        <f t="shared" si="2"/>
        <v>1487.5</v>
      </c>
      <c r="L27" s="29" t="s">
        <v>45</v>
      </c>
      <c r="M27" s="30"/>
      <c r="O27" s="18" t="s">
        <v>79</v>
      </c>
    </row>
    <row r="28" spans="1:19" ht="18" customHeight="1" x14ac:dyDescent="0.25">
      <c r="A28" s="20">
        <f t="shared" si="0"/>
        <v>9</v>
      </c>
      <c r="B28" s="21">
        <v>46211</v>
      </c>
      <c r="C28" s="22" t="s">
        <v>80</v>
      </c>
      <c r="D28" s="23" t="s">
        <v>81</v>
      </c>
      <c r="E28" s="23" t="s">
        <v>82</v>
      </c>
      <c r="F28" s="32" t="s">
        <v>47</v>
      </c>
      <c r="G28" s="22" t="s">
        <v>63</v>
      </c>
      <c r="H28" s="25">
        <v>48.9</v>
      </c>
      <c r="I28" s="26">
        <v>7.0000000000000007E-2</v>
      </c>
      <c r="J28" s="27">
        <f t="shared" si="1"/>
        <v>3.42</v>
      </c>
      <c r="K28" s="28">
        <f t="shared" si="2"/>
        <v>52.32</v>
      </c>
      <c r="L28" s="29" t="s">
        <v>45</v>
      </c>
      <c r="M28" s="30"/>
      <c r="O28" s="18" t="s">
        <v>82</v>
      </c>
    </row>
    <row r="29" spans="1:19" ht="18" customHeight="1" x14ac:dyDescent="0.25">
      <c r="A29" s="31">
        <f t="shared" si="0"/>
        <v>10</v>
      </c>
      <c r="B29" s="21">
        <v>46212</v>
      </c>
      <c r="C29" s="22" t="s">
        <v>83</v>
      </c>
      <c r="D29" s="23" t="s">
        <v>84</v>
      </c>
      <c r="E29" s="23" t="s">
        <v>73</v>
      </c>
      <c r="F29" s="32" t="s">
        <v>47</v>
      </c>
      <c r="G29" s="22" t="s">
        <v>53</v>
      </c>
      <c r="H29" s="25">
        <v>420</v>
      </c>
      <c r="I29" s="26">
        <v>0.19</v>
      </c>
      <c r="J29" s="27">
        <f t="shared" si="1"/>
        <v>79.8</v>
      </c>
      <c r="K29" s="28">
        <f t="shared" si="2"/>
        <v>499.8</v>
      </c>
      <c r="L29" s="29" t="s">
        <v>45</v>
      </c>
      <c r="M29" s="30"/>
      <c r="O29" s="18" t="s">
        <v>66</v>
      </c>
    </row>
    <row r="30" spans="1:19" ht="18" customHeight="1" x14ac:dyDescent="0.25">
      <c r="A30" s="20">
        <f t="shared" si="0"/>
        <v>11</v>
      </c>
      <c r="B30" s="21">
        <v>46213</v>
      </c>
      <c r="C30" s="22" t="s">
        <v>85</v>
      </c>
      <c r="D30" s="23" t="s">
        <v>86</v>
      </c>
      <c r="E30" s="23" t="s">
        <v>46</v>
      </c>
      <c r="F30" s="24" t="s">
        <v>43</v>
      </c>
      <c r="G30" s="22" t="s">
        <v>63</v>
      </c>
      <c r="H30" s="25">
        <v>365</v>
      </c>
      <c r="I30" s="26">
        <v>0.19</v>
      </c>
      <c r="J30" s="27">
        <f t="shared" si="1"/>
        <v>69.349999999999994</v>
      </c>
      <c r="K30" s="28">
        <f t="shared" si="2"/>
        <v>434.35</v>
      </c>
      <c r="L30" s="29" t="s">
        <v>45</v>
      </c>
      <c r="M30" s="30"/>
      <c r="O30" s="18" t="s">
        <v>87</v>
      </c>
    </row>
    <row r="31" spans="1:19" ht="18" customHeight="1" x14ac:dyDescent="0.25">
      <c r="A31" s="31">
        <f t="shared" si="0"/>
        <v>12</v>
      </c>
      <c r="B31" s="21">
        <v>46216</v>
      </c>
      <c r="C31" s="22" t="s">
        <v>88</v>
      </c>
      <c r="D31" s="23" t="s">
        <v>89</v>
      </c>
      <c r="E31" s="23" t="s">
        <v>79</v>
      </c>
      <c r="F31" s="32" t="s">
        <v>47</v>
      </c>
      <c r="G31" s="22" t="s">
        <v>53</v>
      </c>
      <c r="H31" s="25">
        <v>186.4</v>
      </c>
      <c r="I31" s="26">
        <v>7.0000000000000007E-2</v>
      </c>
      <c r="J31" s="27">
        <f t="shared" si="1"/>
        <v>13.05</v>
      </c>
      <c r="K31" s="28">
        <f t="shared" si="2"/>
        <v>199.45000000000002</v>
      </c>
      <c r="L31" s="29" t="s">
        <v>45</v>
      </c>
      <c r="M31" s="30" t="s">
        <v>90</v>
      </c>
      <c r="O31" s="18" t="s">
        <v>91</v>
      </c>
    </row>
    <row r="32" spans="1:19" ht="18" customHeight="1" x14ac:dyDescent="0.25">
      <c r="A32" s="20">
        <f t="shared" si="0"/>
        <v>13</v>
      </c>
      <c r="B32" s="21">
        <v>46217</v>
      </c>
      <c r="C32" s="22" t="s">
        <v>92</v>
      </c>
      <c r="D32" s="23" t="s">
        <v>93</v>
      </c>
      <c r="E32" s="23" t="s">
        <v>79</v>
      </c>
      <c r="F32" s="32" t="s">
        <v>47</v>
      </c>
      <c r="G32" s="22" t="s">
        <v>58</v>
      </c>
      <c r="H32" s="25">
        <v>62.8</v>
      </c>
      <c r="I32" s="26">
        <v>0.19</v>
      </c>
      <c r="J32" s="27">
        <f t="shared" si="1"/>
        <v>11.93</v>
      </c>
      <c r="K32" s="28">
        <f t="shared" si="2"/>
        <v>74.72999999999999</v>
      </c>
      <c r="L32" s="29" t="s">
        <v>45</v>
      </c>
      <c r="M32" s="30"/>
      <c r="O32" s="18" t="s">
        <v>94</v>
      </c>
    </row>
    <row r="33" spans="1:13" ht="18" customHeight="1" x14ac:dyDescent="0.25">
      <c r="A33" s="31">
        <f t="shared" si="0"/>
        <v>14</v>
      </c>
      <c r="B33" s="21">
        <v>46217</v>
      </c>
      <c r="C33" s="22" t="s">
        <v>95</v>
      </c>
      <c r="D33" s="23" t="s">
        <v>96</v>
      </c>
      <c r="E33" s="23" t="s">
        <v>42</v>
      </c>
      <c r="F33" s="24" t="s">
        <v>43</v>
      </c>
      <c r="G33" s="22" t="s">
        <v>44</v>
      </c>
      <c r="H33" s="25">
        <v>2100</v>
      </c>
      <c r="I33" s="26">
        <v>0.19</v>
      </c>
      <c r="J33" s="27">
        <f t="shared" si="1"/>
        <v>399</v>
      </c>
      <c r="K33" s="28">
        <f t="shared" si="2"/>
        <v>2499</v>
      </c>
      <c r="L33" s="29" t="s">
        <v>49</v>
      </c>
      <c r="M33" s="30" t="s">
        <v>97</v>
      </c>
    </row>
    <row r="34" spans="1:13" ht="18" customHeight="1" x14ac:dyDescent="0.25">
      <c r="A34" s="20">
        <f t="shared" si="0"/>
        <v>15</v>
      </c>
      <c r="B34" s="21">
        <v>46218</v>
      </c>
      <c r="C34" s="22" t="s">
        <v>98</v>
      </c>
      <c r="D34" s="23" t="s">
        <v>99</v>
      </c>
      <c r="E34" s="23" t="s">
        <v>67</v>
      </c>
      <c r="F34" s="32" t="s">
        <v>47</v>
      </c>
      <c r="G34" s="22" t="s">
        <v>44</v>
      </c>
      <c r="H34" s="25">
        <v>1780</v>
      </c>
      <c r="I34" s="26">
        <v>0</v>
      </c>
      <c r="J34" s="27">
        <f t="shared" si="1"/>
        <v>0</v>
      </c>
      <c r="K34" s="28">
        <f t="shared" si="2"/>
        <v>1780</v>
      </c>
      <c r="L34" s="29" t="s">
        <v>45</v>
      </c>
      <c r="M34" s="30" t="s">
        <v>100</v>
      </c>
    </row>
    <row r="35" spans="1:13" ht="18" customHeight="1" x14ac:dyDescent="0.25">
      <c r="A35" s="31">
        <f t="shared" si="0"/>
        <v>16</v>
      </c>
      <c r="B35" s="21">
        <v>46218</v>
      </c>
      <c r="C35" s="22" t="s">
        <v>101</v>
      </c>
      <c r="D35" s="23" t="s">
        <v>102</v>
      </c>
      <c r="E35" s="23" t="s">
        <v>87</v>
      </c>
      <c r="F35" s="32" t="s">
        <v>47</v>
      </c>
      <c r="G35" s="22" t="s">
        <v>48</v>
      </c>
      <c r="H35" s="25">
        <v>118.5</v>
      </c>
      <c r="I35" s="26">
        <v>0</v>
      </c>
      <c r="J35" s="27">
        <f t="shared" si="1"/>
        <v>0</v>
      </c>
      <c r="K35" s="28">
        <f t="shared" si="2"/>
        <v>118.5</v>
      </c>
      <c r="L35" s="29" t="s">
        <v>45</v>
      </c>
      <c r="M35" s="30" t="s">
        <v>103</v>
      </c>
    </row>
    <row r="36" spans="1:13" ht="18" customHeight="1" x14ac:dyDescent="0.25">
      <c r="A36" s="20">
        <f t="shared" si="0"/>
        <v>17</v>
      </c>
      <c r="B36" s="21">
        <v>46219</v>
      </c>
      <c r="C36" s="22" t="s">
        <v>104</v>
      </c>
      <c r="D36" s="23" t="s">
        <v>105</v>
      </c>
      <c r="E36" s="23" t="s">
        <v>46</v>
      </c>
      <c r="F36" s="24" t="s">
        <v>43</v>
      </c>
      <c r="G36" s="22" t="s">
        <v>44</v>
      </c>
      <c r="H36" s="25">
        <v>1495</v>
      </c>
      <c r="I36" s="26">
        <v>0.19</v>
      </c>
      <c r="J36" s="27">
        <f t="shared" si="1"/>
        <v>284.05</v>
      </c>
      <c r="K36" s="28">
        <f t="shared" si="2"/>
        <v>1779.05</v>
      </c>
      <c r="L36" s="29" t="s">
        <v>45</v>
      </c>
      <c r="M36" s="30"/>
    </row>
    <row r="37" spans="1:13" ht="18" customHeight="1" x14ac:dyDescent="0.25">
      <c r="A37" s="31">
        <f t="shared" si="0"/>
        <v>18</v>
      </c>
      <c r="B37" s="21">
        <v>46220</v>
      </c>
      <c r="C37" s="22" t="s">
        <v>106</v>
      </c>
      <c r="D37" s="23" t="s">
        <v>107</v>
      </c>
      <c r="E37" s="23" t="s">
        <v>66</v>
      </c>
      <c r="F37" s="32" t="s">
        <v>47</v>
      </c>
      <c r="G37" s="22" t="s">
        <v>48</v>
      </c>
      <c r="H37" s="25">
        <v>42.5</v>
      </c>
      <c r="I37" s="26">
        <v>0.19</v>
      </c>
      <c r="J37" s="27">
        <f t="shared" si="1"/>
        <v>8.08</v>
      </c>
      <c r="K37" s="28">
        <f t="shared" si="2"/>
        <v>50.58</v>
      </c>
      <c r="L37" s="29" t="s">
        <v>45</v>
      </c>
      <c r="M37" s="30"/>
    </row>
    <row r="38" spans="1:13" ht="18" customHeight="1" x14ac:dyDescent="0.25">
      <c r="A38" s="20">
        <f t="shared" si="0"/>
        <v>19</v>
      </c>
      <c r="B38" s="21">
        <v>46223</v>
      </c>
      <c r="C38" s="22" t="s">
        <v>108</v>
      </c>
      <c r="D38" s="23" t="s">
        <v>109</v>
      </c>
      <c r="E38" s="23" t="s">
        <v>82</v>
      </c>
      <c r="F38" s="32" t="s">
        <v>47</v>
      </c>
      <c r="G38" s="22" t="s">
        <v>44</v>
      </c>
      <c r="H38" s="25">
        <v>340</v>
      </c>
      <c r="I38" s="26">
        <v>0.19</v>
      </c>
      <c r="J38" s="27">
        <f t="shared" si="1"/>
        <v>64.599999999999994</v>
      </c>
      <c r="K38" s="28">
        <f t="shared" si="2"/>
        <v>404.6</v>
      </c>
      <c r="L38" s="29" t="s">
        <v>45</v>
      </c>
      <c r="M38" s="30"/>
    </row>
    <row r="39" spans="1:13" ht="18" customHeight="1" x14ac:dyDescent="0.25">
      <c r="A39" s="31">
        <f t="shared" si="0"/>
        <v>20</v>
      </c>
      <c r="B39" s="21">
        <v>46224</v>
      </c>
      <c r="C39" s="22" t="s">
        <v>110</v>
      </c>
      <c r="D39" s="23" t="s">
        <v>111</v>
      </c>
      <c r="E39" s="23" t="s">
        <v>42</v>
      </c>
      <c r="F39" s="24" t="s">
        <v>43</v>
      </c>
      <c r="G39" s="22" t="s">
        <v>44</v>
      </c>
      <c r="H39" s="25">
        <v>1820</v>
      </c>
      <c r="I39" s="26">
        <v>0.19</v>
      </c>
      <c r="J39" s="27">
        <f t="shared" si="1"/>
        <v>345.8</v>
      </c>
      <c r="K39" s="28">
        <f t="shared" si="2"/>
        <v>2165.8000000000002</v>
      </c>
      <c r="L39" s="29" t="s">
        <v>45</v>
      </c>
      <c r="M39" s="30"/>
    </row>
    <row r="40" spans="1:13" ht="18" customHeight="1" x14ac:dyDescent="0.25">
      <c r="A40" s="20">
        <f t="shared" si="0"/>
        <v>21</v>
      </c>
      <c r="B40" s="21">
        <v>46225</v>
      </c>
      <c r="C40" s="22" t="s">
        <v>112</v>
      </c>
      <c r="D40" s="23" t="s">
        <v>113</v>
      </c>
      <c r="E40" s="23" t="s">
        <v>66</v>
      </c>
      <c r="F40" s="32" t="s">
        <v>47</v>
      </c>
      <c r="G40" s="22" t="s">
        <v>53</v>
      </c>
      <c r="H40" s="25">
        <v>240</v>
      </c>
      <c r="I40" s="26">
        <v>0.19</v>
      </c>
      <c r="J40" s="27">
        <f t="shared" si="1"/>
        <v>45.6</v>
      </c>
      <c r="K40" s="28">
        <f t="shared" si="2"/>
        <v>285.60000000000002</v>
      </c>
      <c r="L40" s="29" t="s">
        <v>45</v>
      </c>
      <c r="M40" s="30"/>
    </row>
    <row r="41" spans="1:13" ht="18" customHeight="1" x14ac:dyDescent="0.25">
      <c r="A41" s="31">
        <f t="shared" si="0"/>
        <v>22</v>
      </c>
      <c r="B41" s="21">
        <v>46226</v>
      </c>
      <c r="C41" s="22" t="s">
        <v>114</v>
      </c>
      <c r="D41" s="23" t="s">
        <v>115</v>
      </c>
      <c r="E41" s="23" t="s">
        <v>91</v>
      </c>
      <c r="F41" s="32" t="s">
        <v>47</v>
      </c>
      <c r="G41" s="22" t="s">
        <v>48</v>
      </c>
      <c r="H41" s="25">
        <v>18.899999999999999</v>
      </c>
      <c r="I41" s="26">
        <v>0</v>
      </c>
      <c r="J41" s="27">
        <f t="shared" si="1"/>
        <v>0</v>
      </c>
      <c r="K41" s="28">
        <f t="shared" si="2"/>
        <v>18.899999999999999</v>
      </c>
      <c r="L41" s="29" t="s">
        <v>45</v>
      </c>
      <c r="M41" s="30"/>
    </row>
    <row r="42" spans="1:13" ht="18" customHeight="1" x14ac:dyDescent="0.25">
      <c r="A42" s="20">
        <f t="shared" si="0"/>
        <v>23</v>
      </c>
      <c r="B42" s="21">
        <v>46226</v>
      </c>
      <c r="C42" s="22" t="s">
        <v>116</v>
      </c>
      <c r="D42" s="23" t="s">
        <v>117</v>
      </c>
      <c r="E42" s="23" t="s">
        <v>52</v>
      </c>
      <c r="F42" s="24" t="s">
        <v>43</v>
      </c>
      <c r="G42" s="22" t="s">
        <v>44</v>
      </c>
      <c r="H42" s="25">
        <v>128</v>
      </c>
      <c r="I42" s="26">
        <v>0</v>
      </c>
      <c r="J42" s="27">
        <f t="shared" si="1"/>
        <v>0</v>
      </c>
      <c r="K42" s="28">
        <f t="shared" si="2"/>
        <v>128</v>
      </c>
      <c r="L42" s="29" t="s">
        <v>45</v>
      </c>
      <c r="M42" s="30"/>
    </row>
    <row r="43" spans="1:13" ht="18" customHeight="1" x14ac:dyDescent="0.25">
      <c r="A43" s="31">
        <f t="shared" si="0"/>
        <v>24</v>
      </c>
      <c r="B43" s="21">
        <v>46227</v>
      </c>
      <c r="C43" s="22" t="s">
        <v>118</v>
      </c>
      <c r="D43" s="23" t="s">
        <v>119</v>
      </c>
      <c r="E43" s="23" t="s">
        <v>73</v>
      </c>
      <c r="F43" s="32" t="s">
        <v>47</v>
      </c>
      <c r="G43" s="22" t="s">
        <v>44</v>
      </c>
      <c r="H43" s="25">
        <v>285</v>
      </c>
      <c r="I43" s="26">
        <v>0.19</v>
      </c>
      <c r="J43" s="27">
        <f t="shared" si="1"/>
        <v>54.15</v>
      </c>
      <c r="K43" s="28">
        <f t="shared" si="2"/>
        <v>339.15</v>
      </c>
      <c r="L43" s="29" t="s">
        <v>49</v>
      </c>
      <c r="M43" s="30"/>
    </row>
    <row r="44" spans="1:13" ht="18" customHeight="1" x14ac:dyDescent="0.25">
      <c r="A44" s="20">
        <f t="shared" si="0"/>
        <v>25</v>
      </c>
      <c r="B44" s="21">
        <v>46230</v>
      </c>
      <c r="C44" s="22" t="s">
        <v>120</v>
      </c>
      <c r="D44" s="23" t="s">
        <v>121</v>
      </c>
      <c r="E44" s="23" t="s">
        <v>57</v>
      </c>
      <c r="F44" s="32" t="s">
        <v>47</v>
      </c>
      <c r="G44" s="22" t="s">
        <v>44</v>
      </c>
      <c r="H44" s="25">
        <v>967.4</v>
      </c>
      <c r="I44" s="26">
        <v>0.19</v>
      </c>
      <c r="J44" s="27">
        <f t="shared" si="1"/>
        <v>183.81</v>
      </c>
      <c r="K44" s="28">
        <f t="shared" si="2"/>
        <v>1151.21</v>
      </c>
      <c r="L44" s="29" t="s">
        <v>45</v>
      </c>
      <c r="M44" s="30"/>
    </row>
    <row r="45" spans="1:13" ht="18" customHeight="1" x14ac:dyDescent="0.25">
      <c r="A45" s="31">
        <f t="shared" si="0"/>
        <v>26</v>
      </c>
      <c r="B45" s="21">
        <v>46231</v>
      </c>
      <c r="C45" s="22" t="s">
        <v>122</v>
      </c>
      <c r="D45" s="23" t="s">
        <v>123</v>
      </c>
      <c r="E45" s="23" t="s">
        <v>42</v>
      </c>
      <c r="F45" s="24" t="s">
        <v>43</v>
      </c>
      <c r="G45" s="22" t="s">
        <v>44</v>
      </c>
      <c r="H45" s="25">
        <v>2650</v>
      </c>
      <c r="I45" s="26">
        <v>0.19</v>
      </c>
      <c r="J45" s="27">
        <f t="shared" si="1"/>
        <v>503.5</v>
      </c>
      <c r="K45" s="28">
        <f t="shared" si="2"/>
        <v>3153.5</v>
      </c>
      <c r="L45" s="29" t="s">
        <v>45</v>
      </c>
      <c r="M45" s="30"/>
    </row>
    <row r="46" spans="1:13" ht="18" customHeight="1" x14ac:dyDescent="0.25">
      <c r="A46" s="20">
        <f t="shared" si="0"/>
        <v>27</v>
      </c>
      <c r="B46" s="21">
        <v>46232</v>
      </c>
      <c r="C46" s="22" t="s">
        <v>124</v>
      </c>
      <c r="D46" s="23" t="s">
        <v>125</v>
      </c>
      <c r="E46" s="23" t="s">
        <v>79</v>
      </c>
      <c r="F46" s="32" t="s">
        <v>47</v>
      </c>
      <c r="G46" s="22" t="s">
        <v>53</v>
      </c>
      <c r="H46" s="25">
        <v>412.75</v>
      </c>
      <c r="I46" s="26">
        <v>7.0000000000000007E-2</v>
      </c>
      <c r="J46" s="27">
        <f t="shared" si="1"/>
        <v>28.89</v>
      </c>
      <c r="K46" s="28">
        <f t="shared" si="2"/>
        <v>441.64</v>
      </c>
      <c r="L46" s="29" t="s">
        <v>45</v>
      </c>
      <c r="M46" s="30"/>
    </row>
    <row r="47" spans="1:13" ht="18" customHeight="1" x14ac:dyDescent="0.25">
      <c r="A47" s="31">
        <f t="shared" si="0"/>
        <v>28</v>
      </c>
      <c r="B47" s="21">
        <v>46233</v>
      </c>
      <c r="C47" s="22" t="s">
        <v>126</v>
      </c>
      <c r="D47" s="23" t="s">
        <v>127</v>
      </c>
      <c r="E47" s="23" t="s">
        <v>94</v>
      </c>
      <c r="F47" s="32" t="s">
        <v>47</v>
      </c>
      <c r="G47" s="22" t="s">
        <v>44</v>
      </c>
      <c r="H47" s="25">
        <v>145.80000000000001</v>
      </c>
      <c r="I47" s="26">
        <v>0.19</v>
      </c>
      <c r="J47" s="27">
        <f t="shared" si="1"/>
        <v>27.7</v>
      </c>
      <c r="K47" s="28">
        <f t="shared" si="2"/>
        <v>173.5</v>
      </c>
      <c r="L47" s="29" t="s">
        <v>45</v>
      </c>
      <c r="M47" s="30"/>
    </row>
    <row r="48" spans="1:13" ht="18" customHeight="1" x14ac:dyDescent="0.25">
      <c r="A48" s="20">
        <f t="shared" si="0"/>
        <v>29</v>
      </c>
      <c r="B48" s="21">
        <v>46234</v>
      </c>
      <c r="C48" s="22" t="s">
        <v>128</v>
      </c>
      <c r="D48" s="23" t="s">
        <v>129</v>
      </c>
      <c r="E48" s="23" t="s">
        <v>46</v>
      </c>
      <c r="F48" s="24" t="s">
        <v>43</v>
      </c>
      <c r="G48" s="22" t="s">
        <v>44</v>
      </c>
      <c r="H48" s="25">
        <v>980</v>
      </c>
      <c r="I48" s="26">
        <v>0.19</v>
      </c>
      <c r="J48" s="27">
        <f t="shared" si="1"/>
        <v>186.2</v>
      </c>
      <c r="K48" s="28">
        <f t="shared" si="2"/>
        <v>1166.2</v>
      </c>
      <c r="L48" s="29" t="s">
        <v>49</v>
      </c>
      <c r="M48" s="30" t="s">
        <v>130</v>
      </c>
    </row>
    <row r="49" spans="1:13" ht="18" customHeight="1" x14ac:dyDescent="0.25">
      <c r="A49" s="31">
        <f t="shared" si="0"/>
        <v>30</v>
      </c>
      <c r="B49" s="21">
        <v>46234</v>
      </c>
      <c r="C49" s="22" t="s">
        <v>131</v>
      </c>
      <c r="D49" s="23" t="s">
        <v>132</v>
      </c>
      <c r="E49" s="23" t="s">
        <v>67</v>
      </c>
      <c r="F49" s="32" t="s">
        <v>47</v>
      </c>
      <c r="G49" s="22" t="s">
        <v>53</v>
      </c>
      <c r="H49" s="25">
        <v>138.19999999999999</v>
      </c>
      <c r="I49" s="26">
        <v>0.19</v>
      </c>
      <c r="J49" s="27">
        <f t="shared" si="1"/>
        <v>26.26</v>
      </c>
      <c r="K49" s="28">
        <f t="shared" si="2"/>
        <v>164.45999999999998</v>
      </c>
      <c r="L49" s="29" t="s">
        <v>45</v>
      </c>
      <c r="M49" s="30"/>
    </row>
    <row r="50" spans="1:13" ht="21.75" customHeight="1" x14ac:dyDescent="0.25">
      <c r="A50" s="4" t="s">
        <v>133</v>
      </c>
      <c r="B50" s="4"/>
      <c r="C50" s="4"/>
      <c r="D50" s="4"/>
      <c r="E50" s="4"/>
      <c r="F50" s="4"/>
      <c r="G50" s="4"/>
      <c r="H50" s="33">
        <f>SUM(H20:H49)</f>
        <v>24131.050000000003</v>
      </c>
      <c r="I50" s="34"/>
      <c r="J50" s="33">
        <f>SUM(J20:J49)</f>
        <v>3890.5099999999998</v>
      </c>
      <c r="K50" s="33">
        <f>SUM(K20:K49)</f>
        <v>28021.56</v>
      </c>
      <c r="L50" s="34"/>
      <c r="M50" s="34"/>
    </row>
  </sheetData>
  <autoFilter ref="A18:M49" xr:uid="{00000000-0009-0000-0000-000000000000}"/>
  <mergeCells count="25">
    <mergeCell ref="A50:G50"/>
    <mergeCell ref="A15:C15"/>
    <mergeCell ref="D15:F15"/>
    <mergeCell ref="G15:I15"/>
    <mergeCell ref="J15:M15"/>
    <mergeCell ref="A17:M17"/>
    <mergeCell ref="B10:F10"/>
    <mergeCell ref="I10:M10"/>
    <mergeCell ref="B11:F11"/>
    <mergeCell ref="I11:M11"/>
    <mergeCell ref="A14:C14"/>
    <mergeCell ref="D14:F14"/>
    <mergeCell ref="G14:I14"/>
    <mergeCell ref="J14:M14"/>
    <mergeCell ref="B7:F7"/>
    <mergeCell ref="I7:M7"/>
    <mergeCell ref="B8:F8"/>
    <mergeCell ref="I8:M8"/>
    <mergeCell ref="B9:F9"/>
    <mergeCell ref="I9:M9"/>
    <mergeCell ref="A2:M2"/>
    <mergeCell ref="A3:M3"/>
    <mergeCell ref="A4:M4"/>
    <mergeCell ref="A6:F6"/>
    <mergeCell ref="H6:M6"/>
  </mergeCells>
  <conditionalFormatting sqref="A20:M49">
    <cfRule type="expression" dxfId="4" priority="2">
      <formula>$F20="Einnahme"</formula>
    </cfRule>
    <cfRule type="expression" dxfId="3" priority="3">
      <formula>$F20="Ausgabe"</formula>
    </cfRule>
  </conditionalFormatting>
  <conditionalFormatting sqref="L20:L49">
    <cfRule type="cellIs" dxfId="2" priority="4" operator="equal">
      <formula>"Offen"</formula>
    </cfRule>
    <cfRule type="cellIs" dxfId="1" priority="5" operator="equal">
      <formula>"Bezahlt"</formula>
    </cfRule>
    <cfRule type="cellIs" dxfId="0" priority="6" operator="equal">
      <formula>"Storniert"</formula>
    </cfRule>
  </conditionalFormatting>
  <printOptions horizontalCentered="1"/>
  <pageMargins left="0.4" right="0.4" top="0.4" bottom="0.4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6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2" customWidth="1"/>
    <col min="3" max="6" width="15" customWidth="1"/>
    <col min="7" max="7" width="4" customWidth="1"/>
    <col min="8" max="8" width="22" customWidth="1"/>
    <col min="9" max="12" width="15" customWidth="1"/>
    <col min="13" max="13" width="3" customWidth="1"/>
  </cols>
  <sheetData>
    <row r="1" spans="1:13" ht="7.5" customHeight="1" x14ac:dyDescent="0.25"/>
    <row r="2" spans="1:13" ht="33.75" customHeight="1" x14ac:dyDescent="0.25">
      <c r="A2" s="13" t="s">
        <v>134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1.75" customHeight="1" x14ac:dyDescent="0.25">
      <c r="A3" s="12" t="s">
        <v>135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6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3" ht="6" customHeight="1" x14ac:dyDescent="0.25"/>
    <row r="7" spans="1:13" ht="33.75" customHeight="1" x14ac:dyDescent="0.25">
      <c r="B7" s="7">
        <f>SUMIFS(Abrechnung!$H$20:$H$49,Abrechnung!$F$20:$F$49,"Einnahme")</f>
        <v>17368</v>
      </c>
      <c r="C7" s="7"/>
      <c r="D7" s="7"/>
      <c r="E7" s="7"/>
      <c r="F7" s="7">
        <f>SUMIFS(Abrechnung!$H$20:$H$49,Abrechnung!$F$20:$F$49,"Ausgabe")</f>
        <v>6763.0499999999993</v>
      </c>
      <c r="G7" s="7"/>
      <c r="H7" s="7"/>
      <c r="I7" s="7"/>
      <c r="J7" s="7">
        <f>SUMIFS(Abrechnung!$H$20:$H$49,Abrechnung!$F$20:$F$49,"Einnahme")-SUMIFS(Abrechnung!$H$20:$H$49,Abrechnung!$F$20:$F$49,"Ausgabe")</f>
        <v>10604.95</v>
      </c>
      <c r="K7" s="7"/>
      <c r="L7" s="7"/>
    </row>
    <row r="8" spans="1:13" ht="15.75" customHeight="1" x14ac:dyDescent="0.25">
      <c r="B8" s="6" t="s">
        <v>136</v>
      </c>
      <c r="C8" s="6"/>
      <c r="D8" s="6"/>
      <c r="E8" s="6"/>
      <c r="F8" s="6" t="s">
        <v>137</v>
      </c>
      <c r="G8" s="6"/>
      <c r="H8" s="6"/>
      <c r="I8" s="6"/>
      <c r="J8" s="6" t="s">
        <v>138</v>
      </c>
      <c r="K8" s="6"/>
      <c r="L8" s="6"/>
    </row>
    <row r="9" spans="1:13" ht="6" customHeight="1" x14ac:dyDescent="0.25"/>
    <row r="10" spans="1:13" ht="33.75" customHeight="1" x14ac:dyDescent="0.25">
      <c r="B10" s="7">
        <f>SUMIFS(Abrechnung!$J$20:$J$49,Abrechnung!$F$20:$F$49,"Einnahme")</f>
        <v>3275.6</v>
      </c>
      <c r="C10" s="7"/>
      <c r="D10" s="7"/>
      <c r="E10" s="7"/>
      <c r="F10" s="7">
        <f>SUMIFS(Abrechnung!$J$20:$J$49,Abrechnung!$F$20:$F$49,"Ausgabe")</f>
        <v>614.91</v>
      </c>
      <c r="G10" s="7"/>
      <c r="H10" s="7"/>
      <c r="I10" s="7"/>
      <c r="J10" s="7">
        <f>SUMIFS(Abrechnung!$J$20:$J$49,Abrechnung!$F$20:$F$49,"Einnahme")-SUMIFS(Abrechnung!$J$20:$J$49,Abrechnung!$F$20:$F$49,"Ausgabe")</f>
        <v>2660.69</v>
      </c>
      <c r="K10" s="7"/>
      <c r="L10" s="7"/>
    </row>
    <row r="11" spans="1:13" ht="15.75" customHeight="1" x14ac:dyDescent="0.25">
      <c r="B11" s="6" t="s">
        <v>139</v>
      </c>
      <c r="C11" s="6"/>
      <c r="D11" s="6"/>
      <c r="E11" s="6"/>
      <c r="F11" s="6" t="s">
        <v>140</v>
      </c>
      <c r="G11" s="6"/>
      <c r="H11" s="6"/>
      <c r="I11" s="6"/>
      <c r="J11" s="6" t="s">
        <v>23</v>
      </c>
      <c r="K11" s="6"/>
      <c r="L11" s="6"/>
    </row>
    <row r="12" spans="1:13" ht="7.5" customHeight="1" x14ac:dyDescent="0.25"/>
    <row r="13" spans="1:13" ht="21.75" customHeight="1" x14ac:dyDescent="0.25">
      <c r="B13" s="5" t="s">
        <v>141</v>
      </c>
      <c r="C13" s="5"/>
      <c r="D13" s="5"/>
      <c r="E13" s="5"/>
      <c r="F13" s="5"/>
      <c r="H13" s="5" t="s">
        <v>142</v>
      </c>
      <c r="I13" s="5"/>
      <c r="J13" s="5"/>
      <c r="K13" s="5"/>
      <c r="L13" s="5"/>
    </row>
    <row r="14" spans="1:13" ht="24" customHeight="1" x14ac:dyDescent="0.25">
      <c r="B14" s="35" t="s">
        <v>34</v>
      </c>
      <c r="C14" s="35" t="s">
        <v>143</v>
      </c>
      <c r="D14" s="35" t="s">
        <v>144</v>
      </c>
      <c r="E14" s="35" t="s">
        <v>145</v>
      </c>
      <c r="F14" s="35" t="s">
        <v>146</v>
      </c>
      <c r="H14" s="35" t="s">
        <v>38</v>
      </c>
      <c r="I14" s="35" t="s">
        <v>147</v>
      </c>
      <c r="J14" s="35" t="s">
        <v>148</v>
      </c>
      <c r="K14" s="35" t="s">
        <v>149</v>
      </c>
      <c r="L14" s="35" t="s">
        <v>150</v>
      </c>
    </row>
    <row r="15" spans="1:13" ht="19.5" customHeight="1" x14ac:dyDescent="0.25">
      <c r="B15" s="36" t="s">
        <v>42</v>
      </c>
      <c r="C15" s="37">
        <f>SUMIFS(Abrechnung!$H$20:$H$49,Abrechnung!$E$20:$E$49,B15,Abrechnung!$F$20:$F$49,"Einnahme")</f>
        <v>12120</v>
      </c>
      <c r="D15" s="37">
        <f>SUMIFS(Abrechnung!$H$20:$H$49,Abrechnung!$E$20:$E$49,B15,Abrechnung!$F$20:$F$49,"Ausgabe")</f>
        <v>0</v>
      </c>
      <c r="E15" s="38">
        <f t="shared" ref="E15:E29" si="0">C15-D15</f>
        <v>12120</v>
      </c>
      <c r="F15" s="39">
        <f t="shared" ref="F15:F29" si="1">IFERROR((C15+D15)/(SUM($C$15:$C$29)+SUM($D$15:$D$29)),0)</f>
        <v>0.50225746496733459</v>
      </c>
      <c r="H15" s="40">
        <v>0</v>
      </c>
      <c r="I15" s="37">
        <f>SUMIFS(Abrechnung!$H$20:$H$49,Abrechnung!$I$20:$I$49,H15,Abrechnung!$F$20:$F$49,"Einnahme")</f>
        <v>128</v>
      </c>
      <c r="J15" s="37">
        <f>SUMIFS(Abrechnung!$J$20:$J$49,Abrechnung!$I$20:$I$49,H15,Abrechnung!$F$20:$F$49,"Einnahme")</f>
        <v>0</v>
      </c>
      <c r="K15" s="37">
        <f>SUMIFS(Abrechnung!$H$20:$H$49,Abrechnung!$I$20:$I$49,H15,Abrechnung!$F$20:$F$49,"Ausgabe")</f>
        <v>3117.4</v>
      </c>
      <c r="L15" s="37">
        <f>SUMIFS(Abrechnung!$J$20:$J$49,Abrechnung!$I$20:$I$49,H15,Abrechnung!$F$20:$F$49,"Ausgabe")</f>
        <v>0</v>
      </c>
    </row>
    <row r="16" spans="1:13" ht="19.5" customHeight="1" x14ac:dyDescent="0.25">
      <c r="B16" s="41" t="s">
        <v>46</v>
      </c>
      <c r="C16" s="42">
        <f>SUMIFS(Abrechnung!$H$20:$H$49,Abrechnung!$E$20:$E$49,B16,Abrechnung!$F$20:$F$49,"Einnahme")</f>
        <v>5120</v>
      </c>
      <c r="D16" s="42">
        <f>SUMIFS(Abrechnung!$H$20:$H$49,Abrechnung!$E$20:$E$49,B16,Abrechnung!$F$20:$F$49,"Ausgabe")</f>
        <v>0</v>
      </c>
      <c r="E16" s="43">
        <f t="shared" si="0"/>
        <v>5120</v>
      </c>
      <c r="F16" s="44">
        <f t="shared" si="1"/>
        <v>0.21217477067927007</v>
      </c>
      <c r="H16" s="45">
        <v>7.0000000000000007E-2</v>
      </c>
      <c r="I16" s="42">
        <f>SUMIFS(Abrechnung!$H$20:$H$49,Abrechnung!$I$20:$I$49,H16,Abrechnung!$F$20:$F$49,"Einnahme")</f>
        <v>0</v>
      </c>
      <c r="J16" s="42">
        <f>SUMIFS(Abrechnung!$J$20:$J$49,Abrechnung!$I$20:$I$49,H16,Abrechnung!$F$20:$F$49,"Einnahme")</f>
        <v>0</v>
      </c>
      <c r="K16" s="42">
        <f>SUMIFS(Abrechnung!$H$20:$H$49,Abrechnung!$I$20:$I$49,H16,Abrechnung!$F$20:$F$49,"Ausgabe")</f>
        <v>648.04999999999995</v>
      </c>
      <c r="L16" s="42">
        <f>SUMIFS(Abrechnung!$J$20:$J$49,Abrechnung!$I$20:$I$49,H16,Abrechnung!$F$20:$F$49,"Ausgabe")</f>
        <v>45.36</v>
      </c>
    </row>
    <row r="17" spans="2:12" ht="19.5" customHeight="1" x14ac:dyDescent="0.25">
      <c r="B17" s="36" t="s">
        <v>52</v>
      </c>
      <c r="C17" s="37">
        <f>SUMIFS(Abrechnung!$H$20:$H$49,Abrechnung!$E$20:$E$49,B17,Abrechnung!$F$20:$F$49,"Einnahme")</f>
        <v>128</v>
      </c>
      <c r="D17" s="37">
        <f>SUMIFS(Abrechnung!$H$20:$H$49,Abrechnung!$E$20:$E$49,B17,Abrechnung!$F$20:$F$49,"Ausgabe")</f>
        <v>0</v>
      </c>
      <c r="E17" s="38">
        <f t="shared" si="0"/>
        <v>128</v>
      </c>
      <c r="F17" s="39">
        <f t="shared" si="1"/>
        <v>5.3043692669817516E-3</v>
      </c>
      <c r="H17" s="40">
        <v>0.19</v>
      </c>
      <c r="I17" s="37">
        <f>SUMIFS(Abrechnung!$H$20:$H$49,Abrechnung!$I$20:$I$49,H17,Abrechnung!$F$20:$F$49,"Einnahme")</f>
        <v>17240</v>
      </c>
      <c r="J17" s="37">
        <f>SUMIFS(Abrechnung!$J$20:$J$49,Abrechnung!$I$20:$I$49,H17,Abrechnung!$F$20:$F$49,"Einnahme")</f>
        <v>3275.6</v>
      </c>
      <c r="K17" s="37">
        <f>SUMIFS(Abrechnung!$H$20:$H$49,Abrechnung!$I$20:$I$49,H17,Abrechnung!$F$20:$F$49,"Ausgabe")</f>
        <v>2997.6</v>
      </c>
      <c r="L17" s="37">
        <f>SUMIFS(Abrechnung!$J$20:$J$49,Abrechnung!$I$20:$I$49,H17,Abrechnung!$F$20:$F$49,"Ausgabe")</f>
        <v>569.54999999999995</v>
      </c>
    </row>
    <row r="18" spans="2:12" ht="19.5" customHeight="1" x14ac:dyDescent="0.25">
      <c r="B18" s="41" t="s">
        <v>57</v>
      </c>
      <c r="C18" s="42">
        <f>SUMIFS(Abrechnung!$H$20:$H$49,Abrechnung!$E$20:$E$49,B18,Abrechnung!$F$20:$F$49,"Einnahme")</f>
        <v>0</v>
      </c>
      <c r="D18" s="42">
        <f>SUMIFS(Abrechnung!$H$20:$H$49,Abrechnung!$E$20:$E$49,B18,Abrechnung!$F$20:$F$49,"Ausgabe")</f>
        <v>967.4</v>
      </c>
      <c r="E18" s="43">
        <f t="shared" si="0"/>
        <v>-967.4</v>
      </c>
      <c r="F18" s="44">
        <f t="shared" si="1"/>
        <v>4.0089428350610523E-2</v>
      </c>
      <c r="H18" s="46" t="s">
        <v>151</v>
      </c>
      <c r="I18" s="47">
        <f>SUM(I15:I17)</f>
        <v>17368</v>
      </c>
      <c r="J18" s="47">
        <f>SUM(J15:J17)</f>
        <v>3275.6</v>
      </c>
      <c r="K18" s="47">
        <f>SUM(K15:K17)</f>
        <v>6763.0499999999993</v>
      </c>
      <c r="L18" s="47">
        <f>SUM(L15:L17)</f>
        <v>614.91</v>
      </c>
    </row>
    <row r="19" spans="2:12" ht="15.75" customHeight="1" x14ac:dyDescent="0.25">
      <c r="B19" s="36" t="s">
        <v>61</v>
      </c>
      <c r="C19" s="37">
        <f>SUMIFS(Abrechnung!$H$20:$H$49,Abrechnung!$E$20:$E$49,B19,Abrechnung!$F$20:$F$49,"Einnahme")</f>
        <v>0</v>
      </c>
      <c r="D19" s="37">
        <f>SUMIFS(Abrechnung!$H$20:$H$49,Abrechnung!$E$20:$E$49,B19,Abrechnung!$F$20:$F$49,"Ausgabe")</f>
        <v>1200</v>
      </c>
      <c r="E19" s="38">
        <f t="shared" si="0"/>
        <v>-1200</v>
      </c>
      <c r="F19" s="39">
        <f t="shared" si="1"/>
        <v>4.9728461877953926E-2</v>
      </c>
    </row>
    <row r="20" spans="2:12" ht="24" customHeight="1" x14ac:dyDescent="0.25">
      <c r="B20" s="41" t="s">
        <v>67</v>
      </c>
      <c r="C20" s="42">
        <f>SUMIFS(Abrechnung!$H$20:$H$49,Abrechnung!$E$20:$E$49,B20,Abrechnung!$F$20:$F$49,"Einnahme")</f>
        <v>0</v>
      </c>
      <c r="D20" s="42">
        <f>SUMIFS(Abrechnung!$H$20:$H$49,Abrechnung!$E$20:$E$49,B20,Abrechnung!$F$20:$F$49,"Ausgabe")</f>
        <v>1918.2</v>
      </c>
      <c r="E20" s="43">
        <f t="shared" si="0"/>
        <v>-1918.2</v>
      </c>
      <c r="F20" s="44">
        <f t="shared" si="1"/>
        <v>7.9490946311909352E-2</v>
      </c>
      <c r="H20" s="3" t="s">
        <v>152</v>
      </c>
      <c r="I20" s="3"/>
      <c r="J20" s="3"/>
      <c r="K20" s="2">
        <f>J18-L18</f>
        <v>2660.69</v>
      </c>
      <c r="L20" s="2"/>
    </row>
    <row r="21" spans="2:12" ht="15.75" customHeight="1" x14ac:dyDescent="0.25">
      <c r="B21" s="36" t="s">
        <v>70</v>
      </c>
      <c r="C21" s="37">
        <f>SUMIFS(Abrechnung!$H$20:$H$49,Abrechnung!$E$20:$E$49,B21,Abrechnung!$F$20:$F$49,"Einnahme")</f>
        <v>0</v>
      </c>
      <c r="D21" s="37">
        <f>SUMIFS(Abrechnung!$H$20:$H$49,Abrechnung!$E$20:$E$49,B21,Abrechnung!$F$20:$F$49,"Ausgabe")</f>
        <v>94.6</v>
      </c>
      <c r="E21" s="38">
        <f t="shared" si="0"/>
        <v>-94.6</v>
      </c>
      <c r="F21" s="39">
        <f t="shared" si="1"/>
        <v>3.9202604113787011E-3</v>
      </c>
    </row>
    <row r="22" spans="2:12" ht="15.75" customHeight="1" x14ac:dyDescent="0.25">
      <c r="B22" s="41" t="s">
        <v>73</v>
      </c>
      <c r="C22" s="42">
        <f>SUMIFS(Abrechnung!$H$20:$H$49,Abrechnung!$E$20:$E$49,B22,Abrechnung!$F$20:$F$49,"Einnahme")</f>
        <v>0</v>
      </c>
      <c r="D22" s="42">
        <f>SUMIFS(Abrechnung!$H$20:$H$49,Abrechnung!$E$20:$E$49,B22,Abrechnung!$F$20:$F$49,"Ausgabe")</f>
        <v>705</v>
      </c>
      <c r="E22" s="43">
        <f t="shared" si="0"/>
        <v>-705</v>
      </c>
      <c r="F22" s="44">
        <f t="shared" si="1"/>
        <v>2.9215471353297929E-2</v>
      </c>
    </row>
    <row r="23" spans="2:12" ht="21.75" customHeight="1" x14ac:dyDescent="0.25">
      <c r="B23" s="36" t="s">
        <v>76</v>
      </c>
      <c r="C23" s="37">
        <f>SUMIFS(Abrechnung!$H$20:$H$49,Abrechnung!$E$20:$E$49,B23,Abrechnung!$F$20:$F$49,"Einnahme")</f>
        <v>0</v>
      </c>
      <c r="D23" s="37">
        <f>SUMIFS(Abrechnung!$H$20:$H$49,Abrechnung!$E$20:$E$49,B23,Abrechnung!$F$20:$F$49,"Ausgabe")</f>
        <v>72.3</v>
      </c>
      <c r="E23" s="38">
        <f t="shared" si="0"/>
        <v>-72.3</v>
      </c>
      <c r="F23" s="39">
        <f t="shared" si="1"/>
        <v>2.9961398281467236E-3</v>
      </c>
      <c r="H23" s="5" t="s">
        <v>153</v>
      </c>
      <c r="I23" s="5"/>
      <c r="J23" s="5"/>
      <c r="K23" s="5"/>
      <c r="L23" s="5"/>
    </row>
    <row r="24" spans="2:12" ht="24" customHeight="1" x14ac:dyDescent="0.25">
      <c r="B24" s="41" t="s">
        <v>79</v>
      </c>
      <c r="C24" s="42">
        <f>SUMIFS(Abrechnung!$H$20:$H$49,Abrechnung!$E$20:$E$49,B24,Abrechnung!$F$20:$F$49,"Einnahme")</f>
        <v>0</v>
      </c>
      <c r="D24" s="42">
        <f>SUMIFS(Abrechnung!$H$20:$H$49,Abrechnung!$E$20:$E$49,B24,Abrechnung!$F$20:$F$49,"Ausgabe")</f>
        <v>661.95</v>
      </c>
      <c r="E24" s="43">
        <f t="shared" si="0"/>
        <v>-661.95</v>
      </c>
      <c r="F24" s="44">
        <f t="shared" si="1"/>
        <v>2.7431462783426334E-2</v>
      </c>
      <c r="H24" s="35" t="s">
        <v>36</v>
      </c>
      <c r="I24" s="35" t="s">
        <v>154</v>
      </c>
      <c r="J24" s="35" t="s">
        <v>143</v>
      </c>
      <c r="K24" s="35" t="s">
        <v>144</v>
      </c>
      <c r="L24" s="35" t="s">
        <v>145</v>
      </c>
    </row>
    <row r="25" spans="2:12" ht="15.75" customHeight="1" x14ac:dyDescent="0.25">
      <c r="B25" s="36" t="s">
        <v>82</v>
      </c>
      <c r="C25" s="37">
        <f>SUMIFS(Abrechnung!$H$20:$H$49,Abrechnung!$E$20:$E$49,B25,Abrechnung!$F$20:$F$49,"Einnahme")</f>
        <v>0</v>
      </c>
      <c r="D25" s="37">
        <f>SUMIFS(Abrechnung!$H$20:$H$49,Abrechnung!$E$20:$E$49,B25,Abrechnung!$F$20:$F$49,"Ausgabe")</f>
        <v>388.9</v>
      </c>
      <c r="E25" s="38">
        <f t="shared" si="0"/>
        <v>-388.9</v>
      </c>
      <c r="F25" s="39">
        <f t="shared" si="1"/>
        <v>1.61161656869469E-2</v>
      </c>
      <c r="H25" s="36" t="s">
        <v>44</v>
      </c>
      <c r="I25" s="48">
        <f>COUNTIFS(Abrechnung!$G$20:$G$49,H25)</f>
        <v>15</v>
      </c>
      <c r="J25" s="37">
        <f>SUMIFS(Abrechnung!$K$20:$K$49,Abrechnung!$G$20:$G$49,H25,Abrechnung!$F$20:$F$49,"Einnahme")</f>
        <v>19197.75</v>
      </c>
      <c r="K25" s="37">
        <f>SUMIFS(Abrechnung!$K$20:$K$49,Abrechnung!$G$20:$G$49,H25,Abrechnung!$F$20:$F$49,"Ausgabe")</f>
        <v>5048.46</v>
      </c>
      <c r="L25" s="38">
        <f>J25-K25</f>
        <v>14149.29</v>
      </c>
    </row>
    <row r="26" spans="2:12" ht="15.75" customHeight="1" x14ac:dyDescent="0.25">
      <c r="B26" s="41" t="s">
        <v>66</v>
      </c>
      <c r="C26" s="42">
        <f>SUMIFS(Abrechnung!$H$20:$H$49,Abrechnung!$E$20:$E$49,B26,Abrechnung!$F$20:$F$49,"Einnahme")</f>
        <v>0</v>
      </c>
      <c r="D26" s="42">
        <f>SUMIFS(Abrechnung!$H$20:$H$49,Abrechnung!$E$20:$E$49,B26,Abrechnung!$F$20:$F$49,"Ausgabe")</f>
        <v>471.5</v>
      </c>
      <c r="E26" s="43">
        <f t="shared" si="0"/>
        <v>-471.5</v>
      </c>
      <c r="F26" s="44">
        <f t="shared" si="1"/>
        <v>1.9539141479546062E-2</v>
      </c>
      <c r="H26" s="41" t="s">
        <v>48</v>
      </c>
      <c r="I26" s="49">
        <f>COUNTIFS(Abrechnung!$G$20:$G$49,H26)</f>
        <v>4</v>
      </c>
      <c r="J26" s="42">
        <f>SUMIFS(Abrechnung!$K$20:$K$49,Abrechnung!$G$20:$G$49,H26,Abrechnung!$F$20:$F$49,"Einnahme")</f>
        <v>1011.5</v>
      </c>
      <c r="K26" s="42">
        <f>SUMIFS(Abrechnung!$K$20:$K$49,Abrechnung!$G$20:$G$49,H26,Abrechnung!$F$20:$F$49,"Ausgabe")</f>
        <v>187.98</v>
      </c>
      <c r="L26" s="43">
        <f>J26-K26</f>
        <v>823.52</v>
      </c>
    </row>
    <row r="27" spans="2:12" ht="15.75" customHeight="1" x14ac:dyDescent="0.25">
      <c r="B27" s="36" t="s">
        <v>87</v>
      </c>
      <c r="C27" s="37">
        <f>SUMIFS(Abrechnung!$H$20:$H$49,Abrechnung!$E$20:$E$49,B27,Abrechnung!$F$20:$F$49,"Einnahme")</f>
        <v>0</v>
      </c>
      <c r="D27" s="37">
        <f>SUMIFS(Abrechnung!$H$20:$H$49,Abrechnung!$E$20:$E$49,B27,Abrechnung!$F$20:$F$49,"Ausgabe")</f>
        <v>118.5</v>
      </c>
      <c r="E27" s="38">
        <f t="shared" si="0"/>
        <v>-118.5</v>
      </c>
      <c r="F27" s="39">
        <f t="shared" si="1"/>
        <v>4.9106856104479497E-3</v>
      </c>
      <c r="H27" s="36" t="s">
        <v>53</v>
      </c>
      <c r="I27" s="48">
        <f>COUNTIFS(Abrechnung!$G$20:$G$49,H27)</f>
        <v>8</v>
      </c>
      <c r="J27" s="37">
        <f>SUMIFS(Abrechnung!$K$20:$K$49,Abrechnung!$G$20:$G$49,H27,Abrechnung!$F$20:$F$49,"Einnahme")</f>
        <v>0</v>
      </c>
      <c r="K27" s="37">
        <f>SUMIFS(Abrechnung!$K$20:$K$49,Abrechnung!$G$20:$G$49,H27,Abrechnung!$F$20:$F$49,"Ausgabe")</f>
        <v>2014.4699999999998</v>
      </c>
      <c r="L27" s="38">
        <f>J27-K27</f>
        <v>-2014.4699999999998</v>
      </c>
    </row>
    <row r="28" spans="2:12" ht="15.75" customHeight="1" x14ac:dyDescent="0.25">
      <c r="B28" s="41" t="s">
        <v>91</v>
      </c>
      <c r="C28" s="42">
        <f>SUMIFS(Abrechnung!$H$20:$H$49,Abrechnung!$E$20:$E$49,B28,Abrechnung!$F$20:$F$49,"Einnahme")</f>
        <v>0</v>
      </c>
      <c r="D28" s="42">
        <f>SUMIFS(Abrechnung!$H$20:$H$49,Abrechnung!$E$20:$E$49,B28,Abrechnung!$F$20:$F$49,"Ausgabe")</f>
        <v>18.899999999999999</v>
      </c>
      <c r="E28" s="43">
        <f t="shared" si="0"/>
        <v>-18.899999999999999</v>
      </c>
      <c r="F28" s="44">
        <f t="shared" si="1"/>
        <v>7.8322327457777425E-4</v>
      </c>
      <c r="H28" s="41" t="s">
        <v>58</v>
      </c>
      <c r="I28" s="49">
        <f>COUNTIFS(Abrechnung!$G$20:$G$49,H28)</f>
        <v>1</v>
      </c>
      <c r="J28" s="42">
        <f>SUMIFS(Abrechnung!$K$20:$K$49,Abrechnung!$G$20:$G$49,H28,Abrechnung!$F$20:$F$49,"Einnahme")</f>
        <v>0</v>
      </c>
      <c r="K28" s="42">
        <f>SUMIFS(Abrechnung!$K$20:$K$49,Abrechnung!$G$20:$G$49,H28,Abrechnung!$F$20:$F$49,"Ausgabe")</f>
        <v>74.72999999999999</v>
      </c>
      <c r="L28" s="43">
        <f>J28-K28</f>
        <v>-74.72999999999999</v>
      </c>
    </row>
    <row r="29" spans="2:12" ht="15.75" customHeight="1" x14ac:dyDescent="0.25">
      <c r="B29" s="36" t="s">
        <v>94</v>
      </c>
      <c r="C29" s="37">
        <f>SUMIFS(Abrechnung!$H$20:$H$49,Abrechnung!$E$20:$E$49,B29,Abrechnung!$F$20:$F$49,"Einnahme")</f>
        <v>0</v>
      </c>
      <c r="D29" s="37">
        <f>SUMIFS(Abrechnung!$H$20:$H$49,Abrechnung!$E$20:$E$49,B29,Abrechnung!$F$20:$F$49,"Ausgabe")</f>
        <v>145.80000000000001</v>
      </c>
      <c r="E29" s="38">
        <f t="shared" si="0"/>
        <v>-145.80000000000001</v>
      </c>
      <c r="F29" s="39">
        <f t="shared" si="1"/>
        <v>6.0420081181714021E-3</v>
      </c>
      <c r="H29" s="36" t="s">
        <v>63</v>
      </c>
      <c r="I29" s="48">
        <f>COUNTIFS(Abrechnung!$G$20:$G$49,H29)</f>
        <v>2</v>
      </c>
      <c r="J29" s="37">
        <f>SUMIFS(Abrechnung!$K$20:$K$49,Abrechnung!$G$20:$G$49,H29,Abrechnung!$F$20:$F$49,"Einnahme")</f>
        <v>434.35</v>
      </c>
      <c r="K29" s="37">
        <f>SUMIFS(Abrechnung!$K$20:$K$49,Abrechnung!$G$20:$G$49,H29,Abrechnung!$F$20:$F$49,"Ausgabe")</f>
        <v>52.32</v>
      </c>
      <c r="L29" s="38">
        <f>J29-K29</f>
        <v>382.03000000000003</v>
      </c>
    </row>
    <row r="30" spans="2:12" ht="19.5" customHeight="1" x14ac:dyDescent="0.25">
      <c r="B30" s="15" t="s">
        <v>151</v>
      </c>
      <c r="C30" s="33">
        <f>SUM(C15:C29)</f>
        <v>17368</v>
      </c>
      <c r="D30" s="33">
        <f>SUM(D15:D29)</f>
        <v>6763.05</v>
      </c>
      <c r="E30" s="33">
        <f>SUM(E15:E29)</f>
        <v>10604.949999999999</v>
      </c>
      <c r="F30" s="50">
        <f>SUM(F15:F29)</f>
        <v>0.99999999999999978</v>
      </c>
      <c r="H30" s="15" t="s">
        <v>151</v>
      </c>
      <c r="I30" s="51">
        <f>SUM(I25:I29)</f>
        <v>30</v>
      </c>
      <c r="J30" s="33">
        <f>SUM(J25:J29)</f>
        <v>20643.599999999999</v>
      </c>
      <c r="K30" s="33">
        <f>SUM(K25:K29)</f>
        <v>7377.9599999999991</v>
      </c>
      <c r="L30" s="33">
        <f>SUM(L25:L29)</f>
        <v>13265.640000000003</v>
      </c>
    </row>
    <row r="32" spans="2:12" ht="21.75" customHeight="1" x14ac:dyDescent="0.25">
      <c r="B32" s="5" t="s">
        <v>155</v>
      </c>
      <c r="C32" s="5"/>
      <c r="D32" s="5"/>
      <c r="E32" s="5"/>
      <c r="F32" s="5"/>
    </row>
    <row r="33" spans="2:12" ht="24" customHeight="1" x14ac:dyDescent="0.25">
      <c r="B33" s="35" t="s">
        <v>156</v>
      </c>
      <c r="C33" s="35" t="s">
        <v>157</v>
      </c>
      <c r="D33" s="35" t="s">
        <v>143</v>
      </c>
      <c r="E33" s="35" t="s">
        <v>144</v>
      </c>
      <c r="F33" s="35" t="s">
        <v>145</v>
      </c>
    </row>
    <row r="34" spans="2:12" ht="18" customHeight="1" x14ac:dyDescent="0.25">
      <c r="B34" s="52" t="s">
        <v>158</v>
      </c>
      <c r="C34" s="53" t="s">
        <v>159</v>
      </c>
      <c r="D34" s="37">
        <f>SUMIFS(Abrechnung!$K$20:$K$49,Abrechnung!$B$20:$B$49,"&gt;="&amp;DATE(2026,6,29),Abrechnung!$B$20:$B$49,"&lt;="&amp;DATE(2026,7,5),Abrechnung!$F$20:$F$49,"Einnahme")</f>
        <v>7830.2</v>
      </c>
      <c r="E34" s="37">
        <f>SUMIFS(Abrechnung!$K$20:$K$49,Abrechnung!$B$20:$B$49,"&gt;="&amp;DATE(2026,6,29),Abrechnung!$B$20:$B$49,"&lt;="&amp;DATE(2026,7,5),Abrechnung!$F$20:$F$49,"Ausgabe")</f>
        <v>1424.91</v>
      </c>
      <c r="F34" s="38">
        <f>D34-E34</f>
        <v>6405.29</v>
      </c>
    </row>
    <row r="35" spans="2:12" ht="18" customHeight="1" x14ac:dyDescent="0.25">
      <c r="B35" s="54" t="s">
        <v>160</v>
      </c>
      <c r="C35" s="55" t="s">
        <v>161</v>
      </c>
      <c r="D35" s="42">
        <f>SUMIFS(Abrechnung!$K$20:$K$49,Abrechnung!$B$20:$B$49,"&gt;="&amp;DATE(2026,7,6),Abrechnung!$B$20:$B$49,"&lt;="&amp;DATE(2026,7,12),Abrechnung!$F$20:$F$49,"Einnahme")</f>
        <v>1921.85</v>
      </c>
      <c r="E35" s="42">
        <f>SUMIFS(Abrechnung!$K$20:$K$49,Abrechnung!$B$20:$B$49,"&gt;="&amp;DATE(2026,7,6),Abrechnung!$B$20:$B$49,"&lt;="&amp;DATE(2026,7,12),Abrechnung!$F$20:$F$49,"Ausgabe")</f>
        <v>750.73</v>
      </c>
      <c r="F35" s="43">
        <f>D35-E35</f>
        <v>1171.1199999999999</v>
      </c>
    </row>
    <row r="36" spans="2:12" ht="18" customHeight="1" x14ac:dyDescent="0.25">
      <c r="B36" s="52" t="s">
        <v>162</v>
      </c>
      <c r="C36" s="53" t="s">
        <v>163</v>
      </c>
      <c r="D36" s="37">
        <f>SUMIFS(Abrechnung!$K$20:$K$49,Abrechnung!$B$20:$B$49,"&gt;="&amp;DATE(2026,7,13),Abrechnung!$B$20:$B$49,"&lt;="&amp;DATE(2026,7,19),Abrechnung!$F$20:$F$49,"Einnahme")</f>
        <v>4278.05</v>
      </c>
      <c r="E36" s="37">
        <f>SUMIFS(Abrechnung!$K$20:$K$49,Abrechnung!$B$20:$B$49,"&gt;="&amp;DATE(2026,7,13),Abrechnung!$B$20:$B$49,"&lt;="&amp;DATE(2026,7,19),Abrechnung!$F$20:$F$49,"Ausgabe")</f>
        <v>2223.2599999999998</v>
      </c>
      <c r="F36" s="38">
        <f>D36-E36</f>
        <v>2054.7900000000004</v>
      </c>
    </row>
    <row r="37" spans="2:12" ht="18" customHeight="1" x14ac:dyDescent="0.25">
      <c r="B37" s="54" t="s">
        <v>164</v>
      </c>
      <c r="C37" s="55" t="s">
        <v>165</v>
      </c>
      <c r="D37" s="42">
        <f>SUMIFS(Abrechnung!$K$20:$K$49,Abrechnung!$B$20:$B$49,"&gt;="&amp;DATE(2026,7,20),Abrechnung!$B$20:$B$49,"&lt;="&amp;DATE(2026,7,26),Abrechnung!$F$20:$F$49,"Einnahme")</f>
        <v>2293.8000000000002</v>
      </c>
      <c r="E37" s="42">
        <f>SUMIFS(Abrechnung!$K$20:$K$49,Abrechnung!$B$20:$B$49,"&gt;="&amp;DATE(2026,7,20),Abrechnung!$B$20:$B$49,"&lt;="&amp;DATE(2026,7,26),Abrechnung!$F$20:$F$49,"Ausgabe")</f>
        <v>1048.25</v>
      </c>
      <c r="F37" s="43">
        <f>D37-E37</f>
        <v>1245.5500000000002</v>
      </c>
    </row>
    <row r="38" spans="2:12" ht="18" customHeight="1" x14ac:dyDescent="0.25">
      <c r="B38" s="52" t="s">
        <v>166</v>
      </c>
      <c r="C38" s="53" t="s">
        <v>167</v>
      </c>
      <c r="D38" s="37">
        <f>SUMIFS(Abrechnung!$K$20:$K$49,Abrechnung!$B$20:$B$49,"&gt;="&amp;DATE(2026,7,27),Abrechnung!$B$20:$B$49,"&lt;="&amp;DATE(2026,8,2),Abrechnung!$F$20:$F$49,"Einnahme")</f>
        <v>4319.7</v>
      </c>
      <c r="E38" s="37">
        <f>SUMIFS(Abrechnung!$K$20:$K$49,Abrechnung!$B$20:$B$49,"&gt;="&amp;DATE(2026,7,27),Abrechnung!$B$20:$B$49,"&lt;="&amp;DATE(2026,8,2),Abrechnung!$F$20:$F$49,"Ausgabe")</f>
        <v>1930.81</v>
      </c>
      <c r="F38" s="38">
        <f>D38-E38</f>
        <v>2388.89</v>
      </c>
    </row>
    <row r="39" spans="2:12" ht="19.5" customHeight="1" x14ac:dyDescent="0.25">
      <c r="B39" s="4" t="s">
        <v>151</v>
      </c>
      <c r="C39" s="4"/>
      <c r="D39" s="33">
        <f>SUM(D34:D38)</f>
        <v>20643.599999999999</v>
      </c>
      <c r="E39" s="33">
        <f>SUM(E34:E38)</f>
        <v>7377.9599999999991</v>
      </c>
      <c r="F39" s="33">
        <f>SUM(F34:F38)</f>
        <v>13265.64</v>
      </c>
    </row>
    <row r="41" spans="2:12" ht="19.5" customHeight="1" x14ac:dyDescent="0.25">
      <c r="B41" s="5" t="s">
        <v>168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ht="15.75" customHeight="1" x14ac:dyDescent="0.25">
      <c r="B42" s="1" t="s">
        <v>169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15.75" customHeight="1" x14ac:dyDescent="0.25">
      <c r="B43" s="1" t="s">
        <v>170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15.75" customHeight="1" x14ac:dyDescent="0.25">
      <c r="B44" s="1" t="s">
        <v>171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15.75" customHeight="1" x14ac:dyDescent="0.25">
      <c r="B45" s="1" t="s">
        <v>172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7" spans="2:12" ht="21.75" customHeight="1" x14ac:dyDescent="0.25">
      <c r="B47" s="5" t="s">
        <v>173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spans="2:2" ht="18" customHeight="1" x14ac:dyDescent="0.25"/>
    <row r="66" spans="2:2" ht="18" customHeight="1" x14ac:dyDescent="0.25">
      <c r="B66" t="s">
        <v>174</v>
      </c>
    </row>
  </sheetData>
  <mergeCells count="28">
    <mergeCell ref="B47:L47"/>
    <mergeCell ref="B41:L41"/>
    <mergeCell ref="B42:L42"/>
    <mergeCell ref="B43:L43"/>
    <mergeCell ref="B44:L44"/>
    <mergeCell ref="B45:L45"/>
    <mergeCell ref="H20:J20"/>
    <mergeCell ref="K20:L20"/>
    <mergeCell ref="H23:L23"/>
    <mergeCell ref="B32:F32"/>
    <mergeCell ref="B39:C39"/>
    <mergeCell ref="B11:E11"/>
    <mergeCell ref="F11:I11"/>
    <mergeCell ref="J11:L11"/>
    <mergeCell ref="B13:F13"/>
    <mergeCell ref="H13:L13"/>
    <mergeCell ref="B8:E8"/>
    <mergeCell ref="F8:I8"/>
    <mergeCell ref="J8:L8"/>
    <mergeCell ref="B10:E10"/>
    <mergeCell ref="F10:I10"/>
    <mergeCell ref="J10:L10"/>
    <mergeCell ref="A2:M2"/>
    <mergeCell ref="A3:M3"/>
    <mergeCell ref="A4:M4"/>
    <mergeCell ref="B7:E7"/>
    <mergeCell ref="F7:I7"/>
    <mergeCell ref="J7:L7"/>
  </mergeCells>
  <conditionalFormatting sqref="E15:E29">
    <cfRule type="dataBar" priority="2">
      <dataBar>
        <cfvo type="min"/>
        <cfvo type="max"/>
        <color rgb="FFC89732"/>
      </dataBar>
      <extLst>
        <ext xmlns:x14="http://schemas.microsoft.com/office/spreadsheetml/2009/9/main" uri="{B025F937-C7B1-47D3-B67F-A62EFF666E3E}">
          <x14:id>{B069ACC2-5AA5-4616-B633-61426E7BD927}</x14:id>
        </ext>
      </extLst>
    </cfRule>
  </conditionalFormatting>
  <printOptions horizontalCentered="1"/>
  <pageMargins left="0.4" right="0.4" top="0.4" bottom="0.4" header="0.511811023622047" footer="0.511811023622047"/>
  <pageSetup paperSize="9" orientation="landscape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69ACC2-5AA5-4616-B633-61426E7BD927}">
            <x14:dataBar axisPosition="none">
              <x14:cfvo type="min"/>
              <x14:cfvo type="max"/>
              <x14:negativeFillColor rgb="FFC89732"/>
            </x14:dataBar>
          </x14:cfRule>
          <xm:sqref>E15:E29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Abrechnung</vt:lpstr>
      <vt:lpstr>Auswertung</vt:lpstr>
      <vt:lpstr>Abrechnung!Druckbereich</vt:lpstr>
      <vt:lpstr>Zeitraum_bis</vt:lpstr>
      <vt:lpstr>Zeitraum_von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2026-07-21T07:19:46Z</dcterms:created>
  <dcterms:modified xsi:type="dcterms:W3CDTF">2026-07-21T09:39:32Z</dcterms:modified>
  <dc:language>en-US</dc:language>
</cp:coreProperties>
</file>