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chungen" sheetId="1" state="visible" r:id="rId3"/>
    <sheet name="Übersicht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<sst xmlns="http://schemas.openxmlformats.org/spreadsheetml/2006/main" count="219" uniqueCount="137">
  <si>
    <t xml:space="preserve">ABRECHNUNGSVORLAGE</t>
  </si>
  <si>
    <t xml:space="preserve">Muster &amp; Partner GmbH</t>
  </si>
  <si>
    <t xml:space="preserve">Geschäftsjahr 2026  ·  Einnahmen- und Ausgabenerfassung mit USt</t>
  </si>
  <si>
    <t xml:space="preserve">Musterstraße 12  ·  10115 Berlin  ·  USt-IdNr. DE123456789</t>
  </si>
  <si>
    <t xml:space="preserve">▎ Buchungsübersicht</t>
  </si>
  <si>
    <t xml:space="preserve">Erfassen Sie jede Buchung in einer eigenen Zeile. Die Spalten USt (€) und Brutto (€) werden automatisch berechnet. Auswertungen finden Sie im Blatt „Übersicht".</t>
  </si>
  <si>
    <t xml:space="preserve">Nr.</t>
  </si>
  <si>
    <t xml:space="preserve">Datum</t>
  </si>
  <si>
    <t xml:space="preserve">Belegnr.</t>
  </si>
  <si>
    <t xml:space="preserve">Beschreibung</t>
  </si>
  <si>
    <t xml:space="preserve">Geschäftspartner</t>
  </si>
  <si>
    <t xml:space="preserve">Kategorie</t>
  </si>
  <si>
    <t xml:space="preserve">Typ</t>
  </si>
  <si>
    <t xml:space="preserve">Netto (€)</t>
  </si>
  <si>
    <t xml:space="preserve">USt-Satz</t>
  </si>
  <si>
    <t xml:space="preserve">USt (€)</t>
  </si>
  <si>
    <t xml:space="preserve">Brutto (€)</t>
  </si>
  <si>
    <t xml:space="preserve">Status</t>
  </si>
  <si>
    <t xml:space="preserve">Zahlungsdatum</t>
  </si>
  <si>
    <t xml:space="preserve">RE-2026-001</t>
  </si>
  <si>
    <t xml:space="preserve">Beratungsleistung Januar</t>
  </si>
  <si>
    <t xml:space="preserve">Alpha Handels GmbH</t>
  </si>
  <si>
    <t xml:space="preserve">Beratung</t>
  </si>
  <si>
    <t xml:space="preserve">Einnahme</t>
  </si>
  <si>
    <t xml:space="preserve">Bezahlt</t>
  </si>
  <si>
    <t xml:space="preserve">ER-2026-001</t>
  </si>
  <si>
    <t xml:space="preserve">Büromiete Januar</t>
  </si>
  <si>
    <t xml:space="preserve">Immobilien Nord GmbH</t>
  </si>
  <si>
    <t xml:space="preserve">Miete</t>
  </si>
  <si>
    <t xml:space="preserve">Ausgabe</t>
  </si>
  <si>
    <t xml:space="preserve">ER-2026-002</t>
  </si>
  <si>
    <t xml:space="preserve">Software-Lizenz monatlich</t>
  </si>
  <si>
    <t xml:space="preserve">CloudTech AG</t>
  </si>
  <si>
    <t xml:space="preserve">Software/IT</t>
  </si>
  <si>
    <t xml:space="preserve">RE-2026-002</t>
  </si>
  <si>
    <t xml:space="preserve">Webseite-Erstellung</t>
  </si>
  <si>
    <t xml:space="preserve">Beta Marketing OHG</t>
  </si>
  <si>
    <t xml:space="preserve">Dienstleistung</t>
  </si>
  <si>
    <t xml:space="preserve">ER-2026-003</t>
  </si>
  <si>
    <t xml:space="preserve">Büromaterial</t>
  </si>
  <si>
    <t xml:space="preserve">Papier Express</t>
  </si>
  <si>
    <t xml:space="preserve">RE-2026-003</t>
  </si>
  <si>
    <t xml:space="preserve">Beratungsleistung Februar</t>
  </si>
  <si>
    <t xml:space="preserve">ER-2026-004</t>
  </si>
  <si>
    <t xml:space="preserve">Büromiete Februar</t>
  </si>
  <si>
    <t xml:space="preserve">ER-2026-005</t>
  </si>
  <si>
    <t xml:space="preserve">Fachliteratur</t>
  </si>
  <si>
    <t xml:space="preserve">Fachbuchverlag</t>
  </si>
  <si>
    <t xml:space="preserve">RE-2026-004</t>
  </si>
  <si>
    <t xml:space="preserve">Workshop-Durchführung</t>
  </si>
  <si>
    <t xml:space="preserve">Gamma Services GmbH</t>
  </si>
  <si>
    <t xml:space="preserve">Schulung</t>
  </si>
  <si>
    <t xml:space="preserve">ER-2026-006</t>
  </si>
  <si>
    <t xml:space="preserve">Telefon &amp; Internet</t>
  </si>
  <si>
    <t xml:space="preserve">Telekom Nord</t>
  </si>
  <si>
    <t xml:space="preserve">Kommunikation</t>
  </si>
  <si>
    <t xml:space="preserve">RE-2026-005</t>
  </si>
  <si>
    <t xml:space="preserve">Beratungsleistung März</t>
  </si>
  <si>
    <t xml:space="preserve">ER-2026-007</t>
  </si>
  <si>
    <t xml:space="preserve">Reisekosten Kundentermin</t>
  </si>
  <si>
    <t xml:space="preserve">Bahn Reisen</t>
  </si>
  <si>
    <t xml:space="preserve">Reisekosten</t>
  </si>
  <si>
    <t xml:space="preserve">RE-2026-006</t>
  </si>
  <si>
    <t xml:space="preserve">Konzeptentwicklung</t>
  </si>
  <si>
    <t xml:space="preserve">Delta Industries KG</t>
  </si>
  <si>
    <t xml:space="preserve">Konzeption</t>
  </si>
  <si>
    <t xml:space="preserve">Offen</t>
  </si>
  <si>
    <t xml:space="preserve">ER-2026-008</t>
  </si>
  <si>
    <t xml:space="preserve">Steuerberatung Q1</t>
  </si>
  <si>
    <t xml:space="preserve">Kanzlei Müller</t>
  </si>
  <si>
    <t xml:space="preserve">Beratung extern</t>
  </si>
  <si>
    <t xml:space="preserve">RE-2026-007</t>
  </si>
  <si>
    <t xml:space="preserve">Beratungsleistung April</t>
  </si>
  <si>
    <t xml:space="preserve">ER-2026-009</t>
  </si>
  <si>
    <t xml:space="preserve">RE-2026-008</t>
  </si>
  <si>
    <t xml:space="preserve">Projektabschluss Analyse</t>
  </si>
  <si>
    <t xml:space="preserve">Epsilon Holding</t>
  </si>
  <si>
    <t xml:space="preserve">Projekt</t>
  </si>
  <si>
    <t xml:space="preserve">ER-2026-010</t>
  </si>
  <si>
    <t xml:space="preserve">Software-Abo Jahresbeitrag</t>
  </si>
  <si>
    <t xml:space="preserve">RE-2026-009</t>
  </si>
  <si>
    <t xml:space="preserve">Beratungsleistung Mai</t>
  </si>
  <si>
    <t xml:space="preserve">ER-2026-011</t>
  </si>
  <si>
    <t xml:space="preserve">Marketing-Kampagne</t>
  </si>
  <si>
    <t xml:space="preserve">Werbung Direkt GmbH</t>
  </si>
  <si>
    <t xml:space="preserve">Marketing</t>
  </si>
  <si>
    <t xml:space="preserve">RE-2026-010</t>
  </si>
  <si>
    <t xml:space="preserve">Analyse &amp; Report</t>
  </si>
  <si>
    <t xml:space="preserve">Zeta Consulting</t>
  </si>
  <si>
    <t xml:space="preserve">RE-2026-011</t>
  </si>
  <si>
    <t xml:space="preserve">Beratungsleistung Juni</t>
  </si>
  <si>
    <t xml:space="preserve">ER-2026-012</t>
  </si>
  <si>
    <t xml:space="preserve">Büromiete Juni</t>
  </si>
  <si>
    <t xml:space="preserve">RE-2026-012</t>
  </si>
  <si>
    <t xml:space="preserve">Strategieworkshop</t>
  </si>
  <si>
    <t xml:space="preserve">Omega Group AG</t>
  </si>
  <si>
    <t xml:space="preserve">SUMME</t>
  </si>
  <si>
    <t xml:space="preserve">ÜBERSICHT</t>
  </si>
  <si>
    <t xml:space="preserve">Auswertung Geschäftsjahr 2026</t>
  </si>
  <si>
    <t xml:space="preserve">Automatisch berechnet aus Blatt „Buchungen".</t>
  </si>
  <si>
    <t xml:space="preserve">GESAMT EINNAHMEN</t>
  </si>
  <si>
    <t xml:space="preserve">GESAMT AUSGABEN</t>
  </si>
  <si>
    <t xml:space="preserve">SALDO (NETTO)</t>
  </si>
  <si>
    <t xml:space="preserve">USt-ZAHLLAST</t>
  </si>
  <si>
    <t xml:space="preserve">▎ Monatsübersicht 2026</t>
  </si>
  <si>
    <t xml:space="preserve">▎ USt-Auswertung</t>
  </si>
  <si>
    <t xml:space="preserve">Monat</t>
  </si>
  <si>
    <t xml:space="preserve">Einnahmen</t>
  </si>
  <si>
    <t xml:space="preserve">Ausgaben</t>
  </si>
  <si>
    <t xml:space="preserve">Saldo</t>
  </si>
  <si>
    <t xml:space="preserve">USt Einnahmen</t>
  </si>
  <si>
    <t xml:space="preserve">Vorsteuer</t>
  </si>
  <si>
    <t xml:space="preserve">Zahllast</t>
  </si>
  <si>
    <t xml:space="preserve">Januar</t>
  </si>
  <si>
    <t xml:space="preserve">19 %</t>
  </si>
  <si>
    <t xml:space="preserve">Februar</t>
  </si>
  <si>
    <t xml:space="preserve">7 %</t>
  </si>
  <si>
    <t xml:space="preserve">März</t>
  </si>
  <si>
    <t xml:space="preserve">0 %</t>
  </si>
  <si>
    <t xml:space="preserve">April</t>
  </si>
  <si>
    <t xml:space="preserve">GESAMT</t>
  </si>
  <si>
    <t xml:space="preserve">Mai</t>
  </si>
  <si>
    <t xml:space="preserve">Juni</t>
  </si>
  <si>
    <t xml:space="preserve">▎ Top-Kategorien (Ausgaben)</t>
  </si>
  <si>
    <t xml:space="preserve">Juli</t>
  </si>
  <si>
    <t xml:space="preserve">Anzahl</t>
  </si>
  <si>
    <t xml:space="preserve">Netto</t>
  </si>
  <si>
    <t xml:space="preserve">Anteil</t>
  </si>
  <si>
    <t xml:space="preserve">August</t>
  </si>
  <si>
    <t xml:space="preserve">September</t>
  </si>
  <si>
    <t xml:space="preserve">Oktober</t>
  </si>
  <si>
    <t xml:space="preserve">November</t>
  </si>
  <si>
    <t xml:space="preserve">Dezember</t>
  </si>
  <si>
    <t xml:space="preserve">▎ Zahlungsstatus</t>
  </si>
  <si>
    <t xml:space="preserve">Brutto-Summe</t>
  </si>
  <si>
    <t xml:space="preserve">Überfällig</t>
  </si>
  <si>
    <t xml:space="preserve">Alle Werte werden automatisch aus dem Blatt „Buchungen" berechnet. Ändern Sie dort die Buchungen — diese Auswertung aktualisiert sich sofort.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</si>
</sst>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\.mm\.yyyy"/>
    <numFmt numFmtId="166" formatCode="#,##0.00&quot; €&quot;"/>
    <numFmt numFmtId="167" formatCode="0%"/>
    <numFmt numFmtId="168" formatCode="0"/>
    <numFmt numFmtId="169" formatCode="0.0%"/>
  </numFmts>
  <fonts count="2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1E3A5F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i val="true"/>
      <sz val="10"/>
      <color rgb="FF6B6B6B"/>
      <name val="Calibri"/>
      <family val="0"/>
      <charset val="1"/>
    </font>
    <font>
      <sz val="9"/>
      <color rgb="FF6B6B6B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i val="true"/>
      <sz val="9"/>
      <color rgb="FF6B6B6B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10"/>
      <color rgb="FF2B2B2B"/>
      <name val="Calibri"/>
      <family val="0"/>
      <charset val="1"/>
    </font>
    <font>
      <sz val="10"/>
      <color rgb="FF6B6B6B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9"/>
      <color rgb="FF6B6B6B"/>
      <name val="Calibri"/>
      <family val="0"/>
      <charset val="1"/>
    </font>
    <font>
      <b val="true"/>
      <sz val="18"/>
      <color rgb="FF2E7D57"/>
      <name val="Calibri"/>
      <family val="0"/>
      <charset val="1"/>
    </font>
    <font>
      <b val="true"/>
      <sz val="18"/>
      <color rgb="FFC0392B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b val="true"/>
      <sz val="18"/>
      <color rgb="FFC9A961"/>
      <name val="Calibri"/>
      <family val="0"/>
      <charset val="1"/>
    </font>
    <font>
      <b val="true"/>
      <sz val="10"/>
      <color rgb="FF2E7D57"/>
      <name val="Calibri"/>
      <family val="0"/>
      <charset val="1"/>
    </font>
    <font>
      <b val="true"/>
      <sz val="10"/>
      <color rgb="FFB7791F"/>
      <name val="Calibri"/>
      <family val="0"/>
      <charset val="1"/>
    </font>
    <font>
      <b val="true"/>
      <sz val="10"/>
      <color rgb="FFC0392B"/>
      <name val="Calibri"/>
      <family val="0"/>
      <charset val="1"/>
    </font>
    <font>
      <i val="true"/>
      <sz val="9"/>
      <color rgb="FF8A8A8A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C9A961"/>
        <bgColor rgb="FFB7791F"/>
      </patternFill>
    </fill>
    <fill>
      <patternFill patternType="solid">
        <fgColor rgb="FF1E3A5F"/>
        <bgColor rgb="FF142845"/>
      </patternFill>
    </fill>
    <fill>
      <patternFill patternType="solid">
        <fgColor rgb="FFFAF7F2"/>
        <bgColor rgb="FFFFFFFF"/>
      </patternFill>
    </fill>
    <fill>
      <patternFill patternType="solid">
        <fgColor rgb="FFF0EBE0"/>
        <bgColor rgb="FFEEEAE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142845"/>
      </left>
      <right style="thin">
        <color rgb="FF142845"/>
      </right>
      <top style="thin">
        <color rgb="FF142845"/>
      </top>
      <bottom style="medium">
        <color rgb="FFC9A961"/>
      </bottom>
      <diagonal/>
    </border>
    <border diagonalUp="false" diagonalDown="false">
      <left style="thin">
        <color rgb="FFEEEAE0"/>
      </left>
      <right style="thin">
        <color rgb="FFEEEAE0"/>
      </right>
      <top/>
      <bottom style="thin">
        <color rgb="FFD8D2C8"/>
      </bottom>
      <diagonal/>
    </border>
    <border diagonalUp="false" diagonalDown="false">
      <left style="thick">
        <color rgb="FF2E7D57"/>
      </left>
      <right/>
      <top/>
      <bottom/>
      <diagonal/>
    </border>
    <border diagonalUp="false" diagonalDown="false">
      <left style="thick">
        <color rgb="FFC0392B"/>
      </left>
      <right/>
      <top/>
      <bottom/>
      <diagonal/>
    </border>
    <border diagonalUp="false" diagonalDown="false">
      <left style="thick">
        <color rgb="FF1E3A5F"/>
      </left>
      <right/>
      <top/>
      <bottom/>
      <diagonal/>
    </border>
    <border diagonalUp="false" diagonalDown="false">
      <left style="thick">
        <color rgb="FFC9A961"/>
      </left>
      <right/>
      <top/>
      <bottom/>
      <diagonal/>
    </border>
    <border diagonalUp="false" diagonalDown="false">
      <left/>
      <right/>
      <top/>
      <bottom style="medium">
        <color rgb="FFC9A961"/>
      </bottom>
      <diagonal/>
    </border>
    <border diagonalUp="false" diagonalDown="false">
      <left/>
      <right/>
      <top/>
      <bottom style="thin">
        <color rgb="FFD8D2C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3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1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3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3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14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5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5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5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6" fillId="5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7" fillId="5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8" fillId="5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9" fillId="5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1" fillId="0" borderId="8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13" fillId="0" borderId="8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1" fillId="4" borderId="8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1" fillId="4" borderId="8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13" fillId="4" borderId="8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4" fillId="3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14" fillId="3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8" fontId="11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0" borderId="8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11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4" borderId="8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20" fillId="0" borderId="8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1" fillId="4" borderId="8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2" fillId="0" borderId="8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Calibri"/>
        <charset val="1"/>
        <family val="0"/>
        <b val="1"/>
        <color rgb="FF2E7D57"/>
        <sz val="10"/>
      </font>
      <fill>
        <patternFill>
          <bgColor rgb="FFD8ECDF"/>
        </patternFill>
      </fill>
    </dxf>
    <dxf>
      <font>
        <name val="Calibri"/>
        <charset val="1"/>
        <family val="0"/>
        <b val="1"/>
        <color rgb="FFC0392B"/>
        <sz val="10"/>
      </font>
      <fill>
        <patternFill>
          <bgColor rgb="FFF5D8D3"/>
        </patternFill>
      </fill>
    </dxf>
    <dxf>
      <font>
        <name val="Calibri"/>
        <charset val="1"/>
        <family val="0"/>
        <b val="1"/>
        <color rgb="FFB7791F"/>
        <sz val="10"/>
      </font>
      <fill>
        <patternFill>
          <bgColor rgb="FFFCE9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7791F"/>
      <rgbColor rgb="FF800080"/>
      <rgbColor rgb="FF008080"/>
      <rgbColor rgb="FFD8D2C8"/>
      <rgbColor rgb="FF8A8A8A"/>
      <rgbColor rgb="FF9999FF"/>
      <rgbColor rgb="FF993366"/>
      <rgbColor rgb="FFFAF7F2"/>
      <rgbColor rgb="FFEEEAE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EBE0"/>
      <rgbColor rgb="FFD8ECDF"/>
      <rgbColor rgb="FFFCE9CC"/>
      <rgbColor rgb="FF99CCFF"/>
      <rgbColor rgb="FFFF99CC"/>
      <rgbColor rgb="FFCC99FF"/>
      <rgbColor rgb="FFF5D8D3"/>
      <rgbColor rgb="FF3366FF"/>
      <rgbColor rgb="FF33CCCC"/>
      <rgbColor rgb="FF99CC00"/>
      <rgbColor rgb="FFFFCC00"/>
      <rgbColor rgb="FFFF9900"/>
      <rgbColor rgb="FFFF6600"/>
      <rgbColor rgb="FF6B6B6B"/>
      <rgbColor rgb="FFC9A961"/>
      <rgbColor rgb="FF1E3A5F"/>
      <rgbColor rgb="FF2E7D57"/>
      <rgbColor rgb="FF142845"/>
      <rgbColor rgb="FF333300"/>
      <rgbColor rgb="FFC0392B"/>
      <rgbColor rgb="FF993366"/>
      <rgbColor rgb="FF333399"/>
      <rgbColor rgb="FF2B2B2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6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9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2"/>
    <col collapsed="false" customWidth="true" hidden="false" outlineLevel="0" max="3" min="3" style="0" width="14"/>
    <col collapsed="false" customWidth="true" hidden="false" outlineLevel="0" max="4" min="4" style="0" width="36"/>
    <col collapsed="false" customWidth="true" hidden="false" outlineLevel="0" max="5" min="5" style="0" width="26"/>
    <col collapsed="false" customWidth="true" hidden="false" outlineLevel="0" max="6" min="6" style="0" width="18"/>
    <col collapsed="false" customWidth="true" hidden="false" outlineLevel="0" max="7" min="7" style="0" width="12"/>
    <col collapsed="false" customWidth="true" hidden="false" outlineLevel="0" max="8" min="8" style="0" width="13"/>
    <col collapsed="false" customWidth="true" hidden="false" outlineLevel="0" max="9" min="9" style="0" width="11"/>
    <col collapsed="false" customWidth="true" hidden="false" outlineLevel="0" max="10" min="10" style="0" width="12"/>
    <col collapsed="false" customWidth="true" hidden="false" outlineLevel="0" max="11" min="11" style="0" width="14"/>
    <col collapsed="false" customWidth="true" hidden="false" outlineLevel="0" max="12" min="12" style="0" width="15"/>
    <col collapsed="false" customWidth="true" hidden="false" outlineLevel="0" max="14" min="13" style="0" width="13"/>
  </cols>
  <sheetData>
    <row r="1" customFormat="false" ht="7.5" hidden="false" customHeight="true" outlineLevel="0" collapsed="false"/>
    <row r="2" customFormat="false" ht="30" hidden="false" customHeight="true" outlineLevel="0" collapsed="false">
      <c r="B2" s="1" t="s">
        <v>0</v>
      </c>
      <c r="C2" s="1"/>
      <c r="D2" s="1"/>
      <c r="E2" s="1"/>
      <c r="F2" s="1"/>
      <c r="H2" s="2" t="s">
        <v>1</v>
      </c>
      <c r="I2" s="2"/>
      <c r="J2" s="2"/>
      <c r="K2" s="2"/>
      <c r="L2" s="2"/>
      <c r="M2" s="2"/>
    </row>
    <row r="3" customFormat="false" ht="19.5" hidden="false" customHeight="true" outlineLevel="0" collapsed="false">
      <c r="B3" s="3" t="s">
        <v>2</v>
      </c>
      <c r="C3" s="3"/>
      <c r="D3" s="3"/>
      <c r="E3" s="3"/>
      <c r="F3" s="3"/>
      <c r="H3" s="4" t="s">
        <v>3</v>
      </c>
      <c r="I3" s="4"/>
      <c r="J3" s="4"/>
      <c r="K3" s="4"/>
      <c r="L3" s="4"/>
      <c r="M3" s="4"/>
    </row>
    <row r="4" customFormat="false" ht="3" hidden="false" customHeight="true" outlineLevel="0" collapsed="false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customFormat="false" ht="9.75" hidden="false" customHeight="true" outlineLevel="0" collapsed="false"/>
    <row r="6" customFormat="false" ht="21.75" hidden="false" customHeight="true" outlineLevel="0" collapsed="false"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customFormat="false" ht="18" hidden="false" customHeight="true" outlineLevel="0" collapsed="false">
      <c r="B7" s="7" t="s">
        <v>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customFormat="false" ht="7.5" hidden="false" customHeight="true" outlineLevel="0" collapsed="false"/>
    <row r="9" customFormat="false" ht="33.75" hidden="false" customHeight="true" outlineLevel="0" collapsed="false"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8" t="s">
        <v>11</v>
      </c>
      <c r="H9" s="8" t="s">
        <v>12</v>
      </c>
      <c r="I9" s="8" t="s">
        <v>13</v>
      </c>
      <c r="J9" s="8" t="s">
        <v>14</v>
      </c>
      <c r="K9" s="8" t="s">
        <v>15</v>
      </c>
      <c r="L9" s="8" t="s">
        <v>16</v>
      </c>
      <c r="M9" s="8" t="s">
        <v>17</v>
      </c>
      <c r="N9" s="8" t="s">
        <v>18</v>
      </c>
    </row>
    <row r="10" customFormat="false" ht="15" hidden="false" customHeight="false" outlineLevel="0" collapsed="false">
      <c r="B10" s="9" t="n">
        <v>1</v>
      </c>
      <c r="C10" s="10" t="n">
        <v>46027</v>
      </c>
      <c r="D10" s="9" t="s">
        <v>19</v>
      </c>
      <c r="E10" s="11" t="s">
        <v>20</v>
      </c>
      <c r="F10" s="11" t="s">
        <v>21</v>
      </c>
      <c r="G10" s="11" t="s">
        <v>22</v>
      </c>
      <c r="H10" s="9" t="s">
        <v>23</v>
      </c>
      <c r="I10" s="12" t="n">
        <v>2500</v>
      </c>
      <c r="J10" s="13" t="n">
        <v>0.19</v>
      </c>
      <c r="K10" s="14" t="n">
        <f aca="false">IF(I10="","",I10*J10)</f>
        <v>475</v>
      </c>
      <c r="L10" s="15" t="n">
        <f aca="false">IF(I10="","",I10+K10)</f>
        <v>2975</v>
      </c>
      <c r="M10" s="9" t="s">
        <v>24</v>
      </c>
      <c r="N10" s="10" t="n">
        <v>46042</v>
      </c>
    </row>
    <row r="11" customFormat="false" ht="15" hidden="false" customHeight="false" outlineLevel="0" collapsed="false">
      <c r="B11" s="16" t="n">
        <v>2</v>
      </c>
      <c r="C11" s="17" t="n">
        <v>46030</v>
      </c>
      <c r="D11" s="16" t="s">
        <v>25</v>
      </c>
      <c r="E11" s="18" t="s">
        <v>26</v>
      </c>
      <c r="F11" s="18" t="s">
        <v>27</v>
      </c>
      <c r="G11" s="18" t="s">
        <v>28</v>
      </c>
      <c r="H11" s="16" t="s">
        <v>29</v>
      </c>
      <c r="I11" s="19" t="n">
        <v>850</v>
      </c>
      <c r="J11" s="20" t="n">
        <v>0.19</v>
      </c>
      <c r="K11" s="21" t="n">
        <f aca="false">IF(I11="","",I11*J11)</f>
        <v>161.5</v>
      </c>
      <c r="L11" s="22" t="n">
        <f aca="false">IF(I11="","",I11+K11)</f>
        <v>1011.5</v>
      </c>
      <c r="M11" s="16" t="s">
        <v>24</v>
      </c>
      <c r="N11" s="17" t="n">
        <v>46030</v>
      </c>
    </row>
    <row r="12" customFormat="false" ht="15" hidden="false" customHeight="false" outlineLevel="0" collapsed="false">
      <c r="B12" s="9" t="n">
        <v>3</v>
      </c>
      <c r="C12" s="10" t="n">
        <v>46032</v>
      </c>
      <c r="D12" s="9" t="s">
        <v>30</v>
      </c>
      <c r="E12" s="11" t="s">
        <v>31</v>
      </c>
      <c r="F12" s="11" t="s">
        <v>32</v>
      </c>
      <c r="G12" s="11" t="s">
        <v>33</v>
      </c>
      <c r="H12" s="9" t="s">
        <v>29</v>
      </c>
      <c r="I12" s="12" t="n">
        <v>49</v>
      </c>
      <c r="J12" s="13" t="n">
        <v>0.19</v>
      </c>
      <c r="K12" s="14" t="n">
        <f aca="false">IF(I12="","",I12*J12)</f>
        <v>9.31</v>
      </c>
      <c r="L12" s="15" t="n">
        <f aca="false">IF(I12="","",I12+K12)</f>
        <v>58.31</v>
      </c>
      <c r="M12" s="9" t="s">
        <v>24</v>
      </c>
      <c r="N12" s="10" t="n">
        <v>46032</v>
      </c>
    </row>
    <row r="13" customFormat="false" ht="15" hidden="false" customHeight="false" outlineLevel="0" collapsed="false">
      <c r="B13" s="16" t="n">
        <v>4</v>
      </c>
      <c r="C13" s="17" t="n">
        <v>46037</v>
      </c>
      <c r="D13" s="16" t="s">
        <v>34</v>
      </c>
      <c r="E13" s="18" t="s">
        <v>35</v>
      </c>
      <c r="F13" s="18" t="s">
        <v>36</v>
      </c>
      <c r="G13" s="18" t="s">
        <v>37</v>
      </c>
      <c r="H13" s="16" t="s">
        <v>23</v>
      </c>
      <c r="I13" s="19" t="n">
        <v>1800</v>
      </c>
      <c r="J13" s="20" t="n">
        <v>0.19</v>
      </c>
      <c r="K13" s="21" t="n">
        <f aca="false">IF(I13="","",I13*J13)</f>
        <v>342</v>
      </c>
      <c r="L13" s="22" t="n">
        <f aca="false">IF(I13="","",I13+K13)</f>
        <v>2142</v>
      </c>
      <c r="M13" s="16" t="s">
        <v>24</v>
      </c>
      <c r="N13" s="17" t="n">
        <v>46056</v>
      </c>
    </row>
    <row r="14" customFormat="false" ht="15" hidden="false" customHeight="false" outlineLevel="0" collapsed="false">
      <c r="B14" s="9" t="n">
        <v>5</v>
      </c>
      <c r="C14" s="10" t="n">
        <v>46044</v>
      </c>
      <c r="D14" s="9" t="s">
        <v>38</v>
      </c>
      <c r="E14" s="11" t="s">
        <v>39</v>
      </c>
      <c r="F14" s="11" t="s">
        <v>40</v>
      </c>
      <c r="G14" s="11" t="s">
        <v>39</v>
      </c>
      <c r="H14" s="9" t="s">
        <v>29</v>
      </c>
      <c r="I14" s="12" t="n">
        <v>78.5</v>
      </c>
      <c r="J14" s="13" t="n">
        <v>0.19</v>
      </c>
      <c r="K14" s="14" t="n">
        <f aca="false">IF(I14="","",I14*J14)</f>
        <v>14.915</v>
      </c>
      <c r="L14" s="15" t="n">
        <f aca="false">IF(I14="","",I14+K14)</f>
        <v>93.415</v>
      </c>
      <c r="M14" s="9" t="s">
        <v>24</v>
      </c>
      <c r="N14" s="10" t="n">
        <v>46044</v>
      </c>
    </row>
    <row r="15" customFormat="false" ht="15" hidden="false" customHeight="false" outlineLevel="0" collapsed="false">
      <c r="B15" s="16" t="n">
        <v>6</v>
      </c>
      <c r="C15" s="17" t="n">
        <v>46055</v>
      </c>
      <c r="D15" s="16" t="s">
        <v>41</v>
      </c>
      <c r="E15" s="18" t="s">
        <v>42</v>
      </c>
      <c r="F15" s="18" t="s">
        <v>21</v>
      </c>
      <c r="G15" s="18" t="s">
        <v>22</v>
      </c>
      <c r="H15" s="16" t="s">
        <v>23</v>
      </c>
      <c r="I15" s="19" t="n">
        <v>2500</v>
      </c>
      <c r="J15" s="20" t="n">
        <v>0.19</v>
      </c>
      <c r="K15" s="21" t="n">
        <f aca="false">IF(I15="","",I15*J15)</f>
        <v>475</v>
      </c>
      <c r="L15" s="22" t="n">
        <f aca="false">IF(I15="","",I15+K15)</f>
        <v>2975</v>
      </c>
      <c r="M15" s="16" t="s">
        <v>24</v>
      </c>
      <c r="N15" s="17" t="n">
        <v>46071</v>
      </c>
    </row>
    <row r="16" customFormat="false" ht="15" hidden="false" customHeight="false" outlineLevel="0" collapsed="false">
      <c r="B16" s="9" t="n">
        <v>7</v>
      </c>
      <c r="C16" s="10" t="n">
        <v>46061</v>
      </c>
      <c r="D16" s="9" t="s">
        <v>43</v>
      </c>
      <c r="E16" s="11" t="s">
        <v>44</v>
      </c>
      <c r="F16" s="11" t="s">
        <v>27</v>
      </c>
      <c r="G16" s="11" t="s">
        <v>28</v>
      </c>
      <c r="H16" s="9" t="s">
        <v>29</v>
      </c>
      <c r="I16" s="12" t="n">
        <v>850</v>
      </c>
      <c r="J16" s="13" t="n">
        <v>0.19</v>
      </c>
      <c r="K16" s="14" t="n">
        <f aca="false">IF(I16="","",I16*J16)</f>
        <v>161.5</v>
      </c>
      <c r="L16" s="15" t="n">
        <f aca="false">IF(I16="","",I16+K16)</f>
        <v>1011.5</v>
      </c>
      <c r="M16" s="9" t="s">
        <v>24</v>
      </c>
      <c r="N16" s="10" t="n">
        <v>46061</v>
      </c>
    </row>
    <row r="17" customFormat="false" ht="15" hidden="false" customHeight="false" outlineLevel="0" collapsed="false">
      <c r="B17" s="16" t="n">
        <v>8</v>
      </c>
      <c r="C17" s="17" t="n">
        <v>46065</v>
      </c>
      <c r="D17" s="16" t="s">
        <v>45</v>
      </c>
      <c r="E17" s="18" t="s">
        <v>46</v>
      </c>
      <c r="F17" s="18" t="s">
        <v>47</v>
      </c>
      <c r="G17" s="18" t="s">
        <v>46</v>
      </c>
      <c r="H17" s="16" t="s">
        <v>29</v>
      </c>
      <c r="I17" s="19" t="n">
        <v>42</v>
      </c>
      <c r="J17" s="20" t="n">
        <v>0.07</v>
      </c>
      <c r="K17" s="21" t="n">
        <f aca="false">IF(I17="","",I17*J17)</f>
        <v>2.94</v>
      </c>
      <c r="L17" s="22" t="n">
        <f aca="false">IF(I17="","",I17+K17)</f>
        <v>44.94</v>
      </c>
      <c r="M17" s="16" t="s">
        <v>24</v>
      </c>
      <c r="N17" s="17" t="n">
        <v>46065</v>
      </c>
    </row>
    <row r="18" customFormat="false" ht="15" hidden="false" customHeight="false" outlineLevel="0" collapsed="false">
      <c r="B18" s="9" t="n">
        <v>9</v>
      </c>
      <c r="C18" s="10" t="n">
        <v>46071</v>
      </c>
      <c r="D18" s="9" t="s">
        <v>48</v>
      </c>
      <c r="E18" s="11" t="s">
        <v>49</v>
      </c>
      <c r="F18" s="11" t="s">
        <v>50</v>
      </c>
      <c r="G18" s="11" t="s">
        <v>51</v>
      </c>
      <c r="H18" s="9" t="s">
        <v>23</v>
      </c>
      <c r="I18" s="12" t="n">
        <v>3200</v>
      </c>
      <c r="J18" s="13" t="n">
        <v>0.19</v>
      </c>
      <c r="K18" s="14" t="n">
        <f aca="false">IF(I18="","",I18*J18)</f>
        <v>608</v>
      </c>
      <c r="L18" s="15" t="n">
        <f aca="false">IF(I18="","",I18+K18)</f>
        <v>3808</v>
      </c>
      <c r="M18" s="9" t="s">
        <v>24</v>
      </c>
      <c r="N18" s="10" t="n">
        <v>46085</v>
      </c>
    </row>
    <row r="19" customFormat="false" ht="15" hidden="false" customHeight="false" outlineLevel="0" collapsed="false">
      <c r="B19" s="16" t="n">
        <v>10</v>
      </c>
      <c r="C19" s="17" t="n">
        <v>46078</v>
      </c>
      <c r="D19" s="16" t="s">
        <v>52</v>
      </c>
      <c r="E19" s="18" t="s">
        <v>53</v>
      </c>
      <c r="F19" s="18" t="s">
        <v>54</v>
      </c>
      <c r="G19" s="18" t="s">
        <v>55</v>
      </c>
      <c r="H19" s="16" t="s">
        <v>29</v>
      </c>
      <c r="I19" s="19" t="n">
        <v>89.9</v>
      </c>
      <c r="J19" s="20" t="n">
        <v>0.19</v>
      </c>
      <c r="K19" s="21" t="n">
        <f aca="false">IF(I19="","",I19*J19)</f>
        <v>17.081</v>
      </c>
      <c r="L19" s="22" t="n">
        <f aca="false">IF(I19="","",I19+K19)</f>
        <v>106.981</v>
      </c>
      <c r="M19" s="16" t="s">
        <v>24</v>
      </c>
      <c r="N19" s="17" t="n">
        <v>46078</v>
      </c>
    </row>
    <row r="20" customFormat="false" ht="15" hidden="false" customHeight="false" outlineLevel="0" collapsed="false">
      <c r="B20" s="9" t="n">
        <v>11</v>
      </c>
      <c r="C20" s="10" t="n">
        <v>46084</v>
      </c>
      <c r="D20" s="9" t="s">
        <v>56</v>
      </c>
      <c r="E20" s="11" t="s">
        <v>57</v>
      </c>
      <c r="F20" s="11" t="s">
        <v>21</v>
      </c>
      <c r="G20" s="11" t="s">
        <v>22</v>
      </c>
      <c r="H20" s="9" t="s">
        <v>23</v>
      </c>
      <c r="I20" s="12" t="n">
        <v>2500</v>
      </c>
      <c r="J20" s="13" t="n">
        <v>0.19</v>
      </c>
      <c r="K20" s="14" t="n">
        <f aca="false">IF(I20="","",I20*J20)</f>
        <v>475</v>
      </c>
      <c r="L20" s="15" t="n">
        <f aca="false">IF(I20="","",I20+K20)</f>
        <v>2975</v>
      </c>
      <c r="M20" s="9" t="s">
        <v>24</v>
      </c>
      <c r="N20" s="10" t="n">
        <v>46098</v>
      </c>
    </row>
    <row r="21" customFormat="false" ht="15" hidden="false" customHeight="false" outlineLevel="0" collapsed="false">
      <c r="B21" s="16" t="n">
        <v>12</v>
      </c>
      <c r="C21" s="17" t="n">
        <v>46091</v>
      </c>
      <c r="D21" s="16" t="s">
        <v>58</v>
      </c>
      <c r="E21" s="18" t="s">
        <v>59</v>
      </c>
      <c r="F21" s="18" t="s">
        <v>60</v>
      </c>
      <c r="G21" s="18" t="s">
        <v>61</v>
      </c>
      <c r="H21" s="16" t="s">
        <v>29</v>
      </c>
      <c r="I21" s="19" t="n">
        <v>156</v>
      </c>
      <c r="J21" s="20" t="n">
        <v>0.07</v>
      </c>
      <c r="K21" s="21" t="n">
        <f aca="false">IF(I21="","",I21*J21)</f>
        <v>10.92</v>
      </c>
      <c r="L21" s="22" t="n">
        <f aca="false">IF(I21="","",I21+K21)</f>
        <v>166.92</v>
      </c>
      <c r="M21" s="16" t="s">
        <v>24</v>
      </c>
      <c r="N21" s="17" t="n">
        <v>46091</v>
      </c>
    </row>
    <row r="22" customFormat="false" ht="15" hidden="false" customHeight="false" outlineLevel="0" collapsed="false">
      <c r="B22" s="9" t="n">
        <v>13</v>
      </c>
      <c r="C22" s="10" t="n">
        <v>46096</v>
      </c>
      <c r="D22" s="9" t="s">
        <v>62</v>
      </c>
      <c r="E22" s="11" t="s">
        <v>63</v>
      </c>
      <c r="F22" s="11" t="s">
        <v>64</v>
      </c>
      <c r="G22" s="11" t="s">
        <v>65</v>
      </c>
      <c r="H22" s="9" t="s">
        <v>23</v>
      </c>
      <c r="I22" s="12" t="n">
        <v>4500</v>
      </c>
      <c r="J22" s="13" t="n">
        <v>0.19</v>
      </c>
      <c r="K22" s="14" t="n">
        <f aca="false">IF(I22="","",I22*J22)</f>
        <v>855</v>
      </c>
      <c r="L22" s="15" t="n">
        <f aca="false">IF(I22="","",I22+K22)</f>
        <v>5355</v>
      </c>
      <c r="M22" s="9" t="s">
        <v>66</v>
      </c>
      <c r="N22" s="10"/>
    </row>
    <row r="23" customFormat="false" ht="15" hidden="false" customHeight="false" outlineLevel="0" collapsed="false">
      <c r="B23" s="16" t="n">
        <v>14</v>
      </c>
      <c r="C23" s="17" t="n">
        <v>46101</v>
      </c>
      <c r="D23" s="16" t="s">
        <v>67</v>
      </c>
      <c r="E23" s="18" t="s">
        <v>68</v>
      </c>
      <c r="F23" s="18" t="s">
        <v>69</v>
      </c>
      <c r="G23" s="18" t="s">
        <v>70</v>
      </c>
      <c r="H23" s="16" t="s">
        <v>29</v>
      </c>
      <c r="I23" s="19" t="n">
        <v>320</v>
      </c>
      <c r="J23" s="20" t="n">
        <v>0.19</v>
      </c>
      <c r="K23" s="21" t="n">
        <f aca="false">IF(I23="","",I23*J23)</f>
        <v>60.8</v>
      </c>
      <c r="L23" s="22" t="n">
        <f aca="false">IF(I23="","",I23+K23)</f>
        <v>380.8</v>
      </c>
      <c r="M23" s="16" t="s">
        <v>24</v>
      </c>
      <c r="N23" s="17" t="n">
        <v>46101</v>
      </c>
    </row>
    <row r="24" customFormat="false" ht="15" hidden="false" customHeight="false" outlineLevel="0" collapsed="false">
      <c r="B24" s="9" t="n">
        <v>15</v>
      </c>
      <c r="C24" s="10" t="n">
        <v>46117</v>
      </c>
      <c r="D24" s="9" t="s">
        <v>71</v>
      </c>
      <c r="E24" s="11" t="s">
        <v>72</v>
      </c>
      <c r="F24" s="11" t="s">
        <v>21</v>
      </c>
      <c r="G24" s="11" t="s">
        <v>22</v>
      </c>
      <c r="H24" s="9" t="s">
        <v>23</v>
      </c>
      <c r="I24" s="12" t="n">
        <v>2500</v>
      </c>
      <c r="J24" s="13" t="n">
        <v>0.19</v>
      </c>
      <c r="K24" s="14" t="n">
        <f aca="false">IF(I24="","",I24*J24)</f>
        <v>475</v>
      </c>
      <c r="L24" s="15" t="n">
        <f aca="false">IF(I24="","",I24+K24)</f>
        <v>2975</v>
      </c>
      <c r="M24" s="9" t="s">
        <v>24</v>
      </c>
      <c r="N24" s="10" t="n">
        <v>46132</v>
      </c>
    </row>
    <row r="25" customFormat="false" ht="15" hidden="false" customHeight="false" outlineLevel="0" collapsed="false">
      <c r="B25" s="16" t="n">
        <v>16</v>
      </c>
      <c r="C25" s="17" t="n">
        <v>46124</v>
      </c>
      <c r="D25" s="16" t="s">
        <v>73</v>
      </c>
      <c r="E25" s="18" t="s">
        <v>39</v>
      </c>
      <c r="F25" s="18" t="s">
        <v>40</v>
      </c>
      <c r="G25" s="18" t="s">
        <v>39</v>
      </c>
      <c r="H25" s="16" t="s">
        <v>29</v>
      </c>
      <c r="I25" s="19" t="n">
        <v>65.4</v>
      </c>
      <c r="J25" s="20" t="n">
        <v>0.19</v>
      </c>
      <c r="K25" s="21" t="n">
        <f aca="false">IF(I25="","",I25*J25)</f>
        <v>12.426</v>
      </c>
      <c r="L25" s="22" t="n">
        <f aca="false">IF(I25="","",I25+K25)</f>
        <v>77.826</v>
      </c>
      <c r="M25" s="16" t="s">
        <v>24</v>
      </c>
      <c r="N25" s="17" t="n">
        <v>46124</v>
      </c>
    </row>
    <row r="26" customFormat="false" ht="15" hidden="false" customHeight="false" outlineLevel="0" collapsed="false">
      <c r="B26" s="9" t="n">
        <v>17</v>
      </c>
      <c r="C26" s="10" t="n">
        <v>46130</v>
      </c>
      <c r="D26" s="9" t="s">
        <v>74</v>
      </c>
      <c r="E26" s="11" t="s">
        <v>75</v>
      </c>
      <c r="F26" s="11" t="s">
        <v>76</v>
      </c>
      <c r="G26" s="11" t="s">
        <v>77</v>
      </c>
      <c r="H26" s="9" t="s">
        <v>23</v>
      </c>
      <c r="I26" s="12" t="n">
        <v>5800</v>
      </c>
      <c r="J26" s="13" t="n">
        <v>0.19</v>
      </c>
      <c r="K26" s="14" t="n">
        <f aca="false">IF(I26="","",I26*J26)</f>
        <v>1102</v>
      </c>
      <c r="L26" s="15" t="n">
        <f aca="false">IF(I26="","",I26+K26)</f>
        <v>6902</v>
      </c>
      <c r="M26" s="9" t="s">
        <v>24</v>
      </c>
      <c r="N26" s="10" t="n">
        <v>46147</v>
      </c>
    </row>
    <row r="27" customFormat="false" ht="15" hidden="false" customHeight="false" outlineLevel="0" collapsed="false">
      <c r="B27" s="16" t="n">
        <v>18</v>
      </c>
      <c r="C27" s="17" t="n">
        <v>46137</v>
      </c>
      <c r="D27" s="16" t="s">
        <v>78</v>
      </c>
      <c r="E27" s="18" t="s">
        <v>79</v>
      </c>
      <c r="F27" s="18" t="s">
        <v>32</v>
      </c>
      <c r="G27" s="18" t="s">
        <v>33</v>
      </c>
      <c r="H27" s="16" t="s">
        <v>29</v>
      </c>
      <c r="I27" s="19" t="n">
        <v>599</v>
      </c>
      <c r="J27" s="20" t="n">
        <v>0.19</v>
      </c>
      <c r="K27" s="21" t="n">
        <f aca="false">IF(I27="","",I27*J27)</f>
        <v>113.81</v>
      </c>
      <c r="L27" s="22" t="n">
        <f aca="false">IF(I27="","",I27+K27)</f>
        <v>712.81</v>
      </c>
      <c r="M27" s="16" t="s">
        <v>24</v>
      </c>
      <c r="N27" s="17" t="n">
        <v>46137</v>
      </c>
    </row>
    <row r="28" customFormat="false" ht="15" hidden="false" customHeight="false" outlineLevel="0" collapsed="false">
      <c r="B28" s="9" t="n">
        <v>19</v>
      </c>
      <c r="C28" s="10" t="n">
        <v>46150</v>
      </c>
      <c r="D28" s="9" t="s">
        <v>80</v>
      </c>
      <c r="E28" s="11" t="s">
        <v>81</v>
      </c>
      <c r="F28" s="11" t="s">
        <v>21</v>
      </c>
      <c r="G28" s="11" t="s">
        <v>22</v>
      </c>
      <c r="H28" s="9" t="s">
        <v>23</v>
      </c>
      <c r="I28" s="12" t="n">
        <v>2500</v>
      </c>
      <c r="J28" s="13" t="n">
        <v>0.19</v>
      </c>
      <c r="K28" s="14" t="n">
        <f aca="false">IF(I28="","",I28*J28)</f>
        <v>475</v>
      </c>
      <c r="L28" s="15" t="n">
        <f aca="false">IF(I28="","",I28+K28)</f>
        <v>2975</v>
      </c>
      <c r="M28" s="9" t="s">
        <v>24</v>
      </c>
      <c r="N28" s="10" t="n">
        <v>46164</v>
      </c>
    </row>
    <row r="29" customFormat="false" ht="15" hidden="false" customHeight="false" outlineLevel="0" collapsed="false">
      <c r="B29" s="16" t="n">
        <v>20</v>
      </c>
      <c r="C29" s="17" t="n">
        <v>46157</v>
      </c>
      <c r="D29" s="16" t="s">
        <v>82</v>
      </c>
      <c r="E29" s="18" t="s">
        <v>83</v>
      </c>
      <c r="F29" s="18" t="s">
        <v>84</v>
      </c>
      <c r="G29" s="18" t="s">
        <v>85</v>
      </c>
      <c r="H29" s="16" t="s">
        <v>29</v>
      </c>
      <c r="I29" s="19" t="n">
        <v>750</v>
      </c>
      <c r="J29" s="20" t="n">
        <v>0.19</v>
      </c>
      <c r="K29" s="21" t="n">
        <f aca="false">IF(I29="","",I29*J29)</f>
        <v>142.5</v>
      </c>
      <c r="L29" s="22" t="n">
        <f aca="false">IF(I29="","",I29+K29)</f>
        <v>892.5</v>
      </c>
      <c r="M29" s="16" t="s">
        <v>66</v>
      </c>
      <c r="N29" s="17"/>
    </row>
    <row r="30" customFormat="false" ht="15" hidden="false" customHeight="false" outlineLevel="0" collapsed="false">
      <c r="B30" s="9" t="n">
        <v>21</v>
      </c>
      <c r="C30" s="10" t="n">
        <v>46164</v>
      </c>
      <c r="D30" s="9" t="s">
        <v>86</v>
      </c>
      <c r="E30" s="11" t="s">
        <v>87</v>
      </c>
      <c r="F30" s="11" t="s">
        <v>88</v>
      </c>
      <c r="G30" s="11" t="s">
        <v>37</v>
      </c>
      <c r="H30" s="9" t="s">
        <v>23</v>
      </c>
      <c r="I30" s="12" t="n">
        <v>2200</v>
      </c>
      <c r="J30" s="13" t="n">
        <v>0.19</v>
      </c>
      <c r="K30" s="14" t="n">
        <f aca="false">IF(I30="","",I30*J30)</f>
        <v>418</v>
      </c>
      <c r="L30" s="15" t="n">
        <f aca="false">IF(I30="","",I30+K30)</f>
        <v>2618</v>
      </c>
      <c r="M30" s="9" t="s">
        <v>24</v>
      </c>
      <c r="N30" s="10" t="n">
        <v>46181</v>
      </c>
    </row>
    <row r="31" customFormat="false" ht="15" hidden="false" customHeight="false" outlineLevel="0" collapsed="false">
      <c r="B31" s="16" t="n">
        <v>22</v>
      </c>
      <c r="C31" s="17" t="n">
        <v>46178</v>
      </c>
      <c r="D31" s="16" t="s">
        <v>89</v>
      </c>
      <c r="E31" s="18" t="s">
        <v>90</v>
      </c>
      <c r="F31" s="18" t="s">
        <v>21</v>
      </c>
      <c r="G31" s="18" t="s">
        <v>22</v>
      </c>
      <c r="H31" s="16" t="s">
        <v>23</v>
      </c>
      <c r="I31" s="19" t="n">
        <v>2500</v>
      </c>
      <c r="J31" s="20" t="n">
        <v>0.19</v>
      </c>
      <c r="K31" s="21" t="n">
        <f aca="false">IF(I31="","",I31*J31)</f>
        <v>475</v>
      </c>
      <c r="L31" s="22" t="n">
        <f aca="false">IF(I31="","",I31+K31)</f>
        <v>2975</v>
      </c>
      <c r="M31" s="16" t="s">
        <v>24</v>
      </c>
      <c r="N31" s="17" t="n">
        <v>46192</v>
      </c>
    </row>
    <row r="32" customFormat="false" ht="15" hidden="false" customHeight="false" outlineLevel="0" collapsed="false">
      <c r="B32" s="9" t="n">
        <v>23</v>
      </c>
      <c r="C32" s="10" t="n">
        <v>46185</v>
      </c>
      <c r="D32" s="9" t="s">
        <v>91</v>
      </c>
      <c r="E32" s="11" t="s">
        <v>92</v>
      </c>
      <c r="F32" s="11" t="s">
        <v>27</v>
      </c>
      <c r="G32" s="11" t="s">
        <v>28</v>
      </c>
      <c r="H32" s="9" t="s">
        <v>29</v>
      </c>
      <c r="I32" s="12" t="n">
        <v>850</v>
      </c>
      <c r="J32" s="13" t="n">
        <v>0.19</v>
      </c>
      <c r="K32" s="14" t="n">
        <f aca="false">IF(I32="","",I32*J32)</f>
        <v>161.5</v>
      </c>
      <c r="L32" s="15" t="n">
        <f aca="false">IF(I32="","",I32+K32)</f>
        <v>1011.5</v>
      </c>
      <c r="M32" s="9" t="s">
        <v>24</v>
      </c>
      <c r="N32" s="10" t="n">
        <v>46185</v>
      </c>
    </row>
    <row r="33" customFormat="false" ht="15" hidden="false" customHeight="false" outlineLevel="0" collapsed="false">
      <c r="B33" s="16" t="n">
        <v>24</v>
      </c>
      <c r="C33" s="17" t="n">
        <v>46193</v>
      </c>
      <c r="D33" s="16" t="s">
        <v>93</v>
      </c>
      <c r="E33" s="18" t="s">
        <v>94</v>
      </c>
      <c r="F33" s="18" t="s">
        <v>95</v>
      </c>
      <c r="G33" s="18" t="s">
        <v>51</v>
      </c>
      <c r="H33" s="16" t="s">
        <v>23</v>
      </c>
      <c r="I33" s="19" t="n">
        <v>3800</v>
      </c>
      <c r="J33" s="20" t="n">
        <v>0.19</v>
      </c>
      <c r="K33" s="21" t="n">
        <f aca="false">IF(I33="","",I33*J33)</f>
        <v>722</v>
      </c>
      <c r="L33" s="22" t="n">
        <f aca="false">IF(I33="","",I33+K33)</f>
        <v>4522</v>
      </c>
      <c r="M33" s="16" t="s">
        <v>66</v>
      </c>
      <c r="N33" s="17"/>
    </row>
    <row r="34" customFormat="false" ht="15" hidden="false" customHeight="false" outlineLevel="0" collapsed="false">
      <c r="B34" s="9"/>
      <c r="C34" s="10"/>
      <c r="D34" s="9"/>
      <c r="E34" s="11"/>
      <c r="F34" s="11"/>
      <c r="G34" s="11"/>
      <c r="H34" s="9"/>
      <c r="I34" s="12"/>
      <c r="J34" s="13"/>
      <c r="K34" s="14" t="str">
        <f aca="false">IF(I34="","",I34*J34)</f>
        <v/>
      </c>
      <c r="L34" s="15" t="str">
        <f aca="false">IF(I34="","",I34+K34)</f>
        <v/>
      </c>
      <c r="M34" s="9"/>
      <c r="N34" s="10"/>
    </row>
    <row r="35" customFormat="false" ht="15" hidden="false" customHeight="false" outlineLevel="0" collapsed="false">
      <c r="B35" s="16"/>
      <c r="C35" s="17"/>
      <c r="D35" s="16"/>
      <c r="E35" s="18"/>
      <c r="F35" s="18"/>
      <c r="G35" s="18"/>
      <c r="H35" s="16"/>
      <c r="I35" s="19"/>
      <c r="J35" s="20"/>
      <c r="K35" s="21" t="str">
        <f aca="false">IF(I35="","",I35*J35)</f>
        <v/>
      </c>
      <c r="L35" s="22" t="str">
        <f aca="false">IF(I35="","",I35+K35)</f>
        <v/>
      </c>
      <c r="M35" s="16"/>
      <c r="N35" s="17"/>
    </row>
    <row r="36" customFormat="false" ht="15" hidden="false" customHeight="false" outlineLevel="0" collapsed="false">
      <c r="B36" s="9"/>
      <c r="C36" s="10"/>
      <c r="D36" s="9"/>
      <c r="E36" s="11"/>
      <c r="F36" s="11"/>
      <c r="G36" s="11"/>
      <c r="H36" s="9"/>
      <c r="I36" s="12"/>
      <c r="J36" s="13"/>
      <c r="K36" s="14" t="str">
        <f aca="false">IF(I36="","",I36*J36)</f>
        <v/>
      </c>
      <c r="L36" s="15" t="str">
        <f aca="false">IF(I36="","",I36+K36)</f>
        <v/>
      </c>
      <c r="M36" s="9"/>
      <c r="N36" s="10"/>
    </row>
    <row r="37" customFormat="false" ht="15" hidden="false" customHeight="false" outlineLevel="0" collapsed="false">
      <c r="B37" s="16"/>
      <c r="C37" s="17"/>
      <c r="D37" s="16"/>
      <c r="E37" s="18"/>
      <c r="F37" s="18"/>
      <c r="G37" s="18"/>
      <c r="H37" s="16"/>
      <c r="I37" s="19"/>
      <c r="J37" s="20"/>
      <c r="K37" s="21" t="str">
        <f aca="false">IF(I37="","",I37*J37)</f>
        <v/>
      </c>
      <c r="L37" s="22" t="str">
        <f aca="false">IF(I37="","",I37+K37)</f>
        <v/>
      </c>
      <c r="M37" s="16"/>
      <c r="N37" s="17"/>
    </row>
    <row r="38" customFormat="false" ht="15" hidden="false" customHeight="false" outlineLevel="0" collapsed="false">
      <c r="B38" s="9"/>
      <c r="C38" s="10"/>
      <c r="D38" s="9"/>
      <c r="E38" s="11"/>
      <c r="F38" s="11"/>
      <c r="G38" s="11"/>
      <c r="H38" s="9"/>
      <c r="I38" s="12"/>
      <c r="J38" s="13"/>
      <c r="K38" s="14" t="str">
        <f aca="false">IF(I38="","",I38*J38)</f>
        <v/>
      </c>
      <c r="L38" s="15" t="str">
        <f aca="false">IF(I38="","",I38+K38)</f>
        <v/>
      </c>
      <c r="M38" s="9"/>
      <c r="N38" s="10"/>
    </row>
    <row r="39" customFormat="false" ht="15" hidden="false" customHeight="false" outlineLevel="0" collapsed="false">
      <c r="B39" s="16"/>
      <c r="C39" s="17"/>
      <c r="D39" s="16"/>
      <c r="E39" s="18"/>
      <c r="F39" s="18"/>
      <c r="G39" s="18"/>
      <c r="H39" s="16"/>
      <c r="I39" s="19"/>
      <c r="J39" s="20"/>
      <c r="K39" s="21" t="str">
        <f aca="false">IF(I39="","",I39*J39)</f>
        <v/>
      </c>
      <c r="L39" s="22" t="str">
        <f aca="false">IF(I39="","",I39+K39)</f>
        <v/>
      </c>
      <c r="M39" s="16"/>
      <c r="N39" s="17"/>
    </row>
    <row r="40" customFormat="false" ht="15" hidden="false" customHeight="false" outlineLevel="0" collapsed="false">
      <c r="B40" s="9"/>
      <c r="C40" s="10"/>
      <c r="D40" s="9"/>
      <c r="E40" s="11"/>
      <c r="F40" s="11"/>
      <c r="G40" s="11"/>
      <c r="H40" s="9"/>
      <c r="I40" s="12"/>
      <c r="J40" s="13"/>
      <c r="K40" s="14" t="str">
        <f aca="false">IF(I40="","",I40*J40)</f>
        <v/>
      </c>
      <c r="L40" s="15" t="str">
        <f aca="false">IF(I40="","",I40+K40)</f>
        <v/>
      </c>
      <c r="M40" s="9"/>
      <c r="N40" s="10"/>
    </row>
    <row r="41" customFormat="false" ht="15" hidden="false" customHeight="false" outlineLevel="0" collapsed="false">
      <c r="B41" s="16"/>
      <c r="C41" s="17"/>
      <c r="D41" s="16"/>
      <c r="E41" s="18"/>
      <c r="F41" s="18"/>
      <c r="G41" s="18"/>
      <c r="H41" s="16"/>
      <c r="I41" s="19"/>
      <c r="J41" s="20"/>
      <c r="K41" s="21" t="str">
        <f aca="false">IF(I41="","",I41*J41)</f>
        <v/>
      </c>
      <c r="L41" s="22" t="str">
        <f aca="false">IF(I41="","",I41+K41)</f>
        <v/>
      </c>
      <c r="M41" s="16"/>
      <c r="N41" s="17"/>
    </row>
    <row r="42" customFormat="false" ht="15" hidden="false" customHeight="false" outlineLevel="0" collapsed="false">
      <c r="B42" s="9"/>
      <c r="C42" s="10"/>
      <c r="D42" s="9"/>
      <c r="E42" s="11"/>
      <c r="F42" s="11"/>
      <c r="G42" s="11"/>
      <c r="H42" s="9"/>
      <c r="I42" s="12"/>
      <c r="J42" s="13"/>
      <c r="K42" s="14" t="str">
        <f aca="false">IF(I42="","",I42*J42)</f>
        <v/>
      </c>
      <c r="L42" s="15" t="str">
        <f aca="false">IF(I42="","",I42+K42)</f>
        <v/>
      </c>
      <c r="M42" s="9"/>
      <c r="N42" s="10"/>
    </row>
    <row r="43" customFormat="false" ht="15" hidden="false" customHeight="false" outlineLevel="0" collapsed="false">
      <c r="B43" s="16"/>
      <c r="C43" s="17"/>
      <c r="D43" s="16"/>
      <c r="E43" s="18"/>
      <c r="F43" s="18"/>
      <c r="G43" s="18"/>
      <c r="H43" s="16"/>
      <c r="I43" s="19"/>
      <c r="J43" s="20"/>
      <c r="K43" s="21" t="str">
        <f aca="false">IF(I43="","",I43*J43)</f>
        <v/>
      </c>
      <c r="L43" s="22" t="str">
        <f aca="false">IF(I43="","",I43+K43)</f>
        <v/>
      </c>
      <c r="M43" s="16"/>
      <c r="N43" s="17"/>
    </row>
    <row r="44" customFormat="false" ht="15" hidden="false" customHeight="false" outlineLevel="0" collapsed="false">
      <c r="B44" s="9"/>
      <c r="C44" s="10"/>
      <c r="D44" s="9"/>
      <c r="E44" s="11"/>
      <c r="F44" s="11"/>
      <c r="G44" s="11"/>
      <c r="H44" s="9"/>
      <c r="I44" s="12"/>
      <c r="J44" s="13"/>
      <c r="K44" s="14" t="str">
        <f aca="false">IF(I44="","",I44*J44)</f>
        <v/>
      </c>
      <c r="L44" s="15" t="str">
        <f aca="false">IF(I44="","",I44+K44)</f>
        <v/>
      </c>
      <c r="M44" s="9"/>
      <c r="N44" s="10"/>
    </row>
    <row r="45" customFormat="false" ht="15" hidden="false" customHeight="false" outlineLevel="0" collapsed="false">
      <c r="B45" s="16"/>
      <c r="C45" s="17"/>
      <c r="D45" s="16"/>
      <c r="E45" s="18"/>
      <c r="F45" s="18"/>
      <c r="G45" s="18"/>
      <c r="H45" s="16"/>
      <c r="I45" s="19"/>
      <c r="J45" s="20"/>
      <c r="K45" s="21" t="str">
        <f aca="false">IF(I45="","",I45*J45)</f>
        <v/>
      </c>
      <c r="L45" s="22" t="str">
        <f aca="false">IF(I45="","",I45+K45)</f>
        <v/>
      </c>
      <c r="M45" s="16"/>
      <c r="N45" s="17"/>
    </row>
    <row r="46" customFormat="false" ht="15" hidden="false" customHeight="false" outlineLevel="0" collapsed="false">
      <c r="B46" s="9"/>
      <c r="C46" s="10"/>
      <c r="D46" s="9"/>
      <c r="E46" s="11"/>
      <c r="F46" s="11"/>
      <c r="G46" s="11"/>
      <c r="H46" s="9"/>
      <c r="I46" s="12"/>
      <c r="J46" s="13"/>
      <c r="K46" s="14" t="str">
        <f aca="false">IF(I46="","",I46*J46)</f>
        <v/>
      </c>
      <c r="L46" s="15" t="str">
        <f aca="false">IF(I46="","",I46+K46)</f>
        <v/>
      </c>
      <c r="M46" s="9"/>
      <c r="N46" s="10"/>
    </row>
    <row r="47" customFormat="false" ht="15" hidden="false" customHeight="false" outlineLevel="0" collapsed="false">
      <c r="B47" s="16"/>
      <c r="C47" s="17"/>
      <c r="D47" s="16"/>
      <c r="E47" s="18"/>
      <c r="F47" s="18"/>
      <c r="G47" s="18"/>
      <c r="H47" s="16"/>
      <c r="I47" s="19"/>
      <c r="J47" s="20"/>
      <c r="K47" s="21" t="str">
        <f aca="false">IF(I47="","",I47*J47)</f>
        <v/>
      </c>
      <c r="L47" s="22" t="str">
        <f aca="false">IF(I47="","",I47+K47)</f>
        <v/>
      </c>
      <c r="M47" s="16"/>
      <c r="N47" s="17"/>
    </row>
    <row r="48" customFormat="false" ht="15" hidden="false" customHeight="false" outlineLevel="0" collapsed="false">
      <c r="B48" s="9"/>
      <c r="C48" s="10"/>
      <c r="D48" s="9"/>
      <c r="E48" s="11"/>
      <c r="F48" s="11"/>
      <c r="G48" s="11"/>
      <c r="H48" s="9"/>
      <c r="I48" s="12"/>
      <c r="J48" s="13"/>
      <c r="K48" s="14" t="str">
        <f aca="false">IF(I48="","",I48*J48)</f>
        <v/>
      </c>
      <c r="L48" s="15" t="str">
        <f aca="false">IF(I48="","",I48+K48)</f>
        <v/>
      </c>
      <c r="M48" s="9"/>
      <c r="N48" s="10"/>
    </row>
    <row r="49" customFormat="false" ht="15" hidden="false" customHeight="false" outlineLevel="0" collapsed="false">
      <c r="B49" s="16"/>
      <c r="C49" s="17"/>
      <c r="D49" s="16"/>
      <c r="E49" s="18"/>
      <c r="F49" s="18"/>
      <c r="G49" s="18"/>
      <c r="H49" s="16"/>
      <c r="I49" s="19"/>
      <c r="J49" s="20"/>
      <c r="K49" s="21" t="str">
        <f aca="false">IF(I49="","",I49*J49)</f>
        <v/>
      </c>
      <c r="L49" s="22" t="str">
        <f aca="false">IF(I49="","",I49+K49)</f>
        <v/>
      </c>
      <c r="M49" s="16"/>
      <c r="N49" s="17"/>
    </row>
    <row r="50" customFormat="false" ht="15" hidden="false" customHeight="false" outlineLevel="0" collapsed="false">
      <c r="B50" s="9"/>
      <c r="C50" s="10"/>
      <c r="D50" s="9"/>
      <c r="E50" s="11"/>
      <c r="F50" s="11"/>
      <c r="G50" s="11"/>
      <c r="H50" s="9"/>
      <c r="I50" s="12"/>
      <c r="J50" s="13"/>
      <c r="K50" s="14" t="str">
        <f aca="false">IF(I50="","",I50*J50)</f>
        <v/>
      </c>
      <c r="L50" s="15" t="str">
        <f aca="false">IF(I50="","",I50+K50)</f>
        <v/>
      </c>
      <c r="M50" s="9"/>
      <c r="N50" s="10"/>
    </row>
    <row r="51" customFormat="false" ht="15" hidden="false" customHeight="false" outlineLevel="0" collapsed="false">
      <c r="B51" s="16"/>
      <c r="C51" s="17"/>
      <c r="D51" s="16"/>
      <c r="E51" s="18"/>
      <c r="F51" s="18"/>
      <c r="G51" s="18"/>
      <c r="H51" s="16"/>
      <c r="I51" s="19"/>
      <c r="J51" s="20"/>
      <c r="K51" s="21" t="str">
        <f aca="false">IF(I51="","",I51*J51)</f>
        <v/>
      </c>
      <c r="L51" s="22" t="str">
        <f aca="false">IF(I51="","",I51+K51)</f>
        <v/>
      </c>
      <c r="M51" s="16"/>
      <c r="N51" s="17"/>
    </row>
    <row r="52" customFormat="false" ht="15" hidden="false" customHeight="false" outlineLevel="0" collapsed="false">
      <c r="B52" s="9"/>
      <c r="C52" s="10"/>
      <c r="D52" s="9"/>
      <c r="E52" s="11"/>
      <c r="F52" s="11"/>
      <c r="G52" s="11"/>
      <c r="H52" s="9"/>
      <c r="I52" s="12"/>
      <c r="J52" s="13"/>
      <c r="K52" s="14" t="str">
        <f aca="false">IF(I52="","",I52*J52)</f>
        <v/>
      </c>
      <c r="L52" s="15" t="str">
        <f aca="false">IF(I52="","",I52+K52)</f>
        <v/>
      </c>
      <c r="M52" s="9"/>
      <c r="N52" s="10"/>
    </row>
    <row r="53" customFormat="false" ht="15" hidden="false" customHeight="false" outlineLevel="0" collapsed="false">
      <c r="B53" s="16"/>
      <c r="C53" s="17"/>
      <c r="D53" s="16"/>
      <c r="E53" s="18"/>
      <c r="F53" s="18"/>
      <c r="G53" s="18"/>
      <c r="H53" s="16"/>
      <c r="I53" s="19"/>
      <c r="J53" s="20"/>
      <c r="K53" s="21" t="str">
        <f aca="false">IF(I53="","",I53*J53)</f>
        <v/>
      </c>
      <c r="L53" s="22" t="str">
        <f aca="false">IF(I53="","",I53+K53)</f>
        <v/>
      </c>
      <c r="M53" s="16"/>
      <c r="N53" s="17"/>
    </row>
    <row r="54" customFormat="false" ht="15" hidden="false" customHeight="false" outlineLevel="0" collapsed="false">
      <c r="B54" s="9"/>
      <c r="C54" s="10"/>
      <c r="D54" s="9"/>
      <c r="E54" s="11"/>
      <c r="F54" s="11"/>
      <c r="G54" s="11"/>
      <c r="H54" s="9"/>
      <c r="I54" s="12"/>
      <c r="J54" s="13"/>
      <c r="K54" s="14" t="str">
        <f aca="false">IF(I54="","",I54*J54)</f>
        <v/>
      </c>
      <c r="L54" s="15" t="str">
        <f aca="false">IF(I54="","",I54+K54)</f>
        <v/>
      </c>
      <c r="M54" s="9"/>
      <c r="N54" s="10"/>
    </row>
    <row r="55" customFormat="false" ht="15" hidden="false" customHeight="false" outlineLevel="0" collapsed="false">
      <c r="B55" s="16"/>
      <c r="C55" s="17"/>
      <c r="D55" s="16"/>
      <c r="E55" s="18"/>
      <c r="F55" s="18"/>
      <c r="G55" s="18"/>
      <c r="H55" s="16"/>
      <c r="I55" s="19"/>
      <c r="J55" s="20"/>
      <c r="K55" s="21" t="str">
        <f aca="false">IF(I55="","",I55*J55)</f>
        <v/>
      </c>
      <c r="L55" s="22" t="str">
        <f aca="false">IF(I55="","",I55+K55)</f>
        <v/>
      </c>
      <c r="M55" s="16"/>
      <c r="N55" s="17"/>
    </row>
    <row r="56" customFormat="false" ht="15" hidden="false" customHeight="false" outlineLevel="0" collapsed="false">
      <c r="B56" s="9"/>
      <c r="C56" s="10"/>
      <c r="D56" s="9"/>
      <c r="E56" s="11"/>
      <c r="F56" s="11"/>
      <c r="G56" s="11"/>
      <c r="H56" s="9"/>
      <c r="I56" s="12"/>
      <c r="J56" s="13"/>
      <c r="K56" s="14" t="str">
        <f aca="false">IF(I56="","",I56*J56)</f>
        <v/>
      </c>
      <c r="L56" s="15" t="str">
        <f aca="false">IF(I56="","",I56+K56)</f>
        <v/>
      </c>
      <c r="M56" s="9"/>
      <c r="N56" s="10"/>
    </row>
    <row r="57" customFormat="false" ht="15" hidden="false" customHeight="false" outlineLevel="0" collapsed="false">
      <c r="B57" s="16"/>
      <c r="C57" s="17"/>
      <c r="D57" s="16"/>
      <c r="E57" s="18"/>
      <c r="F57" s="18"/>
      <c r="G57" s="18"/>
      <c r="H57" s="16"/>
      <c r="I57" s="19"/>
      <c r="J57" s="20"/>
      <c r="K57" s="21" t="str">
        <f aca="false">IF(I57="","",I57*J57)</f>
        <v/>
      </c>
      <c r="L57" s="22" t="str">
        <f aca="false">IF(I57="","",I57+K57)</f>
        <v/>
      </c>
      <c r="M57" s="16"/>
      <c r="N57" s="17"/>
    </row>
    <row r="58" customFormat="false" ht="15" hidden="false" customHeight="false" outlineLevel="0" collapsed="false">
      <c r="B58" s="9"/>
      <c r="C58" s="10"/>
      <c r="D58" s="9"/>
      <c r="E58" s="11"/>
      <c r="F58" s="11"/>
      <c r="G58" s="11"/>
      <c r="H58" s="9"/>
      <c r="I58" s="12"/>
      <c r="J58" s="13"/>
      <c r="K58" s="14" t="str">
        <f aca="false">IF(I58="","",I58*J58)</f>
        <v/>
      </c>
      <c r="L58" s="15" t="str">
        <f aca="false">IF(I58="","",I58+K58)</f>
        <v/>
      </c>
      <c r="M58" s="9"/>
      <c r="N58" s="10"/>
    </row>
    <row r="59" customFormat="false" ht="15" hidden="false" customHeight="false" outlineLevel="0" collapsed="false">
      <c r="B59" s="16"/>
      <c r="C59" s="17"/>
      <c r="D59" s="16"/>
      <c r="E59" s="18"/>
      <c r="F59" s="18"/>
      <c r="G59" s="18"/>
      <c r="H59" s="16"/>
      <c r="I59" s="19"/>
      <c r="J59" s="20"/>
      <c r="K59" s="21" t="str">
        <f aca="false">IF(I59="","",I59*J59)</f>
        <v/>
      </c>
      <c r="L59" s="22" t="str">
        <f aca="false">IF(I59="","",I59+K59)</f>
        <v/>
      </c>
      <c r="M59" s="16"/>
      <c r="N59" s="17"/>
    </row>
    <row r="60" customFormat="false" ht="15" hidden="false" customHeight="false" outlineLevel="0" collapsed="false">
      <c r="B60" s="9"/>
      <c r="C60" s="10"/>
      <c r="D60" s="9"/>
      <c r="E60" s="11"/>
      <c r="F60" s="11"/>
      <c r="G60" s="11"/>
      <c r="H60" s="9"/>
      <c r="I60" s="12"/>
      <c r="J60" s="13"/>
      <c r="K60" s="14" t="str">
        <f aca="false">IF(I60="","",I60*J60)</f>
        <v/>
      </c>
      <c r="L60" s="15" t="str">
        <f aca="false">IF(I60="","",I60+K60)</f>
        <v/>
      </c>
      <c r="M60" s="9"/>
      <c r="N60" s="10"/>
    </row>
    <row r="61" customFormat="false" ht="15" hidden="false" customHeight="false" outlineLevel="0" collapsed="false">
      <c r="B61" s="16"/>
      <c r="C61" s="17"/>
      <c r="D61" s="16"/>
      <c r="E61" s="18"/>
      <c r="F61" s="18"/>
      <c r="G61" s="18"/>
      <c r="H61" s="16"/>
      <c r="I61" s="19"/>
      <c r="J61" s="20"/>
      <c r="K61" s="21" t="str">
        <f aca="false">IF(I61="","",I61*J61)</f>
        <v/>
      </c>
      <c r="L61" s="22" t="str">
        <f aca="false">IF(I61="","",I61+K61)</f>
        <v/>
      </c>
      <c r="M61" s="16"/>
      <c r="N61" s="17"/>
    </row>
    <row r="62" customFormat="false" ht="15" hidden="false" customHeight="false" outlineLevel="0" collapsed="false">
      <c r="B62" s="9"/>
      <c r="C62" s="10"/>
      <c r="D62" s="9"/>
      <c r="E62" s="11"/>
      <c r="F62" s="11"/>
      <c r="G62" s="11"/>
      <c r="H62" s="9"/>
      <c r="I62" s="12"/>
      <c r="J62" s="13"/>
      <c r="K62" s="14" t="str">
        <f aca="false">IF(I62="","",I62*J62)</f>
        <v/>
      </c>
      <c r="L62" s="15" t="str">
        <f aca="false">IF(I62="","",I62+K62)</f>
        <v/>
      </c>
      <c r="M62" s="9"/>
      <c r="N62" s="10"/>
    </row>
    <row r="63" customFormat="false" ht="15" hidden="false" customHeight="false" outlineLevel="0" collapsed="false">
      <c r="B63" s="16"/>
      <c r="C63" s="17"/>
      <c r="D63" s="16"/>
      <c r="E63" s="18"/>
      <c r="F63" s="18"/>
      <c r="G63" s="18"/>
      <c r="H63" s="16"/>
      <c r="I63" s="19"/>
      <c r="J63" s="20"/>
      <c r="K63" s="21" t="str">
        <f aca="false">IF(I63="","",I63*J63)</f>
        <v/>
      </c>
      <c r="L63" s="22" t="str">
        <f aca="false">IF(I63="","",I63+K63)</f>
        <v/>
      </c>
      <c r="M63" s="16"/>
      <c r="N63" s="17"/>
    </row>
    <row r="65" customFormat="false" ht="25.5" hidden="false" customHeight="true" outlineLevel="0" collapsed="false">
      <c r="B65" s="23" t="s">
        <v>96</v>
      </c>
      <c r="C65" s="23"/>
      <c r="D65" s="23"/>
      <c r="E65" s="23"/>
      <c r="F65" s="23"/>
      <c r="G65" s="23"/>
      <c r="H65" s="23"/>
      <c r="I65" s="24" t="n">
        <f aca="false">SUM(I10:I63)</f>
        <v>40999.8</v>
      </c>
      <c r="J65" s="25"/>
      <c r="K65" s="24" t="n">
        <f aca="false">SUM(K10:K63)</f>
        <v>7766.202</v>
      </c>
      <c r="L65" s="24" t="n">
        <f aca="false">SUM(L10:L63)</f>
        <v>48766.002</v>
      </c>
      <c r="M65" s="25"/>
      <c r="N65" s="25"/>
    </row>
  </sheetData>
  <mergeCells count="7">
    <mergeCell ref="B2:F2"/>
    <mergeCell ref="H2:M2"/>
    <mergeCell ref="B3:F3"/>
    <mergeCell ref="H3:M3"/>
    <mergeCell ref="B6:M6"/>
    <mergeCell ref="B7:M7"/>
    <mergeCell ref="B65:H65"/>
  </mergeCells>
  <conditionalFormatting sqref="H10:H63">
    <cfRule type="cellIs" priority="2" operator="equal" aboveAverage="0" equalAverage="0" bottom="0" percent="0" rank="0" text="" dxfId="0">
      <formula>"Einnahme"</formula>
    </cfRule>
    <cfRule type="cellIs" priority="3" operator="equal" aboveAverage="0" equalAverage="0" bottom="0" percent="0" rank="0" text="" dxfId="1">
      <formula>"Ausgabe"</formula>
    </cfRule>
  </conditionalFormatting>
  <conditionalFormatting sqref="M10:M63">
    <cfRule type="cellIs" priority="4" operator="equal" aboveAverage="0" equalAverage="0" bottom="0" percent="0" rank="0" text="" dxfId="0">
      <formula>"Bezahlt"</formula>
    </cfRule>
    <cfRule type="cellIs" priority="5" operator="equal" aboveAverage="0" equalAverage="0" bottom="0" percent="0" rank="0" text="" dxfId="2">
      <formula>"Offen"</formula>
    </cfRule>
    <cfRule type="cellIs" priority="6" operator="equal" aboveAverage="0" equalAverage="0" bottom="0" percent="0" rank="0" text="" dxfId="1">
      <formula>"Überfällig"</formula>
    </cfRule>
  </conditionalFormatting>
  <dataValidations count="4">
    <dataValidation allowBlank="true" errorStyle="stop" operator="between" showDropDown="false" showErrorMessage="false" showInputMessage="false" sqref="H10:H63" type="list">
      <formula1>"Einnahme,Ausgabe"</formula1>
      <formula2>0</formula2>
    </dataValidation>
    <dataValidation allowBlank="true" errorStyle="stop" operator="between" showDropDown="false" showErrorMessage="false" showInputMessage="false" sqref="J10:J63" type="list">
      <formula1>"0,0.07,0.19"</formula1>
      <formula2>0</formula2>
    </dataValidation>
    <dataValidation allowBlank="true" errorStyle="stop" operator="between" showDropDown="false" showErrorMessage="false" showInputMessage="false" sqref="M10:M63" type="list">
      <formula1>"Bezahlt,Offen,Überfällig"</formula1>
      <formula2>0</formula2>
    </dataValidation>
    <dataValidation allowBlank="true" errorStyle="stop" operator="between" showDropDown="false" showErrorMessage="false" showInputMessage="false" sqref="G10:G63" type="list">
      <formula1>"Beratung,Dienstleistung,Projekt,Schulung,Konzeption,Miete,Software/IT,Büromaterial,Kommunikation,Marketing,Reisekosten,Fachliteratur,Beratung extern,Sonstiges"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5" min="3" style="0" width="18"/>
    <col collapsed="false" customWidth="true" hidden="false" outlineLevel="0" max="6" min="6" style="0" width="3"/>
    <col collapsed="false" customWidth="true" hidden="false" outlineLevel="0" max="7" min="7" style="0" width="20"/>
    <col collapsed="false" customWidth="true" hidden="false" outlineLevel="0" max="10" min="8" style="0" width="18"/>
    <col collapsed="false" customWidth="true" hidden="false" outlineLevel="0" max="11" min="11" style="0" width="3"/>
  </cols>
  <sheetData>
    <row r="1" customFormat="false" ht="7.5" hidden="false" customHeight="true" outlineLevel="0" collapsed="false"/>
    <row r="2" customFormat="false" ht="30" hidden="false" customHeight="true" outlineLevel="0" collapsed="false">
      <c r="B2" s="1" t="s">
        <v>97</v>
      </c>
      <c r="C2" s="1"/>
      <c r="D2" s="1"/>
      <c r="E2" s="1"/>
      <c r="G2" s="2" t="s">
        <v>1</v>
      </c>
      <c r="H2" s="2"/>
      <c r="I2" s="2"/>
      <c r="J2" s="2"/>
    </row>
    <row r="3" customFormat="false" ht="19.5" hidden="false" customHeight="true" outlineLevel="0" collapsed="false">
      <c r="B3" s="3" t="s">
        <v>98</v>
      </c>
      <c r="C3" s="3"/>
      <c r="D3" s="3"/>
      <c r="E3" s="3"/>
      <c r="G3" s="4" t="s">
        <v>99</v>
      </c>
      <c r="H3" s="4"/>
      <c r="I3" s="4"/>
      <c r="J3" s="4"/>
    </row>
    <row r="4" customFormat="false" ht="3" hidden="false" customHeight="true" outlineLevel="0" collapsed="false">
      <c r="B4" s="5"/>
      <c r="C4" s="5"/>
      <c r="D4" s="5"/>
      <c r="E4" s="5"/>
      <c r="F4" s="5"/>
      <c r="G4" s="5"/>
      <c r="H4" s="5"/>
      <c r="I4" s="5"/>
      <c r="J4" s="5"/>
    </row>
    <row r="6" customFormat="false" ht="19.5" hidden="false" customHeight="true" outlineLevel="0" collapsed="false">
      <c r="B6" s="26" t="s">
        <v>100</v>
      </c>
      <c r="C6" s="26"/>
      <c r="D6" s="27" t="s">
        <v>101</v>
      </c>
      <c r="E6" s="27"/>
      <c r="G6" s="28" t="s">
        <v>102</v>
      </c>
      <c r="H6" s="28"/>
      <c r="I6" s="29" t="s">
        <v>103</v>
      </c>
      <c r="J6" s="29"/>
    </row>
    <row r="7" customFormat="false" ht="19.5" hidden="false" customHeight="true" outlineLevel="0" collapsed="false">
      <c r="B7" s="26"/>
      <c r="C7" s="26"/>
      <c r="D7" s="27"/>
      <c r="E7" s="27"/>
      <c r="G7" s="28"/>
      <c r="H7" s="28"/>
      <c r="I7" s="29"/>
      <c r="J7" s="29"/>
    </row>
    <row r="8" customFormat="false" ht="31.5" hidden="false" customHeight="true" outlineLevel="0" collapsed="false">
      <c r="B8" s="30" t="n">
        <f aca="false">SUMIF(Buchungen!$H$10:$H$63,"Einnahme",Buchungen!$I$10:$I$63)</f>
        <v>36300</v>
      </c>
      <c r="C8" s="30"/>
      <c r="D8" s="31" t="n">
        <f aca="false">SUMIF(Buchungen!$H$10:$H$63,"Ausgabe",Buchungen!$I$10:$I$63)</f>
        <v>4699.8</v>
      </c>
      <c r="E8" s="31"/>
      <c r="G8" s="32" t="n">
        <f aca="false">SUMIF(Buchungen!$H$10:$H$63,"Einnahme",Buchungen!$I$10:$I$63)-SUMIF(Buchungen!$H$10:$H$63,"Ausgabe",Buchungen!$I$10:$I$63)</f>
        <v>31600.2</v>
      </c>
      <c r="H8" s="32"/>
      <c r="I8" s="33" t="n">
        <f aca="false">SUMIF(Buchungen!$H$10:$H$63,"Einnahme",Buchungen!$K$10:$K$63)-SUMIF(Buchungen!$H$10:$H$63,"Ausgabe",Buchungen!$K$10:$K$63)</f>
        <v>6027.798</v>
      </c>
      <c r="J8" s="33"/>
    </row>
    <row r="9" customFormat="false" ht="7.5" hidden="false" customHeight="true" outlineLevel="0" collapsed="false"/>
    <row r="10" customFormat="false" ht="7.5" hidden="false" customHeight="true" outlineLevel="0" collapsed="false"/>
    <row r="11" customFormat="false" ht="21.75" hidden="false" customHeight="true" outlineLevel="0" collapsed="false">
      <c r="B11" s="6" t="s">
        <v>104</v>
      </c>
      <c r="C11" s="6"/>
      <c r="D11" s="6"/>
      <c r="E11" s="6"/>
      <c r="G11" s="6" t="s">
        <v>105</v>
      </c>
      <c r="H11" s="6"/>
      <c r="I11" s="6"/>
      <c r="J11" s="6"/>
    </row>
    <row r="12" customFormat="false" ht="25.5" hidden="false" customHeight="true" outlineLevel="0" collapsed="false">
      <c r="B12" s="34" t="s">
        <v>106</v>
      </c>
      <c r="C12" s="34" t="s">
        <v>107</v>
      </c>
      <c r="D12" s="34" t="s">
        <v>108</v>
      </c>
      <c r="E12" s="34" t="s">
        <v>109</v>
      </c>
      <c r="G12" s="34" t="s">
        <v>14</v>
      </c>
      <c r="H12" s="34" t="s">
        <v>110</v>
      </c>
      <c r="I12" s="34" t="s">
        <v>111</v>
      </c>
      <c r="J12" s="34" t="s">
        <v>112</v>
      </c>
    </row>
    <row r="13" customFormat="false" ht="18" hidden="false" customHeight="true" outlineLevel="0" collapsed="false">
      <c r="B13" s="35" t="s">
        <v>113</v>
      </c>
      <c r="C13" s="36" t="n">
        <f aca="false">SUMPRODUCT((Buchungen!$H$10:$H$63="Einnahme")*(MONTH(Buchungen!$C$10:$C$63)=1)*(YEAR(Buchungen!$C$10:$C$63)=2026)*Buchungen!$I$10:$I$63)</f>
        <v>4300</v>
      </c>
      <c r="D13" s="36" t="n">
        <f aca="false">SUMPRODUCT((Buchungen!$H$10:$H$63="Ausgabe")*(MONTH(Buchungen!$C$10:$C$63)=1)*(YEAR(Buchungen!$C$10:$C$63)=2026)*Buchungen!$I$10:$I$63)</f>
        <v>977.5</v>
      </c>
      <c r="E13" s="37" t="n">
        <f aca="false">C13-D13</f>
        <v>3322.5</v>
      </c>
      <c r="G13" s="35" t="s">
        <v>114</v>
      </c>
      <c r="H13" s="36" t="n">
        <f aca="false">SUMIFS(Buchungen!$K$10:$K$63,Buchungen!$J$10:$J$63,0.19,Buchungen!$H$10:$H$63,"Einnahme")</f>
        <v>6897</v>
      </c>
      <c r="I13" s="36" t="n">
        <f aca="false">SUMIFS(Buchungen!$K$10:$K$63,Buchungen!$J$10:$J$63,0.19,Buchungen!$H$10:$H$63,"Ausgabe")</f>
        <v>855.342</v>
      </c>
      <c r="J13" s="37" t="n">
        <f aca="false">H13-I13</f>
        <v>6041.658</v>
      </c>
    </row>
    <row r="14" customFormat="false" ht="18" hidden="false" customHeight="true" outlineLevel="0" collapsed="false">
      <c r="B14" s="38" t="s">
        <v>115</v>
      </c>
      <c r="C14" s="39" t="n">
        <f aca="false">SUMPRODUCT((Buchungen!$H$10:$H$63="Einnahme")*(MONTH(Buchungen!$C$10:$C$63)=2)*(YEAR(Buchungen!$C$10:$C$63)=2026)*Buchungen!$I$10:$I$63)</f>
        <v>5700</v>
      </c>
      <c r="D14" s="39" t="n">
        <f aca="false">SUMPRODUCT((Buchungen!$H$10:$H$63="Ausgabe")*(MONTH(Buchungen!$C$10:$C$63)=2)*(YEAR(Buchungen!$C$10:$C$63)=2026)*Buchungen!$I$10:$I$63)</f>
        <v>981.9</v>
      </c>
      <c r="E14" s="40" t="n">
        <f aca="false">C14-D14</f>
        <v>4718.1</v>
      </c>
      <c r="G14" s="38" t="s">
        <v>116</v>
      </c>
      <c r="H14" s="39" t="n">
        <f aca="false">SUMIFS(Buchungen!$K$10:$K$63,Buchungen!$J$10:$J$63,0.07,Buchungen!$H$10:$H$63,"Einnahme")</f>
        <v>0</v>
      </c>
      <c r="I14" s="39" t="n">
        <f aca="false">SUMIFS(Buchungen!$K$10:$K$63,Buchungen!$J$10:$J$63,0.07,Buchungen!$H$10:$H$63,"Ausgabe")</f>
        <v>13.86</v>
      </c>
      <c r="J14" s="40" t="n">
        <f aca="false">H14-I14</f>
        <v>-13.86</v>
      </c>
    </row>
    <row r="15" customFormat="false" ht="18" hidden="false" customHeight="true" outlineLevel="0" collapsed="false">
      <c r="B15" s="35" t="s">
        <v>117</v>
      </c>
      <c r="C15" s="36" t="n">
        <f aca="false">SUMPRODUCT((Buchungen!$H$10:$H$63="Einnahme")*(MONTH(Buchungen!$C$10:$C$63)=3)*(YEAR(Buchungen!$C$10:$C$63)=2026)*Buchungen!$I$10:$I$63)</f>
        <v>7000</v>
      </c>
      <c r="D15" s="36" t="n">
        <f aca="false">SUMPRODUCT((Buchungen!$H$10:$H$63="Ausgabe")*(MONTH(Buchungen!$C$10:$C$63)=3)*(YEAR(Buchungen!$C$10:$C$63)=2026)*Buchungen!$I$10:$I$63)</f>
        <v>476</v>
      </c>
      <c r="E15" s="37" t="n">
        <f aca="false">C15-D15</f>
        <v>6524</v>
      </c>
      <c r="G15" s="35" t="s">
        <v>118</v>
      </c>
      <c r="H15" s="36" t="n">
        <f aca="false">SUMIFS(Buchungen!$K$10:$K$63,Buchungen!$J$10:$J$63,0,Buchungen!$H$10:$H$63,"Einnahme")</f>
        <v>0</v>
      </c>
      <c r="I15" s="36" t="n">
        <f aca="false">SUMIFS(Buchungen!$K$10:$K$63,Buchungen!$J$10:$J$63,0,Buchungen!$H$10:$H$63,"Ausgabe")</f>
        <v>0</v>
      </c>
      <c r="J15" s="37" t="n">
        <f aca="false">H15-I15</f>
        <v>0</v>
      </c>
    </row>
    <row r="16" customFormat="false" ht="24" hidden="false" customHeight="true" outlineLevel="0" collapsed="false">
      <c r="B16" s="38" t="s">
        <v>119</v>
      </c>
      <c r="C16" s="39" t="n">
        <f aca="false">SUMPRODUCT((Buchungen!$H$10:$H$63="Einnahme")*(MONTH(Buchungen!$C$10:$C$63)=4)*(YEAR(Buchungen!$C$10:$C$63)=2026)*Buchungen!$I$10:$I$63)</f>
        <v>8300</v>
      </c>
      <c r="D16" s="39" t="n">
        <f aca="false">SUMPRODUCT((Buchungen!$H$10:$H$63="Ausgabe")*(MONTH(Buchungen!$C$10:$C$63)=4)*(YEAR(Buchungen!$C$10:$C$63)=2026)*Buchungen!$I$10:$I$63)</f>
        <v>664.4</v>
      </c>
      <c r="E16" s="40" t="n">
        <f aca="false">C16-D16</f>
        <v>7635.6</v>
      </c>
      <c r="G16" s="41" t="s">
        <v>120</v>
      </c>
      <c r="H16" s="42" t="n">
        <f aca="false">SUM(H13:H15)</f>
        <v>6897</v>
      </c>
      <c r="I16" s="42" t="n">
        <f aca="false">SUM(I13:I15)</f>
        <v>869.202</v>
      </c>
      <c r="J16" s="42" t="n">
        <f aca="false">SUM(J13:J15)</f>
        <v>6027.798</v>
      </c>
    </row>
    <row r="17" customFormat="false" ht="18" hidden="false" customHeight="true" outlineLevel="0" collapsed="false">
      <c r="B17" s="35" t="s">
        <v>121</v>
      </c>
      <c r="C17" s="36" t="n">
        <f aca="false">SUMPRODUCT((Buchungen!$H$10:$H$63="Einnahme")*(MONTH(Buchungen!$C$10:$C$63)=5)*(YEAR(Buchungen!$C$10:$C$63)=2026)*Buchungen!$I$10:$I$63)</f>
        <v>4700</v>
      </c>
      <c r="D17" s="36" t="n">
        <f aca="false">SUMPRODUCT((Buchungen!$H$10:$H$63="Ausgabe")*(MONTH(Buchungen!$C$10:$C$63)=5)*(YEAR(Buchungen!$C$10:$C$63)=2026)*Buchungen!$I$10:$I$63)</f>
        <v>750</v>
      </c>
      <c r="E17" s="37" t="n">
        <f aca="false">C17-D17</f>
        <v>3950</v>
      </c>
    </row>
    <row r="18" customFormat="false" ht="21.75" hidden="false" customHeight="true" outlineLevel="0" collapsed="false">
      <c r="B18" s="38" t="s">
        <v>122</v>
      </c>
      <c r="C18" s="39" t="n">
        <f aca="false">SUMPRODUCT((Buchungen!$H$10:$H$63="Einnahme")*(MONTH(Buchungen!$C$10:$C$63)=6)*(YEAR(Buchungen!$C$10:$C$63)=2026)*Buchungen!$I$10:$I$63)</f>
        <v>6300</v>
      </c>
      <c r="D18" s="39" t="n">
        <f aca="false">SUMPRODUCT((Buchungen!$H$10:$H$63="Ausgabe")*(MONTH(Buchungen!$C$10:$C$63)=6)*(YEAR(Buchungen!$C$10:$C$63)=2026)*Buchungen!$I$10:$I$63)</f>
        <v>850</v>
      </c>
      <c r="E18" s="40" t="n">
        <f aca="false">C18-D18</f>
        <v>5450</v>
      </c>
      <c r="G18" s="6" t="s">
        <v>123</v>
      </c>
      <c r="H18" s="6"/>
      <c r="I18" s="6"/>
      <c r="J18" s="6"/>
    </row>
    <row r="19" customFormat="false" ht="25.5" hidden="false" customHeight="true" outlineLevel="0" collapsed="false">
      <c r="B19" s="35" t="s">
        <v>124</v>
      </c>
      <c r="C19" s="36" t="n">
        <f aca="false">SUMPRODUCT((Buchungen!$H$10:$H$63="Einnahme")*(MONTH(Buchungen!$C$10:$C$63)=7)*(YEAR(Buchungen!$C$10:$C$63)=2026)*Buchungen!$I$10:$I$63)</f>
        <v>0</v>
      </c>
      <c r="D19" s="36" t="n">
        <f aca="false">SUMPRODUCT((Buchungen!$H$10:$H$63="Ausgabe")*(MONTH(Buchungen!$C$10:$C$63)=7)*(YEAR(Buchungen!$C$10:$C$63)=2026)*Buchungen!$I$10:$I$63)</f>
        <v>0</v>
      </c>
      <c r="E19" s="37" t="n">
        <f aca="false">C19-D19</f>
        <v>0</v>
      </c>
      <c r="G19" s="34" t="s">
        <v>11</v>
      </c>
      <c r="H19" s="34" t="s">
        <v>125</v>
      </c>
      <c r="I19" s="34" t="s">
        <v>126</v>
      </c>
      <c r="J19" s="34" t="s">
        <v>127</v>
      </c>
    </row>
    <row r="20" customFormat="false" ht="18" hidden="false" customHeight="true" outlineLevel="0" collapsed="false">
      <c r="B20" s="38" t="s">
        <v>128</v>
      </c>
      <c r="C20" s="39" t="n">
        <f aca="false">SUMPRODUCT((Buchungen!$H$10:$H$63="Einnahme")*(MONTH(Buchungen!$C$10:$C$63)=8)*(YEAR(Buchungen!$C$10:$C$63)=2026)*Buchungen!$I$10:$I$63)</f>
        <v>0</v>
      </c>
      <c r="D20" s="39" t="n">
        <f aca="false">SUMPRODUCT((Buchungen!$H$10:$H$63="Ausgabe")*(MONTH(Buchungen!$C$10:$C$63)=8)*(YEAR(Buchungen!$C$10:$C$63)=2026)*Buchungen!$I$10:$I$63)</f>
        <v>0</v>
      </c>
      <c r="E20" s="40" t="n">
        <f aca="false">C20-D20</f>
        <v>0</v>
      </c>
      <c r="G20" s="35" t="s">
        <v>28</v>
      </c>
      <c r="H20" s="43" t="n">
        <f aca="false">COUNTIFS(Buchungen!$G$10:$G$63,G20,Buchungen!$H$10:$H$63,"Ausgabe")</f>
        <v>3</v>
      </c>
      <c r="I20" s="36" t="n">
        <f aca="false">SUMIFS(Buchungen!$I$10:$I$63,Buchungen!$G$10:$G$63,G20,Buchungen!$H$10:$H$63,"Ausgabe")</f>
        <v>2550</v>
      </c>
      <c r="J20" s="44" t="n">
        <f aca="false">IFERROR(I20/SUMIF(Buchungen!$H$10:$H$63,"Ausgabe",Buchungen!$I$10:$I$63),0)</f>
        <v>0.542576279841695</v>
      </c>
    </row>
    <row r="21" customFormat="false" ht="18" hidden="false" customHeight="true" outlineLevel="0" collapsed="false">
      <c r="B21" s="35" t="s">
        <v>129</v>
      </c>
      <c r="C21" s="36" t="n">
        <f aca="false">SUMPRODUCT((Buchungen!$H$10:$H$63="Einnahme")*(MONTH(Buchungen!$C$10:$C$63)=9)*(YEAR(Buchungen!$C$10:$C$63)=2026)*Buchungen!$I$10:$I$63)</f>
        <v>0</v>
      </c>
      <c r="D21" s="36" t="n">
        <f aca="false">SUMPRODUCT((Buchungen!$H$10:$H$63="Ausgabe")*(MONTH(Buchungen!$C$10:$C$63)=9)*(YEAR(Buchungen!$C$10:$C$63)=2026)*Buchungen!$I$10:$I$63)</f>
        <v>0</v>
      </c>
      <c r="E21" s="37" t="n">
        <f aca="false">C21-D21</f>
        <v>0</v>
      </c>
      <c r="G21" s="38" t="s">
        <v>33</v>
      </c>
      <c r="H21" s="45" t="n">
        <f aca="false">COUNTIFS(Buchungen!$G$10:$G$63,G21,Buchungen!$H$10:$H$63,"Ausgabe")</f>
        <v>2</v>
      </c>
      <c r="I21" s="39" t="n">
        <f aca="false">SUMIFS(Buchungen!$I$10:$I$63,Buchungen!$G$10:$G$63,G21,Buchungen!$H$10:$H$63,"Ausgabe")</f>
        <v>648</v>
      </c>
      <c r="J21" s="46" t="n">
        <f aca="false">IFERROR(I21/SUMIF(Buchungen!$H$10:$H$63,"Ausgabe",Buchungen!$I$10:$I$63),0)</f>
        <v>0.137878207583301</v>
      </c>
    </row>
    <row r="22" customFormat="false" ht="18" hidden="false" customHeight="true" outlineLevel="0" collapsed="false">
      <c r="B22" s="38" t="s">
        <v>130</v>
      </c>
      <c r="C22" s="39" t="n">
        <f aca="false">SUMPRODUCT((Buchungen!$H$10:$H$63="Einnahme")*(MONTH(Buchungen!$C$10:$C$63)=10)*(YEAR(Buchungen!$C$10:$C$63)=2026)*Buchungen!$I$10:$I$63)</f>
        <v>0</v>
      </c>
      <c r="D22" s="39" t="n">
        <f aca="false">SUMPRODUCT((Buchungen!$H$10:$H$63="Ausgabe")*(MONTH(Buchungen!$C$10:$C$63)=10)*(YEAR(Buchungen!$C$10:$C$63)=2026)*Buchungen!$I$10:$I$63)</f>
        <v>0</v>
      </c>
      <c r="E22" s="40" t="n">
        <f aca="false">C22-D22</f>
        <v>0</v>
      </c>
      <c r="G22" s="35" t="s">
        <v>85</v>
      </c>
      <c r="H22" s="43" t="n">
        <f aca="false">COUNTIFS(Buchungen!$G$10:$G$63,G22,Buchungen!$H$10:$H$63,"Ausgabe")</f>
        <v>1</v>
      </c>
      <c r="I22" s="36" t="n">
        <f aca="false">SUMIFS(Buchungen!$I$10:$I$63,Buchungen!$G$10:$G$63,G22,Buchungen!$H$10:$H$63,"Ausgabe")</f>
        <v>750</v>
      </c>
      <c r="J22" s="44" t="n">
        <f aca="false">IFERROR(I22/SUMIF(Buchungen!$H$10:$H$63,"Ausgabe",Buchungen!$I$10:$I$63),0)</f>
        <v>0.159581258776969</v>
      </c>
    </row>
    <row r="23" customFormat="false" ht="18" hidden="false" customHeight="true" outlineLevel="0" collapsed="false">
      <c r="B23" s="35" t="s">
        <v>131</v>
      </c>
      <c r="C23" s="36" t="n">
        <f aca="false">SUMPRODUCT((Buchungen!$H$10:$H$63="Einnahme")*(MONTH(Buchungen!$C$10:$C$63)=11)*(YEAR(Buchungen!$C$10:$C$63)=2026)*Buchungen!$I$10:$I$63)</f>
        <v>0</v>
      </c>
      <c r="D23" s="36" t="n">
        <f aca="false">SUMPRODUCT((Buchungen!$H$10:$H$63="Ausgabe")*(MONTH(Buchungen!$C$10:$C$63)=11)*(YEAR(Buchungen!$C$10:$C$63)=2026)*Buchungen!$I$10:$I$63)</f>
        <v>0</v>
      </c>
      <c r="E23" s="37" t="n">
        <f aca="false">C23-D23</f>
        <v>0</v>
      </c>
      <c r="G23" s="38" t="s">
        <v>70</v>
      </c>
      <c r="H23" s="45" t="n">
        <f aca="false">COUNTIFS(Buchungen!$G$10:$G$63,G23,Buchungen!$H$10:$H$63,"Ausgabe")</f>
        <v>1</v>
      </c>
      <c r="I23" s="39" t="n">
        <f aca="false">SUMIFS(Buchungen!$I$10:$I$63,Buchungen!$G$10:$G$63,G23,Buchungen!$H$10:$H$63,"Ausgabe")</f>
        <v>320</v>
      </c>
      <c r="J23" s="46" t="n">
        <f aca="false">IFERROR(I23/SUMIF(Buchungen!$H$10:$H$63,"Ausgabe",Buchungen!$I$10:$I$63),0)</f>
        <v>0.0680880037448402</v>
      </c>
    </row>
    <row r="24" customFormat="false" ht="18" hidden="false" customHeight="true" outlineLevel="0" collapsed="false">
      <c r="B24" s="38" t="s">
        <v>132</v>
      </c>
      <c r="C24" s="39" t="n">
        <f aca="false">SUMPRODUCT((Buchungen!$H$10:$H$63="Einnahme")*(MONTH(Buchungen!$C$10:$C$63)=12)*(YEAR(Buchungen!$C$10:$C$63)=2026)*Buchungen!$I$10:$I$63)</f>
        <v>0</v>
      </c>
      <c r="D24" s="39" t="n">
        <f aca="false">SUMPRODUCT((Buchungen!$H$10:$H$63="Ausgabe")*(MONTH(Buchungen!$C$10:$C$63)=12)*(YEAR(Buchungen!$C$10:$C$63)=2026)*Buchungen!$I$10:$I$63)</f>
        <v>0</v>
      </c>
      <c r="E24" s="40" t="n">
        <f aca="false">C24-D24</f>
        <v>0</v>
      </c>
      <c r="G24" s="35" t="s">
        <v>39</v>
      </c>
      <c r="H24" s="43" t="n">
        <f aca="false">COUNTIFS(Buchungen!$G$10:$G$63,G24,Buchungen!$H$10:$H$63,"Ausgabe")</f>
        <v>2</v>
      </c>
      <c r="I24" s="36" t="n">
        <f aca="false">SUMIFS(Buchungen!$I$10:$I$63,Buchungen!$G$10:$G$63,G24,Buchungen!$H$10:$H$63,"Ausgabe")</f>
        <v>143.9</v>
      </c>
      <c r="J24" s="44" t="n">
        <f aca="false">IFERROR(I24/SUMIF(Buchungen!$H$10:$H$63,"Ausgabe",Buchungen!$I$10:$I$63),0)</f>
        <v>0.0306183241840078</v>
      </c>
    </row>
    <row r="25" customFormat="false" ht="18" hidden="false" customHeight="true" outlineLevel="0" collapsed="false">
      <c r="B25" s="41" t="s">
        <v>120</v>
      </c>
      <c r="C25" s="42" t="n">
        <f aca="false">SUM(C13:C24)</f>
        <v>36300</v>
      </c>
      <c r="D25" s="42" t="n">
        <f aca="false">SUM(D13:D24)</f>
        <v>4699.8</v>
      </c>
      <c r="E25" s="42" t="n">
        <f aca="false">SUM(E13:E24)</f>
        <v>31600.2</v>
      </c>
      <c r="G25" s="38" t="s">
        <v>61</v>
      </c>
      <c r="H25" s="45" t="n">
        <f aca="false">COUNTIFS(Buchungen!$G$10:$G$63,G25,Buchungen!$H$10:$H$63,"Ausgabe")</f>
        <v>1</v>
      </c>
      <c r="I25" s="39" t="n">
        <f aca="false">SUMIFS(Buchungen!$I$10:$I$63,Buchungen!$G$10:$G$63,G25,Buchungen!$H$10:$H$63,"Ausgabe")</f>
        <v>156</v>
      </c>
      <c r="J25" s="46" t="n">
        <f aca="false">IFERROR(I25/SUMIF(Buchungen!$H$10:$H$63,"Ausgabe",Buchungen!$I$10:$I$63),0)</f>
        <v>0.0331929018256096</v>
      </c>
    </row>
    <row r="27" customFormat="false" ht="21.75" hidden="false" customHeight="true" outlineLevel="0" collapsed="false">
      <c r="B27" s="6" t="s">
        <v>133</v>
      </c>
      <c r="C27" s="6"/>
      <c r="D27" s="6"/>
      <c r="E27" s="6"/>
    </row>
    <row r="28" customFormat="false" ht="25.5" hidden="false" customHeight="true" outlineLevel="0" collapsed="false">
      <c r="B28" s="34" t="s">
        <v>17</v>
      </c>
      <c r="C28" s="34" t="s">
        <v>125</v>
      </c>
      <c r="D28" s="34" t="s">
        <v>134</v>
      </c>
      <c r="E28" s="34" t="s">
        <v>127</v>
      </c>
    </row>
    <row r="29" customFormat="false" ht="18" hidden="false" customHeight="true" outlineLevel="0" collapsed="false">
      <c r="B29" s="47" t="s">
        <v>24</v>
      </c>
      <c r="C29" s="43" t="n">
        <f aca="false">COUNTIF(Buchungen!$M$10:$M$63,B29)</f>
        <v>21</v>
      </c>
      <c r="D29" s="36" t="n">
        <f aca="false">SUMIF(Buchungen!$M$10:$M$63,B29,Buchungen!$L$10:$L$63)</f>
        <v>37996.502</v>
      </c>
      <c r="E29" s="44" t="n">
        <f aca="false">IFERROR(D29/SUM(Buchungen!$L$10:$L$63),0)</f>
        <v>0.779159669476288</v>
      </c>
    </row>
    <row r="30" customFormat="false" ht="18" hidden="false" customHeight="true" outlineLevel="0" collapsed="false">
      <c r="B30" s="48" t="s">
        <v>66</v>
      </c>
      <c r="C30" s="45" t="n">
        <f aca="false">COUNTIF(Buchungen!$M$10:$M$63,B30)</f>
        <v>3</v>
      </c>
      <c r="D30" s="39" t="n">
        <f aca="false">SUMIF(Buchungen!$M$10:$M$63,B30,Buchungen!$L$10:$L$63)</f>
        <v>10769.5</v>
      </c>
      <c r="E30" s="46" t="n">
        <f aca="false">IFERROR(D30/SUM(Buchungen!$L$10:$L$63),0)</f>
        <v>0.220840330523712</v>
      </c>
    </row>
    <row r="31" customFormat="false" ht="18" hidden="false" customHeight="true" outlineLevel="0" collapsed="false">
      <c r="B31" s="49" t="s">
        <v>135</v>
      </c>
      <c r="C31" s="43" t="n">
        <f aca="false">COUNTIF(Buchungen!$M$10:$M$63,B31)</f>
        <v>0</v>
      </c>
      <c r="D31" s="36" t="n">
        <f aca="false">SUMIF(Buchungen!$M$10:$M$63,B31,Buchungen!$L$10:$L$63)</f>
        <v>0</v>
      </c>
      <c r="E31" s="44" t="n">
        <f aca="false">IFERROR(D31/SUM(Buchungen!$L$10:$L$63),0)</f>
        <v>0</v>
      </c>
    </row>
    <row r="34" customFormat="false" ht="15" hidden="false" customHeight="false" outlineLevel="0" collapsed="false">
      <c r="B34" s="50" t="s">
        <v>136</v>
      </c>
      <c r="C34" s="50"/>
      <c r="D34" s="50"/>
      <c r="E34" s="50"/>
      <c r="F34" s="50"/>
      <c r="G34" s="50"/>
      <c r="H34" s="50"/>
      <c r="I34" s="50"/>
      <c r="J34" s="50"/>
    </row>
  </sheetData>
  <mergeCells count="17">
    <mergeCell ref="B2:E2"/>
    <mergeCell ref="G2:J2"/>
    <mergeCell ref="B3:E3"/>
    <mergeCell ref="G3:J3"/>
    <mergeCell ref="B6:C7"/>
    <mergeCell ref="D6:E7"/>
    <mergeCell ref="G6:H7"/>
    <mergeCell ref="I6:J7"/>
    <mergeCell ref="B8:C8"/>
    <mergeCell ref="D8:E8"/>
    <mergeCell ref="G8:H8"/>
    <mergeCell ref="I8:J8"/>
    <mergeCell ref="B11:E11"/>
    <mergeCell ref="G11:J11"/>
    <mergeCell ref="G18:J18"/>
    <mergeCell ref="B27:E27"/>
    <mergeCell ref="B34:J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2026-07-21T07:42:50Z</dcterms:created>
  <dc:creator>openpyxl</dc:creator>
  <dc:description/>
  <dc:language>en-US</dc:language>
  <cp:lastModifiedBy/>
  <dcterms:modified xsi:type="dcterms:W3CDTF">2026-07-21T07:42:50Z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