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47A8CAD-B3FE-442A-858F-4AED0BFCE00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lergenmatrix" sheetId="1" r:id="rId1"/>
    <sheet name="Auswertung" sheetId="2" r:id="rId2"/>
    <sheet name="Stammdaten" sheetId="3" r:id="rId3"/>
  </sheets>
  <definedNames>
    <definedName name="_xlnm.Print_Area" localSheetId="0">Allergenmatrix!$B$1:$AA$74</definedName>
    <definedName name="_xlnm.Print_Area" localSheetId="1">Auswertung!$B$1:$L$90</definedName>
    <definedName name="_xlnm.Print_Area" localSheetId="2">Stammdaten!$B$1:$G$92</definedName>
    <definedName name="_xlnm.Print_Titles" localSheetId="0">Allergenmatrix!$19:$21</definedName>
    <definedName name="Liste_Kategorien">Stammdaten!$B$68:$B$75</definedName>
    <definedName name="Liste_Nachweis">Stammdaten!$D$68:$D$72</definedName>
    <definedName name="Liste_Status">Stammdaten!$F$68:$F$71</definedName>
    <definedName name="Liste_Team">Stammdaten!$C$59:$C$64</definedName>
    <definedName name="Pruefintervall">Stammdaten!$D$17</definedName>
    <definedName name="Schulungsintervall">Stammdaten!$D$21</definedName>
    <definedName name="Warnfrist">Stammdaten!$D$20</definedName>
    <definedName name="Ziel_Allergenfrei">Stammdaten!$D$18</definedName>
    <definedName name="Ziel_Doku">Stammdaten!$D$19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3" i="3" l="1"/>
  <c r="N96" i="2"/>
  <c r="N95" i="2"/>
  <c r="G62" i="2"/>
  <c r="L62" i="2" s="1"/>
  <c r="F62" i="2"/>
  <c r="G61" i="2"/>
  <c r="F61" i="2"/>
  <c r="L61" i="2" s="1"/>
  <c r="G60" i="2"/>
  <c r="F60" i="2"/>
  <c r="L60" i="2" s="1"/>
  <c r="G59" i="2"/>
  <c r="G58" i="2"/>
  <c r="G57" i="2"/>
  <c r="F57" i="2"/>
  <c r="L57" i="2" s="1"/>
  <c r="G56" i="2"/>
  <c r="F56" i="2"/>
  <c r="L56" i="2" s="1"/>
  <c r="L55" i="2"/>
  <c r="G55" i="2"/>
  <c r="F55" i="2"/>
  <c r="G54" i="2"/>
  <c r="F54" i="2"/>
  <c r="L54" i="2" s="1"/>
  <c r="H50" i="2"/>
  <c r="B49" i="2"/>
  <c r="F49" i="2" s="1"/>
  <c r="D48" i="2"/>
  <c r="B48" i="2"/>
  <c r="J47" i="2"/>
  <c r="K47" i="2" s="1"/>
  <c r="F47" i="2"/>
  <c r="D47" i="2"/>
  <c r="B47" i="2"/>
  <c r="E47" i="2" s="1"/>
  <c r="J46" i="2"/>
  <c r="K46" i="2" s="1"/>
  <c r="B46" i="2"/>
  <c r="D46" i="2" s="1"/>
  <c r="J45" i="2"/>
  <c r="K45" i="2" s="1"/>
  <c r="B45" i="2"/>
  <c r="K44" i="2"/>
  <c r="J44" i="2"/>
  <c r="D44" i="2"/>
  <c r="B44" i="2"/>
  <c r="G39" i="2"/>
  <c r="H39" i="2" s="1"/>
  <c r="F39" i="2"/>
  <c r="C39" i="2"/>
  <c r="E39" i="2" s="1"/>
  <c r="G38" i="2"/>
  <c r="H38" i="2" s="1"/>
  <c r="F38" i="2"/>
  <c r="C38" i="2"/>
  <c r="G37" i="2"/>
  <c r="H37" i="2" s="1"/>
  <c r="F37" i="2"/>
  <c r="C37" i="2"/>
  <c r="G36" i="2"/>
  <c r="F36" i="2"/>
  <c r="C36" i="2"/>
  <c r="G35" i="2"/>
  <c r="G40" i="2" s="1"/>
  <c r="F35" i="2"/>
  <c r="C35" i="2"/>
  <c r="H34" i="2"/>
  <c r="G34" i="2"/>
  <c r="F34" i="2"/>
  <c r="C34" i="2"/>
  <c r="G33" i="2"/>
  <c r="F33" i="2"/>
  <c r="C33" i="2"/>
  <c r="H32" i="2"/>
  <c r="G32" i="2"/>
  <c r="H40" i="2" s="1"/>
  <c r="F32" i="2"/>
  <c r="F40" i="2" s="1"/>
  <c r="C32" i="2"/>
  <c r="C40" i="2" s="1"/>
  <c r="J28" i="2"/>
  <c r="J27" i="2"/>
  <c r="F27" i="2"/>
  <c r="E27" i="2"/>
  <c r="D27" i="2"/>
  <c r="K27" i="2" s="1"/>
  <c r="J26" i="2"/>
  <c r="F26" i="2"/>
  <c r="D26" i="2"/>
  <c r="K26" i="2" s="1"/>
  <c r="J25" i="2"/>
  <c r="F25" i="2"/>
  <c r="D25" i="2"/>
  <c r="J24" i="2"/>
  <c r="F24" i="2"/>
  <c r="G24" i="2" s="1"/>
  <c r="E24" i="2"/>
  <c r="K24" i="2" s="1"/>
  <c r="D24" i="2"/>
  <c r="J23" i="2"/>
  <c r="G23" i="2"/>
  <c r="H23" i="2" s="1"/>
  <c r="F23" i="2"/>
  <c r="E23" i="2"/>
  <c r="D23" i="2"/>
  <c r="K23" i="2" s="1"/>
  <c r="J22" i="2"/>
  <c r="F22" i="2"/>
  <c r="E22" i="2"/>
  <c r="D22" i="2"/>
  <c r="K22" i="2" s="1"/>
  <c r="J21" i="2"/>
  <c r="F21" i="2"/>
  <c r="D21" i="2"/>
  <c r="J20" i="2"/>
  <c r="F20" i="2"/>
  <c r="D20" i="2"/>
  <c r="J19" i="2"/>
  <c r="F19" i="2"/>
  <c r="G19" i="2" s="1"/>
  <c r="E19" i="2"/>
  <c r="K19" i="2" s="1"/>
  <c r="D19" i="2"/>
  <c r="J18" i="2"/>
  <c r="G18" i="2"/>
  <c r="H18" i="2" s="1"/>
  <c r="F18" i="2"/>
  <c r="E18" i="2"/>
  <c r="D18" i="2"/>
  <c r="K18" i="2" s="1"/>
  <c r="J17" i="2"/>
  <c r="F17" i="2"/>
  <c r="E17" i="2"/>
  <c r="D17" i="2"/>
  <c r="K17" i="2" s="1"/>
  <c r="J16" i="2"/>
  <c r="F16" i="2"/>
  <c r="D16" i="2"/>
  <c r="J15" i="2"/>
  <c r="F15" i="2"/>
  <c r="D15" i="2"/>
  <c r="K15" i="2" s="1"/>
  <c r="J14" i="2"/>
  <c r="F14" i="2"/>
  <c r="G14" i="2" s="1"/>
  <c r="E14" i="2"/>
  <c r="D14" i="2"/>
  <c r="D28" i="2" s="1"/>
  <c r="E9" i="2"/>
  <c r="B9" i="2"/>
  <c r="B7" i="2"/>
  <c r="K4" i="2"/>
  <c r="I4" i="2"/>
  <c r="Y72" i="1"/>
  <c r="U72" i="1"/>
  <c r="T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E71" i="1"/>
  <c r="AD71" i="1"/>
  <c r="AC71" i="1"/>
  <c r="AA71" i="1"/>
  <c r="Z71" i="1"/>
  <c r="T71" i="1"/>
  <c r="S71" i="1"/>
  <c r="B71" i="1"/>
  <c r="AE70" i="1"/>
  <c r="AD70" i="1"/>
  <c r="AC70" i="1"/>
  <c r="AA70" i="1"/>
  <c r="Z70" i="1"/>
  <c r="T70" i="1"/>
  <c r="S70" i="1"/>
  <c r="B70" i="1"/>
  <c r="AE69" i="1"/>
  <c r="AD69" i="1"/>
  <c r="AC69" i="1"/>
  <c r="AA69" i="1"/>
  <c r="Z69" i="1"/>
  <c r="T69" i="1"/>
  <c r="S69" i="1"/>
  <c r="B69" i="1"/>
  <c r="AE68" i="1"/>
  <c r="AD68" i="1"/>
  <c r="AC68" i="1"/>
  <c r="AA68" i="1"/>
  <c r="Z68" i="1"/>
  <c r="T68" i="1"/>
  <c r="S68" i="1"/>
  <c r="B68" i="1"/>
  <c r="AE67" i="1"/>
  <c r="AD67" i="1"/>
  <c r="AC67" i="1"/>
  <c r="AA67" i="1"/>
  <c r="Z67" i="1"/>
  <c r="T67" i="1"/>
  <c r="S67" i="1"/>
  <c r="B67" i="1"/>
  <c r="AE66" i="1"/>
  <c r="AD66" i="1"/>
  <c r="AC66" i="1"/>
  <c r="AA66" i="1"/>
  <c r="Z66" i="1"/>
  <c r="T66" i="1"/>
  <c r="S66" i="1"/>
  <c r="B66" i="1"/>
  <c r="AE65" i="1"/>
  <c r="AD65" i="1"/>
  <c r="AC65" i="1"/>
  <c r="AA65" i="1"/>
  <c r="Z65" i="1"/>
  <c r="T65" i="1"/>
  <c r="S65" i="1"/>
  <c r="B65" i="1"/>
  <c r="AE64" i="1"/>
  <c r="AD64" i="1"/>
  <c r="AC64" i="1"/>
  <c r="AA64" i="1"/>
  <c r="Z64" i="1"/>
  <c r="T64" i="1"/>
  <c r="S64" i="1"/>
  <c r="B64" i="1"/>
  <c r="AE63" i="1"/>
  <c r="AD63" i="1"/>
  <c r="AC63" i="1"/>
  <c r="AA63" i="1"/>
  <c r="Z63" i="1"/>
  <c r="T63" i="1"/>
  <c r="S63" i="1"/>
  <c r="B63" i="1"/>
  <c r="AE62" i="1"/>
  <c r="AD62" i="1"/>
  <c r="AC62" i="1"/>
  <c r="AA62" i="1"/>
  <c r="Z62" i="1"/>
  <c r="T62" i="1"/>
  <c r="S62" i="1"/>
  <c r="B62" i="1"/>
  <c r="AE61" i="1"/>
  <c r="AD61" i="1"/>
  <c r="AC61" i="1"/>
  <c r="AA61" i="1"/>
  <c r="Z61" i="1"/>
  <c r="T61" i="1"/>
  <c r="S61" i="1"/>
  <c r="B61" i="1"/>
  <c r="AE60" i="1"/>
  <c r="AD60" i="1"/>
  <c r="AC60" i="1"/>
  <c r="AA60" i="1"/>
  <c r="Z60" i="1"/>
  <c r="T60" i="1"/>
  <c r="S60" i="1"/>
  <c r="B60" i="1"/>
  <c r="AE59" i="1"/>
  <c r="AD59" i="1"/>
  <c r="AC59" i="1"/>
  <c r="AA59" i="1"/>
  <c r="Z59" i="1"/>
  <c r="T59" i="1"/>
  <c r="S59" i="1"/>
  <c r="B59" i="1"/>
  <c r="AE58" i="1"/>
  <c r="AD58" i="1"/>
  <c r="AC58" i="1"/>
  <c r="AA58" i="1"/>
  <c r="Z58" i="1"/>
  <c r="T58" i="1"/>
  <c r="S58" i="1"/>
  <c r="B58" i="1"/>
  <c r="AE57" i="1"/>
  <c r="AD57" i="1"/>
  <c r="AC57" i="1"/>
  <c r="AA57" i="1"/>
  <c r="Z57" i="1"/>
  <c r="T57" i="1"/>
  <c r="S57" i="1"/>
  <c r="B57" i="1"/>
  <c r="AE56" i="1"/>
  <c r="AD56" i="1"/>
  <c r="AC56" i="1"/>
  <c r="AA56" i="1"/>
  <c r="Z56" i="1"/>
  <c r="T56" i="1"/>
  <c r="S56" i="1"/>
  <c r="B56" i="1"/>
  <c r="AE55" i="1"/>
  <c r="AD55" i="1"/>
  <c r="AC55" i="1"/>
  <c r="AA55" i="1"/>
  <c r="Z55" i="1"/>
  <c r="T55" i="1"/>
  <c r="S55" i="1"/>
  <c r="B55" i="1"/>
  <c r="AE54" i="1"/>
  <c r="AD54" i="1"/>
  <c r="AC54" i="1"/>
  <c r="AA54" i="1"/>
  <c r="Z54" i="1"/>
  <c r="T54" i="1"/>
  <c r="S54" i="1"/>
  <c r="B54" i="1"/>
  <c r="AE53" i="1"/>
  <c r="AD53" i="1"/>
  <c r="AC53" i="1"/>
  <c r="AA53" i="1"/>
  <c r="Z53" i="1"/>
  <c r="T53" i="1"/>
  <c r="S53" i="1"/>
  <c r="B53" i="1"/>
  <c r="AE52" i="1"/>
  <c r="AD52" i="1"/>
  <c r="T52" i="1" s="1"/>
  <c r="AC52" i="1"/>
  <c r="S52" i="1" s="1"/>
  <c r="D39" i="2" s="1"/>
  <c r="AA52" i="1"/>
  <c r="J39" i="2" s="1"/>
  <c r="Z52" i="1"/>
  <c r="B52" i="1"/>
  <c r="AE51" i="1"/>
  <c r="AD51" i="1"/>
  <c r="T51" i="1" s="1"/>
  <c r="AC51" i="1"/>
  <c r="S51" i="1" s="1"/>
  <c r="AA51" i="1"/>
  <c r="E48" i="2" s="1"/>
  <c r="Z51" i="1"/>
  <c r="B51" i="1"/>
  <c r="AE50" i="1"/>
  <c r="AD50" i="1"/>
  <c r="T50" i="1" s="1"/>
  <c r="AC50" i="1"/>
  <c r="S50" i="1" s="1"/>
  <c r="AA50" i="1"/>
  <c r="Z50" i="1"/>
  <c r="B50" i="1"/>
  <c r="AE49" i="1"/>
  <c r="AD49" i="1"/>
  <c r="AC49" i="1"/>
  <c r="AA49" i="1"/>
  <c r="Z49" i="1"/>
  <c r="T49" i="1"/>
  <c r="S49" i="1"/>
  <c r="B49" i="1"/>
  <c r="AE48" i="1"/>
  <c r="E38" i="2" s="1"/>
  <c r="AD48" i="1"/>
  <c r="AC48" i="1"/>
  <c r="AA48" i="1"/>
  <c r="J38" i="2" s="1"/>
  <c r="Z48" i="1"/>
  <c r="T48" i="1"/>
  <c r="S48" i="1"/>
  <c r="B48" i="1"/>
  <c r="AE47" i="1"/>
  <c r="AD47" i="1"/>
  <c r="T47" i="1" s="1"/>
  <c r="AC47" i="1"/>
  <c r="S47" i="1" s="1"/>
  <c r="AA47" i="1"/>
  <c r="Z47" i="1"/>
  <c r="B47" i="1"/>
  <c r="AE46" i="1"/>
  <c r="AD46" i="1"/>
  <c r="T46" i="1" s="1"/>
  <c r="AC46" i="1"/>
  <c r="S46" i="1" s="1"/>
  <c r="AA46" i="1"/>
  <c r="Z46" i="1"/>
  <c r="B46" i="1"/>
  <c r="AE45" i="1"/>
  <c r="AD45" i="1"/>
  <c r="T45" i="1" s="1"/>
  <c r="AC45" i="1"/>
  <c r="S45" i="1" s="1"/>
  <c r="AA45" i="1"/>
  <c r="Z45" i="1"/>
  <c r="B45" i="1"/>
  <c r="AE44" i="1"/>
  <c r="AD44" i="1"/>
  <c r="AC44" i="1"/>
  <c r="AA44" i="1"/>
  <c r="Z44" i="1"/>
  <c r="T44" i="1"/>
  <c r="S44" i="1"/>
  <c r="B44" i="1"/>
  <c r="AE43" i="1"/>
  <c r="AD43" i="1"/>
  <c r="AC43" i="1"/>
  <c r="AA43" i="1"/>
  <c r="Z43" i="1"/>
  <c r="T43" i="1"/>
  <c r="S43" i="1"/>
  <c r="B43" i="1"/>
  <c r="AE42" i="1"/>
  <c r="AD42" i="1"/>
  <c r="T42" i="1" s="1"/>
  <c r="AC42" i="1"/>
  <c r="S42" i="1" s="1"/>
  <c r="AA42" i="1"/>
  <c r="Z42" i="1"/>
  <c r="B42" i="1"/>
  <c r="AE41" i="1"/>
  <c r="AD41" i="1"/>
  <c r="T41" i="1" s="1"/>
  <c r="AC41" i="1"/>
  <c r="S41" i="1" s="1"/>
  <c r="AA41" i="1"/>
  <c r="Z41" i="1"/>
  <c r="B41" i="1"/>
  <c r="AE40" i="1"/>
  <c r="AD40" i="1"/>
  <c r="T40" i="1" s="1"/>
  <c r="AC40" i="1"/>
  <c r="S40" i="1" s="1"/>
  <c r="AA40" i="1"/>
  <c r="Z40" i="1"/>
  <c r="B40" i="1"/>
  <c r="AE39" i="1"/>
  <c r="AD39" i="1"/>
  <c r="AC39" i="1"/>
  <c r="AA39" i="1"/>
  <c r="Z39" i="1"/>
  <c r="T39" i="1"/>
  <c r="S39" i="1"/>
  <c r="B39" i="1"/>
  <c r="AE38" i="1"/>
  <c r="AD38" i="1"/>
  <c r="AC38" i="1"/>
  <c r="AA38" i="1"/>
  <c r="Z38" i="1"/>
  <c r="T38" i="1"/>
  <c r="S38" i="1"/>
  <c r="B38" i="1"/>
  <c r="AE37" i="1"/>
  <c r="AD37" i="1"/>
  <c r="T37" i="1" s="1"/>
  <c r="AC37" i="1"/>
  <c r="S37" i="1" s="1"/>
  <c r="AA37" i="1"/>
  <c r="Z37" i="1"/>
  <c r="B37" i="1"/>
  <c r="AE36" i="1"/>
  <c r="AD36" i="1"/>
  <c r="T36" i="1" s="1"/>
  <c r="AC36" i="1"/>
  <c r="S36" i="1" s="1"/>
  <c r="AA36" i="1"/>
  <c r="Z36" i="1"/>
  <c r="B36" i="1"/>
  <c r="AE35" i="1"/>
  <c r="AD35" i="1"/>
  <c r="T35" i="1" s="1"/>
  <c r="AC35" i="1"/>
  <c r="S35" i="1" s="1"/>
  <c r="AA35" i="1"/>
  <c r="Z35" i="1"/>
  <c r="B35" i="1"/>
  <c r="AE34" i="1"/>
  <c r="AD34" i="1"/>
  <c r="AC34" i="1"/>
  <c r="AA34" i="1"/>
  <c r="Z34" i="1"/>
  <c r="T34" i="1"/>
  <c r="S34" i="1"/>
  <c r="B34" i="1"/>
  <c r="AE33" i="1"/>
  <c r="E35" i="2" s="1"/>
  <c r="AD33" i="1"/>
  <c r="AC33" i="1"/>
  <c r="AA33" i="1"/>
  <c r="Z33" i="1"/>
  <c r="T33" i="1"/>
  <c r="S33" i="1"/>
  <c r="B33" i="1"/>
  <c r="AE32" i="1"/>
  <c r="AD32" i="1"/>
  <c r="T32" i="1" s="1"/>
  <c r="AC32" i="1"/>
  <c r="S32" i="1" s="1"/>
  <c r="AA32" i="1"/>
  <c r="Z32" i="1"/>
  <c r="B32" i="1"/>
  <c r="AE31" i="1"/>
  <c r="AD31" i="1"/>
  <c r="T31" i="1" s="1"/>
  <c r="AC31" i="1"/>
  <c r="S31" i="1" s="1"/>
  <c r="AA31" i="1"/>
  <c r="J34" i="2" s="1"/>
  <c r="Z31" i="1"/>
  <c r="B31" i="1"/>
  <c r="AE30" i="1"/>
  <c r="AD30" i="1"/>
  <c r="T30" i="1" s="1"/>
  <c r="AC30" i="1"/>
  <c r="S30" i="1" s="1"/>
  <c r="AA30" i="1"/>
  <c r="Z30" i="1"/>
  <c r="B30" i="1"/>
  <c r="AE29" i="1"/>
  <c r="AD29" i="1"/>
  <c r="AC29" i="1"/>
  <c r="AA29" i="1"/>
  <c r="Z29" i="1"/>
  <c r="T29" i="1"/>
  <c r="S29" i="1"/>
  <c r="B29" i="1"/>
  <c r="AE28" i="1"/>
  <c r="AD28" i="1"/>
  <c r="AC28" i="1"/>
  <c r="AA28" i="1"/>
  <c r="Z28" i="1"/>
  <c r="T28" i="1"/>
  <c r="S28" i="1"/>
  <c r="B28" i="1"/>
  <c r="AE27" i="1"/>
  <c r="AD27" i="1"/>
  <c r="T27" i="1" s="1"/>
  <c r="AC27" i="1"/>
  <c r="S27" i="1" s="1"/>
  <c r="AA27" i="1"/>
  <c r="Z27" i="1"/>
  <c r="B27" i="1"/>
  <c r="AE26" i="1"/>
  <c r="AD26" i="1"/>
  <c r="T26" i="1" s="1"/>
  <c r="AC26" i="1"/>
  <c r="S26" i="1" s="1"/>
  <c r="D33" i="2" s="1"/>
  <c r="AA26" i="1"/>
  <c r="Z26" i="1"/>
  <c r="B26" i="1"/>
  <c r="AE25" i="1"/>
  <c r="AD25" i="1"/>
  <c r="T25" i="1" s="1"/>
  <c r="AC25" i="1"/>
  <c r="S25" i="1" s="1"/>
  <c r="AA25" i="1"/>
  <c r="Z25" i="1"/>
  <c r="B25" i="1"/>
  <c r="AE24" i="1"/>
  <c r="AD24" i="1"/>
  <c r="AC24" i="1"/>
  <c r="AA24" i="1"/>
  <c r="Z24" i="1"/>
  <c r="T24" i="1"/>
  <c r="S24" i="1"/>
  <c r="B24" i="1"/>
  <c r="AE23" i="1"/>
  <c r="E32" i="2" s="1"/>
  <c r="AD23" i="1"/>
  <c r="AC23" i="1"/>
  <c r="AA23" i="1"/>
  <c r="Z23" i="1"/>
  <c r="T23" i="1"/>
  <c r="S23" i="1"/>
  <c r="B23" i="1"/>
  <c r="AE22" i="1"/>
  <c r="E40" i="2" s="1"/>
  <c r="AD22" i="1"/>
  <c r="T22" i="1" s="1"/>
  <c r="AC22" i="1"/>
  <c r="S22" i="1" s="1"/>
  <c r="AA22" i="1"/>
  <c r="F44" i="2" s="1"/>
  <c r="Z22" i="1"/>
  <c r="Z11" i="1" s="1"/>
  <c r="B22" i="1"/>
  <c r="T11" i="1"/>
  <c r="B11" i="1"/>
  <c r="Y8" i="1"/>
  <c r="R8" i="1"/>
  <c r="D8" i="1"/>
  <c r="Y7" i="1"/>
  <c r="R7" i="1"/>
  <c r="K7" i="1"/>
  <c r="D7" i="1"/>
  <c r="X4" i="1"/>
  <c r="T4" i="1"/>
  <c r="P4" i="1"/>
  <c r="AC2" i="1"/>
  <c r="AC1" i="1"/>
  <c r="I34" i="2" l="1"/>
  <c r="F46" i="2"/>
  <c r="J35" i="2"/>
  <c r="J36" i="2"/>
  <c r="F45" i="2"/>
  <c r="J33" i="2"/>
  <c r="J37" i="2"/>
  <c r="H24" i="2"/>
  <c r="I24" i="2"/>
  <c r="H14" i="2"/>
  <c r="I14" i="2"/>
  <c r="K25" i="2"/>
  <c r="K20" i="2"/>
  <c r="D35" i="2"/>
  <c r="D32" i="2"/>
  <c r="I7" i="2"/>
  <c r="I28" i="2"/>
  <c r="M11" i="1"/>
  <c r="F58" i="2"/>
  <c r="L58" i="2" s="1"/>
  <c r="S72" i="1"/>
  <c r="K8" i="1"/>
  <c r="H19" i="2"/>
  <c r="I19" i="2"/>
  <c r="D37" i="2"/>
  <c r="D36" i="2"/>
  <c r="D34" i="2"/>
  <c r="K34" i="2" s="1"/>
  <c r="K16" i="2"/>
  <c r="D38" i="2"/>
  <c r="I32" i="2"/>
  <c r="E11" i="1"/>
  <c r="J32" i="2"/>
  <c r="E37" i="2"/>
  <c r="D45" i="2"/>
  <c r="D50" i="2" s="1"/>
  <c r="F48" i="2"/>
  <c r="K14" i="2"/>
  <c r="G17" i="2"/>
  <c r="G22" i="2"/>
  <c r="G27" i="2"/>
  <c r="E45" i="2"/>
  <c r="I39" i="2"/>
  <c r="D49" i="2"/>
  <c r="E49" i="2"/>
  <c r="I37" i="2"/>
  <c r="K37" i="2" s="1"/>
  <c r="K39" i="2"/>
  <c r="F59" i="2"/>
  <c r="L59" i="2" s="1"/>
  <c r="V72" i="1"/>
  <c r="E20" i="2"/>
  <c r="E25" i="2"/>
  <c r="E33" i="2"/>
  <c r="S16" i="1"/>
  <c r="Z72" i="1"/>
  <c r="G15" i="2"/>
  <c r="G20" i="2"/>
  <c r="G25" i="2"/>
  <c r="H35" i="2"/>
  <c r="I35" i="2"/>
  <c r="K35" i="2" s="1"/>
  <c r="E15" i="2"/>
  <c r="E28" i="2" s="1"/>
  <c r="H33" i="2"/>
  <c r="E46" i="2"/>
  <c r="F28" i="2"/>
  <c r="I33" i="2"/>
  <c r="K33" i="2" s="1"/>
  <c r="W11" i="1"/>
  <c r="E16" i="2"/>
  <c r="I18" i="2"/>
  <c r="E21" i="2"/>
  <c r="K21" i="2" s="1"/>
  <c r="I23" i="2"/>
  <c r="E26" i="2"/>
  <c r="E36" i="2"/>
  <c r="I9" i="2"/>
  <c r="G16" i="2"/>
  <c r="G21" i="2"/>
  <c r="G26" i="2"/>
  <c r="E34" i="2"/>
  <c r="I38" i="2"/>
  <c r="K38" i="2" s="1"/>
  <c r="E7" i="2"/>
  <c r="H36" i="2"/>
  <c r="I36" i="2"/>
  <c r="K36" i="2" s="1"/>
  <c r="E44" i="2"/>
  <c r="F50" i="2" l="1"/>
  <c r="J40" i="2"/>
  <c r="H17" i="2"/>
  <c r="I17" i="2"/>
  <c r="D40" i="2"/>
  <c r="I40" i="2"/>
  <c r="K32" i="2"/>
  <c r="I16" i="2"/>
  <c r="H16" i="2"/>
  <c r="H26" i="2"/>
  <c r="I26" i="2"/>
  <c r="I15" i="2"/>
  <c r="H15" i="2"/>
  <c r="H28" i="2" s="1"/>
  <c r="H21" i="2"/>
  <c r="I21" i="2"/>
  <c r="G28" i="2"/>
  <c r="I25" i="2"/>
  <c r="H25" i="2"/>
  <c r="I20" i="2"/>
  <c r="H20" i="2"/>
  <c r="E50" i="2"/>
  <c r="H27" i="2"/>
  <c r="I27" i="2"/>
  <c r="H22" i="2"/>
  <c r="I22" i="2"/>
</calcChain>
</file>

<file path=xl/sharedStrings.xml><?xml version="1.0" encoding="utf-8"?>
<sst xmlns="http://schemas.openxmlformats.org/spreadsheetml/2006/main" count="691" uniqueCount="360">
  <si>
    <t>STAND</t>
  </si>
  <si>
    <t>VERANTWORTLICH</t>
  </si>
  <si>
    <t>PRÜFINTERVALL</t>
  </si>
  <si>
    <t>Kennzeichnung nach LMIV – 14 Allergene, Zusatzstoffe und Nachweisführung</t>
  </si>
  <si>
    <t>01</t>
  </si>
  <si>
    <t>BETRIEBSDATEN</t>
  </si>
  <si>
    <t>Angaben aus dem Blatt »Stammdaten«</t>
  </si>
  <si>
    <t>BETRIEB</t>
  </si>
  <si>
    <t>BETRIEBSART</t>
  </si>
  <si>
    <t>STANDORT</t>
  </si>
  <si>
    <t>SPEISEKARTE GÜLTIG AB</t>
  </si>
  <si>
    <t>ERFASSTE GERICHTE</t>
  </si>
  <si>
    <t>ALLERGENFREI</t>
  </si>
  <si>
    <t>REGELPRÜFUNG</t>
  </si>
  <si>
    <t>DOKUMENTVERSION</t>
  </si>
  <si>
    <t>02</t>
  </si>
  <si>
    <t>KENNZAHLEN DER KENNZEICHNUNG</t>
  </si>
  <si>
    <t>berechnet aus der Allergenmatrix</t>
  </si>
  <si>
    <t>GERICHTE ERFASST</t>
  </si>
  <si>
    <t>DOKUMENTIERT</t>
  </si>
  <si>
    <t>Ø ALLERGENE</t>
  </si>
  <si>
    <t>ÜBERFÄLLIG</t>
  </si>
  <si>
    <t>FÜR GAST GEEIGNET</t>
  </si>
  <si>
    <t>Zeilen mit Bezeichnung</t>
  </si>
  <si>
    <t>ohne offenen Prüfhinweis</t>
  </si>
  <si>
    <t>Gerichte ohne Allergen</t>
  </si>
  <si>
    <t>je Gericht</t>
  </si>
  <si>
    <t>Prüffrist überschritten</t>
  </si>
  <si>
    <t>laut Gästefilter</t>
  </si>
  <si>
    <t>03</t>
  </si>
  <si>
    <t>GÄSTEFILTER</t>
  </si>
  <si>
    <t>»J« setzen für jedes Allergen, das der Gast meiden muss</t>
  </si>
  <si>
    <t>ALLERGEN-CODE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</si>
  <si>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</si>
  <si>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</si>
  <si>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</si>
  <si>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</si>
  <si>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</si>
  <si>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</si>
  <si>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</si>
  <si>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</si>
  <si>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</si>
  <si>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</si>
  <si>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</si>
  <si>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</si>
  <si>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</si>
  <si>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</si>
  <si>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AUSWAHL</t>
  </si>
  <si>
    <t>VOM GAST GEMIEDEN (J / N)</t>
  </si>
  <si>
    <t>Der Filter wirkt nur auf die Spalte »Eignung für Gast« und verändert keine Kennzeichnungsdaten. Spuren werden als »nur nach Rücksprache« bewertet.</t>
  </si>
  <si>
    <t>04</t>
  </si>
  <si>
    <t>ALLERGENMATRIX</t>
  </si>
  <si>
    <t>X = enthalten · S = Spuren möglich · leer = nicht enthalten</t>
  </si>
  <si>
    <t>SPEISE / PRODUKT</t>
  </si>
  <si>
    <t>ALLERGENE NACH LMIV (A – N)</t>
  </si>
  <si>
    <t>KENNZEICHNUNG, NACHWEIS &amp; PRÜFUNG</t>
  </si>
  <si>
    <t>Bezeichnung genau wie auf der Speisekarte erfassen</t>
  </si>
  <si>
    <t>Glutenhaltiges Getreide</t>
  </si>
  <si>
    <t>Krebstiere</t>
  </si>
  <si>
    <t>Eier</t>
  </si>
  <si>
    <t>Fische</t>
  </si>
  <si>
    <t>Erdnüsse</t>
  </si>
  <si>
    <t>Sojabohnen</t>
  </si>
  <si>
    <t>Milch (einschl. Laktose)</t>
  </si>
  <si>
    <t>Schalenfrüchte (Nüsse)</t>
  </si>
  <si>
    <t>Sellerie</t>
  </si>
  <si>
    <t>Senf</t>
  </si>
  <si>
    <t>Sesamsamen</t>
  </si>
  <si>
    <t>Schwefeldioxid und Sulfite</t>
  </si>
  <si>
    <t>Lupinen</t>
  </si>
  <si>
    <t>Weichtiere</t>
  </si>
  <si>
    <t>automatische Auswertung der Matrix und Nachweisführung</t>
  </si>
  <si>
    <t>Nr.</t>
  </si>
  <si>
    <t>Kategorie</t>
  </si>
  <si>
    <t>Speise / Produkt</t>
  </si>
  <si>
    <t>Kennzeichnung (enthält)</t>
  </si>
  <si>
    <t>Spuren möglich</t>
  </si>
  <si>
    <t>Zusatzstoffe</t>
  </si>
  <si>
    <t>Nachweisquelle</t>
  </si>
  <si>
    <t>Letzte Prüfung</t>
  </si>
  <si>
    <t>Verantwortlich</t>
  </si>
  <si>
    <t>Status</t>
  </si>
  <si>
    <t>Eignung für Gast</t>
  </si>
  <si>
    <t>Prüfhinweis</t>
  </si>
  <si>
    <t>Vorspeisen</t>
  </si>
  <si>
    <t>Bruschetta mit Tomaten</t>
  </si>
  <si>
    <t>X</t>
  </si>
  <si>
    <t>S</t>
  </si>
  <si>
    <t>Rezeptur intern</t>
  </si>
  <si>
    <t>C. Vogel</t>
  </si>
  <si>
    <t>Freigegeben</t>
  </si>
  <si>
    <t>Räucherfisch-Tatar</t>
  </si>
  <si>
    <t>Lieferantenspezifikation</t>
  </si>
  <si>
    <t>P. Ritter</t>
  </si>
  <si>
    <t>Gemüsesticks mit Joghurtdip</t>
  </si>
  <si>
    <t>M. Sander</t>
  </si>
  <si>
    <t>Blätterteigtaschen mit Käse</t>
  </si>
  <si>
    <t>Zutatenliste Verpackung</t>
  </si>
  <si>
    <t>Suppen</t>
  </si>
  <si>
    <t>Kartoffelcremesuppe</t>
  </si>
  <si>
    <t>4</t>
  </si>
  <si>
    <t>Klare Gemüsebrühe</t>
  </si>
  <si>
    <t>Fischsuppe</t>
  </si>
  <si>
    <t>Salate</t>
  </si>
  <si>
    <t>Blattsalat mit Hausdressing</t>
  </si>
  <si>
    <t>Nudelsalat</t>
  </si>
  <si>
    <t>Kichererbsensalat</t>
  </si>
  <si>
    <t>Hauptgerichte</t>
  </si>
  <si>
    <t>Schmorbraten mit Sauce</t>
  </si>
  <si>
    <t>10</t>
  </si>
  <si>
    <t>Gemüsecurry mit Reis</t>
  </si>
  <si>
    <t>Gebratenes Fischfilet</t>
  </si>
  <si>
    <t>Paniertes Schnitzel</t>
  </si>
  <si>
    <t>In Prüfung</t>
  </si>
  <si>
    <t>Pasta mit Käsesauce</t>
  </si>
  <si>
    <t>Linsenbolognese</t>
  </si>
  <si>
    <t>Hähnchenbrust mit Kräuterkruste</t>
  </si>
  <si>
    <t>Beilagen</t>
  </si>
  <si>
    <t>Salzkartoffeln</t>
  </si>
  <si>
    <t>Basmatireis</t>
  </si>
  <si>
    <t>Buttergemüse</t>
  </si>
  <si>
    <t>Kartoffelpüree</t>
  </si>
  <si>
    <t>3</t>
  </si>
  <si>
    <t>Ofengemüse der Saison</t>
  </si>
  <si>
    <t>Desserts</t>
  </si>
  <si>
    <t>Schokoladenmousse</t>
  </si>
  <si>
    <t>Obstsalat</t>
  </si>
  <si>
    <t>7</t>
  </si>
  <si>
    <t>Vanillepudding</t>
  </si>
  <si>
    <t>1</t>
  </si>
  <si>
    <t>Apfelkuchen</t>
  </si>
  <si>
    <t>Getränke</t>
  </si>
  <si>
    <t>Cola-Getränk</t>
  </si>
  <si>
    <t>1, 10, 11</t>
  </si>
  <si>
    <t>Herstellerangabe</t>
  </si>
  <si>
    <t>D. Krüger</t>
  </si>
  <si>
    <t>Weißwein trocken</t>
  </si>
  <si>
    <t>5</t>
  </si>
  <si>
    <t>Apfelschorle</t>
  </si>
  <si>
    <t>Filterkaffee</t>
  </si>
  <si>
    <t>11</t>
  </si>
  <si>
    <t>Backwaren</t>
  </si>
  <si>
    <t>Weizenbrötchen</t>
  </si>
  <si>
    <t>Vollkornbrot</t>
  </si>
  <si>
    <t>Nicht dokumentiert</t>
  </si>
  <si>
    <t>Entwurf</t>
  </si>
  <si>
    <t>GERICHTE JE ALLERGEN</t>
  </si>
  <si>
    <t>LEGENDE</t>
  </si>
  <si>
    <t>X = enthalten</t>
  </si>
  <si>
    <t>bedeutet: Spuren möglich</t>
  </si>
  <si>
    <t>Eingabefeld</t>
  </si>
  <si>
    <t>Berechnet</t>
  </si>
  <si>
    <t>Geeignet</t>
  </si>
  <si>
    <t>Rücksprache</t>
  </si>
  <si>
    <t>Nicht geeignet</t>
  </si>
  <si>
    <t>Angaben vor der Gästeauskunft mit der aktuellen Rezeptur abgleichen.</t>
  </si>
  <si>
    <t>AUSWERTUNG</t>
  </si>
  <si>
    <t>VERSION</t>
  </si>
  <si>
    <t>Allergenprofil der Karte, Dokumentationsstand und Prüfliste</t>
  </si>
  <si>
    <t>KENNZAHLEN</t>
  </si>
  <si>
    <t>alle Werte aktualisieren sich automatisch</t>
  </si>
  <si>
    <t>DOKUMENTATIONSGRAD</t>
  </si>
  <si>
    <t>ALLERGENFREIE GERICHTE</t>
  </si>
  <si>
    <t>Positionen ohne offenen Hinweis</t>
  </si>
  <si>
    <t>ohne deklarationspflichtiges Allergen</t>
  </si>
  <si>
    <t>MIT ZUSATZSTOFFEN</t>
  </si>
  <si>
    <t>OFFENE PRÜFHINWEISE</t>
  </si>
  <si>
    <t>kennzeichnungspflichtige Nummern</t>
  </si>
  <si>
    <t>davon überfällige Prüfungen gesondert</t>
  </si>
  <si>
    <t>ALLERGENPROFIL DER KARTE</t>
  </si>
  <si>
    <t>Häufigkeit der 14 Allergene über alle erfassten Gerichte</t>
  </si>
  <si>
    <t>Allergen</t>
  </si>
  <si>
    <t>Code</t>
  </si>
  <si>
    <t>Enthalten</t>
  </si>
  <si>
    <t>Anteil</t>
  </si>
  <si>
    <t>Spuren</t>
  </si>
  <si>
    <t>Betroffen</t>
  </si>
  <si>
    <t>Anteil betroffen</t>
  </si>
  <si>
    <t>Frei davon</t>
  </si>
  <si>
    <t>Gästefilter</t>
  </si>
  <si>
    <t>Bewertung</t>
  </si>
  <si>
    <t>SUMME / DURCHSCHNITT</t>
  </si>
  <si>
    <t>Mehrfachnennungen möglich – ein Gericht kann mehrere Allergene enthalten.</t>
  </si>
  <si>
    <t>KATEGORIEN &amp; DOKUMENTATIONSSTAND</t>
  </si>
  <si>
    <t>Wo steht die Kennzeichnung je Speisekartenbereich?</t>
  </si>
  <si>
    <t>Gerichte</t>
  </si>
  <si>
    <t>Allergenfrei</t>
  </si>
  <si>
    <t>Ø Allergene</t>
  </si>
  <si>
    <t>Mit Zusatzstoff</t>
  </si>
  <si>
    <t>Anteil freigegeben</t>
  </si>
  <si>
    <t>Offene Hinweise</t>
  </si>
  <si>
    <t>Überfällig</t>
  </si>
  <si>
    <t>SUMME</t>
  </si>
  <si>
    <t>Gerichte ohne Kategorie erscheinen in keiner Zeile.</t>
  </si>
  <si>
    <t>VERANTWORTUNG &amp; FREIGABESTATUS</t>
  </si>
  <si>
    <t>Wer pflegt welche Positionen?</t>
  </si>
  <si>
    <t>Hinweis</t>
  </si>
  <si>
    <t>zur Gästeauskunft freigegeben</t>
  </si>
  <si>
    <t>Rezeptur oder Nachweis wird geprüft</t>
  </si>
  <si>
    <t>noch nicht auf der Karte</t>
  </si>
  <si>
    <t>Gesperrt</t>
  </si>
  <si>
    <t>nicht ausgeben – Angaben unklar</t>
  </si>
  <si>
    <t>05</t>
  </si>
  <si>
    <t>PRÜFLISTE ALLERGENMANAGEMENT</t>
  </si>
  <si>
    <t>Ampel für die Dokumentation</t>
  </si>
  <si>
    <t>Prüfpunkt</t>
  </si>
  <si>
    <t>Ist</t>
  </si>
  <si>
    <t>Soll</t>
  </si>
  <si>
    <t>Erläuterung</t>
  </si>
  <si>
    <t>Gerichte ohne Nachweisquelle</t>
  </si>
  <si>
    <t>Jede Angabe braucht eine belegbare Quelle.</t>
  </si>
  <si>
    <t>Gerichte ohne Verantwortlichen</t>
  </si>
  <si>
    <t>Ohne benannte Person fehlt die Zuständigkeit.</t>
  </si>
  <si>
    <t>Überfällige Prüfungen</t>
  </si>
  <si>
    <t>Prüfdatum liegt länger zurück als das Prüfintervall.</t>
  </si>
  <si>
    <t>Nicht freigegebene Gerichte</t>
  </si>
  <si>
    <t>Entwürfe vor dem Kartendruck klären.</t>
  </si>
  <si>
    <t>Allergenfreie Gerichte</t>
  </si>
  <si>
    <t>Mindestangebot für Gäste mit mehreren Unverträglichkeiten.</t>
  </si>
  <si>
    <t>Dokumentationsgrad</t>
  </si>
  <si>
    <t>Anteil der Positionen ohne offenen Prüfhinweis.</t>
  </si>
  <si>
    <t>Doppelte Bezeichnungen</t>
  </si>
  <si>
    <t>Gleiche Namen führen zu widersprüchlichen Auskünften.</t>
  </si>
  <si>
    <t>Gerichte ohne Kategorie</t>
  </si>
  <si>
    <t>Ohne Kategorie fehlt die Position in der Auswertung.</t>
  </si>
  <si>
    <t>Stand der Gesamtdokumentation</t>
  </si>
  <si>
    <t>Gesamtübersicht regelmäßig aktualisieren.</t>
  </si>
  <si>
    <t>06</t>
  </si>
  <si>
    <t>DIAGRAMME</t>
  </si>
  <si>
    <t>Allergenhäufigkeit und Verteilung der Gerichte</t>
  </si>
  <si>
    <t>STAMMDATEN</t>
  </si>
  <si>
    <t>BLATT</t>
  </si>
  <si>
    <t>EINGABE</t>
  </si>
  <si>
    <t>Betrieb, Prüfparameter, Allergen- und Zusatzstoffkatalog</t>
  </si>
  <si>
    <t>Referenz</t>
  </si>
  <si>
    <t>gelb hinterlegt</t>
  </si>
  <si>
    <t>erscheinen in den Kopfzeilen</t>
  </si>
  <si>
    <t>Betrieb / Unternehmen</t>
  </si>
  <si>
    <t>Muster Gastronomie GmbH</t>
  </si>
  <si>
    <t>Firmierung wie im Impressum</t>
  </si>
  <si>
    <t>Betriebsart</t>
  </si>
  <si>
    <t>Restaurant &amp; Kantine</t>
  </si>
  <si>
    <t>z. B. Bäckerei, Catering, Gemeinschaftsverpflegung</t>
  </si>
  <si>
    <t>Standort</t>
  </si>
  <si>
    <t>Musterstadt</t>
  </si>
  <si>
    <t>Betriebsstätte</t>
  </si>
  <si>
    <t>Verantwortlich Allergenmanagement</t>
  </si>
  <si>
    <t>N. Albers</t>
  </si>
  <si>
    <t>benannte Person im Betrieb</t>
  </si>
  <si>
    <t>Stand der Dokumentation</t>
  </si>
  <si>
    <t>Datum der letzten Gesamtprüfung</t>
  </si>
  <si>
    <t>Speisekarte gültig ab</t>
  </si>
  <si>
    <t>Fassung, auf die sich die Matrix bezieht</t>
  </si>
  <si>
    <t>Nächste Regelprüfung</t>
  </si>
  <si>
    <t>berechnet aus Stand + Prüfintervall</t>
  </si>
  <si>
    <t>Dokumentversion</t>
  </si>
  <si>
    <t>2026-02</t>
  </si>
  <si>
    <t>eigene Versionsbezeichnung</t>
  </si>
  <si>
    <t>PRÜFPARAMETER</t>
  </si>
  <si>
    <t>steuern Fristen und Bewertungen</t>
  </si>
  <si>
    <t>Prüfintervall (Monate)</t>
  </si>
  <si>
    <t>Turnus für die Wiedervorlage je Gericht</t>
  </si>
  <si>
    <t>Mindestanzahl allergenfreier Gerichte</t>
  </si>
  <si>
    <t>Zielwert für die Prüfliste</t>
  </si>
  <si>
    <t>Ziel-Dokumentationsgrad</t>
  </si>
  <si>
    <t>Anteil Positionen ohne offenen Prüfhinweis</t>
  </si>
  <si>
    <t>Warnfrist vor Ablauf (Tage)</t>
  </si>
  <si>
    <t>Vorlauf für die interne Wiedervorlage</t>
  </si>
  <si>
    <t>Schulungsintervall (Monate)</t>
  </si>
  <si>
    <t>Turnus der Mitarbeiterschulung</t>
  </si>
  <si>
    <t>DIE 14 ALLERGENE NACH LMIV</t>
  </si>
  <si>
    <t>gesetzlich festgelegte Bezeichnungen – nicht umbenennen</t>
  </si>
  <si>
    <t>Bezeichnung</t>
  </si>
  <si>
    <t>Typische Quellen in der Küche</t>
  </si>
  <si>
    <t>Weizen, Roggen, Gerste, Hafer, Dinkel; Mehl, Brot, Nudeln, Panade, Bier</t>
  </si>
  <si>
    <t>Garnelen, Krabben, Hummer, Krebsfleisch, Fond</t>
  </si>
  <si>
    <t>Ei, Eigelb, Mayonnaise, Panade, Nudeln, Backwaren</t>
  </si>
  <si>
    <t>Fischfilet, Sardellen, Fischfond, Worcestersauce</t>
  </si>
  <si>
    <t>Erdnussöl, Erdnussmus, asiatische Saucen, Gebäck</t>
  </si>
  <si>
    <t>Sojasauce, Tofu, Sojalecithin, Margarine, Backwaren</t>
  </si>
  <si>
    <t>Milch, Sahne, Butter, Käse, Joghurt, Molkepulver</t>
  </si>
  <si>
    <t>Mandel, Haselnuss, Walnuss, Cashew, Pistazie, Pesto</t>
  </si>
  <si>
    <t>Knollen- und Staudensellerie, Brühe, Gewürzmischungen</t>
  </si>
  <si>
    <t>Senfkörner, Dressings, Marinaden, Mayonnaise</t>
  </si>
  <si>
    <t>Sesamöl, Hummus, Brötchen, Fladenbrot</t>
  </si>
  <si>
    <t>Trockenfrüchte, Wein, Essig, Kartoffelerzeugnisse</t>
  </si>
  <si>
    <t>Lupinenmehl, glutenfreie Backwaren, Fleischalternativen</t>
  </si>
  <si>
    <t>Muscheln, Tintenfisch, Austern, Schnecken</t>
  </si>
  <si>
    <t>KENNZEICHNUNGSPFLICHTIGE ZUSATZSTOFFE</t>
  </si>
  <si>
    <t>Nummerierung ist eine Empfehlung und frei anpassbar</t>
  </si>
  <si>
    <t>Kenntlichmachung</t>
  </si>
  <si>
    <t>Typische Produkte</t>
  </si>
  <si>
    <t>mit Farbstoff</t>
  </si>
  <si>
    <t>Limonaden, Süßwaren, Fertigsaucen</t>
  </si>
  <si>
    <t>mit Konservierungsstoff</t>
  </si>
  <si>
    <t>Fleischerzeugnisse, Fertigsalate, Oliven</t>
  </si>
  <si>
    <t>mit Antioxidationsmittel</t>
  </si>
  <si>
    <t>Kartoffelerzeugnisse, Fette, Trockenobst</t>
  </si>
  <si>
    <t>mit Geschmacksverstärker</t>
  </si>
  <si>
    <t>Brühen, Würzmischungen, Fertigprodukte</t>
  </si>
  <si>
    <t>geschwefelt</t>
  </si>
  <si>
    <t>Trockenfrüchte, Wein, Kartoffelerzeugnisse</t>
  </si>
  <si>
    <t>geschwärzt</t>
  </si>
  <si>
    <t>schwarze Oliven</t>
  </si>
  <si>
    <t>gewachst</t>
  </si>
  <si>
    <t>Zitrusfrüchte, Äpfel, Melonen</t>
  </si>
  <si>
    <t>mit Süßungsmitteln</t>
  </si>
  <si>
    <t>Light-Getränke, Desserts</t>
  </si>
  <si>
    <t>enthält eine Phenylalaninquelle</t>
  </si>
  <si>
    <t>Produkte mit Aspartam</t>
  </si>
  <si>
    <t>mit Phosphat</t>
  </si>
  <si>
    <t>Fleischerzeugnisse, Schmelzkäse, Cola</t>
  </si>
  <si>
    <t>koffeinhaltig</t>
  </si>
  <si>
    <t>Kaffee, Cola, Energy-Getränke</t>
  </si>
  <si>
    <t>chininhaltig</t>
  </si>
  <si>
    <t>Bitter Lemon, Tonic Water</t>
  </si>
  <si>
    <t>mit Milcheiweiß</t>
  </si>
  <si>
    <t>Fleischerzeugnisse, Brühwurst</t>
  </si>
  <si>
    <t>mit Nitritpökelsalz</t>
  </si>
  <si>
    <t>Pökelfleisch, Schinken, Wurstwaren</t>
  </si>
  <si>
    <t>VERANTWORTLICHE</t>
  </si>
  <si>
    <t>Auswahlliste der Allergenmatrix</t>
  </si>
  <si>
    <t>Name / Kürzel</t>
  </si>
  <si>
    <t>Funktion</t>
  </si>
  <si>
    <t>Zuständigkeitsbereich</t>
  </si>
  <si>
    <t>Küchenleitung</t>
  </si>
  <si>
    <t>Rezepturen &amp; Freigabe</t>
  </si>
  <si>
    <t>Sous-Chef</t>
  </si>
  <si>
    <t>Tagesgerichte</t>
  </si>
  <si>
    <t>Einkauf</t>
  </si>
  <si>
    <t>Lieferantenangaben</t>
  </si>
  <si>
    <t>Qualitätssicherung</t>
  </si>
  <si>
    <t>Dokumentation &amp; Audit</t>
  </si>
  <si>
    <t>Serviceleitung</t>
  </si>
  <si>
    <t>Gästeauskunft</t>
  </si>
  <si>
    <t>F. Lindner</t>
  </si>
  <si>
    <t>Betriebsleitung</t>
  </si>
  <si>
    <t>Gesamtverantwortung</t>
  </si>
  <si>
    <t>AUSWAHLLISTEN</t>
  </si>
  <si>
    <t>Werte der Dropdown-Felder</t>
  </si>
  <si>
    <t>Kategorien der Speisekarte</t>
  </si>
  <si>
    <t>Nachweisquellen</t>
  </si>
  <si>
    <t>Freigabestatus</t>
  </si>
  <si>
    <t>07</t>
  </si>
  <si>
    <t>ANLEITUNG IN 7 SCHRITTEN</t>
  </si>
  <si>
    <t>Betriebsdaten (01) und Prüfparameter (02) ausfüllen – das Prüfintervall steuert alle Fristen.</t>
  </si>
  <si>
    <t>2</t>
  </si>
  <si>
    <t>Verantwortliche (05) und Auswahllisten (06) an den eigenen Betrieb anpassen.</t>
  </si>
  <si>
    <t>Im Blatt »Allergenmatrix« je Zeile ein Gericht erfassen: Kategorie und Bezeichnung genau wie auf der Speisekarte.</t>
  </si>
  <si>
    <t>In den Spalten A bis N je Allergen »X« (enthalten) oder »S« (Spuren möglich) setzen – Grundlage sind Zutatenlisten und Lieferantenangaben.</t>
  </si>
  <si>
    <t>Kennzeichnungstext, Spurenhinweis und Prüfhinweis berechnen sich automatisch; graue Felder nicht überschreiben.</t>
  </si>
  <si>
    <t>6</t>
  </si>
  <si>
    <t>Nachweisquelle, Prüfdatum, Verantwortlichkeit und Freigabestatus pflegen – überfällige Prüfungen färben sich rot.</t>
  </si>
  <si>
    <t>Gästefilter für Einzelauskünfte nutzen und die Prüfliste im Blatt »Auswertung« vor jedem Kartendruck abarbeiten.</t>
  </si>
  <si>
    <t>08</t>
  </si>
  <si>
    <t>LEGENDE &amp; RECHTLICHER HINWEIS</t>
  </si>
  <si>
    <t>S = Spuren</t>
  </si>
  <si>
    <t>Prüfhinweise: Rot = offen</t>
  </si>
  <si>
    <t>Alle Betriebs-, Personen- und Gerichtsangaben sind frei erfundene Beispielwerte. Die Vorlage ersetzt keine Rechtsberatung: Die Allergenangaben sind vor jeder Gästeauskunft mit den aktuellen Zutatenlisten, Lieferantenspezifikationen und Rezepturen abzugleichen. Die Nummerierung der Zusatzstoffe ist nicht gesetzlich festgelegt und kann betrieblich abweichen; die Bezeichnungen der 14 Allergene und die Kenntlichmachungen der Zusatzstoffe sind dagegen vorgegeben und sollten nicht verändert werden.</t>
  </si>
  <si>
    <t>ALLERGENE 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</si>
</sst>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.mm\.yyyy"/>
    <numFmt numFmtId="165" formatCode="#,##0.0"/>
    <numFmt numFmtId="166" formatCode="0&quot; ohne&quot;"/>
    <numFmt numFmtId="167" formatCode="0&quot; Spuren&quot;"/>
    <numFmt numFmtId="168" formatCode="0&quot; mit ZS&quot;"/>
    <numFmt numFmtId="169" formatCode="0%&quot; frei&quot;"/>
    <numFmt numFmtId="170" formatCode="0&quot; frei&quot;"/>
    <numFmt numFmtId="171" formatCode="0&quot; x J&quot;"/>
  </numFmts>
  <fonts count="41" x14ac:knownFonts="1">
    <font>
      <sz val="11"/>
      <color theme="1"/>
      <name val="Calibri"/>
      <family val="2"/>
      <charset val="1"/>
    </font>
    <font>
      <sz val="8"/>
      <color rgb="FF1B2430"/>
      <name val="Calibri"/>
      <charset val="1"/>
    </font>
    <font>
      <b/>
      <sz val="20"/>
      <color rgb="FFFFFFFF"/>
      <name val="Calibri"/>
      <charset val="1"/>
    </font>
    <font>
      <b/>
      <sz val="7"/>
      <color rgb="FFDBEDEB"/>
      <name val="Calibri"/>
      <charset val="1"/>
    </font>
    <font>
      <i/>
      <sz val="9"/>
      <color rgb="FFDBEDEB"/>
      <name val="Calibri"/>
      <charset val="1"/>
    </font>
    <font>
      <b/>
      <sz val="9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1B2430"/>
      <name val="Calibri"/>
      <charset val="1"/>
    </font>
    <font>
      <i/>
      <sz val="8.5"/>
      <color rgb="FF77848F"/>
      <name val="Calibri"/>
      <charset val="1"/>
    </font>
    <font>
      <b/>
      <sz val="7.5"/>
      <color rgb="FFFFFFFF"/>
      <name val="Calibri"/>
      <charset val="1"/>
    </font>
    <font>
      <b/>
      <sz val="10"/>
      <color rgb="FF1B2430"/>
      <name val="Calibri"/>
      <charset val="1"/>
    </font>
    <font>
      <b/>
      <sz val="14"/>
      <color rgb="FF1B2430"/>
      <name val="Calibri"/>
      <charset val="1"/>
    </font>
    <font>
      <b/>
      <sz val="8"/>
      <color rgb="FF1B2430"/>
      <name val="Calibri"/>
      <charset val="1"/>
    </font>
    <font>
      <b/>
      <sz val="14"/>
      <color rgb="FF12857F"/>
      <name val="Calibri"/>
      <charset val="1"/>
    </font>
    <font>
      <b/>
      <sz val="14"/>
      <color rgb="FF3E7C4B"/>
      <name val="Calibri"/>
      <charset val="1"/>
    </font>
    <font>
      <b/>
      <sz val="14"/>
      <color rgb="FF3C4B5C"/>
      <name val="Calibri"/>
      <charset val="1"/>
    </font>
    <font>
      <b/>
      <sz val="14"/>
      <color rgb="FFC4432C"/>
      <name val="Calibri"/>
      <charset val="1"/>
    </font>
    <font>
      <b/>
      <sz val="14"/>
      <color rgb="FFD99A20"/>
      <name val="Calibri"/>
      <charset val="1"/>
    </font>
    <font>
      <i/>
      <sz val="7.5"/>
      <color rgb="FF77848F"/>
      <name val="Calibri"/>
      <charset val="1"/>
    </font>
    <font>
      <b/>
      <sz val="9.5"/>
      <color rgb="FF1B2430"/>
      <name val="Calibri"/>
      <charset val="1"/>
    </font>
    <font>
      <b/>
      <sz val="9.5"/>
      <color rgb="FF0B5F5A"/>
      <name val="Calibri"/>
      <charset val="1"/>
    </font>
    <font>
      <i/>
      <sz val="8"/>
      <color rgb="FF77848F"/>
      <name val="Calibri"/>
      <charset val="1"/>
    </font>
    <font>
      <sz val="9"/>
      <color rgb="FF77848F"/>
      <name val="Calibri"/>
      <charset val="1"/>
    </font>
    <font>
      <sz val="9.5"/>
      <color rgb="FF1B2430"/>
      <name val="Calibri"/>
      <charset val="1"/>
    </font>
    <font>
      <b/>
      <sz val="9"/>
      <color rgb="FF1B2430"/>
      <name val="Calibri"/>
      <charset val="1"/>
    </font>
    <font>
      <sz val="9"/>
      <color rgb="FF1B2430"/>
      <name val="Calibri"/>
      <charset val="1"/>
    </font>
    <font>
      <b/>
      <sz val="9.5"/>
      <color rgb="FFFFFFFF"/>
      <name val="Calibri"/>
      <charset val="1"/>
    </font>
    <font>
      <b/>
      <sz val="9.5"/>
      <color rgb="FFE0EDE3"/>
      <name val="Calibri"/>
      <charset val="1"/>
    </font>
    <font>
      <b/>
      <sz val="9.5"/>
      <color rgb="FFDBEDEB"/>
      <name val="Calibri"/>
      <charset val="1"/>
    </font>
    <font>
      <b/>
      <sz val="8"/>
      <color rgb="FF77848F"/>
      <name val="Calibri"/>
      <charset val="1"/>
    </font>
    <font>
      <b/>
      <sz val="8.5"/>
      <color rgb="FFC4432C"/>
      <name val="Calibri"/>
      <charset val="1"/>
    </font>
    <font>
      <b/>
      <sz val="8.5"/>
      <color rgb="FFD99A20"/>
      <name val="Calibri"/>
      <charset val="1"/>
    </font>
    <font>
      <b/>
      <sz val="8.5"/>
      <color rgb="FF1B2430"/>
      <name val="Calibri"/>
      <charset val="1"/>
    </font>
    <font>
      <b/>
      <sz val="8.5"/>
      <color rgb="FF3E7C4B"/>
      <name val="Calibri"/>
      <charset val="1"/>
    </font>
    <font>
      <b/>
      <sz val="9.5"/>
      <color rgb="FFD99A20"/>
      <name val="Calibri"/>
      <charset val="1"/>
    </font>
    <font>
      <i/>
      <sz val="8"/>
      <color rgb="FFDBEDEB"/>
      <name val="Calibri"/>
      <charset val="1"/>
    </font>
    <font>
      <b/>
      <sz val="9"/>
      <color rgb="FFD99A20"/>
      <name val="Calibri"/>
      <charset val="1"/>
    </font>
    <font>
      <i/>
      <sz val="9"/>
      <color rgb="FF77848F"/>
      <name val="Calibri"/>
      <charset val="1"/>
    </font>
    <font>
      <sz val="9.5"/>
      <color rgb="FF77848F"/>
      <name val="Calibri"/>
      <charset val="1"/>
    </font>
    <font>
      <b/>
      <sz val="9.5"/>
      <color rgb="FF3C4B5C"/>
      <name val="Calibri"/>
      <charset val="1"/>
    </font>
    <font>
      <sz val="10"/>
      <color rgb="FF1B2430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2857F"/>
        <bgColor rgb="FF3E7C4B"/>
      </patternFill>
    </fill>
    <fill>
      <patternFill patternType="solid">
        <fgColor rgb="FF1B2430"/>
        <bgColor rgb="FF333300"/>
      </patternFill>
    </fill>
    <fill>
      <patternFill patternType="solid">
        <fgColor rgb="FF3C4B5C"/>
        <bgColor rgb="FF0B5F5A"/>
      </patternFill>
    </fill>
    <fill>
      <patternFill patternType="solid">
        <fgColor rgb="FFEDF0F2"/>
        <bgColor rgb="FFEAF3FA"/>
      </patternFill>
    </fill>
    <fill>
      <patternFill patternType="solid">
        <fgColor rgb="FFFBFCFD"/>
        <bgColor rgb="FFFFFFFF"/>
      </patternFill>
    </fill>
    <fill>
      <patternFill patternType="solid">
        <fgColor rgb="FFDBEDEB"/>
        <bgColor rgb="FFE0EDE3"/>
      </patternFill>
    </fill>
    <fill>
      <patternFill patternType="solid">
        <fgColor rgb="FFE0EDE3"/>
        <bgColor rgb="FFDBEDEB"/>
      </patternFill>
    </fill>
    <fill>
      <patternFill patternType="solid">
        <fgColor rgb="FFFADFD9"/>
        <bgColor rgb="FFFBEED2"/>
      </patternFill>
    </fill>
    <fill>
      <patternFill patternType="solid">
        <fgColor rgb="FFFBEED2"/>
        <bgColor rgb="FFFADFD9"/>
      </patternFill>
    </fill>
    <fill>
      <patternFill patternType="solid">
        <fgColor rgb="FFEAF3FA"/>
        <bgColor rgb="FFEDF0F2"/>
      </patternFill>
    </fill>
    <fill>
      <patternFill patternType="solid">
        <fgColor rgb="FFE8EBEE"/>
        <bgColor rgb="FFEDF0F2"/>
      </patternFill>
    </fill>
    <fill>
      <patternFill patternType="solid">
        <fgColor rgb="FFD99A20"/>
        <bgColor rgb="FFC6A87C"/>
      </patternFill>
    </fill>
  </fills>
  <borders count="18">
    <border>
      <left/>
      <right/>
      <top/>
      <bottom/>
      <diagonal/>
    </border>
    <border>
      <left style="thin">
        <color rgb="FF12857F"/>
      </left>
      <right style="thin">
        <color rgb="FF12857F"/>
      </right>
      <top style="thin">
        <color rgb="FF12857F"/>
      </top>
      <bottom/>
      <diagonal/>
    </border>
    <border>
      <left style="thin">
        <color rgb="FF12857F"/>
      </left>
      <right style="thin">
        <color rgb="FF12857F"/>
      </right>
      <top/>
      <bottom style="thin">
        <color rgb="FF12857F"/>
      </bottom>
      <diagonal/>
    </border>
    <border>
      <left/>
      <right/>
      <top/>
      <bottom style="double">
        <color rgb="FF12857F"/>
      </bottom>
      <diagonal/>
    </border>
    <border>
      <left style="thin">
        <color rgb="FFC3CBD2"/>
      </left>
      <right style="thin">
        <color rgb="FFC3CBD2"/>
      </right>
      <top style="thin">
        <color rgb="FFC3CBD2"/>
      </top>
      <bottom style="thin">
        <color rgb="FFC3CBD2"/>
      </bottom>
      <diagonal/>
    </border>
    <border>
      <left style="thin">
        <color rgb="FF1B2430"/>
      </left>
      <right/>
      <top style="thin">
        <color rgb="FFC3CBD2"/>
      </top>
      <bottom style="thin">
        <color rgb="FFC3CBD2"/>
      </bottom>
      <diagonal/>
    </border>
    <border>
      <left/>
      <right style="thin">
        <color rgb="FFC3CBD2"/>
      </right>
      <top style="thin">
        <color rgb="FFC3CBD2"/>
      </top>
      <bottom/>
      <diagonal/>
    </border>
    <border>
      <left style="thin">
        <color rgb="FF12857F"/>
      </left>
      <right/>
      <top style="thin">
        <color rgb="FFC3CBD2"/>
      </top>
      <bottom style="thin">
        <color rgb="FFC3CBD2"/>
      </bottom>
      <diagonal/>
    </border>
    <border>
      <left style="thin">
        <color rgb="FF3E7C4B"/>
      </left>
      <right/>
      <top style="thin">
        <color rgb="FFC3CBD2"/>
      </top>
      <bottom style="thin">
        <color rgb="FFC3CBD2"/>
      </bottom>
      <diagonal/>
    </border>
    <border>
      <left style="thin">
        <color rgb="FF3C4B5C"/>
      </left>
      <right/>
      <top style="thin">
        <color rgb="FFC3CBD2"/>
      </top>
      <bottom style="thin">
        <color rgb="FFC3CBD2"/>
      </bottom>
      <diagonal/>
    </border>
    <border>
      <left style="thin">
        <color rgb="FFC4432C"/>
      </left>
      <right/>
      <top style="thin">
        <color rgb="FFC3CBD2"/>
      </top>
      <bottom style="thin">
        <color rgb="FFC3CBD2"/>
      </bottom>
      <diagonal/>
    </border>
    <border>
      <left style="thin">
        <color rgb="FFD99A20"/>
      </left>
      <right/>
      <top style="thin">
        <color rgb="FFC3CBD2"/>
      </top>
      <bottom style="thin">
        <color rgb="FFC3CBD2"/>
      </bottom>
      <diagonal/>
    </border>
    <border>
      <left/>
      <right style="thin">
        <color rgb="FFC3CBD2"/>
      </right>
      <top/>
      <bottom style="thin">
        <color rgb="FFC3CBD2"/>
      </bottom>
      <diagonal/>
    </border>
    <border>
      <left style="thin">
        <color rgb="FF1B2430"/>
      </left>
      <right style="thin">
        <color rgb="FF1B243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12857F"/>
      </top>
      <bottom/>
      <diagonal/>
    </border>
    <border>
      <left style="thin">
        <color rgb="FF77848F"/>
      </left>
      <right style="thin">
        <color rgb="FF77848F"/>
      </right>
      <top style="thin">
        <color rgb="FF1B2430"/>
      </top>
      <bottom style="medium">
        <color rgb="FF12857F"/>
      </bottom>
      <diagonal/>
    </border>
    <border>
      <left style="thin">
        <color rgb="FFFFFFFF"/>
      </left>
      <right style="thin">
        <color rgb="FFFFFFFF"/>
      </right>
      <top style="thin">
        <color rgb="FF1B2430"/>
      </top>
      <bottom style="medium">
        <color rgb="FF0B5F5A"/>
      </bottom>
      <diagonal/>
    </border>
    <border>
      <left style="thin">
        <color rgb="FF77848F"/>
      </left>
      <right style="thin">
        <color rgb="FF77848F"/>
      </right>
      <top/>
      <bottom style="medium">
        <color rgb="FF12857F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2" fillId="6" borderId="6" xfId="0" applyFont="1" applyFill="1" applyBorder="1" applyAlignment="1">
      <alignment horizontal="left" vertical="center" indent="1"/>
    </xf>
    <xf numFmtId="9" fontId="13" fillId="7" borderId="7" xfId="0" applyNumberFormat="1" applyFont="1" applyFill="1" applyBorder="1" applyAlignment="1">
      <alignment horizontal="center" vertical="center"/>
    </xf>
    <xf numFmtId="3" fontId="11" fillId="5" borderId="5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left" vertical="center" indent="1"/>
    </xf>
    <xf numFmtId="164" fontId="10" fillId="5" borderId="4" xfId="0" applyNumberFormat="1" applyFont="1" applyFill="1" applyBorder="1" applyAlignment="1">
      <alignment horizontal="left" vertical="center" indent="1"/>
    </xf>
    <xf numFmtId="0" fontId="10" fillId="5" borderId="4" xfId="0" applyFont="1" applyFill="1" applyBorder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8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indent="1"/>
    </xf>
    <xf numFmtId="0" fontId="5" fillId="4" borderId="2" xfId="0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3" fontId="1" fillId="0" borderId="0" xfId="0" applyNumberFormat="1" applyFont="1" applyAlignment="1">
      <alignment horizontal="left" vertical="center"/>
    </xf>
    <xf numFmtId="0" fontId="0" fillId="2" borderId="0" xfId="0" applyFill="1"/>
    <xf numFmtId="164" fontId="1" fillId="0" borderId="0" xfId="0" applyNumberFormat="1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8" fillId="6" borderId="12" xfId="0" applyFont="1" applyFill="1" applyBorder="1" applyAlignment="1">
      <alignment horizontal="left" vertical="center" indent="1"/>
    </xf>
    <xf numFmtId="0" fontId="5" fillId="4" borderId="13" xfId="0" applyFont="1" applyFill="1" applyBorder="1" applyAlignment="1">
      <alignment horizontal="center" vertical="center"/>
    </xf>
    <xf numFmtId="0" fontId="19" fillId="11" borderId="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textRotation="90"/>
    </xf>
    <xf numFmtId="0" fontId="5" fillId="3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23" fillId="11" borderId="4" xfId="0" applyFont="1" applyFill="1" applyBorder="1" applyAlignment="1">
      <alignment horizontal="left" vertical="center" indent="1"/>
    </xf>
    <xf numFmtId="0" fontId="19" fillId="11" borderId="4" xfId="0" applyFont="1" applyFill="1" applyBorder="1" applyAlignment="1">
      <alignment horizontal="left" vertical="center" indent="1"/>
    </xf>
    <xf numFmtId="0" fontId="24" fillId="11" borderId="4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left" vertical="center" indent="1"/>
    </xf>
    <xf numFmtId="164" fontId="25" fillId="11" borderId="4" xfId="0" applyNumberFormat="1" applyFont="1" applyFill="1" applyBorder="1" applyAlignment="1">
      <alignment horizontal="center" vertical="center"/>
    </xf>
    <xf numFmtId="0" fontId="24" fillId="1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6" fillId="3" borderId="0" xfId="0" applyFont="1" applyFill="1" applyAlignment="1">
      <alignment horizontal="left" vertical="center" indent="1"/>
    </xf>
    <xf numFmtId="3" fontId="5" fillId="3" borderId="0" xfId="0" applyNumberFormat="1" applyFont="1" applyFill="1" applyAlignment="1">
      <alignment horizontal="center" vertical="center"/>
    </xf>
    <xf numFmtId="166" fontId="27" fillId="3" borderId="0" xfId="0" applyNumberFormat="1" applyFont="1" applyFill="1" applyAlignment="1">
      <alignment horizontal="center" vertical="center"/>
    </xf>
    <xf numFmtId="167" fontId="26" fillId="3" borderId="0" xfId="0" applyNumberFormat="1" applyFont="1" applyFill="1" applyAlignment="1">
      <alignment horizontal="center" vertical="center"/>
    </xf>
    <xf numFmtId="168" fontId="26" fillId="3" borderId="0" xfId="0" applyNumberFormat="1" applyFont="1" applyFill="1" applyAlignment="1">
      <alignment horizontal="center" vertical="center"/>
    </xf>
    <xf numFmtId="169" fontId="28" fillId="3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9" borderId="4" xfId="0" applyFont="1" applyFill="1" applyBorder="1" applyAlignment="1">
      <alignment horizontal="center" vertical="center"/>
    </xf>
    <xf numFmtId="0" fontId="31" fillId="1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32" fillId="11" borderId="4" xfId="0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0" fontId="33" fillId="8" borderId="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left" vertical="center" indent="1"/>
    </xf>
    <xf numFmtId="0" fontId="26" fillId="2" borderId="4" xfId="0" applyFont="1" applyFill="1" applyBorder="1" applyAlignment="1">
      <alignment horizontal="center" vertical="center"/>
    </xf>
    <xf numFmtId="3" fontId="19" fillId="12" borderId="4" xfId="0" applyNumberFormat="1" applyFont="1" applyFill="1" applyBorder="1" applyAlignment="1">
      <alignment horizontal="center" vertical="center"/>
    </xf>
    <xf numFmtId="9" fontId="23" fillId="12" borderId="4" xfId="0" applyNumberFormat="1" applyFont="1" applyFill="1" applyBorder="1" applyAlignment="1">
      <alignment horizontal="center" vertical="center"/>
    </xf>
    <xf numFmtId="3" fontId="23" fillId="12" borderId="4" xfId="0" applyNumberFormat="1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3" fontId="26" fillId="3" borderId="0" xfId="0" applyNumberFormat="1" applyFont="1" applyFill="1" applyAlignment="1">
      <alignment horizontal="center" vertical="center"/>
    </xf>
    <xf numFmtId="9" fontId="28" fillId="3" borderId="0" xfId="0" applyNumberFormat="1" applyFont="1" applyFill="1" applyAlignment="1">
      <alignment horizontal="center" vertical="center"/>
    </xf>
    <xf numFmtId="9" fontId="26" fillId="3" borderId="0" xfId="0" applyNumberFormat="1" applyFont="1" applyFill="1" applyAlignment="1">
      <alignment horizontal="center" vertical="center"/>
    </xf>
    <xf numFmtId="170" fontId="27" fillId="3" borderId="0" xfId="0" applyNumberFormat="1" applyFont="1" applyFill="1" applyAlignment="1">
      <alignment horizontal="center" vertical="center"/>
    </xf>
    <xf numFmtId="171" fontId="34" fillId="3" borderId="0" xfId="0" applyNumberFormat="1" applyFont="1" applyFill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165" fontId="23" fillId="12" borderId="4" xfId="0" applyNumberFormat="1" applyFont="1" applyFill="1" applyBorder="1" applyAlignment="1">
      <alignment horizontal="center" vertical="center"/>
    </xf>
    <xf numFmtId="9" fontId="19" fillId="12" borderId="4" xfId="0" applyNumberFormat="1" applyFont="1" applyFill="1" applyBorder="1" applyAlignment="1">
      <alignment horizontal="center" vertical="center"/>
    </xf>
    <xf numFmtId="165" fontId="26" fillId="3" borderId="0" xfId="0" applyNumberFormat="1" applyFont="1" applyFill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indent="1"/>
    </xf>
    <xf numFmtId="3" fontId="5" fillId="4" borderId="0" xfId="0" applyNumberFormat="1" applyFont="1" applyFill="1" applyAlignment="1">
      <alignment horizontal="center" vertical="center"/>
    </xf>
    <xf numFmtId="3" fontId="36" fillId="4" borderId="0" xfId="0" applyNumberFormat="1" applyFont="1" applyFill="1" applyAlignment="1">
      <alignment horizontal="center" vertical="center"/>
    </xf>
    <xf numFmtId="3" fontId="38" fillId="12" borderId="4" xfId="0" applyNumberFormat="1" applyFont="1" applyFill="1" applyBorder="1" applyAlignment="1">
      <alignment horizontal="center" vertical="center"/>
    </xf>
    <xf numFmtId="9" fontId="38" fillId="12" borderId="4" xfId="0" applyNumberFormat="1" applyFont="1" applyFill="1" applyBorder="1" applyAlignment="1">
      <alignment horizontal="center" vertical="center"/>
    </xf>
    <xf numFmtId="164" fontId="19" fillId="12" borderId="4" xfId="0" applyNumberFormat="1" applyFont="1" applyFill="1" applyBorder="1" applyAlignment="1">
      <alignment horizontal="center" vertical="center"/>
    </xf>
    <xf numFmtId="164" fontId="38" fillId="12" borderId="4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left" vertical="center"/>
    </xf>
    <xf numFmtId="3" fontId="10" fillId="11" borderId="4" xfId="0" applyNumberFormat="1" applyFont="1" applyFill="1" applyBorder="1" applyAlignment="1">
      <alignment horizontal="center" vertical="center"/>
    </xf>
    <xf numFmtId="9" fontId="10" fillId="11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26" fillId="13" borderId="4" xfId="0" applyNumberFormat="1" applyFont="1" applyFill="1" applyBorder="1" applyAlignment="1">
      <alignment horizontal="center" vertical="center"/>
    </xf>
    <xf numFmtId="3" fontId="22" fillId="12" borderId="4" xfId="0" applyNumberFormat="1" applyFont="1" applyFill="1" applyBorder="1" applyAlignment="1">
      <alignment horizontal="center" vertical="center"/>
    </xf>
    <xf numFmtId="0" fontId="0" fillId="0" borderId="3" xfId="0" applyBorder="1"/>
    <xf numFmtId="0" fontId="5" fillId="2" borderId="4" xfId="0" applyFont="1" applyFill="1" applyBorder="1" applyAlignment="1">
      <alignment horizontal="center" vertical="center"/>
    </xf>
    <xf numFmtId="3" fontId="14" fillId="8" borderId="8" xfId="0" applyNumberFormat="1" applyFont="1" applyFill="1" applyBorder="1" applyAlignment="1">
      <alignment horizontal="center" vertical="center"/>
    </xf>
    <xf numFmtId="165" fontId="15" fillId="5" borderId="9" xfId="0" applyNumberFormat="1" applyFont="1" applyFill="1" applyBorder="1" applyAlignment="1">
      <alignment horizontal="center" vertical="center"/>
    </xf>
    <xf numFmtId="3" fontId="16" fillId="9" borderId="10" xfId="0" applyNumberFormat="1" applyFont="1" applyFill="1" applyBorder="1" applyAlignment="1">
      <alignment horizontal="center" vertical="center"/>
    </xf>
    <xf numFmtId="3" fontId="17" fillId="10" borderId="11" xfId="0" applyNumberFormat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20" fillId="7" borderId="4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6" fillId="3" borderId="0" xfId="0" applyFont="1" applyFill="1" applyAlignment="1">
      <alignment horizontal="left" vertical="center" indent="1"/>
    </xf>
    <xf numFmtId="0" fontId="26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5" fillId="3" borderId="17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7" fillId="6" borderId="4" xfId="0" applyFont="1" applyFill="1" applyBorder="1" applyAlignment="1">
      <alignment horizontal="left" vertical="center" indent="1"/>
    </xf>
    <xf numFmtId="0" fontId="39" fillId="0" borderId="0" xfId="0" applyFont="1" applyAlignment="1">
      <alignment horizontal="left" vertical="center" indent="1"/>
    </xf>
    <xf numFmtId="0" fontId="40" fillId="11" borderId="4" xfId="0" applyFont="1" applyFill="1" applyBorder="1" applyAlignment="1">
      <alignment horizontal="left" vertical="center" indent="1"/>
    </xf>
    <xf numFmtId="164" fontId="40" fillId="11" borderId="4" xfId="0" applyNumberFormat="1" applyFont="1" applyFill="1" applyBorder="1" applyAlignment="1">
      <alignment horizontal="left" vertical="center" indent="1"/>
    </xf>
    <xf numFmtId="164" fontId="10" fillId="12" borderId="4" xfId="0" applyNumberFormat="1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34"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1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857F"/>
      <rgbColor rgb="FFC3CBD2"/>
      <rgbColor rgb="FF878787"/>
      <rgbColor rgb="FF9999FF"/>
      <rgbColor rgb="FF993366"/>
      <rgbColor rgb="FFFBEED2"/>
      <rgbColor rgb="FFDBEDE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B5F5A"/>
      <rgbColor rgb="FF0000FF"/>
      <rgbColor rgb="FF00CCFF"/>
      <rgbColor rgb="FFEAF3FA"/>
      <rgbColor rgb="FFE0EDE3"/>
      <rgbColor rgb="FFEDF0F2"/>
      <rgbColor rgb="FFE8EBEE"/>
      <rgbColor rgb="FFC6A87C"/>
      <rgbColor rgb="FFFBFCFD"/>
      <rgbColor rgb="FFFADFD9"/>
      <rgbColor rgb="FF4F81BD"/>
      <rgbColor rgb="FF33CCCC"/>
      <rgbColor rgb="FF99CC00"/>
      <rgbColor rgb="FFFFCC00"/>
      <rgbColor rgb="FFD99A20"/>
      <rgbColor rgb="FFFF6600"/>
      <rgbColor rgb="FF77848F"/>
      <rgbColor rgb="FF8FA9B5"/>
      <rgbColor rgb="FF003366"/>
      <rgbColor rgb="FF3E7C4B"/>
      <rgbColor rgb="FF003300"/>
      <rgbColor rgb="FF333300"/>
      <rgbColor rgb="FFC4432C"/>
      <rgbColor rgb="FF993366"/>
      <rgbColor rgb="FF3C4B5C"/>
      <rgbColor rgb="FF1B24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1B2430"/>
                </a:solidFill>
                <a:latin typeface="Calibri"/>
              </a:defRPr>
            </a:pPr>
            <a:r>
              <a:rPr sz="1000" b="1" strike="noStrike" spc="-1">
                <a:solidFill>
                  <a:srgbClr val="1B2430"/>
                </a:solidFill>
                <a:latin typeface="Calibri"/>
              </a:rPr>
              <a:t>Gerichte je Allergen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Auswertung!$D$13</c:f>
              <c:strCache>
                <c:ptCount val="1"/>
                <c:pt idx="0">
                  <c:v>Enthalten</c:v>
                </c:pt>
              </c:strCache>
            </c:strRef>
          </c:tx>
          <c:spPr>
            <a:solidFill>
              <a:srgbClr val="12857F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4432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591C-4EEE-B02E-ACAEA113E38F}"/>
              </c:ext>
            </c:extLst>
          </c:dPt>
          <c:dPt>
            <c:idx val="6"/>
            <c:invertIfNegative val="0"/>
            <c:bubble3D val="0"/>
            <c:spPr>
              <a:solidFill>
                <a:srgbClr val="C4432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1C-4EEE-B02E-ACAEA113E38F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591C-4EEE-B02E-ACAEA113E38F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591C-4EEE-B02E-ACAEA113E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Auswertung!$B$14:$B$27</c:f>
              <c:strCache>
                <c:ptCount val="14"/>
                <c:pt idx="0">
                  <c:v>Glutenhaltiges Getreide</c:v>
                </c:pt>
                <c:pt idx="1">
                  <c:v>Krebstiere</c:v>
                </c:pt>
                <c:pt idx="2">
                  <c:v>Eier</c:v>
                </c:pt>
                <c:pt idx="3">
                  <c:v>Fische</c:v>
                </c:pt>
                <c:pt idx="4">
                  <c:v>Erdnüsse</c:v>
                </c:pt>
                <c:pt idx="5">
                  <c:v>Sojabohnen</c:v>
                </c:pt>
                <c:pt idx="6">
                  <c:v>Milch (einschl. Laktose)</c:v>
                </c:pt>
                <c:pt idx="7">
                  <c:v>Schalenfrüchte (Nüsse)</c:v>
                </c:pt>
                <c:pt idx="8">
                  <c:v>Sellerie</c:v>
                </c:pt>
                <c:pt idx="9">
                  <c:v>Senf</c:v>
                </c:pt>
                <c:pt idx="10">
                  <c:v>Sesamsamen</c:v>
                </c:pt>
                <c:pt idx="11">
                  <c:v>Schwefeldioxid und Sulfite</c:v>
                </c:pt>
                <c:pt idx="12">
                  <c:v>Lupinen</c:v>
                </c:pt>
                <c:pt idx="13">
                  <c:v>Weichtiere</c:v>
                </c:pt>
              </c:strCache>
            </c:strRef>
          </c:cat>
          <c:val>
            <c:numRef>
              <c:f>Auswertung!$D$14:$D$27</c:f>
              <c:numCache>
                <c:formatCode>#,##0</c:formatCode>
                <c:ptCount val="14"/>
                <c:pt idx="0">
                  <c:v>11</c:v>
                </c:pt>
                <c:pt idx="1">
                  <c:v>0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15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1C-4EEE-B02E-ACAEA113E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683456"/>
        <c:axId val="13437593"/>
      </c:barChart>
      <c:catAx>
        <c:axId val="6683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437593"/>
        <c:crosses val="autoZero"/>
        <c:auto val="1"/>
        <c:lblAlgn val="ctr"/>
        <c:lblOffset val="100"/>
        <c:noMultiLvlLbl val="0"/>
      </c:catAx>
      <c:valAx>
        <c:axId val="1343759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68345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1B2430"/>
                </a:solidFill>
                <a:latin typeface="Calibri"/>
              </a:defRPr>
            </a:pPr>
            <a:r>
              <a:rPr sz="1000" b="1" strike="noStrike" spc="-1">
                <a:solidFill>
                  <a:srgbClr val="1B2430"/>
                </a:solidFill>
                <a:latin typeface="Calibri"/>
              </a:rPr>
              <a:t>Gerichte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Auswertung!$C$31</c:f>
              <c:strCache>
                <c:ptCount val="1"/>
                <c:pt idx="0">
                  <c:v>Gerichte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2857F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2D2A-441D-B7A0-A8512CF0F6DE}"/>
              </c:ext>
            </c:extLst>
          </c:dPt>
          <c:dPt>
            <c:idx val="1"/>
            <c:bubble3D val="0"/>
            <c:spPr>
              <a:solidFill>
                <a:srgbClr val="D99A20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2D2A-441D-B7A0-A8512CF0F6DE}"/>
              </c:ext>
            </c:extLst>
          </c:dPt>
          <c:dPt>
            <c:idx val="2"/>
            <c:bubble3D val="0"/>
            <c:spPr>
              <a:solidFill>
                <a:srgbClr val="C4432C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2D2A-441D-B7A0-A8512CF0F6DE}"/>
              </c:ext>
            </c:extLst>
          </c:dPt>
          <c:dPt>
            <c:idx val="3"/>
            <c:bubble3D val="0"/>
            <c:spPr>
              <a:solidFill>
                <a:srgbClr val="3E7C4B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2D2A-441D-B7A0-A8512CF0F6DE}"/>
              </c:ext>
            </c:extLst>
          </c:dPt>
          <c:dPt>
            <c:idx val="4"/>
            <c:bubble3D val="0"/>
            <c:spPr>
              <a:solidFill>
                <a:srgbClr val="3C4B5C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2D2A-441D-B7A0-A8512CF0F6DE}"/>
              </c:ext>
            </c:extLst>
          </c:dPt>
          <c:dPt>
            <c:idx val="5"/>
            <c:bubble3D val="0"/>
            <c:spPr>
              <a:solidFill>
                <a:srgbClr val="0B5F5A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2D2A-441D-B7A0-A8512CF0F6DE}"/>
              </c:ext>
            </c:extLst>
          </c:dPt>
          <c:dPt>
            <c:idx val="6"/>
            <c:bubble3D val="0"/>
            <c:spPr>
              <a:solidFill>
                <a:srgbClr val="8FA9B5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2D2A-441D-B7A0-A8512CF0F6DE}"/>
              </c:ext>
            </c:extLst>
          </c:dPt>
          <c:dPt>
            <c:idx val="7"/>
            <c:bubble3D val="0"/>
            <c:spPr>
              <a:solidFill>
                <a:srgbClr val="C6A87C"/>
              </a:solidFill>
              <a:ln w="1260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2D2A-441D-B7A0-A8512CF0F6DE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2D2A-441D-B7A0-A8512CF0F6DE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2D2A-441D-B7A0-A8512CF0F6DE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2D2A-441D-B7A0-A8512CF0F6DE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2D2A-441D-B7A0-A8512CF0F6DE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2D2A-441D-B7A0-A8512CF0F6DE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2D2A-441D-B7A0-A8512CF0F6DE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2D2A-441D-B7A0-A8512CF0F6DE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2D2A-441D-B7A0-A8512CF0F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Auswertung!$B$32:$B$39</c:f>
              <c:strCache>
                <c:ptCount val="8"/>
                <c:pt idx="0">
                  <c:v>Vorspeisen</c:v>
                </c:pt>
                <c:pt idx="1">
                  <c:v>Suppen</c:v>
                </c:pt>
                <c:pt idx="2">
                  <c:v>Salate</c:v>
                </c:pt>
                <c:pt idx="3">
                  <c:v>Hauptgerichte</c:v>
                </c:pt>
                <c:pt idx="4">
                  <c:v>Beilagen</c:v>
                </c:pt>
                <c:pt idx="5">
                  <c:v>Desserts</c:v>
                </c:pt>
                <c:pt idx="6">
                  <c:v>Getränke</c:v>
                </c:pt>
                <c:pt idx="7">
                  <c:v>Backwaren</c:v>
                </c:pt>
              </c:strCache>
            </c:strRef>
          </c:cat>
          <c:val>
            <c:numRef>
              <c:f>Auswertung!$C$32:$C$39</c:f>
              <c:numCache>
                <c:formatCode>#,##0</c:formatCode>
                <c:ptCount val="8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D2A-441D-B7A0-A8512CF0F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6</xdr:col>
      <xdr:colOff>168480</xdr:colOff>
      <xdr:row>81</xdr:row>
      <xdr:rowOff>181080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64</xdr:row>
      <xdr:rowOff>0</xdr:rowOff>
    </xdr:from>
    <xdr:to>
      <xdr:col>11</xdr:col>
      <xdr:colOff>1116360</xdr:colOff>
      <xdr:row>81</xdr:row>
      <xdr:rowOff>181080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4"/>
  <sheetViews>
    <sheetView showGridLines="0" tabSelected="1" zoomScaleNormal="100" workbookViewId="0">
      <pane xSplit="4" topLeftCell="E1" activePane="topRight" state="frozen"/>
      <selection activeCell="A22" sqref="A22"/>
      <selection pane="topRight" activeCell="R48" sqref="R48"/>
    </sheetView>
  </sheetViews>
  <sheetFormatPr baseColWidth="10" defaultColWidth="8.7109375" defaultRowHeight="15" x14ac:dyDescent="0.25"/>
  <cols>
    <col min="1" max="1" width="1.42578125" customWidth="1"/>
    <col min="2" max="2" width="4.42578125" customWidth="1"/>
    <col min="3" max="3" width="16" customWidth="1"/>
    <col min="4" max="4" width="30" customWidth="1"/>
    <col min="5" max="18" width="4.28515625" customWidth="1"/>
    <col min="19" max="19" width="14" customWidth="1"/>
    <col min="20" max="21" width="12" customWidth="1"/>
    <col min="22" max="22" width="24" customWidth="1"/>
    <col min="23" max="23" width="12" customWidth="1"/>
    <col min="24" max="24" width="14" customWidth="1"/>
    <col min="25" max="25" width="12" customWidth="1"/>
    <col min="26" max="26" width="15" customWidth="1"/>
    <col min="27" max="27" width="20" customWidth="1"/>
    <col min="29" max="31" width="3" hidden="1" customWidth="1"/>
  </cols>
  <sheetData>
    <row r="1" spans="2:29" x14ac:dyDescent="0.25">
      <c r="AC1" s="15">
        <f>Pruefintervall</f>
        <v>6</v>
      </c>
    </row>
    <row r="2" spans="2:29" ht="4.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C2" s="17">
        <f ca="1">TODAY()</f>
        <v>46227</v>
      </c>
    </row>
    <row r="3" spans="2:29" ht="30" customHeight="1" x14ac:dyDescent="0.25">
      <c r="B3" s="14" t="s">
        <v>359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 t="s">
        <v>0</v>
      </c>
      <c r="Q3" s="13"/>
      <c r="R3" s="13"/>
      <c r="S3" s="13"/>
      <c r="T3" s="13" t="s">
        <v>1</v>
      </c>
      <c r="U3" s="13"/>
      <c r="V3" s="13"/>
      <c r="W3" s="13"/>
      <c r="X3" s="13" t="s">
        <v>2</v>
      </c>
      <c r="Y3" s="13"/>
      <c r="Z3" s="13"/>
      <c r="AA3" s="13"/>
    </row>
    <row r="4" spans="2:29" ht="15.75" customHeight="1" x14ac:dyDescent="0.25"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>
        <f>Stammdaten!$D$11</f>
        <v>46204</v>
      </c>
      <c r="Q4" s="11"/>
      <c r="R4" s="11"/>
      <c r="S4" s="11"/>
      <c r="T4" s="10" t="str">
        <f>Stammdaten!$D$10</f>
        <v>N. Albers</v>
      </c>
      <c r="U4" s="10"/>
      <c r="V4" s="10"/>
      <c r="W4" s="10"/>
      <c r="X4" s="10" t="str">
        <f>Pruefintervall&amp;" Monate"</f>
        <v>6 Monate</v>
      </c>
      <c r="Y4" s="10"/>
      <c r="Z4" s="10"/>
      <c r="AA4" s="10"/>
    </row>
    <row r="6" spans="2:29" ht="19.5" customHeight="1" x14ac:dyDescent="0.25">
      <c r="B6" s="20" t="s">
        <v>4</v>
      </c>
      <c r="C6" s="9" t="s">
        <v>5</v>
      </c>
      <c r="D6" s="9"/>
      <c r="E6" s="8" t="s">
        <v>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9" ht="16.5" customHeight="1" x14ac:dyDescent="0.25">
      <c r="B7" s="7" t="s">
        <v>7</v>
      </c>
      <c r="C7" s="7"/>
      <c r="D7" s="6" t="str">
        <f>Stammdaten!$D$7</f>
        <v>Muster Gastronomie GmbH</v>
      </c>
      <c r="E7" s="6"/>
      <c r="F7" s="6"/>
      <c r="G7" s="6"/>
      <c r="H7" s="7" t="s">
        <v>8</v>
      </c>
      <c r="I7" s="7"/>
      <c r="J7" s="7"/>
      <c r="K7" s="6" t="str">
        <f>Stammdaten!$D$8</f>
        <v>Restaurant &amp; Kantine</v>
      </c>
      <c r="L7" s="6"/>
      <c r="M7" s="6"/>
      <c r="N7" s="6"/>
      <c r="O7" s="7" t="s">
        <v>9</v>
      </c>
      <c r="P7" s="7"/>
      <c r="Q7" s="7"/>
      <c r="R7" s="6" t="str">
        <f>Stammdaten!$D$9</f>
        <v>Musterstadt</v>
      </c>
      <c r="S7" s="6"/>
      <c r="T7" s="6"/>
      <c r="U7" s="6"/>
      <c r="V7" s="7" t="s">
        <v>10</v>
      </c>
      <c r="W7" s="7"/>
      <c r="X7" s="7"/>
      <c r="Y7" s="5">
        <f>Stammdaten!$D$12</f>
        <v>46204</v>
      </c>
      <c r="Z7" s="5"/>
      <c r="AA7" s="5"/>
    </row>
    <row r="8" spans="2:29" ht="16.5" customHeight="1" x14ac:dyDescent="0.25">
      <c r="B8" s="7" t="s">
        <v>11</v>
      </c>
      <c r="C8" s="7"/>
      <c r="D8" s="4">
        <f>COUNTA($D$22:$D$71)</f>
        <v>32</v>
      </c>
      <c r="E8" s="4"/>
      <c r="F8" s="4"/>
      <c r="G8" s="4"/>
      <c r="H8" s="7" t="s">
        <v>12</v>
      </c>
      <c r="I8" s="7"/>
      <c r="J8" s="7"/>
      <c r="K8" s="4">
        <f>COUNTIF($S$22:$S$71,"–")</f>
        <v>7</v>
      </c>
      <c r="L8" s="4"/>
      <c r="M8" s="4"/>
      <c r="N8" s="4"/>
      <c r="O8" s="7" t="s">
        <v>13</v>
      </c>
      <c r="P8" s="7"/>
      <c r="Q8" s="7"/>
      <c r="R8" s="5">
        <f>Stammdaten!$D$13</f>
        <v>46388</v>
      </c>
      <c r="S8" s="5"/>
      <c r="T8" s="5"/>
      <c r="U8" s="5"/>
      <c r="V8" s="7" t="s">
        <v>14</v>
      </c>
      <c r="W8" s="7"/>
      <c r="X8" s="7"/>
      <c r="Y8" s="6" t="str">
        <f>Stammdaten!$D$14</f>
        <v>2026-02</v>
      </c>
      <c r="Z8" s="6"/>
      <c r="AA8" s="6"/>
    </row>
    <row r="10" spans="2:29" ht="19.5" customHeight="1" x14ac:dyDescent="0.25">
      <c r="B10" s="20" t="s">
        <v>15</v>
      </c>
      <c r="C10" s="9" t="s">
        <v>16</v>
      </c>
      <c r="D10" s="9"/>
      <c r="E10" s="8" t="s">
        <v>17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29" ht="18.75" customHeight="1" x14ac:dyDescent="0.25">
      <c r="B11" s="3">
        <f>COUNTA($D$22:$D$71)</f>
        <v>32</v>
      </c>
      <c r="C11" s="3"/>
      <c r="D11" s="22" t="s">
        <v>18</v>
      </c>
      <c r="E11" s="2">
        <f ca="1">IFERROR(COUNTIF($AA$22:$AA$71,"OK")/COUNTA($D$22:$D$71),0)</f>
        <v>0.90625</v>
      </c>
      <c r="F11" s="2"/>
      <c r="G11" s="2"/>
      <c r="H11" s="2"/>
      <c r="I11" s="1" t="s">
        <v>19</v>
      </c>
      <c r="J11" s="1"/>
      <c r="K11" s="1"/>
      <c r="L11" s="1"/>
      <c r="M11" s="86">
        <f>COUNTIF($S$22:$S$71,"–")</f>
        <v>7</v>
      </c>
      <c r="N11" s="86"/>
      <c r="O11" s="86"/>
      <c r="P11" s="86"/>
      <c r="Q11" s="1" t="s">
        <v>12</v>
      </c>
      <c r="R11" s="1"/>
      <c r="S11" s="1"/>
      <c r="T11" s="87">
        <f>IFERROR(SUMPRODUCT(($E$22:$R$71="X")*1)/COUNTA($D$22:$D$71),0)</f>
        <v>1.6875</v>
      </c>
      <c r="U11" s="87"/>
      <c r="V11" s="22" t="s">
        <v>20</v>
      </c>
      <c r="W11" s="88">
        <f ca="1">COUNTIF($AA$22:$AA$71,"Prüfung überfällig")</f>
        <v>2</v>
      </c>
      <c r="X11" s="1" t="s">
        <v>21</v>
      </c>
      <c r="Y11" s="1"/>
      <c r="Z11" s="89">
        <f>COUNTIF($Z$22:$Z$71,"Geeignet")</f>
        <v>12</v>
      </c>
      <c r="AA11" s="22" t="s">
        <v>22</v>
      </c>
    </row>
    <row r="12" spans="2:29" ht="13.5" customHeight="1" x14ac:dyDescent="0.25">
      <c r="B12" s="3"/>
      <c r="C12" s="3"/>
      <c r="D12" s="23" t="s">
        <v>23</v>
      </c>
      <c r="E12" s="2"/>
      <c r="F12" s="2"/>
      <c r="G12" s="2"/>
      <c r="H12" s="2"/>
      <c r="I12" s="90" t="s">
        <v>24</v>
      </c>
      <c r="J12" s="90"/>
      <c r="K12" s="90"/>
      <c r="L12" s="90"/>
      <c r="M12" s="86"/>
      <c r="N12" s="86"/>
      <c r="O12" s="86"/>
      <c r="P12" s="86"/>
      <c r="Q12" s="90" t="s">
        <v>25</v>
      </c>
      <c r="R12" s="90"/>
      <c r="S12" s="90"/>
      <c r="T12" s="87"/>
      <c r="U12" s="87"/>
      <c r="V12" s="23" t="s">
        <v>26</v>
      </c>
      <c r="W12" s="88"/>
      <c r="X12" s="90" t="s">
        <v>27</v>
      </c>
      <c r="Y12" s="90"/>
      <c r="Z12" s="89"/>
      <c r="AA12" s="23" t="s">
        <v>28</v>
      </c>
    </row>
    <row r="14" spans="2:29" ht="19.5" customHeight="1" x14ac:dyDescent="0.25">
      <c r="B14" s="20" t="s">
        <v>29</v>
      </c>
      <c r="C14" s="9" t="s">
        <v>30</v>
      </c>
      <c r="D14" s="9"/>
      <c r="E14" s="8" t="s">
        <v>31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29" ht="15.75" customHeight="1" x14ac:dyDescent="0.25">
      <c r="B15" s="7" t="s">
        <v>32</v>
      </c>
      <c r="C15" s="7"/>
      <c r="D15" s="7"/>
      <c r="E15" s="24" t="s">
        <v>33</v>
      </c>
      <c r="F15" s="24" t="s">
        <v>34</v>
      </c>
      <c r="G15" s="24" t="s">
        <v>35</v>
      </c>
      <c r="H15" s="24" t="s">
        <v>36</v>
      </c>
      <c r="I15" s="24" t="s">
        <v>37</v>
      </c>
      <c r="J15" s="24" t="s">
        <v>38</v>
      </c>
      <c r="K15" s="24" t="s">
        <v>39</v>
      </c>
      <c r="L15" s="24" t="s">
        <v>40</v>
      </c>
      <c r="M15" s="24" t="s">
        <v>41</v>
      </c>
      <c r="N15" s="24" t="s">
        <v>42</v>
      </c>
      <c r="O15" s="24" t="s">
        <v>43</v>
      </c>
      <c r="P15" s="24" t="s">
        <v>44</v>
      </c>
      <c r="Q15" s="24" t="s">
        <v>45</v>
      </c>
      <c r="R15" s="24" t="s">
        <v>46</v>
      </c>
      <c r="S15" s="7" t="s">
        <v>47</v>
      </c>
      <c r="T15" s="7"/>
      <c r="U15" s="7"/>
      <c r="V15" s="7"/>
      <c r="W15" s="7"/>
      <c r="X15" s="7"/>
      <c r="Y15" s="7"/>
      <c r="Z15" s="7"/>
      <c r="AA15" s="7"/>
    </row>
    <row r="16" spans="2:29" ht="18" customHeight="1" x14ac:dyDescent="0.25">
      <c r="B16" s="91" t="s">
        <v>48</v>
      </c>
      <c r="C16" s="91"/>
      <c r="D16" s="91"/>
      <c r="E16" s="25" t="s">
        <v>42</v>
      </c>
      <c r="F16" s="25" t="s">
        <v>46</v>
      </c>
      <c r="G16" s="25" t="s">
        <v>46</v>
      </c>
      <c r="H16" s="25" t="s">
        <v>46</v>
      </c>
      <c r="I16" s="25" t="s">
        <v>46</v>
      </c>
      <c r="J16" s="25" t="s">
        <v>46</v>
      </c>
      <c r="K16" s="25" t="s">
        <v>42</v>
      </c>
      <c r="L16" s="25" t="s">
        <v>46</v>
      </c>
      <c r="M16" s="25" t="s">
        <v>46</v>
      </c>
      <c r="N16" s="25" t="s">
        <v>46</v>
      </c>
      <c r="O16" s="25" t="s">
        <v>46</v>
      </c>
      <c r="P16" s="25" t="s">
        <v>46</v>
      </c>
      <c r="Q16" s="25" t="s">
        <v>46</v>
      </c>
      <c r="R16" s="25" t="s">
        <v>46</v>
      </c>
      <c r="S16" s="92" t="str">
        <f>"Gemiedene Allergene: "&amp;COUNTIF($E$16:$R$16,"J")&amp;"   ·   geeignete Gerichte: "&amp;COUNTIF($Z$22:$Z$71,"Geeignet")&amp;"   ·   nur nach Rücksprache: "&amp;COUNTIF($Z$22:$Z$71,"Nur nach Rücksprache")</f>
        <v>Gemiedene Allergene: 2   ·   geeignete Gerichte: 12   ·   nur nach Rücksprache: 0</v>
      </c>
      <c r="T16" s="92"/>
      <c r="U16" s="92"/>
      <c r="V16" s="92"/>
      <c r="W16" s="92"/>
      <c r="X16" s="92"/>
      <c r="Y16" s="92"/>
      <c r="Z16" s="92"/>
      <c r="AA16" s="92"/>
    </row>
    <row r="17" spans="2:31" ht="13.5" customHeight="1" x14ac:dyDescent="0.25">
      <c r="B17" s="93" t="s">
        <v>49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2:31" ht="19.5" customHeight="1" x14ac:dyDescent="0.25">
      <c r="B18" s="20" t="s">
        <v>50</v>
      </c>
      <c r="C18" s="9" t="s">
        <v>51</v>
      </c>
      <c r="D18" s="9"/>
      <c r="E18" s="8" t="s">
        <v>52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31" ht="13.5" customHeight="1" x14ac:dyDescent="0.25">
      <c r="B19" s="94" t="s">
        <v>53</v>
      </c>
      <c r="C19" s="94"/>
      <c r="D19" s="94"/>
      <c r="E19" s="95" t="s">
        <v>54</v>
      </c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4" t="s">
        <v>55</v>
      </c>
      <c r="T19" s="94"/>
      <c r="U19" s="94"/>
      <c r="V19" s="94"/>
      <c r="W19" s="94"/>
      <c r="X19" s="94"/>
      <c r="Y19" s="94"/>
      <c r="Z19" s="94"/>
      <c r="AA19" s="94"/>
    </row>
    <row r="20" spans="2:31" ht="96" customHeight="1" x14ac:dyDescent="0.25">
      <c r="B20" s="96" t="s">
        <v>56</v>
      </c>
      <c r="C20" s="96"/>
      <c r="D20" s="96"/>
      <c r="E20" s="26" t="s">
        <v>57</v>
      </c>
      <c r="F20" s="26" t="s">
        <v>58</v>
      </c>
      <c r="G20" s="26" t="s">
        <v>59</v>
      </c>
      <c r="H20" s="26" t="s">
        <v>60</v>
      </c>
      <c r="I20" s="26" t="s">
        <v>61</v>
      </c>
      <c r="J20" s="26" t="s">
        <v>62</v>
      </c>
      <c r="K20" s="26" t="s">
        <v>63</v>
      </c>
      <c r="L20" s="26" t="s">
        <v>64</v>
      </c>
      <c r="M20" s="26" t="s">
        <v>65</v>
      </c>
      <c r="N20" s="26" t="s">
        <v>66</v>
      </c>
      <c r="O20" s="26" t="s">
        <v>67</v>
      </c>
      <c r="P20" s="26" t="s">
        <v>68</v>
      </c>
      <c r="Q20" s="26" t="s">
        <v>69</v>
      </c>
      <c r="R20" s="26" t="s">
        <v>70</v>
      </c>
      <c r="S20" s="96" t="s">
        <v>71</v>
      </c>
      <c r="T20" s="96"/>
      <c r="U20" s="96"/>
      <c r="V20" s="96"/>
      <c r="W20" s="96"/>
      <c r="X20" s="96"/>
      <c r="Y20" s="96"/>
      <c r="Z20" s="96"/>
      <c r="AA20" s="96"/>
    </row>
    <row r="21" spans="2:31" ht="30" customHeight="1" x14ac:dyDescent="0.25">
      <c r="B21" s="27" t="s">
        <v>72</v>
      </c>
      <c r="C21" s="27" t="s">
        <v>73</v>
      </c>
      <c r="D21" s="27" t="s">
        <v>74</v>
      </c>
      <c r="E21" s="28" t="s">
        <v>33</v>
      </c>
      <c r="F21" s="28" t="s">
        <v>34</v>
      </c>
      <c r="G21" s="28" t="s">
        <v>35</v>
      </c>
      <c r="H21" s="28" t="s">
        <v>36</v>
      </c>
      <c r="I21" s="28" t="s">
        <v>37</v>
      </c>
      <c r="J21" s="28" t="s">
        <v>38</v>
      </c>
      <c r="K21" s="28" t="s">
        <v>39</v>
      </c>
      <c r="L21" s="28" t="s">
        <v>40</v>
      </c>
      <c r="M21" s="28" t="s">
        <v>41</v>
      </c>
      <c r="N21" s="28" t="s">
        <v>42</v>
      </c>
      <c r="O21" s="28" t="s">
        <v>43</v>
      </c>
      <c r="P21" s="28" t="s">
        <v>44</v>
      </c>
      <c r="Q21" s="28" t="s">
        <v>45</v>
      </c>
      <c r="R21" s="28" t="s">
        <v>46</v>
      </c>
      <c r="S21" s="27" t="s">
        <v>75</v>
      </c>
      <c r="T21" s="27" t="s">
        <v>76</v>
      </c>
      <c r="U21" s="27" t="s">
        <v>77</v>
      </c>
      <c r="V21" s="27" t="s">
        <v>78</v>
      </c>
      <c r="W21" s="27" t="s">
        <v>79</v>
      </c>
      <c r="X21" s="27" t="s">
        <v>80</v>
      </c>
      <c r="Y21" s="27" t="s">
        <v>81</v>
      </c>
      <c r="Z21" s="27" t="s">
        <v>82</v>
      </c>
      <c r="AA21" s="27" t="s">
        <v>83</v>
      </c>
    </row>
    <row r="22" spans="2:31" ht="15" customHeight="1" x14ac:dyDescent="0.25">
      <c r="B22" s="29">
        <f>IF($D22="","",COUNTA($D$22:$D22))</f>
        <v>1</v>
      </c>
      <c r="C22" s="30" t="s">
        <v>84</v>
      </c>
      <c r="D22" s="31" t="s">
        <v>85</v>
      </c>
      <c r="E22" s="32" t="s">
        <v>86</v>
      </c>
      <c r="F22" s="32"/>
      <c r="G22" s="32"/>
      <c r="H22" s="32"/>
      <c r="I22" s="32"/>
      <c r="J22" s="32" t="s">
        <v>87</v>
      </c>
      <c r="K22" s="32"/>
      <c r="L22" s="32"/>
      <c r="M22" s="32"/>
      <c r="N22" s="32"/>
      <c r="O22" s="32"/>
      <c r="P22" s="32"/>
      <c r="Q22" s="32"/>
      <c r="R22" s="32"/>
      <c r="S22" s="33" t="str">
        <f t="shared" ref="S22:S53" si="0">IF($D22="","",IF($AC22="","–",LEFT($AC22,LEN($AC22)-2)))</f>
        <v>A</v>
      </c>
      <c r="T22" s="29" t="str">
        <f t="shared" ref="T22:T53" si="1">IF($D22="","",IF($AD22="","–",LEFT($AD22,LEN($AD22)-2)))</f>
        <v>F</v>
      </c>
      <c r="U22" s="34"/>
      <c r="V22" s="35" t="s">
        <v>88</v>
      </c>
      <c r="W22" s="36">
        <v>46154</v>
      </c>
      <c r="X22" s="35" t="s">
        <v>89</v>
      </c>
      <c r="Y22" s="32" t="s">
        <v>90</v>
      </c>
      <c r="Z22" s="37" t="str">
        <f t="shared" ref="Z22:Z53" si="2">IF($D22="","",IF(SUMPRODUCT(($E22:$R22="X")*($E$16:$R$16="J"))&gt;0,"Nicht geeignet",IF(SUMPRODUCT(($E22:$R22="S")*($E$16:$R$16="J"))&gt;0,"Nur nach Rücksprache","Geeignet")))</f>
        <v>Nicht geeignet</v>
      </c>
      <c r="AA22" s="37" t="str">
        <f t="shared" ref="AA22:AA53" ca="1" si="3">IF($D22="","",IF($C22="","Kategorie fehlt",IF($V22="","Nachweis fehlt",IF($V22="Nicht dokumentiert","Nachweis fehlt",IF($W22="","Prüfdatum fehlt",IF($W22&lt;EDATE(TODAY(),-Pruefintervall),"Prüfung überfällig",IF($X22="","Verantwortung offen",IF($Y22&lt;&gt;"Freigegeben","Freigabe offen","OK"))))))))</f>
        <v>OK</v>
      </c>
      <c r="AC22" s="38" t="str">
        <f t="shared" ref="AC22:AC53" si="4">IF($D22="","",IF($E22="X",E$21&amp;", ","")&amp;IF($F22="X",F$21&amp;", ","")&amp;IF($G22="X",G$21&amp;", ","")&amp;IF($H22="X",H$21&amp;", ","")&amp;IF($I22="X",I$21&amp;", ","")&amp;IF($J22="X",J$21&amp;", ","")&amp;IF($K22="X",K$21&amp;", ","")&amp;IF($L22="X",L$21&amp;", ","")&amp;IF($M22="X",M$21&amp;", ","")&amp;IF($N22="X",N$21&amp;", ","")&amp;IF($O22="X",O$21&amp;", ","")&amp;IF($P22="X",P$21&amp;", ","")&amp;IF($Q22="X",Q$21&amp;", ","")&amp;IF($R22="X",R$21&amp;", ",""))</f>
        <v xml:space="preserve">A, </v>
      </c>
      <c r="AD22" s="38" t="str">
        <f t="shared" ref="AD22:AD53" si="5">IF($D22="","",IF($E22="S",E$21&amp;", ","")&amp;IF($F22="S",F$21&amp;", ","")&amp;IF($G22="S",G$21&amp;", ","")&amp;IF($H22="S",H$21&amp;", ","")&amp;IF($I22="S",I$21&amp;", ","")&amp;IF($J22="S",J$21&amp;", ","")&amp;IF($K22="S",K$21&amp;", ","")&amp;IF($L22="S",L$21&amp;", ","")&amp;IF($M22="S",M$21&amp;", ","")&amp;IF($N22="S",N$21&amp;", ","")&amp;IF($O22="S",O$21&amp;", ","")&amp;IF($P22="S",P$21&amp;", ","")&amp;IF($Q22="S",Q$21&amp;", ","")&amp;IF($R22="S",R$21&amp;", ",""))</f>
        <v xml:space="preserve">F, </v>
      </c>
      <c r="AE22" s="38">
        <f t="shared" ref="AE22:AE53" si="6">IF($D22="","",COUNTIF($E22:$R22,"X"))</f>
        <v>1</v>
      </c>
    </row>
    <row r="23" spans="2:31" ht="15" customHeight="1" x14ac:dyDescent="0.25">
      <c r="B23" s="29">
        <f>IF($D23="","",COUNTA($D$22:$D23))</f>
        <v>2</v>
      </c>
      <c r="C23" s="30" t="s">
        <v>84</v>
      </c>
      <c r="D23" s="31" t="s">
        <v>91</v>
      </c>
      <c r="E23" s="32"/>
      <c r="F23" s="32"/>
      <c r="G23" s="32"/>
      <c r="H23" s="32" t="s">
        <v>86</v>
      </c>
      <c r="I23" s="32"/>
      <c r="J23" s="32"/>
      <c r="K23" s="32" t="s">
        <v>86</v>
      </c>
      <c r="L23" s="32"/>
      <c r="M23" s="32"/>
      <c r="N23" s="32" t="s">
        <v>86</v>
      </c>
      <c r="O23" s="32"/>
      <c r="P23" s="32"/>
      <c r="Q23" s="32"/>
      <c r="R23" s="32"/>
      <c r="S23" s="33" t="str">
        <f t="shared" si="0"/>
        <v>D, G, J</v>
      </c>
      <c r="T23" s="29" t="str">
        <f t="shared" si="1"/>
        <v>–</v>
      </c>
      <c r="U23" s="34"/>
      <c r="V23" s="35" t="s">
        <v>92</v>
      </c>
      <c r="W23" s="36">
        <v>46176</v>
      </c>
      <c r="X23" s="35" t="s">
        <v>93</v>
      </c>
      <c r="Y23" s="32" t="s">
        <v>90</v>
      </c>
      <c r="Z23" s="37" t="str">
        <f t="shared" si="2"/>
        <v>Nicht geeignet</v>
      </c>
      <c r="AA23" s="37" t="str">
        <f t="shared" ca="1" si="3"/>
        <v>OK</v>
      </c>
      <c r="AC23" s="38" t="str">
        <f t="shared" si="4"/>
        <v xml:space="preserve">D, G, J, </v>
      </c>
      <c r="AD23" s="38" t="str">
        <f t="shared" si="5"/>
        <v/>
      </c>
      <c r="AE23" s="38">
        <f t="shared" si="6"/>
        <v>3</v>
      </c>
    </row>
    <row r="24" spans="2:31" ht="15" customHeight="1" x14ac:dyDescent="0.25">
      <c r="B24" s="29">
        <f>IF($D24="","",COUNTA($D$22:$D24))</f>
        <v>3</v>
      </c>
      <c r="C24" s="30" t="s">
        <v>84</v>
      </c>
      <c r="D24" s="31" t="s">
        <v>94</v>
      </c>
      <c r="E24" s="32"/>
      <c r="F24" s="32"/>
      <c r="G24" s="32"/>
      <c r="H24" s="32"/>
      <c r="I24" s="32"/>
      <c r="J24" s="32"/>
      <c r="K24" s="32" t="s">
        <v>86</v>
      </c>
      <c r="L24" s="32"/>
      <c r="M24" s="32"/>
      <c r="N24" s="32" t="s">
        <v>86</v>
      </c>
      <c r="O24" s="32"/>
      <c r="P24" s="32"/>
      <c r="Q24" s="32"/>
      <c r="R24" s="32"/>
      <c r="S24" s="33" t="str">
        <f t="shared" si="0"/>
        <v>G, J</v>
      </c>
      <c r="T24" s="29" t="str">
        <f t="shared" si="1"/>
        <v>–</v>
      </c>
      <c r="U24" s="34"/>
      <c r="V24" s="35" t="s">
        <v>88</v>
      </c>
      <c r="W24" s="36">
        <v>46133</v>
      </c>
      <c r="X24" s="35" t="s">
        <v>95</v>
      </c>
      <c r="Y24" s="32" t="s">
        <v>90</v>
      </c>
      <c r="Z24" s="37" t="str">
        <f t="shared" si="2"/>
        <v>Nicht geeignet</v>
      </c>
      <c r="AA24" s="37" t="str">
        <f t="shared" ca="1" si="3"/>
        <v>OK</v>
      </c>
      <c r="AC24" s="38" t="str">
        <f t="shared" si="4"/>
        <v xml:space="preserve">G, J, </v>
      </c>
      <c r="AD24" s="38" t="str">
        <f t="shared" si="5"/>
        <v/>
      </c>
      <c r="AE24" s="38">
        <f t="shared" si="6"/>
        <v>2</v>
      </c>
    </row>
    <row r="25" spans="2:31" ht="15" customHeight="1" x14ac:dyDescent="0.25">
      <c r="B25" s="29">
        <f>IF($D25="","",COUNTA($D$22:$D25))</f>
        <v>4</v>
      </c>
      <c r="C25" s="30" t="s">
        <v>84</v>
      </c>
      <c r="D25" s="31" t="s">
        <v>96</v>
      </c>
      <c r="E25" s="32" t="s">
        <v>86</v>
      </c>
      <c r="F25" s="32"/>
      <c r="G25" s="32" t="s">
        <v>86</v>
      </c>
      <c r="H25" s="32"/>
      <c r="I25" s="32"/>
      <c r="J25" s="32"/>
      <c r="K25" s="32" t="s">
        <v>86</v>
      </c>
      <c r="L25" s="32" t="s">
        <v>87</v>
      </c>
      <c r="M25" s="32"/>
      <c r="N25" s="32"/>
      <c r="O25" s="32"/>
      <c r="P25" s="32"/>
      <c r="Q25" s="32"/>
      <c r="R25" s="32"/>
      <c r="S25" s="33" t="str">
        <f t="shared" si="0"/>
        <v>A, C, G</v>
      </c>
      <c r="T25" s="29" t="str">
        <f t="shared" si="1"/>
        <v>H</v>
      </c>
      <c r="U25" s="34"/>
      <c r="V25" s="35" t="s">
        <v>97</v>
      </c>
      <c r="W25" s="36">
        <v>46182</v>
      </c>
      <c r="X25" s="35" t="s">
        <v>93</v>
      </c>
      <c r="Y25" s="32" t="s">
        <v>90</v>
      </c>
      <c r="Z25" s="37" t="str">
        <f t="shared" si="2"/>
        <v>Nicht geeignet</v>
      </c>
      <c r="AA25" s="37" t="str">
        <f t="shared" ca="1" si="3"/>
        <v>OK</v>
      </c>
      <c r="AC25" s="38" t="str">
        <f t="shared" si="4"/>
        <v xml:space="preserve">A, C, G, </v>
      </c>
      <c r="AD25" s="38" t="str">
        <f t="shared" si="5"/>
        <v xml:space="preserve">H, </v>
      </c>
      <c r="AE25" s="38">
        <f t="shared" si="6"/>
        <v>3</v>
      </c>
    </row>
    <row r="26" spans="2:31" ht="15" customHeight="1" x14ac:dyDescent="0.25">
      <c r="B26" s="29">
        <f>IF($D26="","",COUNTA($D$22:$D26))</f>
        <v>5</v>
      </c>
      <c r="C26" s="30" t="s">
        <v>98</v>
      </c>
      <c r="D26" s="31" t="s">
        <v>99</v>
      </c>
      <c r="E26" s="32"/>
      <c r="F26" s="32"/>
      <c r="G26" s="32"/>
      <c r="H26" s="32"/>
      <c r="I26" s="32"/>
      <c r="J26" s="32"/>
      <c r="K26" s="32" t="s">
        <v>86</v>
      </c>
      <c r="L26" s="32"/>
      <c r="M26" s="32" t="s">
        <v>86</v>
      </c>
      <c r="N26" s="32"/>
      <c r="O26" s="32"/>
      <c r="P26" s="32"/>
      <c r="Q26" s="32"/>
      <c r="R26" s="32"/>
      <c r="S26" s="33" t="str">
        <f t="shared" si="0"/>
        <v>G, I</v>
      </c>
      <c r="T26" s="29" t="str">
        <f t="shared" si="1"/>
        <v>–</v>
      </c>
      <c r="U26" s="34" t="s">
        <v>100</v>
      </c>
      <c r="V26" s="35" t="s">
        <v>88</v>
      </c>
      <c r="W26" s="36">
        <v>46154</v>
      </c>
      <c r="X26" s="35" t="s">
        <v>95</v>
      </c>
      <c r="Y26" s="32" t="s">
        <v>90</v>
      </c>
      <c r="Z26" s="37" t="str">
        <f t="shared" si="2"/>
        <v>Nicht geeignet</v>
      </c>
      <c r="AA26" s="37" t="str">
        <f t="shared" ca="1" si="3"/>
        <v>OK</v>
      </c>
      <c r="AC26" s="38" t="str">
        <f t="shared" si="4"/>
        <v xml:space="preserve">G, I, </v>
      </c>
      <c r="AD26" s="38" t="str">
        <f t="shared" si="5"/>
        <v/>
      </c>
      <c r="AE26" s="38">
        <f t="shared" si="6"/>
        <v>2</v>
      </c>
    </row>
    <row r="27" spans="2:31" ht="15" customHeight="1" x14ac:dyDescent="0.25">
      <c r="B27" s="29">
        <f>IF($D27="","",COUNTA($D$22:$D27))</f>
        <v>6</v>
      </c>
      <c r="C27" s="30" t="s">
        <v>98</v>
      </c>
      <c r="D27" s="31" t="s">
        <v>101</v>
      </c>
      <c r="E27" s="32"/>
      <c r="F27" s="32"/>
      <c r="G27" s="32"/>
      <c r="H27" s="32"/>
      <c r="I27" s="32"/>
      <c r="J27" s="32"/>
      <c r="K27" s="32"/>
      <c r="L27" s="32"/>
      <c r="M27" s="32" t="s">
        <v>86</v>
      </c>
      <c r="N27" s="32"/>
      <c r="O27" s="32"/>
      <c r="P27" s="32"/>
      <c r="Q27" s="32"/>
      <c r="R27" s="32"/>
      <c r="S27" s="33" t="str">
        <f t="shared" si="0"/>
        <v>I</v>
      </c>
      <c r="T27" s="29" t="str">
        <f t="shared" si="1"/>
        <v>–</v>
      </c>
      <c r="U27" s="34" t="s">
        <v>100</v>
      </c>
      <c r="V27" s="35" t="s">
        <v>92</v>
      </c>
      <c r="W27" s="36">
        <v>46105</v>
      </c>
      <c r="X27" s="35" t="s">
        <v>93</v>
      </c>
      <c r="Y27" s="32" t="s">
        <v>90</v>
      </c>
      <c r="Z27" s="37" t="str">
        <f t="shared" si="2"/>
        <v>Geeignet</v>
      </c>
      <c r="AA27" s="37" t="str">
        <f t="shared" ca="1" si="3"/>
        <v>OK</v>
      </c>
      <c r="AC27" s="38" t="str">
        <f t="shared" si="4"/>
        <v xml:space="preserve">I, </v>
      </c>
      <c r="AD27" s="38" t="str">
        <f t="shared" si="5"/>
        <v/>
      </c>
      <c r="AE27" s="38">
        <f t="shared" si="6"/>
        <v>1</v>
      </c>
    </row>
    <row r="28" spans="2:31" ht="15" customHeight="1" x14ac:dyDescent="0.25">
      <c r="B28" s="29">
        <f>IF($D28="","",COUNTA($D$22:$D28))</f>
        <v>7</v>
      </c>
      <c r="C28" s="30" t="s">
        <v>98</v>
      </c>
      <c r="D28" s="31" t="s">
        <v>102</v>
      </c>
      <c r="E28" s="32"/>
      <c r="F28" s="32" t="s">
        <v>87</v>
      </c>
      <c r="G28" s="32"/>
      <c r="H28" s="32" t="s">
        <v>86</v>
      </c>
      <c r="I28" s="32"/>
      <c r="J28" s="32"/>
      <c r="K28" s="32" t="s">
        <v>86</v>
      </c>
      <c r="L28" s="32"/>
      <c r="M28" s="32" t="s">
        <v>86</v>
      </c>
      <c r="N28" s="32"/>
      <c r="O28" s="32"/>
      <c r="P28" s="32"/>
      <c r="Q28" s="32"/>
      <c r="R28" s="32"/>
      <c r="S28" s="33" t="str">
        <f t="shared" si="0"/>
        <v>D, G, I</v>
      </c>
      <c r="T28" s="29" t="str">
        <f t="shared" si="1"/>
        <v>B</v>
      </c>
      <c r="U28" s="34"/>
      <c r="V28" s="35" t="s">
        <v>88</v>
      </c>
      <c r="W28" s="36">
        <v>46176</v>
      </c>
      <c r="X28" s="35" t="s">
        <v>89</v>
      </c>
      <c r="Y28" s="32" t="s">
        <v>90</v>
      </c>
      <c r="Z28" s="37" t="str">
        <f t="shared" si="2"/>
        <v>Nicht geeignet</v>
      </c>
      <c r="AA28" s="37" t="str">
        <f t="shared" ca="1" si="3"/>
        <v>OK</v>
      </c>
      <c r="AC28" s="38" t="str">
        <f t="shared" si="4"/>
        <v xml:space="preserve">D, G, I, </v>
      </c>
      <c r="AD28" s="38" t="str">
        <f t="shared" si="5"/>
        <v xml:space="preserve">B, </v>
      </c>
      <c r="AE28" s="38">
        <f t="shared" si="6"/>
        <v>3</v>
      </c>
    </row>
    <row r="29" spans="2:31" ht="15" customHeight="1" x14ac:dyDescent="0.25">
      <c r="B29" s="29">
        <f>IF($D29="","",COUNTA($D$22:$D29))</f>
        <v>8</v>
      </c>
      <c r="C29" s="30" t="s">
        <v>103</v>
      </c>
      <c r="D29" s="31" t="s">
        <v>104</v>
      </c>
      <c r="E29" s="32"/>
      <c r="F29" s="32"/>
      <c r="G29" s="32"/>
      <c r="H29" s="32"/>
      <c r="I29" s="32"/>
      <c r="J29" s="32"/>
      <c r="K29" s="32"/>
      <c r="L29" s="32"/>
      <c r="M29" s="32"/>
      <c r="N29" s="32" t="s">
        <v>86</v>
      </c>
      <c r="O29" s="32"/>
      <c r="P29" s="32" t="s">
        <v>86</v>
      </c>
      <c r="Q29" s="32"/>
      <c r="R29" s="32"/>
      <c r="S29" s="33" t="str">
        <f t="shared" si="0"/>
        <v>J, L</v>
      </c>
      <c r="T29" s="29" t="str">
        <f t="shared" si="1"/>
        <v>–</v>
      </c>
      <c r="U29" s="34"/>
      <c r="V29" s="35" t="s">
        <v>88</v>
      </c>
      <c r="W29" s="36">
        <v>46168</v>
      </c>
      <c r="X29" s="35" t="s">
        <v>95</v>
      </c>
      <c r="Y29" s="32" t="s">
        <v>90</v>
      </c>
      <c r="Z29" s="37" t="str">
        <f t="shared" si="2"/>
        <v>Geeignet</v>
      </c>
      <c r="AA29" s="37" t="str">
        <f t="shared" ca="1" si="3"/>
        <v>OK</v>
      </c>
      <c r="AC29" s="38" t="str">
        <f t="shared" si="4"/>
        <v xml:space="preserve">J, L, </v>
      </c>
      <c r="AD29" s="38" t="str">
        <f t="shared" si="5"/>
        <v/>
      </c>
      <c r="AE29" s="38">
        <f t="shared" si="6"/>
        <v>2</v>
      </c>
    </row>
    <row r="30" spans="2:31" ht="15" customHeight="1" x14ac:dyDescent="0.25">
      <c r="B30" s="29">
        <f>IF($D30="","",COUNTA($D$22:$D30))</f>
        <v>9</v>
      </c>
      <c r="C30" s="30" t="s">
        <v>103</v>
      </c>
      <c r="D30" s="31" t="s">
        <v>105</v>
      </c>
      <c r="E30" s="32" t="s">
        <v>86</v>
      </c>
      <c r="F30" s="32"/>
      <c r="G30" s="32" t="s">
        <v>86</v>
      </c>
      <c r="H30" s="32"/>
      <c r="I30" s="32"/>
      <c r="J30" s="32"/>
      <c r="K30" s="32" t="s">
        <v>86</v>
      </c>
      <c r="L30" s="32"/>
      <c r="M30" s="32"/>
      <c r="N30" s="32" t="s">
        <v>86</v>
      </c>
      <c r="O30" s="32"/>
      <c r="P30" s="32"/>
      <c r="Q30" s="32"/>
      <c r="R30" s="32"/>
      <c r="S30" s="33" t="str">
        <f t="shared" si="0"/>
        <v>A, C, G, J</v>
      </c>
      <c r="T30" s="29" t="str">
        <f t="shared" si="1"/>
        <v>–</v>
      </c>
      <c r="U30" s="34"/>
      <c r="V30" s="35" t="s">
        <v>88</v>
      </c>
      <c r="W30" s="36">
        <v>46133</v>
      </c>
      <c r="X30" s="35" t="s">
        <v>95</v>
      </c>
      <c r="Y30" s="32" t="s">
        <v>90</v>
      </c>
      <c r="Z30" s="37" t="str">
        <f t="shared" si="2"/>
        <v>Nicht geeignet</v>
      </c>
      <c r="AA30" s="37" t="str">
        <f t="shared" ca="1" si="3"/>
        <v>OK</v>
      </c>
      <c r="AC30" s="38" t="str">
        <f t="shared" si="4"/>
        <v xml:space="preserve">A, C, G, J, </v>
      </c>
      <c r="AD30" s="38" t="str">
        <f t="shared" si="5"/>
        <v/>
      </c>
      <c r="AE30" s="38">
        <f t="shared" si="6"/>
        <v>4</v>
      </c>
    </row>
    <row r="31" spans="2:31" ht="15" customHeight="1" x14ac:dyDescent="0.25">
      <c r="B31" s="29">
        <f>IF($D31="","",COUNTA($D$22:$D31))</f>
        <v>10</v>
      </c>
      <c r="C31" s="30" t="s">
        <v>103</v>
      </c>
      <c r="D31" s="31" t="s">
        <v>106</v>
      </c>
      <c r="E31" s="32"/>
      <c r="F31" s="32"/>
      <c r="G31" s="32"/>
      <c r="H31" s="32"/>
      <c r="I31" s="32"/>
      <c r="J31" s="32"/>
      <c r="K31" s="32"/>
      <c r="L31" s="32"/>
      <c r="M31" s="32" t="s">
        <v>86</v>
      </c>
      <c r="N31" s="32"/>
      <c r="O31" s="32" t="s">
        <v>87</v>
      </c>
      <c r="P31" s="32"/>
      <c r="Q31" s="32"/>
      <c r="R31" s="32"/>
      <c r="S31" s="33" t="str">
        <f t="shared" si="0"/>
        <v>I</v>
      </c>
      <c r="T31" s="29" t="str">
        <f t="shared" si="1"/>
        <v>K</v>
      </c>
      <c r="U31" s="34"/>
      <c r="V31" s="35" t="s">
        <v>88</v>
      </c>
      <c r="W31" s="36">
        <v>46189</v>
      </c>
      <c r="X31" s="35" t="s">
        <v>89</v>
      </c>
      <c r="Y31" s="32" t="s">
        <v>90</v>
      </c>
      <c r="Z31" s="37" t="str">
        <f t="shared" si="2"/>
        <v>Geeignet</v>
      </c>
      <c r="AA31" s="37" t="str">
        <f t="shared" ca="1" si="3"/>
        <v>OK</v>
      </c>
      <c r="AC31" s="38" t="str">
        <f t="shared" si="4"/>
        <v xml:space="preserve">I, </v>
      </c>
      <c r="AD31" s="38" t="str">
        <f t="shared" si="5"/>
        <v xml:space="preserve">K, </v>
      </c>
      <c r="AE31" s="38">
        <f t="shared" si="6"/>
        <v>1</v>
      </c>
    </row>
    <row r="32" spans="2:31" ht="15" customHeight="1" x14ac:dyDescent="0.25">
      <c r="B32" s="29">
        <f>IF($D32="","",COUNTA($D$22:$D32))</f>
        <v>11</v>
      </c>
      <c r="C32" s="30" t="s">
        <v>107</v>
      </c>
      <c r="D32" s="31" t="s">
        <v>108</v>
      </c>
      <c r="E32" s="32" t="s">
        <v>86</v>
      </c>
      <c r="F32" s="32"/>
      <c r="G32" s="32"/>
      <c r="H32" s="32"/>
      <c r="I32" s="32"/>
      <c r="J32" s="32"/>
      <c r="K32" s="32"/>
      <c r="L32" s="32"/>
      <c r="M32" s="32" t="s">
        <v>86</v>
      </c>
      <c r="N32" s="32" t="s">
        <v>86</v>
      </c>
      <c r="O32" s="32"/>
      <c r="P32" s="32" t="s">
        <v>86</v>
      </c>
      <c r="Q32" s="32"/>
      <c r="R32" s="32"/>
      <c r="S32" s="33" t="str">
        <f t="shared" si="0"/>
        <v>A, I, J, L</v>
      </c>
      <c r="T32" s="29" t="str">
        <f t="shared" si="1"/>
        <v>–</v>
      </c>
      <c r="U32" s="34" t="s">
        <v>109</v>
      </c>
      <c r="V32" s="35" t="s">
        <v>92</v>
      </c>
      <c r="W32" s="36">
        <v>46182</v>
      </c>
      <c r="X32" s="35" t="s">
        <v>89</v>
      </c>
      <c r="Y32" s="32" t="s">
        <v>90</v>
      </c>
      <c r="Z32" s="37" t="str">
        <f t="shared" si="2"/>
        <v>Nicht geeignet</v>
      </c>
      <c r="AA32" s="37" t="str">
        <f t="shared" ca="1" si="3"/>
        <v>OK</v>
      </c>
      <c r="AC32" s="38" t="str">
        <f t="shared" si="4"/>
        <v xml:space="preserve">A, I, J, L, </v>
      </c>
      <c r="AD32" s="38" t="str">
        <f t="shared" si="5"/>
        <v/>
      </c>
      <c r="AE32" s="38">
        <f t="shared" si="6"/>
        <v>4</v>
      </c>
    </row>
    <row r="33" spans="2:31" ht="15" customHeight="1" x14ac:dyDescent="0.25">
      <c r="B33" s="29">
        <f>IF($D33="","",COUNTA($D$22:$D33))</f>
        <v>12</v>
      </c>
      <c r="C33" s="30" t="s">
        <v>107</v>
      </c>
      <c r="D33" s="31" t="s">
        <v>110</v>
      </c>
      <c r="E33" s="32"/>
      <c r="F33" s="32"/>
      <c r="G33" s="32"/>
      <c r="H33" s="32"/>
      <c r="I33" s="32"/>
      <c r="J33" s="32" t="s">
        <v>86</v>
      </c>
      <c r="K33" s="32"/>
      <c r="L33" s="32"/>
      <c r="M33" s="32"/>
      <c r="N33" s="32"/>
      <c r="O33" s="32" t="s">
        <v>87</v>
      </c>
      <c r="P33" s="32"/>
      <c r="Q33" s="32"/>
      <c r="R33" s="32"/>
      <c r="S33" s="33" t="str">
        <f t="shared" si="0"/>
        <v>F</v>
      </c>
      <c r="T33" s="29" t="str">
        <f t="shared" si="1"/>
        <v>K</v>
      </c>
      <c r="U33" s="34"/>
      <c r="V33" s="35" t="s">
        <v>88</v>
      </c>
      <c r="W33" s="36">
        <v>46189</v>
      </c>
      <c r="X33" s="35" t="s">
        <v>95</v>
      </c>
      <c r="Y33" s="32" t="s">
        <v>90</v>
      </c>
      <c r="Z33" s="37" t="str">
        <f t="shared" si="2"/>
        <v>Geeignet</v>
      </c>
      <c r="AA33" s="37" t="str">
        <f t="shared" ca="1" si="3"/>
        <v>OK</v>
      </c>
      <c r="AC33" s="38" t="str">
        <f t="shared" si="4"/>
        <v xml:space="preserve">F, </v>
      </c>
      <c r="AD33" s="38" t="str">
        <f t="shared" si="5"/>
        <v xml:space="preserve">K, </v>
      </c>
      <c r="AE33" s="38">
        <f t="shared" si="6"/>
        <v>1</v>
      </c>
    </row>
    <row r="34" spans="2:31" ht="15" customHeight="1" x14ac:dyDescent="0.25">
      <c r="B34" s="29">
        <f>IF($D34="","",COUNTA($D$22:$D34))</f>
        <v>13</v>
      </c>
      <c r="C34" s="30" t="s">
        <v>107</v>
      </c>
      <c r="D34" s="31" t="s">
        <v>111</v>
      </c>
      <c r="E34" s="32"/>
      <c r="F34" s="32"/>
      <c r="G34" s="32"/>
      <c r="H34" s="32" t="s">
        <v>86</v>
      </c>
      <c r="I34" s="32"/>
      <c r="J34" s="32"/>
      <c r="K34" s="32" t="s">
        <v>86</v>
      </c>
      <c r="L34" s="32"/>
      <c r="M34" s="32"/>
      <c r="N34" s="32"/>
      <c r="O34" s="32"/>
      <c r="P34" s="32"/>
      <c r="Q34" s="32"/>
      <c r="R34" s="32"/>
      <c r="S34" s="33" t="str">
        <f t="shared" si="0"/>
        <v>D, G</v>
      </c>
      <c r="T34" s="29" t="str">
        <f t="shared" si="1"/>
        <v>–</v>
      </c>
      <c r="U34" s="34"/>
      <c r="V34" s="35" t="s">
        <v>92</v>
      </c>
      <c r="W34" s="36">
        <v>46176</v>
      </c>
      <c r="X34" s="35" t="s">
        <v>93</v>
      </c>
      <c r="Y34" s="32" t="s">
        <v>90</v>
      </c>
      <c r="Z34" s="37" t="str">
        <f t="shared" si="2"/>
        <v>Nicht geeignet</v>
      </c>
      <c r="AA34" s="37" t="str">
        <f t="shared" ca="1" si="3"/>
        <v>OK</v>
      </c>
      <c r="AC34" s="38" t="str">
        <f t="shared" si="4"/>
        <v xml:space="preserve">D, G, </v>
      </c>
      <c r="AD34" s="38" t="str">
        <f t="shared" si="5"/>
        <v/>
      </c>
      <c r="AE34" s="38">
        <f t="shared" si="6"/>
        <v>2</v>
      </c>
    </row>
    <row r="35" spans="2:31" ht="15" customHeight="1" x14ac:dyDescent="0.25">
      <c r="B35" s="29">
        <f>IF($D35="","",COUNTA($D$22:$D35))</f>
        <v>14</v>
      </c>
      <c r="C35" s="30" t="s">
        <v>107</v>
      </c>
      <c r="D35" s="31" t="s">
        <v>112</v>
      </c>
      <c r="E35" s="32" t="s">
        <v>86</v>
      </c>
      <c r="F35" s="32"/>
      <c r="G35" s="32" t="s">
        <v>86</v>
      </c>
      <c r="H35" s="32"/>
      <c r="I35" s="32"/>
      <c r="J35" s="32"/>
      <c r="K35" s="32" t="s">
        <v>86</v>
      </c>
      <c r="L35" s="32"/>
      <c r="M35" s="32"/>
      <c r="N35" s="32"/>
      <c r="O35" s="32"/>
      <c r="P35" s="32"/>
      <c r="Q35" s="32"/>
      <c r="R35" s="32"/>
      <c r="S35" s="33" t="str">
        <f t="shared" si="0"/>
        <v>A, C, G</v>
      </c>
      <c r="T35" s="29" t="str">
        <f t="shared" si="1"/>
        <v>–</v>
      </c>
      <c r="U35" s="34" t="s">
        <v>100</v>
      </c>
      <c r="V35" s="35" t="s">
        <v>97</v>
      </c>
      <c r="W35" s="36">
        <v>45979</v>
      </c>
      <c r="X35" s="35" t="s">
        <v>93</v>
      </c>
      <c r="Y35" s="32" t="s">
        <v>113</v>
      </c>
      <c r="Z35" s="37" t="str">
        <f t="shared" si="2"/>
        <v>Nicht geeignet</v>
      </c>
      <c r="AA35" s="37" t="str">
        <f t="shared" ca="1" si="3"/>
        <v>Prüfung überfällig</v>
      </c>
      <c r="AC35" s="38" t="str">
        <f t="shared" si="4"/>
        <v xml:space="preserve">A, C, G, </v>
      </c>
      <c r="AD35" s="38" t="str">
        <f t="shared" si="5"/>
        <v/>
      </c>
      <c r="AE35" s="38">
        <f t="shared" si="6"/>
        <v>3</v>
      </c>
    </row>
    <row r="36" spans="2:31" ht="15" customHeight="1" x14ac:dyDescent="0.25">
      <c r="B36" s="29">
        <f>IF($D36="","",COUNTA($D$22:$D36))</f>
        <v>15</v>
      </c>
      <c r="C36" s="30" t="s">
        <v>107</v>
      </c>
      <c r="D36" s="31" t="s">
        <v>114</v>
      </c>
      <c r="E36" s="32" t="s">
        <v>86</v>
      </c>
      <c r="F36" s="32"/>
      <c r="G36" s="32" t="s">
        <v>86</v>
      </c>
      <c r="H36" s="32"/>
      <c r="I36" s="32"/>
      <c r="J36" s="32"/>
      <c r="K36" s="32" t="s">
        <v>86</v>
      </c>
      <c r="L36" s="32"/>
      <c r="M36" s="32"/>
      <c r="N36" s="32"/>
      <c r="O36" s="32"/>
      <c r="P36" s="32"/>
      <c r="Q36" s="32"/>
      <c r="R36" s="32"/>
      <c r="S36" s="33" t="str">
        <f t="shared" si="0"/>
        <v>A, C, G</v>
      </c>
      <c r="T36" s="29" t="str">
        <f t="shared" si="1"/>
        <v>–</v>
      </c>
      <c r="U36" s="34"/>
      <c r="V36" s="35" t="s">
        <v>88</v>
      </c>
      <c r="W36" s="36">
        <v>46168</v>
      </c>
      <c r="X36" s="35" t="s">
        <v>95</v>
      </c>
      <c r="Y36" s="32" t="s">
        <v>90</v>
      </c>
      <c r="Z36" s="37" t="str">
        <f t="shared" si="2"/>
        <v>Nicht geeignet</v>
      </c>
      <c r="AA36" s="37" t="str">
        <f t="shared" ca="1" si="3"/>
        <v>OK</v>
      </c>
      <c r="AC36" s="38" t="str">
        <f t="shared" si="4"/>
        <v xml:space="preserve">A, C, G, </v>
      </c>
      <c r="AD36" s="38" t="str">
        <f t="shared" si="5"/>
        <v/>
      </c>
      <c r="AE36" s="38">
        <f t="shared" si="6"/>
        <v>3</v>
      </c>
    </row>
    <row r="37" spans="2:31" ht="15" customHeight="1" x14ac:dyDescent="0.25">
      <c r="B37" s="29">
        <f>IF($D37="","",COUNTA($D$22:$D37))</f>
        <v>16</v>
      </c>
      <c r="C37" s="30" t="s">
        <v>107</v>
      </c>
      <c r="D37" s="31" t="s">
        <v>115</v>
      </c>
      <c r="E37" s="32" t="s">
        <v>86</v>
      </c>
      <c r="F37" s="32"/>
      <c r="G37" s="32"/>
      <c r="H37" s="32"/>
      <c r="I37" s="32"/>
      <c r="J37" s="32" t="s">
        <v>87</v>
      </c>
      <c r="K37" s="32"/>
      <c r="L37" s="32"/>
      <c r="M37" s="32" t="s">
        <v>86</v>
      </c>
      <c r="N37" s="32"/>
      <c r="O37" s="32"/>
      <c r="P37" s="32"/>
      <c r="Q37" s="32"/>
      <c r="R37" s="32"/>
      <c r="S37" s="33" t="str">
        <f t="shared" si="0"/>
        <v>A, I</v>
      </c>
      <c r="T37" s="29" t="str">
        <f t="shared" si="1"/>
        <v>F</v>
      </c>
      <c r="U37" s="34"/>
      <c r="V37" s="35" t="s">
        <v>88</v>
      </c>
      <c r="W37" s="36">
        <v>46189</v>
      </c>
      <c r="X37" s="35" t="s">
        <v>89</v>
      </c>
      <c r="Y37" s="32" t="s">
        <v>90</v>
      </c>
      <c r="Z37" s="37" t="str">
        <f t="shared" si="2"/>
        <v>Nicht geeignet</v>
      </c>
      <c r="AA37" s="37" t="str">
        <f t="shared" ca="1" si="3"/>
        <v>OK</v>
      </c>
      <c r="AC37" s="38" t="str">
        <f t="shared" si="4"/>
        <v xml:space="preserve">A, I, </v>
      </c>
      <c r="AD37" s="38" t="str">
        <f t="shared" si="5"/>
        <v xml:space="preserve">F, </v>
      </c>
      <c r="AE37" s="38">
        <f t="shared" si="6"/>
        <v>2</v>
      </c>
    </row>
    <row r="38" spans="2:31" ht="15" customHeight="1" x14ac:dyDescent="0.25">
      <c r="B38" s="29">
        <f>IF($D38="","",COUNTA($D$22:$D38))</f>
        <v>17</v>
      </c>
      <c r="C38" s="30" t="s">
        <v>107</v>
      </c>
      <c r="D38" s="31" t="s">
        <v>116</v>
      </c>
      <c r="E38" s="32" t="s">
        <v>86</v>
      </c>
      <c r="F38" s="32"/>
      <c r="G38" s="32"/>
      <c r="H38" s="32"/>
      <c r="I38" s="32"/>
      <c r="J38" s="32"/>
      <c r="K38" s="32" t="s">
        <v>86</v>
      </c>
      <c r="L38" s="32"/>
      <c r="M38" s="32"/>
      <c r="N38" s="32" t="s">
        <v>86</v>
      </c>
      <c r="O38" s="32"/>
      <c r="P38" s="32"/>
      <c r="Q38" s="32"/>
      <c r="R38" s="32"/>
      <c r="S38" s="33" t="str">
        <f t="shared" si="0"/>
        <v>A, G, J</v>
      </c>
      <c r="T38" s="29" t="str">
        <f t="shared" si="1"/>
        <v>–</v>
      </c>
      <c r="U38" s="34"/>
      <c r="V38" s="35" t="s">
        <v>88</v>
      </c>
      <c r="W38" s="36">
        <v>46154</v>
      </c>
      <c r="X38" s="35" t="s">
        <v>89</v>
      </c>
      <c r="Y38" s="32" t="s">
        <v>90</v>
      </c>
      <c r="Z38" s="37" t="str">
        <f t="shared" si="2"/>
        <v>Nicht geeignet</v>
      </c>
      <c r="AA38" s="37" t="str">
        <f t="shared" ca="1" si="3"/>
        <v>OK</v>
      </c>
      <c r="AC38" s="38" t="str">
        <f t="shared" si="4"/>
        <v xml:space="preserve">A, G, J, </v>
      </c>
      <c r="AD38" s="38" t="str">
        <f t="shared" si="5"/>
        <v/>
      </c>
      <c r="AE38" s="38">
        <f t="shared" si="6"/>
        <v>3</v>
      </c>
    </row>
    <row r="39" spans="2:31" ht="15" customHeight="1" x14ac:dyDescent="0.25">
      <c r="B39" s="29">
        <f>IF($D39="","",COUNTA($D$22:$D39))</f>
        <v>18</v>
      </c>
      <c r="C39" s="30" t="s">
        <v>117</v>
      </c>
      <c r="D39" s="31" t="s">
        <v>118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3" t="str">
        <f t="shared" si="0"/>
        <v>–</v>
      </c>
      <c r="T39" s="29" t="str">
        <f t="shared" si="1"/>
        <v>–</v>
      </c>
      <c r="U39" s="34"/>
      <c r="V39" s="35" t="s">
        <v>88</v>
      </c>
      <c r="W39" s="36">
        <v>46133</v>
      </c>
      <c r="X39" s="35" t="s">
        <v>95</v>
      </c>
      <c r="Y39" s="32" t="s">
        <v>90</v>
      </c>
      <c r="Z39" s="37" t="str">
        <f t="shared" si="2"/>
        <v>Geeignet</v>
      </c>
      <c r="AA39" s="37" t="str">
        <f t="shared" ca="1" si="3"/>
        <v>OK</v>
      </c>
      <c r="AC39" s="38" t="str">
        <f t="shared" si="4"/>
        <v/>
      </c>
      <c r="AD39" s="38" t="str">
        <f t="shared" si="5"/>
        <v/>
      </c>
      <c r="AE39" s="38">
        <f t="shared" si="6"/>
        <v>0</v>
      </c>
    </row>
    <row r="40" spans="2:31" ht="15" customHeight="1" x14ac:dyDescent="0.25">
      <c r="B40" s="29">
        <f>IF($D40="","",COUNTA($D$22:$D40))</f>
        <v>19</v>
      </c>
      <c r="C40" s="30" t="s">
        <v>117</v>
      </c>
      <c r="D40" s="31" t="s">
        <v>119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3" t="str">
        <f t="shared" si="0"/>
        <v>–</v>
      </c>
      <c r="T40" s="29" t="str">
        <f t="shared" si="1"/>
        <v>–</v>
      </c>
      <c r="U40" s="34"/>
      <c r="V40" s="35" t="s">
        <v>97</v>
      </c>
      <c r="W40" s="36">
        <v>46133</v>
      </c>
      <c r="X40" s="35" t="s">
        <v>95</v>
      </c>
      <c r="Y40" s="32" t="s">
        <v>90</v>
      </c>
      <c r="Z40" s="37" t="str">
        <f t="shared" si="2"/>
        <v>Geeignet</v>
      </c>
      <c r="AA40" s="37" t="str">
        <f t="shared" ca="1" si="3"/>
        <v>OK</v>
      </c>
      <c r="AC40" s="38" t="str">
        <f t="shared" si="4"/>
        <v/>
      </c>
      <c r="AD40" s="38" t="str">
        <f t="shared" si="5"/>
        <v/>
      </c>
      <c r="AE40" s="38">
        <f t="shared" si="6"/>
        <v>0</v>
      </c>
    </row>
    <row r="41" spans="2:31" ht="15" customHeight="1" x14ac:dyDescent="0.25">
      <c r="B41" s="29">
        <f>IF($D41="","",COUNTA($D$22:$D41))</f>
        <v>20</v>
      </c>
      <c r="C41" s="30" t="s">
        <v>117</v>
      </c>
      <c r="D41" s="31" t="s">
        <v>120</v>
      </c>
      <c r="E41" s="32"/>
      <c r="F41" s="32"/>
      <c r="G41" s="32"/>
      <c r="H41" s="32"/>
      <c r="I41" s="32"/>
      <c r="J41" s="32"/>
      <c r="K41" s="32" t="s">
        <v>86</v>
      </c>
      <c r="L41" s="32"/>
      <c r="M41" s="32"/>
      <c r="N41" s="32"/>
      <c r="O41" s="32"/>
      <c r="P41" s="32"/>
      <c r="Q41" s="32"/>
      <c r="R41" s="32"/>
      <c r="S41" s="33" t="str">
        <f t="shared" si="0"/>
        <v>G</v>
      </c>
      <c r="T41" s="29" t="str">
        <f t="shared" si="1"/>
        <v>–</v>
      </c>
      <c r="U41" s="34"/>
      <c r="V41" s="35" t="s">
        <v>88</v>
      </c>
      <c r="W41" s="36">
        <v>46168</v>
      </c>
      <c r="X41" s="35" t="s">
        <v>95</v>
      </c>
      <c r="Y41" s="32" t="s">
        <v>90</v>
      </c>
      <c r="Z41" s="37" t="str">
        <f t="shared" si="2"/>
        <v>Nicht geeignet</v>
      </c>
      <c r="AA41" s="37" t="str">
        <f t="shared" ca="1" si="3"/>
        <v>OK</v>
      </c>
      <c r="AC41" s="38" t="str">
        <f t="shared" si="4"/>
        <v xml:space="preserve">G, </v>
      </c>
      <c r="AD41" s="38" t="str">
        <f t="shared" si="5"/>
        <v/>
      </c>
      <c r="AE41" s="38">
        <f t="shared" si="6"/>
        <v>1</v>
      </c>
    </row>
    <row r="42" spans="2:31" ht="15" customHeight="1" x14ac:dyDescent="0.25">
      <c r="B42" s="29">
        <f>IF($D42="","",COUNTA($D$22:$D42))</f>
        <v>21</v>
      </c>
      <c r="C42" s="30" t="s">
        <v>117</v>
      </c>
      <c r="D42" s="31" t="s">
        <v>121</v>
      </c>
      <c r="E42" s="32"/>
      <c r="F42" s="32"/>
      <c r="G42" s="32"/>
      <c r="H42" s="32"/>
      <c r="I42" s="32"/>
      <c r="J42" s="32"/>
      <c r="K42" s="32" t="s">
        <v>86</v>
      </c>
      <c r="L42" s="32"/>
      <c r="M42" s="32"/>
      <c r="N42" s="32"/>
      <c r="O42" s="32"/>
      <c r="P42" s="32"/>
      <c r="Q42" s="32"/>
      <c r="R42" s="32"/>
      <c r="S42" s="33" t="str">
        <f t="shared" si="0"/>
        <v>G</v>
      </c>
      <c r="T42" s="29" t="str">
        <f t="shared" si="1"/>
        <v>–</v>
      </c>
      <c r="U42" s="34" t="s">
        <v>122</v>
      </c>
      <c r="V42" s="35" t="s">
        <v>97</v>
      </c>
      <c r="W42" s="36">
        <v>46182</v>
      </c>
      <c r="X42" s="35" t="s">
        <v>93</v>
      </c>
      <c r="Y42" s="32" t="s">
        <v>90</v>
      </c>
      <c r="Z42" s="37" t="str">
        <f t="shared" si="2"/>
        <v>Nicht geeignet</v>
      </c>
      <c r="AA42" s="37" t="str">
        <f t="shared" ca="1" si="3"/>
        <v>OK</v>
      </c>
      <c r="AC42" s="38" t="str">
        <f t="shared" si="4"/>
        <v xml:space="preserve">G, </v>
      </c>
      <c r="AD42" s="38" t="str">
        <f t="shared" si="5"/>
        <v/>
      </c>
      <c r="AE42" s="38">
        <f t="shared" si="6"/>
        <v>1</v>
      </c>
    </row>
    <row r="43" spans="2:31" ht="15" customHeight="1" x14ac:dyDescent="0.25">
      <c r="B43" s="29">
        <f>IF($D43="","",COUNTA($D$22:$D43))</f>
        <v>22</v>
      </c>
      <c r="C43" s="30" t="s">
        <v>117</v>
      </c>
      <c r="D43" s="31" t="s">
        <v>123</v>
      </c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 t="str">
        <f t="shared" si="0"/>
        <v>–</v>
      </c>
      <c r="T43" s="29" t="str">
        <f t="shared" si="1"/>
        <v>–</v>
      </c>
      <c r="U43" s="34"/>
      <c r="V43" s="35" t="s">
        <v>88</v>
      </c>
      <c r="W43" s="36">
        <v>46189</v>
      </c>
      <c r="X43" s="35" t="s">
        <v>89</v>
      </c>
      <c r="Y43" s="32" t="s">
        <v>90</v>
      </c>
      <c r="Z43" s="37" t="str">
        <f t="shared" si="2"/>
        <v>Geeignet</v>
      </c>
      <c r="AA43" s="37" t="str">
        <f t="shared" ca="1" si="3"/>
        <v>OK</v>
      </c>
      <c r="AC43" s="38" t="str">
        <f t="shared" si="4"/>
        <v/>
      </c>
      <c r="AD43" s="38" t="str">
        <f t="shared" si="5"/>
        <v/>
      </c>
      <c r="AE43" s="38">
        <f t="shared" si="6"/>
        <v>0</v>
      </c>
    </row>
    <row r="44" spans="2:31" ht="15" customHeight="1" x14ac:dyDescent="0.25">
      <c r="B44" s="29">
        <f>IF($D44="","",COUNTA($D$22:$D44))</f>
        <v>23</v>
      </c>
      <c r="C44" s="30" t="s">
        <v>124</v>
      </c>
      <c r="D44" s="31" t="s">
        <v>125</v>
      </c>
      <c r="E44" s="32"/>
      <c r="F44" s="32"/>
      <c r="G44" s="32" t="s">
        <v>86</v>
      </c>
      <c r="H44" s="32"/>
      <c r="I44" s="32"/>
      <c r="J44" s="32" t="s">
        <v>87</v>
      </c>
      <c r="K44" s="32" t="s">
        <v>86</v>
      </c>
      <c r="L44" s="32" t="s">
        <v>87</v>
      </c>
      <c r="M44" s="32"/>
      <c r="N44" s="32"/>
      <c r="O44" s="32"/>
      <c r="P44" s="32"/>
      <c r="Q44" s="32"/>
      <c r="R44" s="32"/>
      <c r="S44" s="33" t="str">
        <f t="shared" si="0"/>
        <v>C, G</v>
      </c>
      <c r="T44" s="29" t="str">
        <f t="shared" si="1"/>
        <v>F, H</v>
      </c>
      <c r="U44" s="34"/>
      <c r="V44" s="35" t="s">
        <v>88</v>
      </c>
      <c r="W44" s="36">
        <v>46154</v>
      </c>
      <c r="X44" s="35" t="s">
        <v>95</v>
      </c>
      <c r="Y44" s="32" t="s">
        <v>90</v>
      </c>
      <c r="Z44" s="37" t="str">
        <f t="shared" si="2"/>
        <v>Nicht geeignet</v>
      </c>
      <c r="AA44" s="37" t="str">
        <f t="shared" ca="1" si="3"/>
        <v>OK</v>
      </c>
      <c r="AC44" s="38" t="str">
        <f t="shared" si="4"/>
        <v xml:space="preserve">C, G, </v>
      </c>
      <c r="AD44" s="38" t="str">
        <f t="shared" si="5"/>
        <v xml:space="preserve">F, H, </v>
      </c>
      <c r="AE44" s="38">
        <f t="shared" si="6"/>
        <v>2</v>
      </c>
    </row>
    <row r="45" spans="2:31" ht="15" customHeight="1" x14ac:dyDescent="0.25">
      <c r="B45" s="29">
        <f>IF($D45="","",COUNTA($D$22:$D45))</f>
        <v>24</v>
      </c>
      <c r="C45" s="30" t="s">
        <v>124</v>
      </c>
      <c r="D45" s="31" t="s">
        <v>126</v>
      </c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3" t="str">
        <f t="shared" si="0"/>
        <v>–</v>
      </c>
      <c r="T45" s="29" t="str">
        <f t="shared" si="1"/>
        <v>–</v>
      </c>
      <c r="U45" s="34" t="s">
        <v>127</v>
      </c>
      <c r="V45" s="35" t="s">
        <v>88</v>
      </c>
      <c r="W45" s="36">
        <v>46189</v>
      </c>
      <c r="X45" s="35" t="s">
        <v>95</v>
      </c>
      <c r="Y45" s="32" t="s">
        <v>90</v>
      </c>
      <c r="Z45" s="37" t="str">
        <f t="shared" si="2"/>
        <v>Geeignet</v>
      </c>
      <c r="AA45" s="37" t="str">
        <f t="shared" ca="1" si="3"/>
        <v>OK</v>
      </c>
      <c r="AC45" s="38" t="str">
        <f t="shared" si="4"/>
        <v/>
      </c>
      <c r="AD45" s="38" t="str">
        <f t="shared" si="5"/>
        <v/>
      </c>
      <c r="AE45" s="38">
        <f t="shared" si="6"/>
        <v>0</v>
      </c>
    </row>
    <row r="46" spans="2:31" ht="15" customHeight="1" x14ac:dyDescent="0.25">
      <c r="B46" s="29">
        <f>IF($D46="","",COUNTA($D$22:$D46))</f>
        <v>25</v>
      </c>
      <c r="C46" s="30" t="s">
        <v>124</v>
      </c>
      <c r="D46" s="31" t="s">
        <v>128</v>
      </c>
      <c r="E46" s="32"/>
      <c r="F46" s="32"/>
      <c r="G46" s="32" t="s">
        <v>86</v>
      </c>
      <c r="H46" s="32"/>
      <c r="I46" s="32"/>
      <c r="J46" s="32"/>
      <c r="K46" s="32" t="s">
        <v>86</v>
      </c>
      <c r="L46" s="32"/>
      <c r="M46" s="32"/>
      <c r="N46" s="32"/>
      <c r="O46" s="32"/>
      <c r="P46" s="32"/>
      <c r="Q46" s="32"/>
      <c r="R46" s="32"/>
      <c r="S46" s="33" t="str">
        <f t="shared" si="0"/>
        <v>C, G</v>
      </c>
      <c r="T46" s="29" t="str">
        <f t="shared" si="1"/>
        <v>–</v>
      </c>
      <c r="U46" s="34" t="s">
        <v>129</v>
      </c>
      <c r="V46" s="35" t="s">
        <v>97</v>
      </c>
      <c r="W46" s="36">
        <v>46105</v>
      </c>
      <c r="X46" s="35" t="s">
        <v>93</v>
      </c>
      <c r="Y46" s="32" t="s">
        <v>90</v>
      </c>
      <c r="Z46" s="37" t="str">
        <f t="shared" si="2"/>
        <v>Nicht geeignet</v>
      </c>
      <c r="AA46" s="37" t="str">
        <f t="shared" ca="1" si="3"/>
        <v>OK</v>
      </c>
      <c r="AC46" s="38" t="str">
        <f t="shared" si="4"/>
        <v xml:space="preserve">C, G, </v>
      </c>
      <c r="AD46" s="38" t="str">
        <f t="shared" si="5"/>
        <v/>
      </c>
      <c r="AE46" s="38">
        <f t="shared" si="6"/>
        <v>2</v>
      </c>
    </row>
    <row r="47" spans="2:31" ht="15" customHeight="1" x14ac:dyDescent="0.25">
      <c r="B47" s="29">
        <f>IF($D47="","",COUNTA($D$22:$D47))</f>
        <v>26</v>
      </c>
      <c r="C47" s="30" t="s">
        <v>124</v>
      </c>
      <c r="D47" s="31" t="s">
        <v>130</v>
      </c>
      <c r="E47" s="32" t="s">
        <v>86</v>
      </c>
      <c r="F47" s="32"/>
      <c r="G47" s="32" t="s">
        <v>86</v>
      </c>
      <c r="H47" s="32"/>
      <c r="I47" s="32"/>
      <c r="J47" s="32"/>
      <c r="K47" s="32" t="s">
        <v>86</v>
      </c>
      <c r="L47" s="32" t="s">
        <v>86</v>
      </c>
      <c r="M47" s="32"/>
      <c r="N47" s="32"/>
      <c r="O47" s="32"/>
      <c r="P47" s="32"/>
      <c r="Q47" s="32"/>
      <c r="R47" s="32"/>
      <c r="S47" s="33" t="str">
        <f t="shared" si="0"/>
        <v>A, C, G, H</v>
      </c>
      <c r="T47" s="29" t="str">
        <f t="shared" si="1"/>
        <v>–</v>
      </c>
      <c r="U47" s="34"/>
      <c r="V47" s="35" t="s">
        <v>88</v>
      </c>
      <c r="W47" s="36">
        <v>46168</v>
      </c>
      <c r="X47" s="35" t="s">
        <v>89</v>
      </c>
      <c r="Y47" s="32" t="s">
        <v>90</v>
      </c>
      <c r="Z47" s="37" t="str">
        <f t="shared" si="2"/>
        <v>Nicht geeignet</v>
      </c>
      <c r="AA47" s="37" t="str">
        <f t="shared" ca="1" si="3"/>
        <v>OK</v>
      </c>
      <c r="AC47" s="38" t="str">
        <f t="shared" si="4"/>
        <v xml:space="preserve">A, C, G, H, </v>
      </c>
      <c r="AD47" s="38" t="str">
        <f t="shared" si="5"/>
        <v/>
      </c>
      <c r="AE47" s="38">
        <f t="shared" si="6"/>
        <v>4</v>
      </c>
    </row>
    <row r="48" spans="2:31" ht="15" customHeight="1" x14ac:dyDescent="0.25">
      <c r="B48" s="29">
        <f>IF($D48="","",COUNTA($D$22:$D48))</f>
        <v>27</v>
      </c>
      <c r="C48" s="30" t="s">
        <v>131</v>
      </c>
      <c r="D48" s="31" t="s">
        <v>132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3" t="str">
        <f t="shared" si="0"/>
        <v>–</v>
      </c>
      <c r="T48" s="29" t="str">
        <f t="shared" si="1"/>
        <v>–</v>
      </c>
      <c r="U48" s="34" t="s">
        <v>133</v>
      </c>
      <c r="V48" s="35" t="s">
        <v>134</v>
      </c>
      <c r="W48" s="36">
        <v>46063</v>
      </c>
      <c r="X48" s="35" t="s">
        <v>135</v>
      </c>
      <c r="Y48" s="32" t="s">
        <v>90</v>
      </c>
      <c r="Z48" s="37" t="str">
        <f t="shared" si="2"/>
        <v>Geeignet</v>
      </c>
      <c r="AA48" s="37" t="str">
        <f t="shared" ca="1" si="3"/>
        <v>OK</v>
      </c>
      <c r="AC48" s="38" t="str">
        <f t="shared" si="4"/>
        <v/>
      </c>
      <c r="AD48" s="38" t="str">
        <f t="shared" si="5"/>
        <v/>
      </c>
      <c r="AE48" s="38">
        <f t="shared" si="6"/>
        <v>0</v>
      </c>
    </row>
    <row r="49" spans="2:31" ht="15" customHeight="1" x14ac:dyDescent="0.25">
      <c r="B49" s="29">
        <f>IF($D49="","",COUNTA($D$22:$D49))</f>
        <v>28</v>
      </c>
      <c r="C49" s="30" t="s">
        <v>131</v>
      </c>
      <c r="D49" s="31" t="s">
        <v>136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 t="s">
        <v>86</v>
      </c>
      <c r="Q49" s="32"/>
      <c r="R49" s="32"/>
      <c r="S49" s="33" t="str">
        <f t="shared" si="0"/>
        <v>L</v>
      </c>
      <c r="T49" s="29" t="str">
        <f t="shared" si="1"/>
        <v>–</v>
      </c>
      <c r="U49" s="34" t="s">
        <v>137</v>
      </c>
      <c r="V49" s="35" t="s">
        <v>97</v>
      </c>
      <c r="W49" s="36">
        <v>46063</v>
      </c>
      <c r="X49" s="35" t="s">
        <v>135</v>
      </c>
      <c r="Y49" s="32" t="s">
        <v>90</v>
      </c>
      <c r="Z49" s="37" t="str">
        <f t="shared" si="2"/>
        <v>Geeignet</v>
      </c>
      <c r="AA49" s="37" t="str">
        <f t="shared" ca="1" si="3"/>
        <v>OK</v>
      </c>
      <c r="AC49" s="38" t="str">
        <f t="shared" si="4"/>
        <v xml:space="preserve">L, </v>
      </c>
      <c r="AD49" s="38" t="str">
        <f t="shared" si="5"/>
        <v/>
      </c>
      <c r="AE49" s="38">
        <f t="shared" si="6"/>
        <v>1</v>
      </c>
    </row>
    <row r="50" spans="2:31" ht="15" customHeight="1" x14ac:dyDescent="0.25">
      <c r="B50" s="29">
        <f>IF($D50="","",COUNTA($D$22:$D50))</f>
        <v>29</v>
      </c>
      <c r="C50" s="30" t="s">
        <v>131</v>
      </c>
      <c r="D50" s="31" t="s">
        <v>138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3" t="str">
        <f t="shared" si="0"/>
        <v>–</v>
      </c>
      <c r="T50" s="29" t="str">
        <f t="shared" si="1"/>
        <v>–</v>
      </c>
      <c r="U50" s="34"/>
      <c r="V50" s="35" t="s">
        <v>134</v>
      </c>
      <c r="W50" s="36">
        <v>46063</v>
      </c>
      <c r="X50" s="35" t="s">
        <v>135</v>
      </c>
      <c r="Y50" s="32" t="s">
        <v>90</v>
      </c>
      <c r="Z50" s="37" t="str">
        <f t="shared" si="2"/>
        <v>Geeignet</v>
      </c>
      <c r="AA50" s="37" t="str">
        <f t="shared" ca="1" si="3"/>
        <v>OK</v>
      </c>
      <c r="AC50" s="38" t="str">
        <f t="shared" si="4"/>
        <v/>
      </c>
      <c r="AD50" s="38" t="str">
        <f t="shared" si="5"/>
        <v/>
      </c>
      <c r="AE50" s="38">
        <f t="shared" si="6"/>
        <v>0</v>
      </c>
    </row>
    <row r="51" spans="2:31" ht="15" customHeight="1" x14ac:dyDescent="0.25">
      <c r="B51" s="29">
        <f>IF($D51="","",COUNTA($D$22:$D51))</f>
        <v>30</v>
      </c>
      <c r="C51" s="30" t="s">
        <v>131</v>
      </c>
      <c r="D51" s="31" t="s">
        <v>139</v>
      </c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3" t="str">
        <f t="shared" si="0"/>
        <v>–</v>
      </c>
      <c r="T51" s="29" t="str">
        <f t="shared" si="1"/>
        <v>–</v>
      </c>
      <c r="U51" s="34" t="s">
        <v>140</v>
      </c>
      <c r="V51" s="35" t="s">
        <v>134</v>
      </c>
      <c r="W51" s="36">
        <v>46063</v>
      </c>
      <c r="X51" s="35" t="s">
        <v>135</v>
      </c>
      <c r="Y51" s="32" t="s">
        <v>90</v>
      </c>
      <c r="Z51" s="37" t="str">
        <f t="shared" si="2"/>
        <v>Geeignet</v>
      </c>
      <c r="AA51" s="37" t="str">
        <f t="shared" ca="1" si="3"/>
        <v>OK</v>
      </c>
      <c r="AC51" s="38" t="str">
        <f t="shared" si="4"/>
        <v/>
      </c>
      <c r="AD51" s="38" t="str">
        <f t="shared" si="5"/>
        <v/>
      </c>
      <c r="AE51" s="38">
        <f t="shared" si="6"/>
        <v>0</v>
      </c>
    </row>
    <row r="52" spans="2:31" ht="15" customHeight="1" x14ac:dyDescent="0.25">
      <c r="B52" s="29">
        <f>IF($D52="","",COUNTA($D$22:$D52))</f>
        <v>31</v>
      </c>
      <c r="C52" s="30" t="s">
        <v>141</v>
      </c>
      <c r="D52" s="31" t="s">
        <v>142</v>
      </c>
      <c r="E52" s="32" t="s">
        <v>86</v>
      </c>
      <c r="F52" s="32"/>
      <c r="G52" s="32"/>
      <c r="H52" s="32"/>
      <c r="I52" s="32"/>
      <c r="J52" s="32" t="s">
        <v>87</v>
      </c>
      <c r="K52" s="32"/>
      <c r="L52" s="32"/>
      <c r="M52" s="32"/>
      <c r="N52" s="32"/>
      <c r="O52" s="32" t="s">
        <v>87</v>
      </c>
      <c r="P52" s="32"/>
      <c r="Q52" s="32"/>
      <c r="R52" s="32"/>
      <c r="S52" s="33" t="str">
        <f t="shared" si="0"/>
        <v>A</v>
      </c>
      <c r="T52" s="29" t="str">
        <f t="shared" si="1"/>
        <v>F, K</v>
      </c>
      <c r="U52" s="34"/>
      <c r="V52" s="35" t="s">
        <v>92</v>
      </c>
      <c r="W52" s="36">
        <v>46006</v>
      </c>
      <c r="X52" s="35" t="s">
        <v>93</v>
      </c>
      <c r="Y52" s="32" t="s">
        <v>113</v>
      </c>
      <c r="Z52" s="37" t="str">
        <f t="shared" si="2"/>
        <v>Nicht geeignet</v>
      </c>
      <c r="AA52" s="37" t="str">
        <f t="shared" ca="1" si="3"/>
        <v>Prüfung überfällig</v>
      </c>
      <c r="AC52" s="38" t="str">
        <f t="shared" si="4"/>
        <v xml:space="preserve">A, </v>
      </c>
      <c r="AD52" s="38" t="str">
        <f t="shared" si="5"/>
        <v xml:space="preserve">F, K, </v>
      </c>
      <c r="AE52" s="38">
        <f t="shared" si="6"/>
        <v>1</v>
      </c>
    </row>
    <row r="53" spans="2:31" ht="15" customHeight="1" x14ac:dyDescent="0.25">
      <c r="B53" s="29">
        <f>IF($D53="","",COUNTA($D$22:$D53))</f>
        <v>32</v>
      </c>
      <c r="C53" s="30" t="s">
        <v>141</v>
      </c>
      <c r="D53" s="31" t="s">
        <v>143</v>
      </c>
      <c r="E53" s="32" t="s">
        <v>86</v>
      </c>
      <c r="F53" s="32"/>
      <c r="G53" s="32"/>
      <c r="H53" s="32"/>
      <c r="I53" s="32"/>
      <c r="J53" s="32" t="s">
        <v>87</v>
      </c>
      <c r="K53" s="32"/>
      <c r="L53" s="32"/>
      <c r="M53" s="32"/>
      <c r="N53" s="32"/>
      <c r="O53" s="32" t="s">
        <v>86</v>
      </c>
      <c r="P53" s="32"/>
      <c r="Q53" s="32"/>
      <c r="R53" s="32"/>
      <c r="S53" s="33" t="str">
        <f t="shared" si="0"/>
        <v>A, K</v>
      </c>
      <c r="T53" s="29" t="str">
        <f t="shared" si="1"/>
        <v>F</v>
      </c>
      <c r="U53" s="34"/>
      <c r="V53" s="35" t="s">
        <v>144</v>
      </c>
      <c r="W53" s="36">
        <v>46182</v>
      </c>
      <c r="X53" s="35"/>
      <c r="Y53" s="32" t="s">
        <v>145</v>
      </c>
      <c r="Z53" s="37" t="str">
        <f t="shared" si="2"/>
        <v>Nicht geeignet</v>
      </c>
      <c r="AA53" s="37" t="str">
        <f t="shared" ca="1" si="3"/>
        <v>Nachweis fehlt</v>
      </c>
      <c r="AC53" s="38" t="str">
        <f t="shared" si="4"/>
        <v xml:space="preserve">A, K, </v>
      </c>
      <c r="AD53" s="38" t="str">
        <f t="shared" si="5"/>
        <v xml:space="preserve">F, </v>
      </c>
      <c r="AE53" s="38">
        <f t="shared" si="6"/>
        <v>2</v>
      </c>
    </row>
    <row r="54" spans="2:31" ht="15" customHeight="1" x14ac:dyDescent="0.25">
      <c r="B54" s="29" t="str">
        <f>IF($D54="","",COUNTA($D$22:$D54))</f>
        <v/>
      </c>
      <c r="C54" s="30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3" t="str">
        <f t="shared" ref="S54:S71" si="7">IF($D54="","",IF($AC54="","–",LEFT($AC54,LEN($AC54)-2)))</f>
        <v/>
      </c>
      <c r="T54" s="29" t="str">
        <f t="shared" ref="T54:T71" si="8">IF($D54="","",IF($AD54="","–",LEFT($AD54,LEN($AD54)-2)))</f>
        <v/>
      </c>
      <c r="U54" s="34"/>
      <c r="V54" s="35"/>
      <c r="W54" s="36"/>
      <c r="X54" s="35"/>
      <c r="Y54" s="32"/>
      <c r="Z54" s="37" t="str">
        <f t="shared" ref="Z54:Z71" si="9">IF($D54="","",IF(SUMPRODUCT(($E54:$R54="X")*($E$16:$R$16="J"))&gt;0,"Nicht geeignet",IF(SUMPRODUCT(($E54:$R54="S")*($E$16:$R$16="J"))&gt;0,"Nur nach Rücksprache","Geeignet")))</f>
        <v/>
      </c>
      <c r="AA54" s="37" t="str">
        <f t="shared" ref="AA54:AA71" ca="1" si="10">IF($D54="","",IF($C54="","Kategorie fehlt",IF($V54="","Nachweis fehlt",IF($V54="Nicht dokumentiert","Nachweis fehlt",IF($W54="","Prüfdatum fehlt",IF($W54&lt;EDATE(TODAY(),-Pruefintervall),"Prüfung überfällig",IF($X54="","Verantwortung offen",IF($Y54&lt;&gt;"Freigegeben","Freigabe offen","OK"))))))))</f>
        <v/>
      </c>
      <c r="AC54" s="38" t="str">
        <f t="shared" ref="AC54:AC71" si="11">IF($D54="","",IF($E54="X",E$21&amp;", ","")&amp;IF($F54="X",F$21&amp;", ","")&amp;IF($G54="X",G$21&amp;", ","")&amp;IF($H54="X",H$21&amp;", ","")&amp;IF($I54="X",I$21&amp;", ","")&amp;IF($J54="X",J$21&amp;", ","")&amp;IF($K54="X",K$21&amp;", ","")&amp;IF($L54="X",L$21&amp;", ","")&amp;IF($M54="X",M$21&amp;", ","")&amp;IF($N54="X",N$21&amp;", ","")&amp;IF($O54="X",O$21&amp;", ","")&amp;IF($P54="X",P$21&amp;", ","")&amp;IF($Q54="X",Q$21&amp;", ","")&amp;IF($R54="X",R$21&amp;", ",""))</f>
        <v/>
      </c>
      <c r="AD54" s="38" t="str">
        <f t="shared" ref="AD54:AD71" si="12">IF($D54="","",IF($E54="S",E$21&amp;", ","")&amp;IF($F54="S",F$21&amp;", ","")&amp;IF($G54="S",G$21&amp;", ","")&amp;IF($H54="S",H$21&amp;", ","")&amp;IF($I54="S",I$21&amp;", ","")&amp;IF($J54="S",J$21&amp;", ","")&amp;IF($K54="S",K$21&amp;", ","")&amp;IF($L54="S",L$21&amp;", ","")&amp;IF($M54="S",M$21&amp;", ","")&amp;IF($N54="S",N$21&amp;", ","")&amp;IF($O54="S",O$21&amp;", ","")&amp;IF($P54="S",P$21&amp;", ","")&amp;IF($Q54="S",Q$21&amp;", ","")&amp;IF($R54="S",R$21&amp;", ",""))</f>
        <v/>
      </c>
      <c r="AE54" s="38" t="str">
        <f t="shared" ref="AE54:AE71" si="13">IF($D54="","",COUNTIF($E54:$R54,"X"))</f>
        <v/>
      </c>
    </row>
    <row r="55" spans="2:31" ht="15" customHeight="1" x14ac:dyDescent="0.25">
      <c r="B55" s="29" t="str">
        <f>IF($D55="","",COUNTA($D$22:$D55))</f>
        <v/>
      </c>
      <c r="C55" s="30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3" t="str">
        <f t="shared" si="7"/>
        <v/>
      </c>
      <c r="T55" s="29" t="str">
        <f t="shared" si="8"/>
        <v/>
      </c>
      <c r="U55" s="34"/>
      <c r="V55" s="35"/>
      <c r="W55" s="36"/>
      <c r="X55" s="35"/>
      <c r="Y55" s="32"/>
      <c r="Z55" s="37" t="str">
        <f t="shared" si="9"/>
        <v/>
      </c>
      <c r="AA55" s="37" t="str">
        <f t="shared" ca="1" si="10"/>
        <v/>
      </c>
      <c r="AC55" s="38" t="str">
        <f t="shared" si="11"/>
        <v/>
      </c>
      <c r="AD55" s="38" t="str">
        <f t="shared" si="12"/>
        <v/>
      </c>
      <c r="AE55" s="38" t="str">
        <f t="shared" si="13"/>
        <v/>
      </c>
    </row>
    <row r="56" spans="2:31" ht="15" customHeight="1" x14ac:dyDescent="0.25">
      <c r="B56" s="29" t="str">
        <f>IF($D56="","",COUNTA($D$22:$D56))</f>
        <v/>
      </c>
      <c r="C56" s="30"/>
      <c r="D56" s="3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3" t="str">
        <f t="shared" si="7"/>
        <v/>
      </c>
      <c r="T56" s="29" t="str">
        <f t="shared" si="8"/>
        <v/>
      </c>
      <c r="U56" s="34"/>
      <c r="V56" s="35"/>
      <c r="W56" s="36"/>
      <c r="X56" s="35"/>
      <c r="Y56" s="32"/>
      <c r="Z56" s="37" t="str">
        <f t="shared" si="9"/>
        <v/>
      </c>
      <c r="AA56" s="37" t="str">
        <f t="shared" ca="1" si="10"/>
        <v/>
      </c>
      <c r="AC56" s="38" t="str">
        <f t="shared" si="11"/>
        <v/>
      </c>
      <c r="AD56" s="38" t="str">
        <f t="shared" si="12"/>
        <v/>
      </c>
      <c r="AE56" s="38" t="str">
        <f t="shared" si="13"/>
        <v/>
      </c>
    </row>
    <row r="57" spans="2:31" ht="15" customHeight="1" x14ac:dyDescent="0.25">
      <c r="B57" s="29" t="str">
        <f>IF($D57="","",COUNTA($D$22:$D57))</f>
        <v/>
      </c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3" t="str">
        <f t="shared" si="7"/>
        <v/>
      </c>
      <c r="T57" s="29" t="str">
        <f t="shared" si="8"/>
        <v/>
      </c>
      <c r="U57" s="34"/>
      <c r="V57" s="35"/>
      <c r="W57" s="36"/>
      <c r="X57" s="35"/>
      <c r="Y57" s="32"/>
      <c r="Z57" s="37" t="str">
        <f t="shared" si="9"/>
        <v/>
      </c>
      <c r="AA57" s="37" t="str">
        <f t="shared" ca="1" si="10"/>
        <v/>
      </c>
      <c r="AC57" s="38" t="str">
        <f t="shared" si="11"/>
        <v/>
      </c>
      <c r="AD57" s="38" t="str">
        <f t="shared" si="12"/>
        <v/>
      </c>
      <c r="AE57" s="38" t="str">
        <f t="shared" si="13"/>
        <v/>
      </c>
    </row>
    <row r="58" spans="2:31" ht="15" customHeight="1" x14ac:dyDescent="0.25">
      <c r="B58" s="29" t="str">
        <f>IF($D58="","",COUNTA($D$22:$D58))</f>
        <v/>
      </c>
      <c r="C58" s="30"/>
      <c r="D58" s="31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3" t="str">
        <f t="shared" si="7"/>
        <v/>
      </c>
      <c r="T58" s="29" t="str">
        <f t="shared" si="8"/>
        <v/>
      </c>
      <c r="U58" s="34"/>
      <c r="V58" s="35"/>
      <c r="W58" s="36"/>
      <c r="X58" s="35"/>
      <c r="Y58" s="32"/>
      <c r="Z58" s="37" t="str">
        <f t="shared" si="9"/>
        <v/>
      </c>
      <c r="AA58" s="37" t="str">
        <f t="shared" ca="1" si="10"/>
        <v/>
      </c>
      <c r="AC58" s="38" t="str">
        <f t="shared" si="11"/>
        <v/>
      </c>
      <c r="AD58" s="38" t="str">
        <f t="shared" si="12"/>
        <v/>
      </c>
      <c r="AE58" s="38" t="str">
        <f t="shared" si="13"/>
        <v/>
      </c>
    </row>
    <row r="59" spans="2:31" ht="15" customHeight="1" x14ac:dyDescent="0.25">
      <c r="B59" s="29" t="str">
        <f>IF($D59="","",COUNTA($D$22:$D59))</f>
        <v/>
      </c>
      <c r="C59" s="30"/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3" t="str">
        <f t="shared" si="7"/>
        <v/>
      </c>
      <c r="T59" s="29" t="str">
        <f t="shared" si="8"/>
        <v/>
      </c>
      <c r="U59" s="34"/>
      <c r="V59" s="35"/>
      <c r="W59" s="36"/>
      <c r="X59" s="35"/>
      <c r="Y59" s="32"/>
      <c r="Z59" s="37" t="str">
        <f t="shared" si="9"/>
        <v/>
      </c>
      <c r="AA59" s="37" t="str">
        <f t="shared" ca="1" si="10"/>
        <v/>
      </c>
      <c r="AC59" s="38" t="str">
        <f t="shared" si="11"/>
        <v/>
      </c>
      <c r="AD59" s="38" t="str">
        <f t="shared" si="12"/>
        <v/>
      </c>
      <c r="AE59" s="38" t="str">
        <f t="shared" si="13"/>
        <v/>
      </c>
    </row>
    <row r="60" spans="2:31" ht="15" customHeight="1" x14ac:dyDescent="0.25">
      <c r="B60" s="29" t="str">
        <f>IF($D60="","",COUNTA($D$22:$D60))</f>
        <v/>
      </c>
      <c r="C60" s="30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3" t="str">
        <f t="shared" si="7"/>
        <v/>
      </c>
      <c r="T60" s="29" t="str">
        <f t="shared" si="8"/>
        <v/>
      </c>
      <c r="U60" s="34"/>
      <c r="V60" s="35"/>
      <c r="W60" s="36"/>
      <c r="X60" s="35"/>
      <c r="Y60" s="32"/>
      <c r="Z60" s="37" t="str">
        <f t="shared" si="9"/>
        <v/>
      </c>
      <c r="AA60" s="37" t="str">
        <f t="shared" ca="1" si="10"/>
        <v/>
      </c>
      <c r="AC60" s="38" t="str">
        <f t="shared" si="11"/>
        <v/>
      </c>
      <c r="AD60" s="38" t="str">
        <f t="shared" si="12"/>
        <v/>
      </c>
      <c r="AE60" s="38" t="str">
        <f t="shared" si="13"/>
        <v/>
      </c>
    </row>
    <row r="61" spans="2:31" ht="15" customHeight="1" x14ac:dyDescent="0.25">
      <c r="B61" s="29" t="str">
        <f>IF($D61="","",COUNTA($D$22:$D61))</f>
        <v/>
      </c>
      <c r="C61" s="30"/>
      <c r="D61" s="31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3" t="str">
        <f t="shared" si="7"/>
        <v/>
      </c>
      <c r="T61" s="29" t="str">
        <f t="shared" si="8"/>
        <v/>
      </c>
      <c r="U61" s="34"/>
      <c r="V61" s="35"/>
      <c r="W61" s="36"/>
      <c r="X61" s="35"/>
      <c r="Y61" s="32"/>
      <c r="Z61" s="37" t="str">
        <f t="shared" si="9"/>
        <v/>
      </c>
      <c r="AA61" s="37" t="str">
        <f t="shared" ca="1" si="10"/>
        <v/>
      </c>
      <c r="AC61" s="38" t="str">
        <f t="shared" si="11"/>
        <v/>
      </c>
      <c r="AD61" s="38" t="str">
        <f t="shared" si="12"/>
        <v/>
      </c>
      <c r="AE61" s="38" t="str">
        <f t="shared" si="13"/>
        <v/>
      </c>
    </row>
    <row r="62" spans="2:31" ht="15" customHeight="1" x14ac:dyDescent="0.25">
      <c r="B62" s="29" t="str">
        <f>IF($D62="","",COUNTA($D$22:$D62))</f>
        <v/>
      </c>
      <c r="C62" s="30"/>
      <c r="D62" s="31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3" t="str">
        <f t="shared" si="7"/>
        <v/>
      </c>
      <c r="T62" s="29" t="str">
        <f t="shared" si="8"/>
        <v/>
      </c>
      <c r="U62" s="34"/>
      <c r="V62" s="35"/>
      <c r="W62" s="36"/>
      <c r="X62" s="35"/>
      <c r="Y62" s="32"/>
      <c r="Z62" s="37" t="str">
        <f t="shared" si="9"/>
        <v/>
      </c>
      <c r="AA62" s="37" t="str">
        <f t="shared" ca="1" si="10"/>
        <v/>
      </c>
      <c r="AC62" s="38" t="str">
        <f t="shared" si="11"/>
        <v/>
      </c>
      <c r="AD62" s="38" t="str">
        <f t="shared" si="12"/>
        <v/>
      </c>
      <c r="AE62" s="38" t="str">
        <f t="shared" si="13"/>
        <v/>
      </c>
    </row>
    <row r="63" spans="2:31" ht="15" customHeight="1" x14ac:dyDescent="0.25">
      <c r="B63" s="29" t="str">
        <f>IF($D63="","",COUNTA($D$22:$D63))</f>
        <v/>
      </c>
      <c r="C63" s="30"/>
      <c r="D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3" t="str">
        <f t="shared" si="7"/>
        <v/>
      </c>
      <c r="T63" s="29" t="str">
        <f t="shared" si="8"/>
        <v/>
      </c>
      <c r="U63" s="34"/>
      <c r="V63" s="35"/>
      <c r="W63" s="36"/>
      <c r="X63" s="35"/>
      <c r="Y63" s="32"/>
      <c r="Z63" s="37" t="str">
        <f t="shared" si="9"/>
        <v/>
      </c>
      <c r="AA63" s="37" t="str">
        <f t="shared" ca="1" si="10"/>
        <v/>
      </c>
      <c r="AC63" s="38" t="str">
        <f t="shared" si="11"/>
        <v/>
      </c>
      <c r="AD63" s="38" t="str">
        <f t="shared" si="12"/>
        <v/>
      </c>
      <c r="AE63" s="38" t="str">
        <f t="shared" si="13"/>
        <v/>
      </c>
    </row>
    <row r="64" spans="2:31" ht="15" customHeight="1" x14ac:dyDescent="0.25">
      <c r="B64" s="29" t="str">
        <f>IF($D64="","",COUNTA($D$22:$D64))</f>
        <v/>
      </c>
      <c r="C64" s="30"/>
      <c r="D64" s="31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3" t="str">
        <f t="shared" si="7"/>
        <v/>
      </c>
      <c r="T64" s="29" t="str">
        <f t="shared" si="8"/>
        <v/>
      </c>
      <c r="U64" s="34"/>
      <c r="V64" s="35"/>
      <c r="W64" s="36"/>
      <c r="X64" s="35"/>
      <c r="Y64" s="32"/>
      <c r="Z64" s="37" t="str">
        <f t="shared" si="9"/>
        <v/>
      </c>
      <c r="AA64" s="37" t="str">
        <f t="shared" ca="1" si="10"/>
        <v/>
      </c>
      <c r="AC64" s="38" t="str">
        <f t="shared" si="11"/>
        <v/>
      </c>
      <c r="AD64" s="38" t="str">
        <f t="shared" si="12"/>
        <v/>
      </c>
      <c r="AE64" s="38" t="str">
        <f t="shared" si="13"/>
        <v/>
      </c>
    </row>
    <row r="65" spans="2:31" ht="15" customHeight="1" x14ac:dyDescent="0.25">
      <c r="B65" s="29" t="str">
        <f>IF($D65="","",COUNTA($D$22:$D65))</f>
        <v/>
      </c>
      <c r="C65" s="30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3" t="str">
        <f t="shared" si="7"/>
        <v/>
      </c>
      <c r="T65" s="29" t="str">
        <f t="shared" si="8"/>
        <v/>
      </c>
      <c r="U65" s="34"/>
      <c r="V65" s="35"/>
      <c r="W65" s="36"/>
      <c r="X65" s="35"/>
      <c r="Y65" s="32"/>
      <c r="Z65" s="37" t="str">
        <f t="shared" si="9"/>
        <v/>
      </c>
      <c r="AA65" s="37" t="str">
        <f t="shared" ca="1" si="10"/>
        <v/>
      </c>
      <c r="AC65" s="38" t="str">
        <f t="shared" si="11"/>
        <v/>
      </c>
      <c r="AD65" s="38" t="str">
        <f t="shared" si="12"/>
        <v/>
      </c>
      <c r="AE65" s="38" t="str">
        <f t="shared" si="13"/>
        <v/>
      </c>
    </row>
    <row r="66" spans="2:31" ht="15" customHeight="1" x14ac:dyDescent="0.25">
      <c r="B66" s="29" t="str">
        <f>IF($D66="","",COUNTA($D$22:$D66))</f>
        <v/>
      </c>
      <c r="C66" s="30"/>
      <c r="D66" s="31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3" t="str">
        <f t="shared" si="7"/>
        <v/>
      </c>
      <c r="T66" s="29" t="str">
        <f t="shared" si="8"/>
        <v/>
      </c>
      <c r="U66" s="34"/>
      <c r="V66" s="35"/>
      <c r="W66" s="36"/>
      <c r="X66" s="35"/>
      <c r="Y66" s="32"/>
      <c r="Z66" s="37" t="str">
        <f t="shared" si="9"/>
        <v/>
      </c>
      <c r="AA66" s="37" t="str">
        <f t="shared" ca="1" si="10"/>
        <v/>
      </c>
      <c r="AC66" s="38" t="str">
        <f t="shared" si="11"/>
        <v/>
      </c>
      <c r="AD66" s="38" t="str">
        <f t="shared" si="12"/>
        <v/>
      </c>
      <c r="AE66" s="38" t="str">
        <f t="shared" si="13"/>
        <v/>
      </c>
    </row>
    <row r="67" spans="2:31" ht="15" customHeight="1" x14ac:dyDescent="0.25">
      <c r="B67" s="29" t="str">
        <f>IF($D67="","",COUNTA($D$22:$D67))</f>
        <v/>
      </c>
      <c r="C67" s="30"/>
      <c r="D67" s="31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3" t="str">
        <f t="shared" si="7"/>
        <v/>
      </c>
      <c r="T67" s="29" t="str">
        <f t="shared" si="8"/>
        <v/>
      </c>
      <c r="U67" s="34"/>
      <c r="V67" s="35"/>
      <c r="W67" s="36"/>
      <c r="X67" s="35"/>
      <c r="Y67" s="32"/>
      <c r="Z67" s="37" t="str">
        <f t="shared" si="9"/>
        <v/>
      </c>
      <c r="AA67" s="37" t="str">
        <f t="shared" ca="1" si="10"/>
        <v/>
      </c>
      <c r="AC67" s="38" t="str">
        <f t="shared" si="11"/>
        <v/>
      </c>
      <c r="AD67" s="38" t="str">
        <f t="shared" si="12"/>
        <v/>
      </c>
      <c r="AE67" s="38" t="str">
        <f t="shared" si="13"/>
        <v/>
      </c>
    </row>
    <row r="68" spans="2:31" ht="15" customHeight="1" x14ac:dyDescent="0.25">
      <c r="B68" s="29" t="str">
        <f>IF($D68="","",COUNTA($D$22:$D68))</f>
        <v/>
      </c>
      <c r="C68" s="30"/>
      <c r="D68" s="31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3" t="str">
        <f t="shared" si="7"/>
        <v/>
      </c>
      <c r="T68" s="29" t="str">
        <f t="shared" si="8"/>
        <v/>
      </c>
      <c r="U68" s="34"/>
      <c r="V68" s="35"/>
      <c r="W68" s="36"/>
      <c r="X68" s="35"/>
      <c r="Y68" s="32"/>
      <c r="Z68" s="37" t="str">
        <f t="shared" si="9"/>
        <v/>
      </c>
      <c r="AA68" s="37" t="str">
        <f t="shared" ca="1" si="10"/>
        <v/>
      </c>
      <c r="AC68" s="38" t="str">
        <f t="shared" si="11"/>
        <v/>
      </c>
      <c r="AD68" s="38" t="str">
        <f t="shared" si="12"/>
        <v/>
      </c>
      <c r="AE68" s="38" t="str">
        <f t="shared" si="13"/>
        <v/>
      </c>
    </row>
    <row r="69" spans="2:31" ht="15" customHeight="1" x14ac:dyDescent="0.25">
      <c r="B69" s="29" t="str">
        <f>IF($D69="","",COUNTA($D$22:$D69))</f>
        <v/>
      </c>
      <c r="C69" s="30"/>
      <c r="D69" s="31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3" t="str">
        <f t="shared" si="7"/>
        <v/>
      </c>
      <c r="T69" s="29" t="str">
        <f t="shared" si="8"/>
        <v/>
      </c>
      <c r="U69" s="34"/>
      <c r="V69" s="35"/>
      <c r="W69" s="36"/>
      <c r="X69" s="35"/>
      <c r="Y69" s="32"/>
      <c r="Z69" s="37" t="str">
        <f t="shared" si="9"/>
        <v/>
      </c>
      <c r="AA69" s="37" t="str">
        <f t="shared" ca="1" si="10"/>
        <v/>
      </c>
      <c r="AC69" s="38" t="str">
        <f t="shared" si="11"/>
        <v/>
      </c>
      <c r="AD69" s="38" t="str">
        <f t="shared" si="12"/>
        <v/>
      </c>
      <c r="AE69" s="38" t="str">
        <f t="shared" si="13"/>
        <v/>
      </c>
    </row>
    <row r="70" spans="2:31" ht="15" customHeight="1" x14ac:dyDescent="0.25">
      <c r="B70" s="29" t="str">
        <f>IF($D70="","",COUNTA($D$22:$D70))</f>
        <v/>
      </c>
      <c r="C70" s="30"/>
      <c r="D70" s="31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3" t="str">
        <f t="shared" si="7"/>
        <v/>
      </c>
      <c r="T70" s="29" t="str">
        <f t="shared" si="8"/>
        <v/>
      </c>
      <c r="U70" s="34"/>
      <c r="V70" s="35"/>
      <c r="W70" s="36"/>
      <c r="X70" s="35"/>
      <c r="Y70" s="32"/>
      <c r="Z70" s="37" t="str">
        <f t="shared" si="9"/>
        <v/>
      </c>
      <c r="AA70" s="37" t="str">
        <f t="shared" ca="1" si="10"/>
        <v/>
      </c>
      <c r="AC70" s="38" t="str">
        <f t="shared" si="11"/>
        <v/>
      </c>
      <c r="AD70" s="38" t="str">
        <f t="shared" si="12"/>
        <v/>
      </c>
      <c r="AE70" s="38" t="str">
        <f t="shared" si="13"/>
        <v/>
      </c>
    </row>
    <row r="71" spans="2:31" ht="15" customHeight="1" x14ac:dyDescent="0.25">
      <c r="B71" s="29" t="str">
        <f>IF($D71="","",COUNTA($D$22:$D71))</f>
        <v/>
      </c>
      <c r="C71" s="30"/>
      <c r="D71" s="31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3" t="str">
        <f t="shared" si="7"/>
        <v/>
      </c>
      <c r="T71" s="29" t="str">
        <f t="shared" si="8"/>
        <v/>
      </c>
      <c r="U71" s="34"/>
      <c r="V71" s="35"/>
      <c r="W71" s="36"/>
      <c r="X71" s="35"/>
      <c r="Y71" s="32"/>
      <c r="Z71" s="37" t="str">
        <f t="shared" si="9"/>
        <v/>
      </c>
      <c r="AA71" s="37" t="str">
        <f t="shared" ca="1" si="10"/>
        <v/>
      </c>
      <c r="AC71" s="38" t="str">
        <f t="shared" si="11"/>
        <v/>
      </c>
      <c r="AD71" s="38" t="str">
        <f t="shared" si="12"/>
        <v/>
      </c>
      <c r="AE71" s="38" t="str">
        <f t="shared" si="13"/>
        <v/>
      </c>
    </row>
    <row r="72" spans="2:31" ht="19.5" customHeight="1" x14ac:dyDescent="0.25">
      <c r="B72" s="97" t="s">
        <v>146</v>
      </c>
      <c r="C72" s="97"/>
      <c r="D72" s="97"/>
      <c r="E72" s="40">
        <f t="shared" ref="E72:R72" si="14">COUNTIF(E$22:E$71,"X")</f>
        <v>11</v>
      </c>
      <c r="F72" s="40">
        <f t="shared" si="14"/>
        <v>0</v>
      </c>
      <c r="G72" s="40">
        <f t="shared" si="14"/>
        <v>7</v>
      </c>
      <c r="H72" s="40">
        <f t="shared" si="14"/>
        <v>3</v>
      </c>
      <c r="I72" s="40">
        <f t="shared" si="14"/>
        <v>0</v>
      </c>
      <c r="J72" s="40">
        <f t="shared" si="14"/>
        <v>1</v>
      </c>
      <c r="K72" s="40">
        <f t="shared" si="14"/>
        <v>15</v>
      </c>
      <c r="L72" s="40">
        <f t="shared" si="14"/>
        <v>1</v>
      </c>
      <c r="M72" s="40">
        <f t="shared" si="14"/>
        <v>6</v>
      </c>
      <c r="N72" s="40">
        <f t="shared" si="14"/>
        <v>6</v>
      </c>
      <c r="O72" s="40">
        <f t="shared" si="14"/>
        <v>1</v>
      </c>
      <c r="P72" s="40">
        <f t="shared" si="14"/>
        <v>3</v>
      </c>
      <c r="Q72" s="40">
        <f t="shared" si="14"/>
        <v>0</v>
      </c>
      <c r="R72" s="40">
        <f t="shared" si="14"/>
        <v>0</v>
      </c>
      <c r="S72" s="41">
        <f>COUNTIF($S$22:$S$71,"–")</f>
        <v>7</v>
      </c>
      <c r="T72" s="42">
        <f>SUMPRODUCT(($E$22:$R$71="S")*1)</f>
        <v>11</v>
      </c>
      <c r="U72" s="43">
        <f>COUNTIF($U$22:$U$71,"?*")</f>
        <v>10</v>
      </c>
      <c r="V72" s="12" t="str">
        <f ca="1">"Prüfungen überfällig: "&amp;COUNTIF($AA$22:$AA$71,"Prüfung überfällig")</f>
        <v>Prüfungen überfällig: 2</v>
      </c>
      <c r="W72" s="12"/>
      <c r="X72" s="12"/>
      <c r="Y72" s="44">
        <f>IFERROR(COUNTIF($Y$22:$Y$71,"Freigegeben")/COUNTA($D$22:$D$71),0)</f>
        <v>0.90625</v>
      </c>
      <c r="Z72" s="98" t="str">
        <f ca="1">"OK: "&amp;COUNTIF($AA$22:$AA$71,"OK")&amp;" von "&amp;COUNTA($D$22:$D$71)</f>
        <v>OK: 29 von 32</v>
      </c>
      <c r="AA72" s="98"/>
    </row>
    <row r="74" spans="2:31" ht="15.75" customHeight="1" x14ac:dyDescent="0.25">
      <c r="B74" s="45" t="s">
        <v>147</v>
      </c>
      <c r="D74" s="46" t="s">
        <v>148</v>
      </c>
      <c r="E74" s="47" t="s">
        <v>87</v>
      </c>
      <c r="F74" s="99" t="s">
        <v>149</v>
      </c>
      <c r="G74" s="99"/>
      <c r="H74" s="99"/>
      <c r="S74" s="49" t="s">
        <v>150</v>
      </c>
      <c r="T74" s="50" t="s">
        <v>151</v>
      </c>
      <c r="U74" s="51" t="s">
        <v>152</v>
      </c>
      <c r="V74" s="47" t="s">
        <v>153</v>
      </c>
      <c r="W74" s="46" t="s">
        <v>154</v>
      </c>
      <c r="X74" s="99" t="s">
        <v>155</v>
      </c>
      <c r="Y74" s="99"/>
      <c r="Z74" s="99"/>
      <c r="AA74" s="99"/>
    </row>
  </sheetData>
  <mergeCells count="59">
    <mergeCell ref="F74:H74"/>
    <mergeCell ref="X74:AA74"/>
    <mergeCell ref="B20:D20"/>
    <mergeCell ref="S20:AA20"/>
    <mergeCell ref="B72:D72"/>
    <mergeCell ref="V72:X72"/>
    <mergeCell ref="Z72:AA72"/>
    <mergeCell ref="B17:AA17"/>
    <mergeCell ref="C18:D18"/>
    <mergeCell ref="E18:AA18"/>
    <mergeCell ref="B19:D19"/>
    <mergeCell ref="E19:R19"/>
    <mergeCell ref="S19:AA19"/>
    <mergeCell ref="C14:D14"/>
    <mergeCell ref="E14:AA14"/>
    <mergeCell ref="B15:D15"/>
    <mergeCell ref="S15:AA15"/>
    <mergeCell ref="B16:D16"/>
    <mergeCell ref="S16:AA16"/>
    <mergeCell ref="T11:U12"/>
    <mergeCell ref="W11:W12"/>
    <mergeCell ref="X11:Y11"/>
    <mergeCell ref="Z11:Z12"/>
    <mergeCell ref="I12:L12"/>
    <mergeCell ref="Q12:S12"/>
    <mergeCell ref="X12:Y12"/>
    <mergeCell ref="B11:C12"/>
    <mergeCell ref="E11:H12"/>
    <mergeCell ref="I11:L11"/>
    <mergeCell ref="M11:P12"/>
    <mergeCell ref="Q11:S11"/>
    <mergeCell ref="R8:U8"/>
    <mergeCell ref="V8:X8"/>
    <mergeCell ref="Y8:AA8"/>
    <mergeCell ref="C10:D10"/>
    <mergeCell ref="E10:AA10"/>
    <mergeCell ref="B8:C8"/>
    <mergeCell ref="D8:G8"/>
    <mergeCell ref="H8:J8"/>
    <mergeCell ref="K8:N8"/>
    <mergeCell ref="O8:Q8"/>
    <mergeCell ref="C6:D6"/>
    <mergeCell ref="E6:AA6"/>
    <mergeCell ref="B7:C7"/>
    <mergeCell ref="D7:G7"/>
    <mergeCell ref="H7:J7"/>
    <mergeCell ref="K7:N7"/>
    <mergeCell ref="O7:Q7"/>
    <mergeCell ref="R7:U7"/>
    <mergeCell ref="V7:X7"/>
    <mergeCell ref="Y7:AA7"/>
    <mergeCell ref="B3:O3"/>
    <mergeCell ref="P3:S3"/>
    <mergeCell ref="T3:W3"/>
    <mergeCell ref="X3:AA3"/>
    <mergeCell ref="B4:O4"/>
    <mergeCell ref="P4:S4"/>
    <mergeCell ref="T4:W4"/>
    <mergeCell ref="X4:AA4"/>
  </mergeCells>
  <conditionalFormatting sqref="E16:R16">
    <cfRule type="expression" dxfId="33" priority="4">
      <formula>E16="J"</formula>
    </cfRule>
    <cfRule type="expression" dxfId="32" priority="5">
      <formula>E16="N"</formula>
    </cfRule>
  </conditionalFormatting>
  <conditionalFormatting sqref="E22:R71">
    <cfRule type="expression" dxfId="31" priority="2">
      <formula>E22="X"</formula>
    </cfRule>
    <cfRule type="expression" dxfId="30" priority="3">
      <formula>E22="S"</formula>
    </cfRule>
  </conditionalFormatting>
  <conditionalFormatting sqref="S22:S71">
    <cfRule type="expression" dxfId="29" priority="6">
      <formula>$S22="–"</formula>
    </cfRule>
  </conditionalFormatting>
  <conditionalFormatting sqref="V22:V71">
    <cfRule type="expression" dxfId="28" priority="17">
      <formula>$V22="Nicht dokumentiert"</formula>
    </cfRule>
  </conditionalFormatting>
  <conditionalFormatting sqref="W22:W71">
    <cfRule type="expression" dxfId="27" priority="16">
      <formula>IF($W22="",0,IF($W22&lt;EDATE($AC$2,-$AC$1),1,0))</formula>
    </cfRule>
  </conditionalFormatting>
  <conditionalFormatting sqref="Y22:Y71">
    <cfRule type="expression" dxfId="26" priority="10">
      <formula>$Y22="Freigegeben"</formula>
    </cfRule>
    <cfRule type="expression" dxfId="25" priority="11">
      <formula>$Y22="In Prüfung"</formula>
    </cfRule>
    <cfRule type="expression" dxfId="24" priority="12">
      <formula>$Y22="Entwurf"</formula>
    </cfRule>
    <cfRule type="expression" dxfId="23" priority="13">
      <formula>$Y22="Gesperrt"</formula>
    </cfRule>
  </conditionalFormatting>
  <conditionalFormatting sqref="Z22:Z71">
    <cfRule type="expression" dxfId="22" priority="7">
      <formula>$Z22="Geeignet"</formula>
    </cfRule>
    <cfRule type="expression" dxfId="21" priority="8">
      <formula>$Z22="Nur nach Rücksprache"</formula>
    </cfRule>
    <cfRule type="expression" dxfId="20" priority="9">
      <formula>$Z22="Nicht geeignet"</formula>
    </cfRule>
  </conditionalFormatting>
  <conditionalFormatting sqref="AA22:AA71">
    <cfRule type="expression" dxfId="19" priority="14">
      <formula>$AA22="OK"</formula>
    </cfRule>
    <cfRule type="expression" dxfId="18" priority="15">
      <formula>$AA22&lt;&gt;""</formula>
    </cfRule>
  </conditionalFormatting>
  <dataValidations count="6">
    <dataValidation type="list" allowBlank="1" sqref="E22:R71" xr:uid="{00000000-0002-0000-0000-000000000000}">
      <formula1>"X,S"</formula1>
      <formula2>0</formula2>
    </dataValidation>
    <dataValidation type="list" allowBlank="1" sqref="E16:R16" xr:uid="{00000000-0002-0000-0000-000001000000}">
      <formula1>"J,N"</formula1>
      <formula2>0</formula2>
    </dataValidation>
    <dataValidation type="list" allowBlank="1" sqref="C22:C71" xr:uid="{00000000-0002-0000-0000-000002000000}">
      <formula1>Liste_Kategorien</formula1>
      <formula2>0</formula2>
    </dataValidation>
    <dataValidation type="list" allowBlank="1" sqref="V22:V71" xr:uid="{00000000-0002-0000-0000-000003000000}">
      <formula1>Liste_Nachweis</formula1>
      <formula2>0</formula2>
    </dataValidation>
    <dataValidation type="list" allowBlank="1" sqref="X22:X71" xr:uid="{00000000-0002-0000-0000-000004000000}">
      <formula1>Liste_Team</formula1>
      <formula2>0</formula2>
    </dataValidation>
    <dataValidation type="list" allowBlank="1" sqref="Y22:Y71" xr:uid="{00000000-0002-0000-0000-000005000000}">
      <formula1>Liste_Status</formula1>
      <formula2>0</formula2>
    </dataValidation>
  </dataValidations>
  <printOptions horizontalCentered="1"/>
  <pageMargins left="0.75" right="0.75" top="1" bottom="1" header="0.511811023622047" footer="0.511811023622047"/>
  <pageSetup paperSize="9"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96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.42578125" customWidth="1"/>
    <col min="2" max="2" width="20" customWidth="1"/>
    <col min="3" max="4" width="10" customWidth="1"/>
    <col min="5" max="5" width="13" customWidth="1"/>
    <col min="6" max="8" width="11" customWidth="1"/>
    <col min="9" max="9" width="13" customWidth="1"/>
    <col min="10" max="11" width="12" customWidth="1"/>
    <col min="12" max="12" width="22" customWidth="1"/>
    <col min="14" max="14" width="12" hidden="1" customWidth="1"/>
  </cols>
  <sheetData>
    <row r="2" spans="2:12" ht="4.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30" customHeight="1" x14ac:dyDescent="0.25">
      <c r="B3" s="14" t="s">
        <v>156</v>
      </c>
      <c r="C3" s="14"/>
      <c r="D3" s="14"/>
      <c r="E3" s="14"/>
      <c r="F3" s="14"/>
      <c r="G3" s="14"/>
      <c r="H3" s="14"/>
      <c r="I3" s="13" t="s">
        <v>0</v>
      </c>
      <c r="J3" s="13"/>
      <c r="K3" s="13" t="s">
        <v>157</v>
      </c>
      <c r="L3" s="13"/>
    </row>
    <row r="4" spans="2:12" ht="15.75" customHeight="1" x14ac:dyDescent="0.25">
      <c r="B4" s="12" t="s">
        <v>158</v>
      </c>
      <c r="C4" s="12"/>
      <c r="D4" s="12"/>
      <c r="E4" s="12"/>
      <c r="F4" s="12"/>
      <c r="G4" s="12"/>
      <c r="H4" s="12"/>
      <c r="I4" s="11">
        <f>Stammdaten!$D$11</f>
        <v>46204</v>
      </c>
      <c r="J4" s="11"/>
      <c r="K4" s="10" t="str">
        <f>Stammdaten!$D$14</f>
        <v>2026-02</v>
      </c>
      <c r="L4" s="10"/>
    </row>
    <row r="6" spans="2:12" ht="19.5" customHeight="1" x14ac:dyDescent="0.25">
      <c r="B6" s="20" t="s">
        <v>4</v>
      </c>
      <c r="C6" s="9" t="s">
        <v>159</v>
      </c>
      <c r="D6" s="9"/>
      <c r="E6" s="8" t="s">
        <v>160</v>
      </c>
      <c r="F6" s="8"/>
      <c r="G6" s="8"/>
      <c r="H6" s="8"/>
      <c r="I6" s="8"/>
      <c r="J6" s="8"/>
      <c r="K6" s="8"/>
      <c r="L6" s="8"/>
    </row>
    <row r="7" spans="2:12" ht="18.75" customHeight="1" x14ac:dyDescent="0.25">
      <c r="B7" s="3">
        <f>COUNTA(Allergenmatrix!$D$22:$D$71)</f>
        <v>32</v>
      </c>
      <c r="C7" s="1" t="s">
        <v>18</v>
      </c>
      <c r="D7" s="1"/>
      <c r="E7" s="2">
        <f ca="1">IFERROR(COUNTIF(Allergenmatrix!$AA$22:$AA$71,"OK")/COUNTA(Allergenmatrix!$D$22:$D$71),0)</f>
        <v>0.90625</v>
      </c>
      <c r="F7" s="1" t="s">
        <v>161</v>
      </c>
      <c r="G7" s="1"/>
      <c r="H7" s="1"/>
      <c r="I7" s="86">
        <f>COUNTIF(Allergenmatrix!$S$22:$S$71,"–")</f>
        <v>7</v>
      </c>
      <c r="J7" s="1" t="s">
        <v>162</v>
      </c>
      <c r="K7" s="1"/>
      <c r="L7" s="1"/>
    </row>
    <row r="8" spans="2:12" ht="13.5" customHeight="1" x14ac:dyDescent="0.25">
      <c r="B8" s="3"/>
      <c r="C8" s="90" t="s">
        <v>23</v>
      </c>
      <c r="D8" s="90"/>
      <c r="E8" s="2"/>
      <c r="F8" s="90" t="s">
        <v>163</v>
      </c>
      <c r="G8" s="90"/>
      <c r="H8" s="90"/>
      <c r="I8" s="86"/>
      <c r="J8" s="90" t="s">
        <v>164</v>
      </c>
      <c r="K8" s="90"/>
      <c r="L8" s="90"/>
    </row>
    <row r="9" spans="2:12" ht="18.75" customHeight="1" x14ac:dyDescent="0.25">
      <c r="B9" s="87">
        <f>IFERROR(SUMPRODUCT((Allergenmatrix!$E$22:$R$71="X")*1)/COUNTA(Allergenmatrix!$D$22:$D$71),0)</f>
        <v>1.6875</v>
      </c>
      <c r="C9" s="1" t="s">
        <v>20</v>
      </c>
      <c r="D9" s="1"/>
      <c r="E9" s="89">
        <f>COUNTIF(Allergenmatrix!$U$22:$U$71,"?*")</f>
        <v>10</v>
      </c>
      <c r="F9" s="1" t="s">
        <v>165</v>
      </c>
      <c r="G9" s="1"/>
      <c r="H9" s="1"/>
      <c r="I9" s="88">
        <f ca="1">COUNTA(Allergenmatrix!$D$22:$D$71)-COUNTIF(Allergenmatrix!$AA$22:$AA$71,"OK")</f>
        <v>3</v>
      </c>
      <c r="J9" s="1" t="s">
        <v>166</v>
      </c>
      <c r="K9" s="1"/>
      <c r="L9" s="1"/>
    </row>
    <row r="10" spans="2:12" ht="13.5" customHeight="1" x14ac:dyDescent="0.25">
      <c r="B10" s="87"/>
      <c r="C10" s="90" t="s">
        <v>26</v>
      </c>
      <c r="D10" s="90"/>
      <c r="E10" s="89"/>
      <c r="F10" s="90" t="s">
        <v>167</v>
      </c>
      <c r="G10" s="90"/>
      <c r="H10" s="90"/>
      <c r="I10" s="88"/>
      <c r="J10" s="90" t="s">
        <v>168</v>
      </c>
      <c r="K10" s="90"/>
      <c r="L10" s="90"/>
    </row>
    <row r="12" spans="2:12" ht="19.5" customHeight="1" x14ac:dyDescent="0.25">
      <c r="B12" s="20" t="s">
        <v>15</v>
      </c>
      <c r="C12" s="9" t="s">
        <v>169</v>
      </c>
      <c r="D12" s="9"/>
      <c r="E12" s="9"/>
      <c r="F12" s="9"/>
      <c r="G12" s="8" t="s">
        <v>170</v>
      </c>
      <c r="H12" s="8"/>
      <c r="I12" s="8"/>
      <c r="J12" s="8"/>
      <c r="K12" s="8"/>
      <c r="L12" s="8"/>
    </row>
    <row r="13" spans="2:12" ht="30" customHeight="1" x14ac:dyDescent="0.25">
      <c r="B13" s="52" t="s">
        <v>171</v>
      </c>
      <c r="C13" s="52" t="s">
        <v>172</v>
      </c>
      <c r="D13" s="52" t="s">
        <v>173</v>
      </c>
      <c r="E13" s="52" t="s">
        <v>174</v>
      </c>
      <c r="F13" s="52" t="s">
        <v>175</v>
      </c>
      <c r="G13" s="52" t="s">
        <v>176</v>
      </c>
      <c r="H13" s="52" t="s">
        <v>177</v>
      </c>
      <c r="I13" s="52" t="s">
        <v>178</v>
      </c>
      <c r="J13" s="52" t="s">
        <v>179</v>
      </c>
      <c r="K13" s="100" t="s">
        <v>180</v>
      </c>
      <c r="L13" s="100"/>
    </row>
    <row r="14" spans="2:12" ht="15" customHeight="1" x14ac:dyDescent="0.25">
      <c r="B14" s="53" t="s">
        <v>57</v>
      </c>
      <c r="C14" s="54" t="s">
        <v>33</v>
      </c>
      <c r="D14" s="55">
        <f>COUNTIF(Allergenmatrix!E$22:E$71,"X")</f>
        <v>11</v>
      </c>
      <c r="E14" s="56">
        <f>IFERROR($D14/COUNTA(Allergenmatrix!$D$22:$D$71),0)</f>
        <v>0.34375</v>
      </c>
      <c r="F14" s="57">
        <f>COUNTIF(Allergenmatrix!E$22:E$71,"S")</f>
        <v>0</v>
      </c>
      <c r="G14" s="57">
        <f t="shared" ref="G14:G27" si="0">$D14+$F14</f>
        <v>11</v>
      </c>
      <c r="H14" s="56">
        <f>IFERROR($G14/COUNTA(Allergenmatrix!$D$22:$D$71),0)</f>
        <v>0.34375</v>
      </c>
      <c r="I14" s="57">
        <f>COUNTA(Allergenmatrix!$D$22:$D$71)-$G14</f>
        <v>21</v>
      </c>
      <c r="J14" s="58" t="str">
        <f>Allergenmatrix!E$16</f>
        <v>J</v>
      </c>
      <c r="K14" s="101" t="str">
        <f t="shared" ref="K14:K27" si="1">IF($D14=0,IF($F14=0,"nicht verwendet","nur Spuren"),IF($E14&gt;=0.4,"Hauptallergen der Karte",IF($E14&gt;=0.2,"häufig","vereinzelt")))</f>
        <v>häufig</v>
      </c>
      <c r="L14" s="101"/>
    </row>
    <row r="15" spans="2:12" ht="15" customHeight="1" x14ac:dyDescent="0.25">
      <c r="B15" s="53" t="s">
        <v>58</v>
      </c>
      <c r="C15" s="54" t="s">
        <v>34</v>
      </c>
      <c r="D15" s="55">
        <f>COUNTIF(Allergenmatrix!F$22:F$71,"X")</f>
        <v>0</v>
      </c>
      <c r="E15" s="56">
        <f>IFERROR($D15/COUNTA(Allergenmatrix!$D$22:$D$71),0)</f>
        <v>0</v>
      </c>
      <c r="F15" s="57">
        <f>COUNTIF(Allergenmatrix!F$22:F$71,"S")</f>
        <v>1</v>
      </c>
      <c r="G15" s="57">
        <f t="shared" si="0"/>
        <v>1</v>
      </c>
      <c r="H15" s="56">
        <f>IFERROR($G15/COUNTA(Allergenmatrix!$D$22:$D$71),0)</f>
        <v>3.125E-2</v>
      </c>
      <c r="I15" s="57">
        <f>COUNTA(Allergenmatrix!$D$22:$D$71)-$G15</f>
        <v>31</v>
      </c>
      <c r="J15" s="58" t="str">
        <f>Allergenmatrix!F$16</f>
        <v>N</v>
      </c>
      <c r="K15" s="101" t="str">
        <f t="shared" si="1"/>
        <v>nur Spuren</v>
      </c>
      <c r="L15" s="101"/>
    </row>
    <row r="16" spans="2:12" ht="15" customHeight="1" x14ac:dyDescent="0.25">
      <c r="B16" s="53" t="s">
        <v>59</v>
      </c>
      <c r="C16" s="54" t="s">
        <v>35</v>
      </c>
      <c r="D16" s="55">
        <f>COUNTIF(Allergenmatrix!G$22:G$71,"X")</f>
        <v>7</v>
      </c>
      <c r="E16" s="56">
        <f>IFERROR($D16/COUNTA(Allergenmatrix!$D$22:$D$71),0)</f>
        <v>0.21875</v>
      </c>
      <c r="F16" s="57">
        <f>COUNTIF(Allergenmatrix!G$22:G$71,"S")</f>
        <v>0</v>
      </c>
      <c r="G16" s="57">
        <f t="shared" si="0"/>
        <v>7</v>
      </c>
      <c r="H16" s="56">
        <f>IFERROR($G16/COUNTA(Allergenmatrix!$D$22:$D$71),0)</f>
        <v>0.21875</v>
      </c>
      <c r="I16" s="57">
        <f>COUNTA(Allergenmatrix!$D$22:$D$71)-$G16</f>
        <v>25</v>
      </c>
      <c r="J16" s="58" t="str">
        <f>Allergenmatrix!G$16</f>
        <v>N</v>
      </c>
      <c r="K16" s="101" t="str">
        <f t="shared" si="1"/>
        <v>häufig</v>
      </c>
      <c r="L16" s="101"/>
    </row>
    <row r="17" spans="2:12" ht="15" customHeight="1" x14ac:dyDescent="0.25">
      <c r="B17" s="53" t="s">
        <v>60</v>
      </c>
      <c r="C17" s="54" t="s">
        <v>36</v>
      </c>
      <c r="D17" s="55">
        <f>COUNTIF(Allergenmatrix!H$22:H$71,"X")</f>
        <v>3</v>
      </c>
      <c r="E17" s="56">
        <f>IFERROR($D17/COUNTA(Allergenmatrix!$D$22:$D$71),0)</f>
        <v>9.375E-2</v>
      </c>
      <c r="F17" s="57">
        <f>COUNTIF(Allergenmatrix!H$22:H$71,"S")</f>
        <v>0</v>
      </c>
      <c r="G17" s="57">
        <f t="shared" si="0"/>
        <v>3</v>
      </c>
      <c r="H17" s="56">
        <f>IFERROR($G17/COUNTA(Allergenmatrix!$D$22:$D$71),0)</f>
        <v>9.375E-2</v>
      </c>
      <c r="I17" s="57">
        <f>COUNTA(Allergenmatrix!$D$22:$D$71)-$G17</f>
        <v>29</v>
      </c>
      <c r="J17" s="58" t="str">
        <f>Allergenmatrix!H$16</f>
        <v>N</v>
      </c>
      <c r="K17" s="101" t="str">
        <f t="shared" si="1"/>
        <v>vereinzelt</v>
      </c>
      <c r="L17" s="101"/>
    </row>
    <row r="18" spans="2:12" ht="15" customHeight="1" x14ac:dyDescent="0.25">
      <c r="B18" s="53" t="s">
        <v>61</v>
      </c>
      <c r="C18" s="54" t="s">
        <v>37</v>
      </c>
      <c r="D18" s="55">
        <f>COUNTIF(Allergenmatrix!I$22:I$71,"X")</f>
        <v>0</v>
      </c>
      <c r="E18" s="56">
        <f>IFERROR($D18/COUNTA(Allergenmatrix!$D$22:$D$71),0)</f>
        <v>0</v>
      </c>
      <c r="F18" s="57">
        <f>COUNTIF(Allergenmatrix!I$22:I$71,"S")</f>
        <v>0</v>
      </c>
      <c r="G18" s="57">
        <f t="shared" si="0"/>
        <v>0</v>
      </c>
      <c r="H18" s="56">
        <f>IFERROR($G18/COUNTA(Allergenmatrix!$D$22:$D$71),0)</f>
        <v>0</v>
      </c>
      <c r="I18" s="57">
        <f>COUNTA(Allergenmatrix!$D$22:$D$71)-$G18</f>
        <v>32</v>
      </c>
      <c r="J18" s="58" t="str">
        <f>Allergenmatrix!I$16</f>
        <v>N</v>
      </c>
      <c r="K18" s="101" t="str">
        <f t="shared" si="1"/>
        <v>nicht verwendet</v>
      </c>
      <c r="L18" s="101"/>
    </row>
    <row r="19" spans="2:12" ht="15" customHeight="1" x14ac:dyDescent="0.25">
      <c r="B19" s="53" t="s">
        <v>62</v>
      </c>
      <c r="C19" s="54" t="s">
        <v>38</v>
      </c>
      <c r="D19" s="55">
        <f>COUNTIF(Allergenmatrix!J$22:J$71,"X")</f>
        <v>1</v>
      </c>
      <c r="E19" s="56">
        <f>IFERROR($D19/COUNTA(Allergenmatrix!$D$22:$D$71),0)</f>
        <v>3.125E-2</v>
      </c>
      <c r="F19" s="57">
        <f>COUNTIF(Allergenmatrix!J$22:J$71,"S")</f>
        <v>5</v>
      </c>
      <c r="G19" s="57">
        <f t="shared" si="0"/>
        <v>6</v>
      </c>
      <c r="H19" s="56">
        <f>IFERROR($G19/COUNTA(Allergenmatrix!$D$22:$D$71),0)</f>
        <v>0.1875</v>
      </c>
      <c r="I19" s="57">
        <f>COUNTA(Allergenmatrix!$D$22:$D$71)-$G19</f>
        <v>26</v>
      </c>
      <c r="J19" s="58" t="str">
        <f>Allergenmatrix!J$16</f>
        <v>N</v>
      </c>
      <c r="K19" s="101" t="str">
        <f t="shared" si="1"/>
        <v>vereinzelt</v>
      </c>
      <c r="L19" s="101"/>
    </row>
    <row r="20" spans="2:12" ht="15" customHeight="1" x14ac:dyDescent="0.25">
      <c r="B20" s="53" t="s">
        <v>63</v>
      </c>
      <c r="C20" s="54" t="s">
        <v>39</v>
      </c>
      <c r="D20" s="55">
        <f>COUNTIF(Allergenmatrix!K$22:K$71,"X")</f>
        <v>15</v>
      </c>
      <c r="E20" s="56">
        <f>IFERROR($D20/COUNTA(Allergenmatrix!$D$22:$D$71),0)</f>
        <v>0.46875</v>
      </c>
      <c r="F20" s="57">
        <f>COUNTIF(Allergenmatrix!K$22:K$71,"S")</f>
        <v>0</v>
      </c>
      <c r="G20" s="57">
        <f t="shared" si="0"/>
        <v>15</v>
      </c>
      <c r="H20" s="56">
        <f>IFERROR($G20/COUNTA(Allergenmatrix!$D$22:$D$71),0)</f>
        <v>0.46875</v>
      </c>
      <c r="I20" s="57">
        <f>COUNTA(Allergenmatrix!$D$22:$D$71)-$G20</f>
        <v>17</v>
      </c>
      <c r="J20" s="58" t="str">
        <f>Allergenmatrix!K$16</f>
        <v>J</v>
      </c>
      <c r="K20" s="101" t="str">
        <f t="shared" si="1"/>
        <v>Hauptallergen der Karte</v>
      </c>
      <c r="L20" s="101"/>
    </row>
    <row r="21" spans="2:12" ht="15" customHeight="1" x14ac:dyDescent="0.25">
      <c r="B21" s="53" t="s">
        <v>64</v>
      </c>
      <c r="C21" s="54" t="s">
        <v>40</v>
      </c>
      <c r="D21" s="55">
        <f>COUNTIF(Allergenmatrix!L$22:L$71,"X")</f>
        <v>1</v>
      </c>
      <c r="E21" s="56">
        <f>IFERROR($D21/COUNTA(Allergenmatrix!$D$22:$D$71),0)</f>
        <v>3.125E-2</v>
      </c>
      <c r="F21" s="57">
        <f>COUNTIF(Allergenmatrix!L$22:L$71,"S")</f>
        <v>2</v>
      </c>
      <c r="G21" s="57">
        <f t="shared" si="0"/>
        <v>3</v>
      </c>
      <c r="H21" s="56">
        <f>IFERROR($G21/COUNTA(Allergenmatrix!$D$22:$D$71),0)</f>
        <v>9.375E-2</v>
      </c>
      <c r="I21" s="57">
        <f>COUNTA(Allergenmatrix!$D$22:$D$71)-$G21</f>
        <v>29</v>
      </c>
      <c r="J21" s="58" t="str">
        <f>Allergenmatrix!L$16</f>
        <v>N</v>
      </c>
      <c r="K21" s="101" t="str">
        <f t="shared" si="1"/>
        <v>vereinzelt</v>
      </c>
      <c r="L21" s="101"/>
    </row>
    <row r="22" spans="2:12" ht="15" customHeight="1" x14ac:dyDescent="0.25">
      <c r="B22" s="53" t="s">
        <v>65</v>
      </c>
      <c r="C22" s="54" t="s">
        <v>41</v>
      </c>
      <c r="D22" s="55">
        <f>COUNTIF(Allergenmatrix!M$22:M$71,"X")</f>
        <v>6</v>
      </c>
      <c r="E22" s="56">
        <f>IFERROR($D22/COUNTA(Allergenmatrix!$D$22:$D$71),0)</f>
        <v>0.1875</v>
      </c>
      <c r="F22" s="57">
        <f>COUNTIF(Allergenmatrix!M$22:M$71,"S")</f>
        <v>0</v>
      </c>
      <c r="G22" s="57">
        <f t="shared" si="0"/>
        <v>6</v>
      </c>
      <c r="H22" s="56">
        <f>IFERROR($G22/COUNTA(Allergenmatrix!$D$22:$D$71),0)</f>
        <v>0.1875</v>
      </c>
      <c r="I22" s="57">
        <f>COUNTA(Allergenmatrix!$D$22:$D$71)-$G22</f>
        <v>26</v>
      </c>
      <c r="J22" s="58" t="str">
        <f>Allergenmatrix!M$16</f>
        <v>N</v>
      </c>
      <c r="K22" s="101" t="str">
        <f t="shared" si="1"/>
        <v>vereinzelt</v>
      </c>
      <c r="L22" s="101"/>
    </row>
    <row r="23" spans="2:12" ht="15" customHeight="1" x14ac:dyDescent="0.25">
      <c r="B23" s="53" t="s">
        <v>66</v>
      </c>
      <c r="C23" s="54" t="s">
        <v>42</v>
      </c>
      <c r="D23" s="55">
        <f>COUNTIF(Allergenmatrix!N$22:N$71,"X")</f>
        <v>6</v>
      </c>
      <c r="E23" s="56">
        <f>IFERROR($D23/COUNTA(Allergenmatrix!$D$22:$D$71),0)</f>
        <v>0.1875</v>
      </c>
      <c r="F23" s="57">
        <f>COUNTIF(Allergenmatrix!N$22:N$71,"S")</f>
        <v>0</v>
      </c>
      <c r="G23" s="57">
        <f t="shared" si="0"/>
        <v>6</v>
      </c>
      <c r="H23" s="56">
        <f>IFERROR($G23/COUNTA(Allergenmatrix!$D$22:$D$71),0)</f>
        <v>0.1875</v>
      </c>
      <c r="I23" s="57">
        <f>COUNTA(Allergenmatrix!$D$22:$D$71)-$G23</f>
        <v>26</v>
      </c>
      <c r="J23" s="58" t="str">
        <f>Allergenmatrix!N$16</f>
        <v>N</v>
      </c>
      <c r="K23" s="101" t="str">
        <f t="shared" si="1"/>
        <v>vereinzelt</v>
      </c>
      <c r="L23" s="101"/>
    </row>
    <row r="24" spans="2:12" ht="15" customHeight="1" x14ac:dyDescent="0.25">
      <c r="B24" s="53" t="s">
        <v>67</v>
      </c>
      <c r="C24" s="54" t="s">
        <v>43</v>
      </c>
      <c r="D24" s="55">
        <f>COUNTIF(Allergenmatrix!O$22:O$71,"X")</f>
        <v>1</v>
      </c>
      <c r="E24" s="56">
        <f>IFERROR($D24/COUNTA(Allergenmatrix!$D$22:$D$71),0)</f>
        <v>3.125E-2</v>
      </c>
      <c r="F24" s="57">
        <f>COUNTIF(Allergenmatrix!O$22:O$71,"S")</f>
        <v>3</v>
      </c>
      <c r="G24" s="57">
        <f t="shared" si="0"/>
        <v>4</v>
      </c>
      <c r="H24" s="56">
        <f>IFERROR($G24/COUNTA(Allergenmatrix!$D$22:$D$71),0)</f>
        <v>0.125</v>
      </c>
      <c r="I24" s="57">
        <f>COUNTA(Allergenmatrix!$D$22:$D$71)-$G24</f>
        <v>28</v>
      </c>
      <c r="J24" s="58" t="str">
        <f>Allergenmatrix!O$16</f>
        <v>N</v>
      </c>
      <c r="K24" s="101" t="str">
        <f t="shared" si="1"/>
        <v>vereinzelt</v>
      </c>
      <c r="L24" s="101"/>
    </row>
    <row r="25" spans="2:12" ht="15" customHeight="1" x14ac:dyDescent="0.25">
      <c r="B25" s="53" t="s">
        <v>68</v>
      </c>
      <c r="C25" s="54" t="s">
        <v>44</v>
      </c>
      <c r="D25" s="55">
        <f>COUNTIF(Allergenmatrix!P$22:P$71,"X")</f>
        <v>3</v>
      </c>
      <c r="E25" s="56">
        <f>IFERROR($D25/COUNTA(Allergenmatrix!$D$22:$D$71),0)</f>
        <v>9.375E-2</v>
      </c>
      <c r="F25" s="57">
        <f>COUNTIF(Allergenmatrix!P$22:P$71,"S")</f>
        <v>0</v>
      </c>
      <c r="G25" s="57">
        <f t="shared" si="0"/>
        <v>3</v>
      </c>
      <c r="H25" s="56">
        <f>IFERROR($G25/COUNTA(Allergenmatrix!$D$22:$D$71),0)</f>
        <v>9.375E-2</v>
      </c>
      <c r="I25" s="57">
        <f>COUNTA(Allergenmatrix!$D$22:$D$71)-$G25</f>
        <v>29</v>
      </c>
      <c r="J25" s="58" t="str">
        <f>Allergenmatrix!P$16</f>
        <v>N</v>
      </c>
      <c r="K25" s="101" t="str">
        <f t="shared" si="1"/>
        <v>vereinzelt</v>
      </c>
      <c r="L25" s="101"/>
    </row>
    <row r="26" spans="2:12" ht="15" customHeight="1" x14ac:dyDescent="0.25">
      <c r="B26" s="53" t="s">
        <v>69</v>
      </c>
      <c r="C26" s="54" t="s">
        <v>45</v>
      </c>
      <c r="D26" s="55">
        <f>COUNTIF(Allergenmatrix!Q$22:Q$71,"X")</f>
        <v>0</v>
      </c>
      <c r="E26" s="56">
        <f>IFERROR($D26/COUNTA(Allergenmatrix!$D$22:$D$71),0)</f>
        <v>0</v>
      </c>
      <c r="F26" s="57">
        <f>COUNTIF(Allergenmatrix!Q$22:Q$71,"S")</f>
        <v>0</v>
      </c>
      <c r="G26" s="57">
        <f t="shared" si="0"/>
        <v>0</v>
      </c>
      <c r="H26" s="56">
        <f>IFERROR($G26/COUNTA(Allergenmatrix!$D$22:$D$71),0)</f>
        <v>0</v>
      </c>
      <c r="I26" s="57">
        <f>COUNTA(Allergenmatrix!$D$22:$D$71)-$G26</f>
        <v>32</v>
      </c>
      <c r="J26" s="58" t="str">
        <f>Allergenmatrix!Q$16</f>
        <v>N</v>
      </c>
      <c r="K26" s="101" t="str">
        <f t="shared" si="1"/>
        <v>nicht verwendet</v>
      </c>
      <c r="L26" s="101"/>
    </row>
    <row r="27" spans="2:12" ht="15" customHeight="1" x14ac:dyDescent="0.25">
      <c r="B27" s="53" t="s">
        <v>70</v>
      </c>
      <c r="C27" s="54" t="s">
        <v>46</v>
      </c>
      <c r="D27" s="55">
        <f>COUNTIF(Allergenmatrix!R$22:R$71,"X")</f>
        <v>0</v>
      </c>
      <c r="E27" s="56">
        <f>IFERROR($D27/COUNTA(Allergenmatrix!$D$22:$D$71),0)</f>
        <v>0</v>
      </c>
      <c r="F27" s="57">
        <f>COUNTIF(Allergenmatrix!R$22:R$71,"S")</f>
        <v>0</v>
      </c>
      <c r="G27" s="57">
        <f t="shared" si="0"/>
        <v>0</v>
      </c>
      <c r="H27" s="56">
        <f>IFERROR($G27/COUNTA(Allergenmatrix!$D$22:$D$71),0)</f>
        <v>0</v>
      </c>
      <c r="I27" s="57">
        <f>COUNTA(Allergenmatrix!$D$22:$D$71)-$G27</f>
        <v>32</v>
      </c>
      <c r="J27" s="58" t="str">
        <f>Allergenmatrix!R$16</f>
        <v>N</v>
      </c>
      <c r="K27" s="101" t="str">
        <f t="shared" si="1"/>
        <v>nicht verwendet</v>
      </c>
      <c r="L27" s="101"/>
    </row>
    <row r="28" spans="2:12" ht="18" customHeight="1" x14ac:dyDescent="0.25">
      <c r="B28" s="97" t="s">
        <v>181</v>
      </c>
      <c r="C28" s="97"/>
      <c r="D28" s="60">
        <f>SUM($D$14:$D$27)</f>
        <v>54</v>
      </c>
      <c r="E28" s="61">
        <f>IFERROR(AVERAGE($E$14:$E$27),0)</f>
        <v>0.12053571428571429</v>
      </c>
      <c r="F28" s="60">
        <f>SUM($F$14:$F$27)</f>
        <v>11</v>
      </c>
      <c r="G28" s="60">
        <f>SUM($G$14:$G$27)</f>
        <v>65</v>
      </c>
      <c r="H28" s="62">
        <f>IFERROR(AVERAGE($H$14:$H$27),0)</f>
        <v>0.14508928571428573</v>
      </c>
      <c r="I28" s="63">
        <f>COUNTIF(Allergenmatrix!$S$22:$S$71,"–")</f>
        <v>7</v>
      </c>
      <c r="J28" s="64">
        <f>COUNTIF(Allergenmatrix!$E$16:$R$16,"J")</f>
        <v>2</v>
      </c>
      <c r="K28" s="102" t="s">
        <v>182</v>
      </c>
      <c r="L28" s="102"/>
    </row>
    <row r="30" spans="2:12" ht="19.5" customHeight="1" x14ac:dyDescent="0.25">
      <c r="B30" s="20" t="s">
        <v>29</v>
      </c>
      <c r="C30" s="9" t="s">
        <v>183</v>
      </c>
      <c r="D30" s="9"/>
      <c r="E30" s="9"/>
      <c r="F30" s="9"/>
      <c r="G30" s="9"/>
      <c r="H30" s="8" t="s">
        <v>184</v>
      </c>
      <c r="I30" s="8"/>
      <c r="J30" s="8"/>
      <c r="K30" s="8"/>
      <c r="L30" s="8"/>
    </row>
    <row r="31" spans="2:12" ht="30" customHeight="1" x14ac:dyDescent="0.25">
      <c r="B31" s="52" t="s">
        <v>73</v>
      </c>
      <c r="C31" s="52" t="s">
        <v>185</v>
      </c>
      <c r="D31" s="52" t="s">
        <v>186</v>
      </c>
      <c r="E31" s="52" t="s">
        <v>187</v>
      </c>
      <c r="F31" s="52" t="s">
        <v>188</v>
      </c>
      <c r="G31" s="52" t="s">
        <v>90</v>
      </c>
      <c r="H31" s="52" t="s">
        <v>189</v>
      </c>
      <c r="I31" s="52" t="s">
        <v>190</v>
      </c>
      <c r="J31" s="52" t="s">
        <v>191</v>
      </c>
      <c r="K31" s="103" t="s">
        <v>180</v>
      </c>
      <c r="L31" s="103"/>
    </row>
    <row r="32" spans="2:12" ht="15" customHeight="1" x14ac:dyDescent="0.25">
      <c r="B32" s="53" t="s">
        <v>84</v>
      </c>
      <c r="C32" s="55">
        <f>COUNTIF(Allergenmatrix!$C$22:$C$71,$B32)</f>
        <v>4</v>
      </c>
      <c r="D32" s="57">
        <f>COUNTIFS(Allergenmatrix!$C$22:$C$71,$B32,Allergenmatrix!$S$22:$S$71,"–")</f>
        <v>0</v>
      </c>
      <c r="E32" s="66">
        <f>IFERROR(SUMIF(Allergenmatrix!$C$22:$C$71,$B32,Allergenmatrix!$AE$22:$AE$71)/$C32,0)</f>
        <v>2.25</v>
      </c>
      <c r="F32" s="57">
        <f>COUNTIFS(Allergenmatrix!$C$22:$C$71,$B32,Allergenmatrix!$U$22:$U$71,"?*")</f>
        <v>0</v>
      </c>
      <c r="G32" s="57">
        <f>COUNTIFS(Allergenmatrix!$C$22:$C$71,$B32,Allergenmatrix!$Y$22:$Y$71,"Freigegeben")</f>
        <v>4</v>
      </c>
      <c r="H32" s="67">
        <f t="shared" ref="H32:H39" si="2">IFERROR($G32/$C32,0)</f>
        <v>1</v>
      </c>
      <c r="I32" s="57">
        <f ca="1">$C32-COUNTIFS(Allergenmatrix!$C$22:$C$71,$B32,Allergenmatrix!$AA$22:$AA$71,"OK")</f>
        <v>0</v>
      </c>
      <c r="J32" s="57">
        <f ca="1">COUNTIFS(Allergenmatrix!$C$22:$C$71,$B32,Allergenmatrix!$AA$22:$AA$71,"Prüfung überfällig")</f>
        <v>0</v>
      </c>
      <c r="K32" s="101" t="str">
        <f t="shared" ref="K32:K39" ca="1" si="3">IF($C32=0,"keine Gerichte",IF($I32&gt;0,"Nacharbeit nötig",IF($D32=0,"ohne allergenfreie Option","vollständig")))</f>
        <v>ohne allergenfreie Option</v>
      </c>
      <c r="L32" s="101"/>
    </row>
    <row r="33" spans="2:12" ht="15" customHeight="1" x14ac:dyDescent="0.25">
      <c r="B33" s="53" t="s">
        <v>98</v>
      </c>
      <c r="C33" s="55">
        <f>COUNTIF(Allergenmatrix!$C$22:$C$71,$B33)</f>
        <v>3</v>
      </c>
      <c r="D33" s="57">
        <f>COUNTIFS(Allergenmatrix!$C$22:$C$71,$B33,Allergenmatrix!$S$22:$S$71,"–")</f>
        <v>0</v>
      </c>
      <c r="E33" s="66">
        <f>IFERROR(SUMIF(Allergenmatrix!$C$22:$C$71,$B33,Allergenmatrix!$AE$22:$AE$71)/$C33,0)</f>
        <v>2</v>
      </c>
      <c r="F33" s="57">
        <f>COUNTIFS(Allergenmatrix!$C$22:$C$71,$B33,Allergenmatrix!$U$22:$U$71,"?*")</f>
        <v>2</v>
      </c>
      <c r="G33" s="57">
        <f>COUNTIFS(Allergenmatrix!$C$22:$C$71,$B33,Allergenmatrix!$Y$22:$Y$71,"Freigegeben")</f>
        <v>3</v>
      </c>
      <c r="H33" s="67">
        <f t="shared" si="2"/>
        <v>1</v>
      </c>
      <c r="I33" s="57">
        <f ca="1">$C33-COUNTIFS(Allergenmatrix!$C$22:$C$71,$B33,Allergenmatrix!$AA$22:$AA$71,"OK")</f>
        <v>0</v>
      </c>
      <c r="J33" s="57">
        <f ca="1">COUNTIFS(Allergenmatrix!$C$22:$C$71,$B33,Allergenmatrix!$AA$22:$AA$71,"Prüfung überfällig")</f>
        <v>0</v>
      </c>
      <c r="K33" s="101" t="str">
        <f t="shared" ca="1" si="3"/>
        <v>ohne allergenfreie Option</v>
      </c>
      <c r="L33" s="101"/>
    </row>
    <row r="34" spans="2:12" ht="15" customHeight="1" x14ac:dyDescent="0.25">
      <c r="B34" s="53" t="s">
        <v>103</v>
      </c>
      <c r="C34" s="55">
        <f>COUNTIF(Allergenmatrix!$C$22:$C$71,$B34)</f>
        <v>3</v>
      </c>
      <c r="D34" s="57">
        <f>COUNTIFS(Allergenmatrix!$C$22:$C$71,$B34,Allergenmatrix!$S$22:$S$71,"–")</f>
        <v>0</v>
      </c>
      <c r="E34" s="66">
        <f>IFERROR(SUMIF(Allergenmatrix!$C$22:$C$71,$B34,Allergenmatrix!$AE$22:$AE$71)/$C34,0)</f>
        <v>2.3333333333333335</v>
      </c>
      <c r="F34" s="57">
        <f>COUNTIFS(Allergenmatrix!$C$22:$C$71,$B34,Allergenmatrix!$U$22:$U$71,"?*")</f>
        <v>0</v>
      </c>
      <c r="G34" s="57">
        <f>COUNTIFS(Allergenmatrix!$C$22:$C$71,$B34,Allergenmatrix!$Y$22:$Y$71,"Freigegeben")</f>
        <v>3</v>
      </c>
      <c r="H34" s="67">
        <f t="shared" si="2"/>
        <v>1</v>
      </c>
      <c r="I34" s="57">
        <f ca="1">$C34-COUNTIFS(Allergenmatrix!$C$22:$C$71,$B34,Allergenmatrix!$AA$22:$AA$71,"OK")</f>
        <v>0</v>
      </c>
      <c r="J34" s="57">
        <f ca="1">COUNTIFS(Allergenmatrix!$C$22:$C$71,$B34,Allergenmatrix!$AA$22:$AA$71,"Prüfung überfällig")</f>
        <v>0</v>
      </c>
      <c r="K34" s="101" t="str">
        <f t="shared" ca="1" si="3"/>
        <v>ohne allergenfreie Option</v>
      </c>
      <c r="L34" s="101"/>
    </row>
    <row r="35" spans="2:12" ht="15" customHeight="1" x14ac:dyDescent="0.25">
      <c r="B35" s="53" t="s">
        <v>107</v>
      </c>
      <c r="C35" s="55">
        <f>COUNTIF(Allergenmatrix!$C$22:$C$71,$B35)</f>
        <v>7</v>
      </c>
      <c r="D35" s="57">
        <f>COUNTIFS(Allergenmatrix!$C$22:$C$71,$B35,Allergenmatrix!$S$22:$S$71,"–")</f>
        <v>0</v>
      </c>
      <c r="E35" s="66">
        <f>IFERROR(SUMIF(Allergenmatrix!$C$22:$C$71,$B35,Allergenmatrix!$AE$22:$AE$71)/$C35,0)</f>
        <v>2.5714285714285716</v>
      </c>
      <c r="F35" s="57">
        <f>COUNTIFS(Allergenmatrix!$C$22:$C$71,$B35,Allergenmatrix!$U$22:$U$71,"?*")</f>
        <v>2</v>
      </c>
      <c r="G35" s="57">
        <f>COUNTIFS(Allergenmatrix!$C$22:$C$71,$B35,Allergenmatrix!$Y$22:$Y$71,"Freigegeben")</f>
        <v>6</v>
      </c>
      <c r="H35" s="67">
        <f t="shared" si="2"/>
        <v>0.8571428571428571</v>
      </c>
      <c r="I35" s="57">
        <f ca="1">$C35-COUNTIFS(Allergenmatrix!$C$22:$C$71,$B35,Allergenmatrix!$AA$22:$AA$71,"OK")</f>
        <v>1</v>
      </c>
      <c r="J35" s="57">
        <f ca="1">COUNTIFS(Allergenmatrix!$C$22:$C$71,$B35,Allergenmatrix!$AA$22:$AA$71,"Prüfung überfällig")</f>
        <v>1</v>
      </c>
      <c r="K35" s="101" t="str">
        <f t="shared" ca="1" si="3"/>
        <v>Nacharbeit nötig</v>
      </c>
      <c r="L35" s="101"/>
    </row>
    <row r="36" spans="2:12" ht="15" customHeight="1" x14ac:dyDescent="0.25">
      <c r="B36" s="53" t="s">
        <v>117</v>
      </c>
      <c r="C36" s="55">
        <f>COUNTIF(Allergenmatrix!$C$22:$C$71,$B36)</f>
        <v>5</v>
      </c>
      <c r="D36" s="57">
        <f>COUNTIFS(Allergenmatrix!$C$22:$C$71,$B36,Allergenmatrix!$S$22:$S$71,"–")</f>
        <v>3</v>
      </c>
      <c r="E36" s="66">
        <f>IFERROR(SUMIF(Allergenmatrix!$C$22:$C$71,$B36,Allergenmatrix!$AE$22:$AE$71)/$C36,0)</f>
        <v>0.4</v>
      </c>
      <c r="F36" s="57">
        <f>COUNTIFS(Allergenmatrix!$C$22:$C$71,$B36,Allergenmatrix!$U$22:$U$71,"?*")</f>
        <v>1</v>
      </c>
      <c r="G36" s="57">
        <f>COUNTIFS(Allergenmatrix!$C$22:$C$71,$B36,Allergenmatrix!$Y$22:$Y$71,"Freigegeben")</f>
        <v>5</v>
      </c>
      <c r="H36" s="67">
        <f t="shared" si="2"/>
        <v>1</v>
      </c>
      <c r="I36" s="57">
        <f ca="1">$C36-COUNTIFS(Allergenmatrix!$C$22:$C$71,$B36,Allergenmatrix!$AA$22:$AA$71,"OK")</f>
        <v>0</v>
      </c>
      <c r="J36" s="57">
        <f ca="1">COUNTIFS(Allergenmatrix!$C$22:$C$71,$B36,Allergenmatrix!$AA$22:$AA$71,"Prüfung überfällig")</f>
        <v>0</v>
      </c>
      <c r="K36" s="101" t="str">
        <f t="shared" ca="1" si="3"/>
        <v>vollständig</v>
      </c>
      <c r="L36" s="101"/>
    </row>
    <row r="37" spans="2:12" ht="15" customHeight="1" x14ac:dyDescent="0.25">
      <c r="B37" s="53" t="s">
        <v>124</v>
      </c>
      <c r="C37" s="55">
        <f>COUNTIF(Allergenmatrix!$C$22:$C$71,$B37)</f>
        <v>4</v>
      </c>
      <c r="D37" s="57">
        <f>COUNTIFS(Allergenmatrix!$C$22:$C$71,$B37,Allergenmatrix!$S$22:$S$71,"–")</f>
        <v>1</v>
      </c>
      <c r="E37" s="66">
        <f>IFERROR(SUMIF(Allergenmatrix!$C$22:$C$71,$B37,Allergenmatrix!$AE$22:$AE$71)/$C37,0)</f>
        <v>2</v>
      </c>
      <c r="F37" s="57">
        <f>COUNTIFS(Allergenmatrix!$C$22:$C$71,$B37,Allergenmatrix!$U$22:$U$71,"?*")</f>
        <v>2</v>
      </c>
      <c r="G37" s="57">
        <f>COUNTIFS(Allergenmatrix!$C$22:$C$71,$B37,Allergenmatrix!$Y$22:$Y$71,"Freigegeben")</f>
        <v>4</v>
      </c>
      <c r="H37" s="67">
        <f t="shared" si="2"/>
        <v>1</v>
      </c>
      <c r="I37" s="57">
        <f ca="1">$C37-COUNTIFS(Allergenmatrix!$C$22:$C$71,$B37,Allergenmatrix!$AA$22:$AA$71,"OK")</f>
        <v>0</v>
      </c>
      <c r="J37" s="57">
        <f ca="1">COUNTIFS(Allergenmatrix!$C$22:$C$71,$B37,Allergenmatrix!$AA$22:$AA$71,"Prüfung überfällig")</f>
        <v>0</v>
      </c>
      <c r="K37" s="101" t="str">
        <f t="shared" ca="1" si="3"/>
        <v>vollständig</v>
      </c>
      <c r="L37" s="101"/>
    </row>
    <row r="38" spans="2:12" ht="15" customHeight="1" x14ac:dyDescent="0.25">
      <c r="B38" s="53" t="s">
        <v>131</v>
      </c>
      <c r="C38" s="55">
        <f>COUNTIF(Allergenmatrix!$C$22:$C$71,$B38)</f>
        <v>4</v>
      </c>
      <c r="D38" s="57">
        <f>COUNTIFS(Allergenmatrix!$C$22:$C$71,$B38,Allergenmatrix!$S$22:$S$71,"–")</f>
        <v>3</v>
      </c>
      <c r="E38" s="66">
        <f>IFERROR(SUMIF(Allergenmatrix!$C$22:$C$71,$B38,Allergenmatrix!$AE$22:$AE$71)/$C38,0)</f>
        <v>0.25</v>
      </c>
      <c r="F38" s="57">
        <f>COUNTIFS(Allergenmatrix!$C$22:$C$71,$B38,Allergenmatrix!$U$22:$U$71,"?*")</f>
        <v>3</v>
      </c>
      <c r="G38" s="57">
        <f>COUNTIFS(Allergenmatrix!$C$22:$C$71,$B38,Allergenmatrix!$Y$22:$Y$71,"Freigegeben")</f>
        <v>4</v>
      </c>
      <c r="H38" s="67">
        <f t="shared" si="2"/>
        <v>1</v>
      </c>
      <c r="I38" s="57">
        <f ca="1">$C38-COUNTIFS(Allergenmatrix!$C$22:$C$71,$B38,Allergenmatrix!$AA$22:$AA$71,"OK")</f>
        <v>0</v>
      </c>
      <c r="J38" s="57">
        <f ca="1">COUNTIFS(Allergenmatrix!$C$22:$C$71,$B38,Allergenmatrix!$AA$22:$AA$71,"Prüfung überfällig")</f>
        <v>0</v>
      </c>
      <c r="K38" s="101" t="str">
        <f t="shared" ca="1" si="3"/>
        <v>vollständig</v>
      </c>
      <c r="L38" s="101"/>
    </row>
    <row r="39" spans="2:12" ht="15" customHeight="1" x14ac:dyDescent="0.25">
      <c r="B39" s="53" t="s">
        <v>141</v>
      </c>
      <c r="C39" s="55">
        <f>COUNTIF(Allergenmatrix!$C$22:$C$71,$B39)</f>
        <v>2</v>
      </c>
      <c r="D39" s="57">
        <f>COUNTIFS(Allergenmatrix!$C$22:$C$71,$B39,Allergenmatrix!$S$22:$S$71,"–")</f>
        <v>0</v>
      </c>
      <c r="E39" s="66">
        <f>IFERROR(SUMIF(Allergenmatrix!$C$22:$C$71,$B39,Allergenmatrix!$AE$22:$AE$71)/$C39,0)</f>
        <v>1.5</v>
      </c>
      <c r="F39" s="57">
        <f>COUNTIFS(Allergenmatrix!$C$22:$C$71,$B39,Allergenmatrix!$U$22:$U$71,"?*")</f>
        <v>0</v>
      </c>
      <c r="G39" s="57">
        <f>COUNTIFS(Allergenmatrix!$C$22:$C$71,$B39,Allergenmatrix!$Y$22:$Y$71,"Freigegeben")</f>
        <v>0</v>
      </c>
      <c r="H39" s="67">
        <f t="shared" si="2"/>
        <v>0</v>
      </c>
      <c r="I39" s="57">
        <f ca="1">$C39-COUNTIFS(Allergenmatrix!$C$22:$C$71,$B39,Allergenmatrix!$AA$22:$AA$71,"OK")</f>
        <v>2</v>
      </c>
      <c r="J39" s="57">
        <f ca="1">COUNTIFS(Allergenmatrix!$C$22:$C$71,$B39,Allergenmatrix!$AA$22:$AA$71,"Prüfung überfällig")</f>
        <v>1</v>
      </c>
      <c r="K39" s="101" t="str">
        <f t="shared" ca="1" si="3"/>
        <v>Nacharbeit nötig</v>
      </c>
      <c r="L39" s="101"/>
    </row>
    <row r="40" spans="2:12" ht="18" customHeight="1" x14ac:dyDescent="0.25">
      <c r="B40" s="39" t="s">
        <v>192</v>
      </c>
      <c r="C40" s="60">
        <f>SUM($C$32:$C$39)</f>
        <v>32</v>
      </c>
      <c r="D40" s="60">
        <f>SUM($D$32:$D$39)</f>
        <v>7</v>
      </c>
      <c r="E40" s="68">
        <f>IFERROR(SUM(Allergenmatrix!$AE$22:$AE$71)/SUM($C$32:$C$39),0)</f>
        <v>1.6875</v>
      </c>
      <c r="F40" s="60">
        <f>SUM($F$32:$F$39)</f>
        <v>10</v>
      </c>
      <c r="G40" s="60">
        <f>SUM($G$32:$G$39)</f>
        <v>29</v>
      </c>
      <c r="H40" s="62">
        <f>IFERROR(SUM($G$32:$G$39)/SUM($C$32:$C$39),0)</f>
        <v>0.90625</v>
      </c>
      <c r="I40" s="60">
        <f ca="1">SUM($I$32:$I$39)</f>
        <v>3</v>
      </c>
      <c r="J40" s="60">
        <f ca="1">SUM($J$32:$J$39)</f>
        <v>2</v>
      </c>
      <c r="K40" s="102" t="s">
        <v>193</v>
      </c>
      <c r="L40" s="102"/>
    </row>
    <row r="42" spans="2:12" ht="19.5" customHeight="1" x14ac:dyDescent="0.25">
      <c r="B42" s="20" t="s">
        <v>50</v>
      </c>
      <c r="C42" s="9" t="s">
        <v>194</v>
      </c>
      <c r="D42" s="9"/>
      <c r="E42" s="9"/>
      <c r="F42" s="9"/>
      <c r="G42" s="9"/>
      <c r="H42" s="8" t="s">
        <v>195</v>
      </c>
      <c r="I42" s="8"/>
      <c r="J42" s="8"/>
      <c r="K42" s="8"/>
      <c r="L42" s="8"/>
    </row>
    <row r="43" spans="2:12" ht="25.5" customHeight="1" x14ac:dyDescent="0.25">
      <c r="B43" s="104" t="s">
        <v>80</v>
      </c>
      <c r="C43" s="104"/>
      <c r="D43" s="70" t="s">
        <v>185</v>
      </c>
      <c r="E43" s="70" t="s">
        <v>190</v>
      </c>
      <c r="F43" s="70" t="s">
        <v>191</v>
      </c>
      <c r="H43" s="104" t="s">
        <v>81</v>
      </c>
      <c r="I43" s="104"/>
      <c r="J43" s="70" t="s">
        <v>185</v>
      </c>
      <c r="K43" s="70" t="s">
        <v>174</v>
      </c>
      <c r="L43" s="69" t="s">
        <v>196</v>
      </c>
    </row>
    <row r="44" spans="2:12" ht="15" customHeight="1" x14ac:dyDescent="0.25">
      <c r="B44" s="105" t="str">
        <f>Stammdaten!$C$59</f>
        <v>C. Vogel</v>
      </c>
      <c r="C44" s="105"/>
      <c r="D44" s="57">
        <f>COUNTIF(Allergenmatrix!$X$22:$X$71,$B44)</f>
        <v>8</v>
      </c>
      <c r="E44" s="55">
        <f ca="1">COUNTIF(Allergenmatrix!$X$22:$X$71,$B44)-COUNTIFS(Allergenmatrix!$X$22:$X$71,$B44,Allergenmatrix!$AA$22:$AA$71,"OK")</f>
        <v>0</v>
      </c>
      <c r="F44" s="57">
        <f ca="1">COUNTIFS(Allergenmatrix!$X$22:$X$71,$B44,Allergenmatrix!$AA$22:$AA$71,"Prüfung überfällig")</f>
        <v>0</v>
      </c>
      <c r="H44" s="105" t="s">
        <v>90</v>
      </c>
      <c r="I44" s="105"/>
      <c r="J44" s="55">
        <f>COUNTIF(Allergenmatrix!$Y$22:$Y$71,$H44)</f>
        <v>29</v>
      </c>
      <c r="K44" s="56">
        <f>IFERROR($J44/COUNTA(Allergenmatrix!$D$22:$D$71),0)</f>
        <v>0.90625</v>
      </c>
      <c r="L44" s="71" t="s">
        <v>197</v>
      </c>
    </row>
    <row r="45" spans="2:12" ht="15" customHeight="1" x14ac:dyDescent="0.25">
      <c r="B45" s="105" t="str">
        <f>Stammdaten!$C$60</f>
        <v>M. Sander</v>
      </c>
      <c r="C45" s="105"/>
      <c r="D45" s="57">
        <f>COUNTIF(Allergenmatrix!$X$22:$X$71,$B45)</f>
        <v>11</v>
      </c>
      <c r="E45" s="55">
        <f ca="1">COUNTIF(Allergenmatrix!$X$22:$X$71,$B45)-COUNTIFS(Allergenmatrix!$X$22:$X$71,$B45,Allergenmatrix!$AA$22:$AA$71,"OK")</f>
        <v>0</v>
      </c>
      <c r="F45" s="57">
        <f ca="1">COUNTIFS(Allergenmatrix!$X$22:$X$71,$B45,Allergenmatrix!$AA$22:$AA$71,"Prüfung überfällig")</f>
        <v>0</v>
      </c>
      <c r="H45" s="105" t="s">
        <v>113</v>
      </c>
      <c r="I45" s="105"/>
      <c r="J45" s="55">
        <f>COUNTIF(Allergenmatrix!$Y$22:$Y$71,$H45)</f>
        <v>2</v>
      </c>
      <c r="K45" s="56">
        <f>IFERROR($J45/COUNTA(Allergenmatrix!$D$22:$D$71),0)</f>
        <v>6.25E-2</v>
      </c>
      <c r="L45" s="71" t="s">
        <v>198</v>
      </c>
    </row>
    <row r="46" spans="2:12" ht="15" customHeight="1" x14ac:dyDescent="0.25">
      <c r="B46" s="105" t="str">
        <f>Stammdaten!$C$61</f>
        <v>P. Ritter</v>
      </c>
      <c r="C46" s="105"/>
      <c r="D46" s="57">
        <f>COUNTIF(Allergenmatrix!$X$22:$X$71,$B46)</f>
        <v>8</v>
      </c>
      <c r="E46" s="55">
        <f ca="1">COUNTIF(Allergenmatrix!$X$22:$X$71,$B46)-COUNTIFS(Allergenmatrix!$X$22:$X$71,$B46,Allergenmatrix!$AA$22:$AA$71,"OK")</f>
        <v>2</v>
      </c>
      <c r="F46" s="57">
        <f ca="1">COUNTIFS(Allergenmatrix!$X$22:$X$71,$B46,Allergenmatrix!$AA$22:$AA$71,"Prüfung überfällig")</f>
        <v>2</v>
      </c>
      <c r="H46" s="105" t="s">
        <v>145</v>
      </c>
      <c r="I46" s="105"/>
      <c r="J46" s="55">
        <f>COUNTIF(Allergenmatrix!$Y$22:$Y$71,$H46)</f>
        <v>1</v>
      </c>
      <c r="K46" s="56">
        <f>IFERROR($J46/COUNTA(Allergenmatrix!$D$22:$D$71),0)</f>
        <v>3.125E-2</v>
      </c>
      <c r="L46" s="71" t="s">
        <v>199</v>
      </c>
    </row>
    <row r="47" spans="2:12" ht="15" customHeight="1" x14ac:dyDescent="0.25">
      <c r="B47" s="105" t="str">
        <f>Stammdaten!$C$62</f>
        <v>N. Albers</v>
      </c>
      <c r="C47" s="105"/>
      <c r="D47" s="57">
        <f>COUNTIF(Allergenmatrix!$X$22:$X$71,$B47)</f>
        <v>0</v>
      </c>
      <c r="E47" s="55">
        <f>COUNTIF(Allergenmatrix!$X$22:$X$71,$B47)-COUNTIFS(Allergenmatrix!$X$22:$X$71,$B47,Allergenmatrix!$AA$22:$AA$71,"OK")</f>
        <v>0</v>
      </c>
      <c r="F47" s="57">
        <f>COUNTIFS(Allergenmatrix!$X$22:$X$71,$B47,Allergenmatrix!$AA$22:$AA$71,"Prüfung überfällig")</f>
        <v>0</v>
      </c>
      <c r="H47" s="105" t="s">
        <v>200</v>
      </c>
      <c r="I47" s="105"/>
      <c r="J47" s="55">
        <f>COUNTIF(Allergenmatrix!$Y$22:$Y$71,$H47)</f>
        <v>0</v>
      </c>
      <c r="K47" s="56">
        <f>IFERROR($J47/COUNTA(Allergenmatrix!$D$22:$D$71),0)</f>
        <v>0</v>
      </c>
      <c r="L47" s="71" t="s">
        <v>201</v>
      </c>
    </row>
    <row r="48" spans="2:12" ht="15" customHeight="1" x14ac:dyDescent="0.25">
      <c r="B48" s="105" t="str">
        <f>Stammdaten!$C$63</f>
        <v>D. Krüger</v>
      </c>
      <c r="C48" s="105"/>
      <c r="D48" s="57">
        <f>COUNTIF(Allergenmatrix!$X$22:$X$71,$B48)</f>
        <v>4</v>
      </c>
      <c r="E48" s="55">
        <f ca="1">COUNTIF(Allergenmatrix!$X$22:$X$71,$B48)-COUNTIFS(Allergenmatrix!$X$22:$X$71,$B48,Allergenmatrix!$AA$22:$AA$71,"OK")</f>
        <v>0</v>
      </c>
      <c r="F48" s="57">
        <f ca="1">COUNTIFS(Allergenmatrix!$X$22:$X$71,$B48,Allergenmatrix!$AA$22:$AA$71,"Prüfung überfällig")</f>
        <v>0</v>
      </c>
    </row>
    <row r="49" spans="2:12" ht="15" customHeight="1" x14ac:dyDescent="0.25">
      <c r="B49" s="105" t="str">
        <f>Stammdaten!$C$64</f>
        <v>F. Lindner</v>
      </c>
      <c r="C49" s="105"/>
      <c r="D49" s="57">
        <f>COUNTIF(Allergenmatrix!$X$22:$X$71,$B49)</f>
        <v>0</v>
      </c>
      <c r="E49" s="55">
        <f>COUNTIF(Allergenmatrix!$X$22:$X$71,$B49)-COUNTIFS(Allergenmatrix!$X$22:$X$71,$B49,Allergenmatrix!$AA$22:$AA$71,"OK")</f>
        <v>0</v>
      </c>
      <c r="F49" s="57">
        <f>COUNTIFS(Allergenmatrix!$X$22:$X$71,$B49,Allergenmatrix!$AA$22:$AA$71,"Prüfung überfällig")</f>
        <v>0</v>
      </c>
    </row>
    <row r="50" spans="2:12" ht="18" customHeight="1" x14ac:dyDescent="0.25">
      <c r="B50" s="106" t="s">
        <v>192</v>
      </c>
      <c r="C50" s="106"/>
      <c r="D50" s="72">
        <f>SUM($D$44:$D$49)</f>
        <v>31</v>
      </c>
      <c r="E50" s="73">
        <f ca="1">SUM($E$44:$E$49)</f>
        <v>2</v>
      </c>
      <c r="F50" s="72">
        <f ca="1">SUM($F$44:$F$49)</f>
        <v>2</v>
      </c>
      <c r="H50" s="107" t="str">
        <f>"Gerichte ohne Verantwortlichen: "&amp;SUMPRODUCT((Allergenmatrix!$D$22:$D$71&lt;&gt;"")*(Allergenmatrix!$X$22:$X$71=""))</f>
        <v>Gerichte ohne Verantwortlichen: 1</v>
      </c>
      <c r="I50" s="107"/>
      <c r="J50" s="107"/>
      <c r="K50" s="107"/>
      <c r="L50" s="107"/>
    </row>
    <row r="52" spans="2:12" ht="19.5" customHeight="1" x14ac:dyDescent="0.25">
      <c r="B52" s="20" t="s">
        <v>202</v>
      </c>
      <c r="C52" s="9" t="s">
        <v>203</v>
      </c>
      <c r="D52" s="9"/>
      <c r="E52" s="9"/>
      <c r="F52" s="9"/>
      <c r="G52" s="8" t="s">
        <v>204</v>
      </c>
      <c r="H52" s="8"/>
      <c r="I52" s="8"/>
      <c r="J52" s="8"/>
      <c r="K52" s="8"/>
      <c r="L52" s="8"/>
    </row>
    <row r="53" spans="2:12" ht="25.5" customHeight="1" x14ac:dyDescent="0.25">
      <c r="B53" s="103" t="s">
        <v>205</v>
      </c>
      <c r="C53" s="103"/>
      <c r="D53" s="103"/>
      <c r="E53" s="103"/>
      <c r="F53" s="65" t="s">
        <v>206</v>
      </c>
      <c r="G53" s="65" t="s">
        <v>207</v>
      </c>
      <c r="H53" s="103" t="s">
        <v>208</v>
      </c>
      <c r="I53" s="103"/>
      <c r="J53" s="103"/>
      <c r="K53" s="103"/>
      <c r="L53" s="65" t="s">
        <v>180</v>
      </c>
    </row>
    <row r="54" spans="2:12" ht="15.75" customHeight="1" x14ac:dyDescent="0.25">
      <c r="B54" s="105" t="s">
        <v>209</v>
      </c>
      <c r="C54" s="105"/>
      <c r="D54" s="105"/>
      <c r="E54" s="105"/>
      <c r="F54" s="55">
        <f>SUMPRODUCT((Allergenmatrix!$D$22:$D$71&lt;&gt;"")*((Allergenmatrix!$V$22:$V$71="")+(Allergenmatrix!$V$22:$V$71="Nicht dokumentiert")))</f>
        <v>1</v>
      </c>
      <c r="G54" s="74">
        <f>0</f>
        <v>0</v>
      </c>
      <c r="H54" s="108" t="s">
        <v>210</v>
      </c>
      <c r="I54" s="108"/>
      <c r="J54" s="108"/>
      <c r="K54" s="108"/>
      <c r="L54" s="59" t="str">
        <f>IF($F54&lt;=$G54,"OK","PRÜFEN")</f>
        <v>PRÜFEN</v>
      </c>
    </row>
    <row r="55" spans="2:12" ht="15.75" customHeight="1" x14ac:dyDescent="0.25">
      <c r="B55" s="105" t="s">
        <v>211</v>
      </c>
      <c r="C55" s="105"/>
      <c r="D55" s="105"/>
      <c r="E55" s="105"/>
      <c r="F55" s="55">
        <f>SUMPRODUCT((Allergenmatrix!$D$22:$D$71&lt;&gt;"")*(Allergenmatrix!$X$22:$X$71=""))</f>
        <v>1</v>
      </c>
      <c r="G55" s="74">
        <f>0</f>
        <v>0</v>
      </c>
      <c r="H55" s="108" t="s">
        <v>212</v>
      </c>
      <c r="I55" s="108"/>
      <c r="J55" s="108"/>
      <c r="K55" s="108"/>
      <c r="L55" s="59" t="str">
        <f>IF($F55&lt;=$G55,"OK","PRÜFEN")</f>
        <v>PRÜFEN</v>
      </c>
    </row>
    <row r="56" spans="2:12" ht="15.75" customHeight="1" x14ac:dyDescent="0.25">
      <c r="B56" s="105" t="s">
        <v>213</v>
      </c>
      <c r="C56" s="105"/>
      <c r="D56" s="105"/>
      <c r="E56" s="105"/>
      <c r="F56" s="55">
        <f ca="1">SUMPRODUCT((Allergenmatrix!$D$22:$D$71&lt;&gt;"")*(Allergenmatrix!$W$22:$W$71&lt;&gt;"")*(Allergenmatrix!$W$22:$W$71&lt;EDATE(TODAY(),-Pruefintervall)))</f>
        <v>2</v>
      </c>
      <c r="G56" s="74">
        <f>0</f>
        <v>0</v>
      </c>
      <c r="H56" s="108" t="s">
        <v>214</v>
      </c>
      <c r="I56" s="108"/>
      <c r="J56" s="108"/>
      <c r="K56" s="108"/>
      <c r="L56" s="59" t="str">
        <f ca="1">IF($F56&lt;=$G56,"OK","PRÜFEN")</f>
        <v>PRÜFEN</v>
      </c>
    </row>
    <row r="57" spans="2:12" ht="15.75" customHeight="1" x14ac:dyDescent="0.25">
      <c r="B57" s="105" t="s">
        <v>215</v>
      </c>
      <c r="C57" s="105"/>
      <c r="D57" s="105"/>
      <c r="E57" s="105"/>
      <c r="F57" s="55">
        <f>COUNTA(Allergenmatrix!$D$22:$D$71)-COUNTIF(Allergenmatrix!$Y$22:$Y$71,"Freigegeben")</f>
        <v>3</v>
      </c>
      <c r="G57" s="74">
        <f>0</f>
        <v>0</v>
      </c>
      <c r="H57" s="108" t="s">
        <v>216</v>
      </c>
      <c r="I57" s="108"/>
      <c r="J57" s="108"/>
      <c r="K57" s="108"/>
      <c r="L57" s="59" t="str">
        <f>IF($F57&lt;=$G57,"OK","IN ARBEIT")</f>
        <v>IN ARBEIT</v>
      </c>
    </row>
    <row r="58" spans="2:12" ht="15.75" customHeight="1" x14ac:dyDescent="0.25">
      <c r="B58" s="105" t="s">
        <v>217</v>
      </c>
      <c r="C58" s="105"/>
      <c r="D58" s="105"/>
      <c r="E58" s="105"/>
      <c r="F58" s="55">
        <f>COUNTIF(Allergenmatrix!$S$22:$S$71,"–")</f>
        <v>7</v>
      </c>
      <c r="G58" s="74">
        <f>Ziel_Allergenfrei</f>
        <v>5</v>
      </c>
      <c r="H58" s="108" t="s">
        <v>218</v>
      </c>
      <c r="I58" s="108"/>
      <c r="J58" s="108"/>
      <c r="K58" s="108"/>
      <c r="L58" s="59" t="str">
        <f>IF($F58&gt;=$G58,"OK","PRÜFEN")</f>
        <v>OK</v>
      </c>
    </row>
    <row r="59" spans="2:12" ht="15.75" customHeight="1" x14ac:dyDescent="0.25">
      <c r="B59" s="105" t="s">
        <v>219</v>
      </c>
      <c r="C59" s="105"/>
      <c r="D59" s="105"/>
      <c r="E59" s="105"/>
      <c r="F59" s="67">
        <f ca="1">IFERROR(COUNTIF(Allergenmatrix!$AA$22:$AA$71,"OK")/COUNTA(Allergenmatrix!$D$22:$D$71),0)</f>
        <v>0.90625</v>
      </c>
      <c r="G59" s="75">
        <f>Ziel_Doku</f>
        <v>0.95</v>
      </c>
      <c r="H59" s="108" t="s">
        <v>220</v>
      </c>
      <c r="I59" s="108"/>
      <c r="J59" s="108"/>
      <c r="K59" s="108"/>
      <c r="L59" s="59" t="str">
        <f ca="1">IF($F59&gt;=$G59,"OK","PRÜFEN")</f>
        <v>PRÜFEN</v>
      </c>
    </row>
    <row r="60" spans="2:12" ht="15.75" customHeight="1" x14ac:dyDescent="0.25">
      <c r="B60" s="105" t="s">
        <v>221</v>
      </c>
      <c r="C60" s="105"/>
      <c r="D60" s="105"/>
      <c r="E60" s="105"/>
      <c r="F60" s="55">
        <f>SUMPRODUCT((Allergenmatrix!$D$22:$D$71&lt;&gt;"")*(COUNTIF(Allergenmatrix!$D$22:$D$71,Allergenmatrix!$D$22:$D$71)&gt;1))</f>
        <v>0</v>
      </c>
      <c r="G60" s="74">
        <f>0</f>
        <v>0</v>
      </c>
      <c r="H60" s="108" t="s">
        <v>222</v>
      </c>
      <c r="I60" s="108"/>
      <c r="J60" s="108"/>
      <c r="K60" s="108"/>
      <c r="L60" s="59" t="str">
        <f>IF($F60&lt;=$G60,"OK","PRÜFEN")</f>
        <v>OK</v>
      </c>
    </row>
    <row r="61" spans="2:12" ht="15.75" customHeight="1" x14ac:dyDescent="0.25">
      <c r="B61" s="105" t="s">
        <v>223</v>
      </c>
      <c r="C61" s="105"/>
      <c r="D61" s="105"/>
      <c r="E61" s="105"/>
      <c r="F61" s="55">
        <f>SUMPRODUCT((Allergenmatrix!$D$22:$D$71&lt;&gt;"")*(Allergenmatrix!$C$22:$C$71=""))</f>
        <v>0</v>
      </c>
      <c r="G61" s="74">
        <f>0</f>
        <v>0</v>
      </c>
      <c r="H61" s="108" t="s">
        <v>224</v>
      </c>
      <c r="I61" s="108"/>
      <c r="J61" s="108"/>
      <c r="K61" s="108"/>
      <c r="L61" s="59" t="str">
        <f>IF($F61&lt;=$G61,"OK","PRÜFEN")</f>
        <v>OK</v>
      </c>
    </row>
    <row r="62" spans="2:12" ht="15.75" customHeight="1" x14ac:dyDescent="0.25">
      <c r="B62" s="105" t="s">
        <v>225</v>
      </c>
      <c r="C62" s="105"/>
      <c r="D62" s="105"/>
      <c r="E62" s="105"/>
      <c r="F62" s="76">
        <f>Stammdaten!$D$11</f>
        <v>46204</v>
      </c>
      <c r="G62" s="77">
        <f ca="1">EDATE(TODAY(),-Pruefintervall)</f>
        <v>46046</v>
      </c>
      <c r="H62" s="108" t="s">
        <v>226</v>
      </c>
      <c r="I62" s="108"/>
      <c r="J62" s="108"/>
      <c r="K62" s="108"/>
      <c r="L62" s="59" t="str">
        <f ca="1">IF($F62&gt;=$G62,"OK","PRÜFEN")</f>
        <v>OK</v>
      </c>
    </row>
    <row r="64" spans="2:12" ht="19.5" customHeight="1" x14ac:dyDescent="0.25">
      <c r="B64" s="20" t="s">
        <v>227</v>
      </c>
      <c r="C64" s="9" t="s">
        <v>228</v>
      </c>
      <c r="D64" s="9"/>
      <c r="E64" s="8" t="s">
        <v>229</v>
      </c>
      <c r="F64" s="8"/>
      <c r="G64" s="8"/>
      <c r="H64" s="8"/>
      <c r="I64" s="8"/>
      <c r="J64" s="8"/>
      <c r="K64" s="8"/>
      <c r="L64" s="8"/>
    </row>
    <row r="95" spans="14:14" x14ac:dyDescent="0.25">
      <c r="N95" s="78">
        <f>Ziel_Doku</f>
        <v>0.95</v>
      </c>
    </row>
    <row r="96" spans="14:14" x14ac:dyDescent="0.25">
      <c r="N96" s="15">
        <f>Ziel_Allergenfrei</f>
        <v>5</v>
      </c>
    </row>
  </sheetData>
  <mergeCells count="97">
    <mergeCell ref="B62:E62"/>
    <mergeCell ref="H62:K62"/>
    <mergeCell ref="C64:D64"/>
    <mergeCell ref="E64:L64"/>
    <mergeCell ref="B59:E59"/>
    <mergeCell ref="H59:K59"/>
    <mergeCell ref="B60:E60"/>
    <mergeCell ref="H60:K60"/>
    <mergeCell ref="B61:E61"/>
    <mergeCell ref="H61:K61"/>
    <mergeCell ref="B56:E56"/>
    <mergeCell ref="H56:K56"/>
    <mergeCell ref="B57:E57"/>
    <mergeCell ref="H57:K57"/>
    <mergeCell ref="B58:E58"/>
    <mergeCell ref="H58:K58"/>
    <mergeCell ref="B53:E53"/>
    <mergeCell ref="H53:K53"/>
    <mergeCell ref="B54:E54"/>
    <mergeCell ref="H54:K54"/>
    <mergeCell ref="B55:E55"/>
    <mergeCell ref="H55:K55"/>
    <mergeCell ref="B49:C49"/>
    <mergeCell ref="B50:C50"/>
    <mergeCell ref="H50:L50"/>
    <mergeCell ref="C52:F52"/>
    <mergeCell ref="G52:L52"/>
    <mergeCell ref="B46:C46"/>
    <mergeCell ref="H46:I46"/>
    <mergeCell ref="B47:C47"/>
    <mergeCell ref="H47:I47"/>
    <mergeCell ref="B48:C48"/>
    <mergeCell ref="B43:C43"/>
    <mergeCell ref="H43:I43"/>
    <mergeCell ref="B44:C44"/>
    <mergeCell ref="H44:I44"/>
    <mergeCell ref="B45:C45"/>
    <mergeCell ref="H45:I45"/>
    <mergeCell ref="K37:L37"/>
    <mergeCell ref="K38:L38"/>
    <mergeCell ref="K39:L39"/>
    <mergeCell ref="K40:L40"/>
    <mergeCell ref="C42:G42"/>
    <mergeCell ref="H42:L42"/>
    <mergeCell ref="K32:L32"/>
    <mergeCell ref="K33:L33"/>
    <mergeCell ref="K34:L34"/>
    <mergeCell ref="K35:L35"/>
    <mergeCell ref="K36:L36"/>
    <mergeCell ref="B28:C28"/>
    <mergeCell ref="K28:L28"/>
    <mergeCell ref="C30:G30"/>
    <mergeCell ref="H30:L30"/>
    <mergeCell ref="K31:L31"/>
    <mergeCell ref="K23:L23"/>
    <mergeCell ref="K24:L24"/>
    <mergeCell ref="K25:L25"/>
    <mergeCell ref="K26:L26"/>
    <mergeCell ref="K27:L27"/>
    <mergeCell ref="K18:L18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J9:L9"/>
    <mergeCell ref="C10:D10"/>
    <mergeCell ref="F10:H10"/>
    <mergeCell ref="J10:L10"/>
    <mergeCell ref="C12:F12"/>
    <mergeCell ref="G12:L12"/>
    <mergeCell ref="B9:B10"/>
    <mergeCell ref="C9:D9"/>
    <mergeCell ref="E9:E10"/>
    <mergeCell ref="F9:H9"/>
    <mergeCell ref="I9:I10"/>
    <mergeCell ref="C6:D6"/>
    <mergeCell ref="E6:L6"/>
    <mergeCell ref="B7:B8"/>
    <mergeCell ref="C7:D7"/>
    <mergeCell ref="E7:E8"/>
    <mergeCell ref="F7:H7"/>
    <mergeCell ref="I7:I8"/>
    <mergeCell ref="J7:L7"/>
    <mergeCell ref="C8:D8"/>
    <mergeCell ref="F8:H8"/>
    <mergeCell ref="J8:L8"/>
    <mergeCell ref="B3:H3"/>
    <mergeCell ref="I3:J3"/>
    <mergeCell ref="K3:L3"/>
    <mergeCell ref="B4:H4"/>
    <mergeCell ref="I4:J4"/>
    <mergeCell ref="K4:L4"/>
  </mergeCells>
  <conditionalFormatting sqref="E7:E8">
    <cfRule type="expression" dxfId="17" priority="17">
      <formula>$E$7&lt;$N$95</formula>
    </cfRule>
    <cfRule type="expression" dxfId="16" priority="18">
      <formula>$E$7&gt;=$N$95</formula>
    </cfRule>
  </conditionalFormatting>
  <conditionalFormatting sqref="E14:E27">
    <cfRule type="dataBar" priority="2">
      <dataBar>
        <cfvo type="num" val="0"/>
        <cfvo type="max"/>
        <color rgb="FF0B5F5A"/>
      </dataBar>
      <extLst>
        <ext xmlns:x14="http://schemas.microsoft.com/office/spreadsheetml/2009/9/main" uri="{B025F937-C7B1-47D3-B67F-A62EFF666E3E}">
          <x14:id>{8C786296-C7F4-4C44-8824-B017AC52F91E}</x14:id>
        </ext>
      </extLst>
    </cfRule>
  </conditionalFormatting>
  <conditionalFormatting sqref="E44:F49">
    <cfRule type="expression" dxfId="15" priority="13">
      <formula>$E44&gt;0</formula>
    </cfRule>
  </conditionalFormatting>
  <conditionalFormatting sqref="I7:I8">
    <cfRule type="expression" dxfId="14" priority="19">
      <formula>$I$7&lt;$N$96</formula>
    </cfRule>
    <cfRule type="expression" dxfId="13" priority="20">
      <formula>$I$7&gt;=$N$96</formula>
    </cfRule>
  </conditionalFormatting>
  <conditionalFormatting sqref="I32:J39">
    <cfRule type="expression" dxfId="12" priority="12">
      <formula>$I32&gt;0</formula>
    </cfRule>
  </conditionalFormatting>
  <conditionalFormatting sqref="J14:J27">
    <cfRule type="expression" dxfId="11" priority="7">
      <formula>$J14="J"</formula>
    </cfRule>
  </conditionalFormatting>
  <conditionalFormatting sqref="K14:L27">
    <cfRule type="expression" dxfId="10" priority="3">
      <formula>$K14="Hauptallergen der Karte"</formula>
    </cfRule>
    <cfRule type="expression" dxfId="9" priority="4">
      <formula>$K14="häufig"</formula>
    </cfRule>
    <cfRule type="expression" dxfId="8" priority="5">
      <formula>$K14="vereinzelt"</formula>
    </cfRule>
    <cfRule type="expression" dxfId="7" priority="6">
      <formula>$K14&lt;&gt;""</formula>
    </cfRule>
  </conditionalFormatting>
  <conditionalFormatting sqref="K32:L39">
    <cfRule type="expression" dxfId="6" priority="8">
      <formula>$K32="Nacharbeit nötig"</formula>
    </cfRule>
    <cfRule type="expression" dxfId="5" priority="9">
      <formula>$K32="ohne allergenfreie Option"</formula>
    </cfRule>
    <cfRule type="expression" dxfId="4" priority="10">
      <formula>$K32="vollständig"</formula>
    </cfRule>
    <cfRule type="expression" dxfId="3" priority="11">
      <formula>$K32&lt;&gt;""</formula>
    </cfRule>
  </conditionalFormatting>
  <conditionalFormatting sqref="L54:L62">
    <cfRule type="expression" dxfId="2" priority="14">
      <formula>$L54="OK"</formula>
    </cfRule>
    <cfRule type="expression" dxfId="1" priority="15">
      <formula>$L54="IN ARBEIT"</formula>
    </cfRule>
    <cfRule type="expression" dxfId="0" priority="16">
      <formula>$L54="PRÜFEN"</formula>
    </cfRule>
  </conditionalFormatting>
  <printOptions horizontalCentered="1"/>
  <pageMargins left="0.75" right="0.75" top="1" bottom="1" header="0.511811023622047" footer="0.511811023622047"/>
  <pageSetup paperSize="9" fitToHeight="2" orientation="landscape" horizontalDpi="300" verticalDpi="300"/>
  <rowBreaks count="1" manualBreakCount="1">
    <brk id="41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786296-C7F4-4C44-8824-B017AC52F91E}">
            <x14:dataBar axisPosition="none">
              <x14:cfvo type="num">
                <xm:f>0</xm:f>
              </x14:cfvo>
              <x14:cfvo type="max"/>
              <x14:negativeFillColor rgb="FF0B5F5A"/>
            </x14:dataBar>
          </x14:cfRule>
          <xm:sqref>E14:E27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91"/>
  <sheetViews>
    <sheetView showGridLines="0" zoomScaleNormal="100" workbookViewId="0"/>
  </sheetViews>
  <sheetFormatPr baseColWidth="10" defaultColWidth="8.7109375" defaultRowHeight="15" x14ac:dyDescent="0.25"/>
  <cols>
    <col min="1" max="1" width="1.42578125" customWidth="1"/>
    <col min="2" max="2" width="8" customWidth="1"/>
    <col min="3" max="3" width="30" customWidth="1"/>
    <col min="4" max="5" width="14" customWidth="1"/>
    <col min="6" max="6" width="16" customWidth="1"/>
    <col min="7" max="7" width="40" customWidth="1"/>
  </cols>
  <sheetData>
    <row r="2" spans="2:7" ht="4.5" customHeight="1" x14ac:dyDescent="0.25">
      <c r="B2" s="16"/>
      <c r="C2" s="16"/>
      <c r="D2" s="16"/>
      <c r="E2" s="16"/>
      <c r="F2" s="16"/>
      <c r="G2" s="16"/>
    </row>
    <row r="3" spans="2:7" ht="30" customHeight="1" x14ac:dyDescent="0.25">
      <c r="B3" s="14" t="s">
        <v>230</v>
      </c>
      <c r="C3" s="14"/>
      <c r="D3" s="14"/>
      <c r="E3" s="14"/>
      <c r="F3" s="18" t="s">
        <v>231</v>
      </c>
      <c r="G3" s="18" t="s">
        <v>232</v>
      </c>
    </row>
    <row r="4" spans="2:7" ht="15.75" customHeight="1" x14ac:dyDescent="0.25">
      <c r="B4" s="12" t="s">
        <v>233</v>
      </c>
      <c r="C4" s="12"/>
      <c r="D4" s="12"/>
      <c r="E4" s="12"/>
      <c r="F4" s="19" t="s">
        <v>234</v>
      </c>
      <c r="G4" s="19" t="s">
        <v>235</v>
      </c>
    </row>
    <row r="6" spans="2:7" ht="19.5" customHeight="1" x14ac:dyDescent="0.25">
      <c r="B6" s="20" t="s">
        <v>4</v>
      </c>
      <c r="C6" s="21" t="s">
        <v>5</v>
      </c>
      <c r="D6" s="8" t="s">
        <v>236</v>
      </c>
      <c r="E6" s="8"/>
      <c r="F6" s="8"/>
      <c r="G6" s="8"/>
    </row>
    <row r="7" spans="2:7" ht="15.75" customHeight="1" x14ac:dyDescent="0.25">
      <c r="B7" s="109" t="s">
        <v>237</v>
      </c>
      <c r="C7" s="109"/>
      <c r="D7" s="110" t="s">
        <v>238</v>
      </c>
      <c r="E7" s="110"/>
      <c r="F7" s="99" t="s">
        <v>239</v>
      </c>
      <c r="G7" s="99"/>
    </row>
    <row r="8" spans="2:7" ht="15.75" customHeight="1" x14ac:dyDescent="0.25">
      <c r="B8" s="109" t="s">
        <v>240</v>
      </c>
      <c r="C8" s="109"/>
      <c r="D8" s="110" t="s">
        <v>241</v>
      </c>
      <c r="E8" s="110"/>
      <c r="F8" s="99" t="s">
        <v>242</v>
      </c>
      <c r="G8" s="99"/>
    </row>
    <row r="9" spans="2:7" ht="15.75" customHeight="1" x14ac:dyDescent="0.25">
      <c r="B9" s="109" t="s">
        <v>243</v>
      </c>
      <c r="C9" s="109"/>
      <c r="D9" s="110" t="s">
        <v>244</v>
      </c>
      <c r="E9" s="110"/>
      <c r="F9" s="99" t="s">
        <v>245</v>
      </c>
      <c r="G9" s="99"/>
    </row>
    <row r="10" spans="2:7" ht="15.75" customHeight="1" x14ac:dyDescent="0.25">
      <c r="B10" s="109" t="s">
        <v>246</v>
      </c>
      <c r="C10" s="109"/>
      <c r="D10" s="110" t="s">
        <v>247</v>
      </c>
      <c r="E10" s="110"/>
      <c r="F10" s="99" t="s">
        <v>248</v>
      </c>
      <c r="G10" s="99"/>
    </row>
    <row r="11" spans="2:7" ht="15.75" customHeight="1" x14ac:dyDescent="0.25">
      <c r="B11" s="109" t="s">
        <v>249</v>
      </c>
      <c r="C11" s="109"/>
      <c r="D11" s="111">
        <v>46204</v>
      </c>
      <c r="E11" s="111"/>
      <c r="F11" s="99" t="s">
        <v>250</v>
      </c>
      <c r="G11" s="99"/>
    </row>
    <row r="12" spans="2:7" ht="15.75" customHeight="1" x14ac:dyDescent="0.25">
      <c r="B12" s="109" t="s">
        <v>251</v>
      </c>
      <c r="C12" s="109"/>
      <c r="D12" s="111">
        <v>46204</v>
      </c>
      <c r="E12" s="111"/>
      <c r="F12" s="99" t="s">
        <v>252</v>
      </c>
      <c r="G12" s="99"/>
    </row>
    <row r="13" spans="2:7" ht="15.75" customHeight="1" x14ac:dyDescent="0.25">
      <c r="B13" s="109" t="s">
        <v>253</v>
      </c>
      <c r="C13" s="109"/>
      <c r="D13" s="112">
        <f>EDATE($D$11,Pruefintervall)</f>
        <v>46388</v>
      </c>
      <c r="E13" s="112"/>
      <c r="F13" s="99" t="s">
        <v>254</v>
      </c>
      <c r="G13" s="99"/>
    </row>
    <row r="14" spans="2:7" ht="15.75" customHeight="1" x14ac:dyDescent="0.25">
      <c r="B14" s="109" t="s">
        <v>255</v>
      </c>
      <c r="C14" s="109"/>
      <c r="D14" s="110" t="s">
        <v>256</v>
      </c>
      <c r="E14" s="110"/>
      <c r="F14" s="99" t="s">
        <v>257</v>
      </c>
      <c r="G14" s="99"/>
    </row>
    <row r="16" spans="2:7" ht="19.5" customHeight="1" x14ac:dyDescent="0.25">
      <c r="B16" s="20" t="s">
        <v>15</v>
      </c>
      <c r="C16" s="21" t="s">
        <v>258</v>
      </c>
      <c r="D16" s="8" t="s">
        <v>259</v>
      </c>
      <c r="E16" s="8"/>
      <c r="F16" s="8"/>
      <c r="G16" s="8"/>
    </row>
    <row r="17" spans="2:7" ht="15.75" customHeight="1" x14ac:dyDescent="0.25">
      <c r="B17" s="109" t="s">
        <v>260</v>
      </c>
      <c r="C17" s="109"/>
      <c r="D17" s="79">
        <v>6</v>
      </c>
      <c r="E17" s="99" t="s">
        <v>261</v>
      </c>
      <c r="F17" s="99"/>
      <c r="G17" s="99"/>
    </row>
    <row r="18" spans="2:7" ht="15.75" customHeight="1" x14ac:dyDescent="0.25">
      <c r="B18" s="109" t="s">
        <v>262</v>
      </c>
      <c r="C18" s="109"/>
      <c r="D18" s="79">
        <v>5</v>
      </c>
      <c r="E18" s="99" t="s">
        <v>263</v>
      </c>
      <c r="F18" s="99"/>
      <c r="G18" s="99"/>
    </row>
    <row r="19" spans="2:7" ht="15.75" customHeight="1" x14ac:dyDescent="0.25">
      <c r="B19" s="109" t="s">
        <v>264</v>
      </c>
      <c r="C19" s="109"/>
      <c r="D19" s="80">
        <v>0.95</v>
      </c>
      <c r="E19" s="99" t="s">
        <v>265</v>
      </c>
      <c r="F19" s="99"/>
      <c r="G19" s="99"/>
    </row>
    <row r="20" spans="2:7" ht="15.75" customHeight="1" x14ac:dyDescent="0.25">
      <c r="B20" s="109" t="s">
        <v>266</v>
      </c>
      <c r="C20" s="109"/>
      <c r="D20" s="79">
        <v>30</v>
      </c>
      <c r="E20" s="99" t="s">
        <v>267</v>
      </c>
      <c r="F20" s="99"/>
      <c r="G20" s="99"/>
    </row>
    <row r="21" spans="2:7" ht="15.75" customHeight="1" x14ac:dyDescent="0.25">
      <c r="B21" s="109" t="s">
        <v>268</v>
      </c>
      <c r="C21" s="109"/>
      <c r="D21" s="79">
        <v>12</v>
      </c>
      <c r="E21" s="99" t="s">
        <v>269</v>
      </c>
      <c r="F21" s="99"/>
      <c r="G21" s="99"/>
    </row>
    <row r="23" spans="2:7" ht="19.5" customHeight="1" x14ac:dyDescent="0.25">
      <c r="B23" s="20" t="s">
        <v>29</v>
      </c>
      <c r="C23" s="9" t="s">
        <v>270</v>
      </c>
      <c r="D23" s="9"/>
      <c r="E23" s="8" t="s">
        <v>271</v>
      </c>
      <c r="F23" s="8"/>
      <c r="G23" s="8"/>
    </row>
    <row r="24" spans="2:7" ht="24" customHeight="1" x14ac:dyDescent="0.25">
      <c r="B24" s="81" t="s">
        <v>172</v>
      </c>
      <c r="C24" s="81" t="s">
        <v>272</v>
      </c>
      <c r="D24" s="113" t="s">
        <v>273</v>
      </c>
      <c r="E24" s="113"/>
      <c r="F24" s="113"/>
      <c r="G24" s="113"/>
    </row>
    <row r="25" spans="2:7" ht="15" customHeight="1" x14ac:dyDescent="0.25">
      <c r="B25" s="54" t="s">
        <v>33</v>
      </c>
      <c r="C25" s="53" t="s">
        <v>57</v>
      </c>
      <c r="D25" s="108" t="s">
        <v>274</v>
      </c>
      <c r="E25" s="108"/>
      <c r="F25" s="108"/>
      <c r="G25" s="108"/>
    </row>
    <row r="26" spans="2:7" ht="15" customHeight="1" x14ac:dyDescent="0.25">
      <c r="B26" s="54" t="s">
        <v>34</v>
      </c>
      <c r="C26" s="53" t="s">
        <v>58</v>
      </c>
      <c r="D26" s="108" t="s">
        <v>275</v>
      </c>
      <c r="E26" s="108"/>
      <c r="F26" s="108"/>
      <c r="G26" s="108"/>
    </row>
    <row r="27" spans="2:7" ht="15" customHeight="1" x14ac:dyDescent="0.25">
      <c r="B27" s="54" t="s">
        <v>35</v>
      </c>
      <c r="C27" s="53" t="s">
        <v>59</v>
      </c>
      <c r="D27" s="108" t="s">
        <v>276</v>
      </c>
      <c r="E27" s="108"/>
      <c r="F27" s="108"/>
      <c r="G27" s="108"/>
    </row>
    <row r="28" spans="2:7" ht="15" customHeight="1" x14ac:dyDescent="0.25">
      <c r="B28" s="54" t="s">
        <v>36</v>
      </c>
      <c r="C28" s="53" t="s">
        <v>60</v>
      </c>
      <c r="D28" s="108" t="s">
        <v>277</v>
      </c>
      <c r="E28" s="108"/>
      <c r="F28" s="108"/>
      <c r="G28" s="108"/>
    </row>
    <row r="29" spans="2:7" ht="15" customHeight="1" x14ac:dyDescent="0.25">
      <c r="B29" s="54" t="s">
        <v>37</v>
      </c>
      <c r="C29" s="53" t="s">
        <v>61</v>
      </c>
      <c r="D29" s="108" t="s">
        <v>278</v>
      </c>
      <c r="E29" s="108"/>
      <c r="F29" s="108"/>
      <c r="G29" s="108"/>
    </row>
    <row r="30" spans="2:7" ht="15" customHeight="1" x14ac:dyDescent="0.25">
      <c r="B30" s="54" t="s">
        <v>38</v>
      </c>
      <c r="C30" s="53" t="s">
        <v>62</v>
      </c>
      <c r="D30" s="108" t="s">
        <v>279</v>
      </c>
      <c r="E30" s="108"/>
      <c r="F30" s="108"/>
      <c r="G30" s="108"/>
    </row>
    <row r="31" spans="2:7" ht="15" customHeight="1" x14ac:dyDescent="0.25">
      <c r="B31" s="54" t="s">
        <v>39</v>
      </c>
      <c r="C31" s="53" t="s">
        <v>63</v>
      </c>
      <c r="D31" s="108" t="s">
        <v>280</v>
      </c>
      <c r="E31" s="108"/>
      <c r="F31" s="108"/>
      <c r="G31" s="108"/>
    </row>
    <row r="32" spans="2:7" ht="15" customHeight="1" x14ac:dyDescent="0.25">
      <c r="B32" s="54" t="s">
        <v>40</v>
      </c>
      <c r="C32" s="53" t="s">
        <v>64</v>
      </c>
      <c r="D32" s="108" t="s">
        <v>281</v>
      </c>
      <c r="E32" s="108"/>
      <c r="F32" s="108"/>
      <c r="G32" s="108"/>
    </row>
    <row r="33" spans="2:7" ht="15" customHeight="1" x14ac:dyDescent="0.25">
      <c r="B33" s="54" t="s">
        <v>41</v>
      </c>
      <c r="C33" s="53" t="s">
        <v>65</v>
      </c>
      <c r="D33" s="108" t="s">
        <v>282</v>
      </c>
      <c r="E33" s="108"/>
      <c r="F33" s="108"/>
      <c r="G33" s="108"/>
    </row>
    <row r="34" spans="2:7" ht="15" customHeight="1" x14ac:dyDescent="0.25">
      <c r="B34" s="54" t="s">
        <v>42</v>
      </c>
      <c r="C34" s="53" t="s">
        <v>66</v>
      </c>
      <c r="D34" s="108" t="s">
        <v>283</v>
      </c>
      <c r="E34" s="108"/>
      <c r="F34" s="108"/>
      <c r="G34" s="108"/>
    </row>
    <row r="35" spans="2:7" ht="15" customHeight="1" x14ac:dyDescent="0.25">
      <c r="B35" s="54" t="s">
        <v>43</v>
      </c>
      <c r="C35" s="53" t="s">
        <v>67</v>
      </c>
      <c r="D35" s="108" t="s">
        <v>284</v>
      </c>
      <c r="E35" s="108"/>
      <c r="F35" s="108"/>
      <c r="G35" s="108"/>
    </row>
    <row r="36" spans="2:7" ht="15" customHeight="1" x14ac:dyDescent="0.25">
      <c r="B36" s="54" t="s">
        <v>44</v>
      </c>
      <c r="C36" s="53" t="s">
        <v>68</v>
      </c>
      <c r="D36" s="108" t="s">
        <v>285</v>
      </c>
      <c r="E36" s="108"/>
      <c r="F36" s="108"/>
      <c r="G36" s="108"/>
    </row>
    <row r="37" spans="2:7" ht="15" customHeight="1" x14ac:dyDescent="0.25">
      <c r="B37" s="54" t="s">
        <v>45</v>
      </c>
      <c r="C37" s="53" t="s">
        <v>69</v>
      </c>
      <c r="D37" s="108" t="s">
        <v>286</v>
      </c>
      <c r="E37" s="108"/>
      <c r="F37" s="108"/>
      <c r="G37" s="108"/>
    </row>
    <row r="38" spans="2:7" ht="15" customHeight="1" x14ac:dyDescent="0.25">
      <c r="B38" s="54" t="s">
        <v>46</v>
      </c>
      <c r="C38" s="53" t="s">
        <v>70</v>
      </c>
      <c r="D38" s="108" t="s">
        <v>287</v>
      </c>
      <c r="E38" s="108"/>
      <c r="F38" s="108"/>
      <c r="G38" s="108"/>
    </row>
    <row r="40" spans="2:7" ht="19.5" customHeight="1" x14ac:dyDescent="0.25">
      <c r="B40" s="20" t="s">
        <v>50</v>
      </c>
      <c r="C40" s="9" t="s">
        <v>288</v>
      </c>
      <c r="D40" s="9"/>
      <c r="E40" s="9"/>
      <c r="F40" s="8" t="s">
        <v>289</v>
      </c>
      <c r="G40" s="8"/>
    </row>
    <row r="41" spans="2:7" ht="24" customHeight="1" x14ac:dyDescent="0.25">
      <c r="B41" s="81" t="s">
        <v>72</v>
      </c>
      <c r="C41" s="81" t="s">
        <v>290</v>
      </c>
      <c r="D41" s="113" t="s">
        <v>291</v>
      </c>
      <c r="E41" s="113"/>
      <c r="F41" s="113"/>
      <c r="G41" s="113"/>
    </row>
    <row r="42" spans="2:7" ht="15" customHeight="1" x14ac:dyDescent="0.25">
      <c r="B42" s="82">
        <v>1</v>
      </c>
      <c r="C42" s="53" t="s">
        <v>292</v>
      </c>
      <c r="D42" s="108" t="s">
        <v>293</v>
      </c>
      <c r="E42" s="108"/>
      <c r="F42" s="108"/>
      <c r="G42" s="108"/>
    </row>
    <row r="43" spans="2:7" ht="15" customHeight="1" x14ac:dyDescent="0.25">
      <c r="B43" s="82">
        <v>2</v>
      </c>
      <c r="C43" s="53" t="s">
        <v>294</v>
      </c>
      <c r="D43" s="108" t="s">
        <v>295</v>
      </c>
      <c r="E43" s="108"/>
      <c r="F43" s="108"/>
      <c r="G43" s="108"/>
    </row>
    <row r="44" spans="2:7" ht="15" customHeight="1" x14ac:dyDescent="0.25">
      <c r="B44" s="82">
        <v>3</v>
      </c>
      <c r="C44" s="53" t="s">
        <v>296</v>
      </c>
      <c r="D44" s="108" t="s">
        <v>297</v>
      </c>
      <c r="E44" s="108"/>
      <c r="F44" s="108"/>
      <c r="G44" s="108"/>
    </row>
    <row r="45" spans="2:7" ht="15" customHeight="1" x14ac:dyDescent="0.25">
      <c r="B45" s="82">
        <v>4</v>
      </c>
      <c r="C45" s="53" t="s">
        <v>298</v>
      </c>
      <c r="D45" s="108" t="s">
        <v>299</v>
      </c>
      <c r="E45" s="108"/>
      <c r="F45" s="108"/>
      <c r="G45" s="108"/>
    </row>
    <row r="46" spans="2:7" ht="15" customHeight="1" x14ac:dyDescent="0.25">
      <c r="B46" s="82">
        <v>5</v>
      </c>
      <c r="C46" s="53" t="s">
        <v>300</v>
      </c>
      <c r="D46" s="108" t="s">
        <v>301</v>
      </c>
      <c r="E46" s="108"/>
      <c r="F46" s="108"/>
      <c r="G46" s="108"/>
    </row>
    <row r="47" spans="2:7" ht="15" customHeight="1" x14ac:dyDescent="0.25">
      <c r="B47" s="82">
        <v>6</v>
      </c>
      <c r="C47" s="53" t="s">
        <v>302</v>
      </c>
      <c r="D47" s="108" t="s">
        <v>303</v>
      </c>
      <c r="E47" s="108"/>
      <c r="F47" s="108"/>
      <c r="G47" s="108"/>
    </row>
    <row r="48" spans="2:7" ht="15" customHeight="1" x14ac:dyDescent="0.25">
      <c r="B48" s="82">
        <v>7</v>
      </c>
      <c r="C48" s="53" t="s">
        <v>304</v>
      </c>
      <c r="D48" s="108" t="s">
        <v>305</v>
      </c>
      <c r="E48" s="108"/>
      <c r="F48" s="108"/>
      <c r="G48" s="108"/>
    </row>
    <row r="49" spans="2:7" ht="15" customHeight="1" x14ac:dyDescent="0.25">
      <c r="B49" s="82">
        <v>8</v>
      </c>
      <c r="C49" s="53" t="s">
        <v>306</v>
      </c>
      <c r="D49" s="108" t="s">
        <v>307</v>
      </c>
      <c r="E49" s="108"/>
      <c r="F49" s="108"/>
      <c r="G49" s="108"/>
    </row>
    <row r="50" spans="2:7" ht="15" customHeight="1" x14ac:dyDescent="0.25">
      <c r="B50" s="82">
        <v>9</v>
      </c>
      <c r="C50" s="53" t="s">
        <v>308</v>
      </c>
      <c r="D50" s="108" t="s">
        <v>309</v>
      </c>
      <c r="E50" s="108"/>
      <c r="F50" s="108"/>
      <c r="G50" s="108"/>
    </row>
    <row r="51" spans="2:7" ht="15" customHeight="1" x14ac:dyDescent="0.25">
      <c r="B51" s="82">
        <v>10</v>
      </c>
      <c r="C51" s="53" t="s">
        <v>310</v>
      </c>
      <c r="D51" s="108" t="s">
        <v>311</v>
      </c>
      <c r="E51" s="108"/>
      <c r="F51" s="108"/>
      <c r="G51" s="108"/>
    </row>
    <row r="52" spans="2:7" ht="15" customHeight="1" x14ac:dyDescent="0.25">
      <c r="B52" s="82">
        <v>11</v>
      </c>
      <c r="C52" s="53" t="s">
        <v>312</v>
      </c>
      <c r="D52" s="108" t="s">
        <v>313</v>
      </c>
      <c r="E52" s="108"/>
      <c r="F52" s="108"/>
      <c r="G52" s="108"/>
    </row>
    <row r="53" spans="2:7" ht="15" customHeight="1" x14ac:dyDescent="0.25">
      <c r="B53" s="82">
        <v>12</v>
      </c>
      <c r="C53" s="53" t="s">
        <v>314</v>
      </c>
      <c r="D53" s="108" t="s">
        <v>315</v>
      </c>
      <c r="E53" s="108"/>
      <c r="F53" s="108"/>
      <c r="G53" s="108"/>
    </row>
    <row r="54" spans="2:7" ht="15" customHeight="1" x14ac:dyDescent="0.25">
      <c r="B54" s="82">
        <v>13</v>
      </c>
      <c r="C54" s="53" t="s">
        <v>316</v>
      </c>
      <c r="D54" s="108" t="s">
        <v>317</v>
      </c>
      <c r="E54" s="108"/>
      <c r="F54" s="108"/>
      <c r="G54" s="108"/>
    </row>
    <row r="55" spans="2:7" ht="15" customHeight="1" x14ac:dyDescent="0.25">
      <c r="B55" s="82">
        <v>14</v>
      </c>
      <c r="C55" s="53" t="s">
        <v>318</v>
      </c>
      <c r="D55" s="108" t="s">
        <v>319</v>
      </c>
      <c r="E55" s="108"/>
      <c r="F55" s="108"/>
      <c r="G55" s="108"/>
    </row>
    <row r="57" spans="2:7" ht="19.5" customHeight="1" x14ac:dyDescent="0.25">
      <c r="B57" s="20" t="s">
        <v>202</v>
      </c>
      <c r="C57" s="21" t="s">
        <v>320</v>
      </c>
      <c r="D57" s="8" t="s">
        <v>321</v>
      </c>
      <c r="E57" s="8"/>
      <c r="F57" s="8"/>
      <c r="G57" s="8"/>
    </row>
    <row r="58" spans="2:7" ht="24" customHeight="1" x14ac:dyDescent="0.25">
      <c r="B58" s="81" t="s">
        <v>72</v>
      </c>
      <c r="C58" s="81" t="s">
        <v>322</v>
      </c>
      <c r="D58" s="113" t="s">
        <v>323</v>
      </c>
      <c r="E58" s="113"/>
      <c r="F58" s="113" t="s">
        <v>324</v>
      </c>
      <c r="G58" s="113"/>
    </row>
    <row r="59" spans="2:7" ht="15" customHeight="1" x14ac:dyDescent="0.25">
      <c r="B59" s="83">
        <v>1</v>
      </c>
      <c r="C59" s="31" t="s">
        <v>89</v>
      </c>
      <c r="D59" s="114" t="s">
        <v>325</v>
      </c>
      <c r="E59" s="114"/>
      <c r="F59" s="108" t="s">
        <v>326</v>
      </c>
      <c r="G59" s="108"/>
    </row>
    <row r="60" spans="2:7" ht="15" customHeight="1" x14ac:dyDescent="0.25">
      <c r="B60" s="83">
        <v>2</v>
      </c>
      <c r="C60" s="31" t="s">
        <v>95</v>
      </c>
      <c r="D60" s="114" t="s">
        <v>327</v>
      </c>
      <c r="E60" s="114"/>
      <c r="F60" s="108" t="s">
        <v>328</v>
      </c>
      <c r="G60" s="108"/>
    </row>
    <row r="61" spans="2:7" ht="15" customHeight="1" x14ac:dyDescent="0.25">
      <c r="B61" s="83">
        <v>3</v>
      </c>
      <c r="C61" s="31" t="s">
        <v>93</v>
      </c>
      <c r="D61" s="114" t="s">
        <v>329</v>
      </c>
      <c r="E61" s="114"/>
      <c r="F61" s="108" t="s">
        <v>330</v>
      </c>
      <c r="G61" s="108"/>
    </row>
    <row r="62" spans="2:7" ht="15" customHeight="1" x14ac:dyDescent="0.25">
      <c r="B62" s="83">
        <v>4</v>
      </c>
      <c r="C62" s="31" t="s">
        <v>247</v>
      </c>
      <c r="D62" s="114" t="s">
        <v>331</v>
      </c>
      <c r="E62" s="114"/>
      <c r="F62" s="108" t="s">
        <v>332</v>
      </c>
      <c r="G62" s="108"/>
    </row>
    <row r="63" spans="2:7" ht="15" customHeight="1" x14ac:dyDescent="0.25">
      <c r="B63" s="83">
        <v>5</v>
      </c>
      <c r="C63" s="31" t="s">
        <v>135</v>
      </c>
      <c r="D63" s="114" t="s">
        <v>333</v>
      </c>
      <c r="E63" s="114"/>
      <c r="F63" s="108" t="s">
        <v>334</v>
      </c>
      <c r="G63" s="108"/>
    </row>
    <row r="64" spans="2:7" ht="15" customHeight="1" x14ac:dyDescent="0.25">
      <c r="B64" s="83">
        <v>6</v>
      </c>
      <c r="C64" s="31" t="s">
        <v>335</v>
      </c>
      <c r="D64" s="114" t="s">
        <v>336</v>
      </c>
      <c r="E64" s="114"/>
      <c r="F64" s="108" t="s">
        <v>337</v>
      </c>
      <c r="G64" s="108"/>
    </row>
    <row r="66" spans="2:7" ht="19.5" customHeight="1" x14ac:dyDescent="0.25">
      <c r="B66" s="20" t="s">
        <v>227</v>
      </c>
      <c r="C66" s="21" t="s">
        <v>338</v>
      </c>
      <c r="D66" s="8" t="s">
        <v>339</v>
      </c>
      <c r="E66" s="8"/>
      <c r="F66" s="8"/>
      <c r="G66" s="8"/>
    </row>
    <row r="67" spans="2:7" ht="24" customHeight="1" x14ac:dyDescent="0.25">
      <c r="B67" s="115" t="s">
        <v>340</v>
      </c>
      <c r="C67" s="115"/>
      <c r="D67" s="115" t="s">
        <v>341</v>
      </c>
      <c r="E67" s="115"/>
      <c r="F67" s="115" t="s">
        <v>342</v>
      </c>
      <c r="G67" s="115"/>
    </row>
    <row r="68" spans="2:7" ht="15" customHeight="1" x14ac:dyDescent="0.25">
      <c r="B68" s="116" t="s">
        <v>84</v>
      </c>
      <c r="C68" s="116"/>
      <c r="D68" s="116" t="s">
        <v>92</v>
      </c>
      <c r="E68" s="116"/>
      <c r="F68" s="116" t="s">
        <v>90</v>
      </c>
      <c r="G68" s="116"/>
    </row>
    <row r="69" spans="2:7" ht="15" customHeight="1" x14ac:dyDescent="0.25">
      <c r="B69" s="116" t="s">
        <v>98</v>
      </c>
      <c r="C69" s="116"/>
      <c r="D69" s="116" t="s">
        <v>97</v>
      </c>
      <c r="E69" s="116"/>
      <c r="F69" s="116" t="s">
        <v>113</v>
      </c>
      <c r="G69" s="116"/>
    </row>
    <row r="70" spans="2:7" ht="15" customHeight="1" x14ac:dyDescent="0.25">
      <c r="B70" s="116" t="s">
        <v>103</v>
      </c>
      <c r="C70" s="116"/>
      <c r="D70" s="116" t="s">
        <v>88</v>
      </c>
      <c r="E70" s="116"/>
      <c r="F70" s="116" t="s">
        <v>145</v>
      </c>
      <c r="G70" s="116"/>
    </row>
    <row r="71" spans="2:7" ht="15" customHeight="1" x14ac:dyDescent="0.25">
      <c r="B71" s="116" t="s">
        <v>107</v>
      </c>
      <c r="C71" s="116"/>
      <c r="D71" s="116" t="s">
        <v>134</v>
      </c>
      <c r="E71" s="116"/>
      <c r="F71" s="116" t="s">
        <v>200</v>
      </c>
      <c r="G71" s="116"/>
    </row>
    <row r="72" spans="2:7" ht="15" customHeight="1" x14ac:dyDescent="0.25">
      <c r="B72" s="116" t="s">
        <v>117</v>
      </c>
      <c r="C72" s="116"/>
      <c r="D72" s="116" t="s">
        <v>144</v>
      </c>
      <c r="E72" s="116"/>
      <c r="F72" s="116"/>
      <c r="G72" s="116"/>
    </row>
    <row r="73" spans="2:7" ht="15" customHeight="1" x14ac:dyDescent="0.25">
      <c r="B73" s="116" t="s">
        <v>124</v>
      </c>
      <c r="C73" s="116"/>
      <c r="D73" s="116"/>
      <c r="E73" s="116"/>
      <c r="F73" s="116"/>
      <c r="G73" s="116"/>
    </row>
    <row r="74" spans="2:7" ht="15" customHeight="1" x14ac:dyDescent="0.25">
      <c r="B74" s="116" t="s">
        <v>131</v>
      </c>
      <c r="C74" s="116"/>
      <c r="D74" s="116"/>
      <c r="E74" s="116"/>
      <c r="F74" s="116"/>
      <c r="G74" s="116"/>
    </row>
    <row r="75" spans="2:7" ht="15" customHeight="1" x14ac:dyDescent="0.25">
      <c r="B75" s="116" t="s">
        <v>141</v>
      </c>
      <c r="C75" s="116"/>
      <c r="D75" s="116"/>
      <c r="E75" s="116"/>
      <c r="F75" s="116"/>
      <c r="G75" s="116"/>
    </row>
    <row r="77" spans="2:7" ht="19.5" customHeight="1" x14ac:dyDescent="0.25">
      <c r="B77" s="20" t="s">
        <v>343</v>
      </c>
      <c r="C77" s="9" t="s">
        <v>344</v>
      </c>
      <c r="D77" s="9"/>
      <c r="E77" s="84"/>
      <c r="F77" s="84"/>
      <c r="G77" s="84"/>
    </row>
    <row r="78" spans="2:7" ht="25.5" customHeight="1" x14ac:dyDescent="0.25">
      <c r="B78" s="85" t="s">
        <v>129</v>
      </c>
      <c r="C78" s="117" t="s">
        <v>345</v>
      </c>
      <c r="D78" s="117"/>
      <c r="E78" s="117"/>
      <c r="F78" s="117"/>
      <c r="G78" s="117"/>
    </row>
    <row r="79" spans="2:7" ht="25.5" customHeight="1" x14ac:dyDescent="0.25">
      <c r="B79" s="85" t="s">
        <v>346</v>
      </c>
      <c r="C79" s="117" t="s">
        <v>347</v>
      </c>
      <c r="D79" s="117"/>
      <c r="E79" s="117"/>
      <c r="F79" s="117"/>
      <c r="G79" s="117"/>
    </row>
    <row r="80" spans="2:7" ht="25.5" customHeight="1" x14ac:dyDescent="0.25">
      <c r="B80" s="85" t="s">
        <v>122</v>
      </c>
      <c r="C80" s="117" t="s">
        <v>348</v>
      </c>
      <c r="D80" s="117"/>
      <c r="E80" s="117"/>
      <c r="F80" s="117"/>
      <c r="G80" s="117"/>
    </row>
    <row r="81" spans="2:7" ht="25.5" customHeight="1" x14ac:dyDescent="0.25">
      <c r="B81" s="85" t="s">
        <v>100</v>
      </c>
      <c r="C81" s="117" t="s">
        <v>349</v>
      </c>
      <c r="D81" s="117"/>
      <c r="E81" s="117"/>
      <c r="F81" s="117"/>
      <c r="G81" s="117"/>
    </row>
    <row r="82" spans="2:7" ht="25.5" customHeight="1" x14ac:dyDescent="0.25">
      <c r="B82" s="85" t="s">
        <v>137</v>
      </c>
      <c r="C82" s="117" t="s">
        <v>350</v>
      </c>
      <c r="D82" s="117"/>
      <c r="E82" s="117"/>
      <c r="F82" s="117"/>
      <c r="G82" s="117"/>
    </row>
    <row r="83" spans="2:7" ht="25.5" customHeight="1" x14ac:dyDescent="0.25">
      <c r="B83" s="85" t="s">
        <v>351</v>
      </c>
      <c r="C83" s="117" t="s">
        <v>352</v>
      </c>
      <c r="D83" s="117"/>
      <c r="E83" s="117"/>
      <c r="F83" s="117"/>
      <c r="G83" s="117"/>
    </row>
    <row r="84" spans="2:7" ht="25.5" customHeight="1" x14ac:dyDescent="0.25">
      <c r="B84" s="85" t="s">
        <v>127</v>
      </c>
      <c r="C84" s="117" t="s">
        <v>353</v>
      </c>
      <c r="D84" s="117"/>
      <c r="E84" s="117"/>
      <c r="F84" s="117"/>
      <c r="G84" s="117"/>
    </row>
    <row r="86" spans="2:7" ht="19.5" customHeight="1" x14ac:dyDescent="0.25">
      <c r="B86" s="20" t="s">
        <v>354</v>
      </c>
      <c r="C86" s="9" t="s">
        <v>355</v>
      </c>
      <c r="D86" s="9"/>
      <c r="E86" s="9"/>
      <c r="F86" s="84"/>
      <c r="G86" s="84"/>
    </row>
    <row r="87" spans="2:7" x14ac:dyDescent="0.25">
      <c r="B87" s="46" t="s">
        <v>86</v>
      </c>
      <c r="C87" s="47" t="s">
        <v>356</v>
      </c>
      <c r="D87" s="49" t="s">
        <v>150</v>
      </c>
      <c r="E87" s="50" t="s">
        <v>151</v>
      </c>
      <c r="F87" s="51" t="s">
        <v>90</v>
      </c>
      <c r="G87" s="48" t="s">
        <v>357</v>
      </c>
    </row>
    <row r="89" spans="2:7" ht="12.75" customHeight="1" x14ac:dyDescent="0.25">
      <c r="B89" s="118" t="s">
        <v>358</v>
      </c>
      <c r="C89" s="118"/>
      <c r="D89" s="118"/>
      <c r="E89" s="118"/>
      <c r="F89" s="118"/>
      <c r="G89" s="118"/>
    </row>
    <row r="90" spans="2:7" ht="12.75" customHeight="1" x14ac:dyDescent="0.25">
      <c r="B90" s="118"/>
      <c r="C90" s="118"/>
      <c r="D90" s="118"/>
      <c r="E90" s="118"/>
      <c r="F90" s="118"/>
      <c r="G90" s="118"/>
    </row>
    <row r="91" spans="2:7" ht="12.75" customHeight="1" x14ac:dyDescent="0.25">
      <c r="B91" s="118"/>
      <c r="C91" s="118"/>
      <c r="D91" s="118"/>
      <c r="E91" s="118"/>
      <c r="F91" s="118"/>
      <c r="G91" s="118"/>
    </row>
  </sheetData>
  <mergeCells count="125">
    <mergeCell ref="C80:G80"/>
    <mergeCell ref="C81:G81"/>
    <mergeCell ref="C82:G82"/>
    <mergeCell ref="C83:G83"/>
    <mergeCell ref="C84:G84"/>
    <mergeCell ref="C86:E86"/>
    <mergeCell ref="B89:G91"/>
    <mergeCell ref="B74:C74"/>
    <mergeCell ref="D74:E74"/>
    <mergeCell ref="F74:G74"/>
    <mergeCell ref="B75:C75"/>
    <mergeCell ref="D75:E75"/>
    <mergeCell ref="F75:G75"/>
    <mergeCell ref="C77:D77"/>
    <mergeCell ref="C78:G78"/>
    <mergeCell ref="C79:G79"/>
    <mergeCell ref="B71:C71"/>
    <mergeCell ref="D71:E71"/>
    <mergeCell ref="F71:G71"/>
    <mergeCell ref="B72:C72"/>
    <mergeCell ref="D72:E72"/>
    <mergeCell ref="F72:G72"/>
    <mergeCell ref="B73:C73"/>
    <mergeCell ref="D73:E73"/>
    <mergeCell ref="F73:G73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D62:E62"/>
    <mergeCell ref="F62:G62"/>
    <mergeCell ref="D63:E63"/>
    <mergeCell ref="F63:G63"/>
    <mergeCell ref="D64:E64"/>
    <mergeCell ref="F64:G64"/>
    <mergeCell ref="D66:G66"/>
    <mergeCell ref="B67:C67"/>
    <mergeCell ref="D67:E67"/>
    <mergeCell ref="F67:G67"/>
    <mergeCell ref="D57:G57"/>
    <mergeCell ref="D58:E58"/>
    <mergeCell ref="F58:G58"/>
    <mergeCell ref="D59:E59"/>
    <mergeCell ref="F59:G59"/>
    <mergeCell ref="D60:E60"/>
    <mergeCell ref="F60:G60"/>
    <mergeCell ref="D61:E61"/>
    <mergeCell ref="F61:G61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C40:E40"/>
    <mergeCell ref="F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B21:C21"/>
    <mergeCell ref="E21:G21"/>
    <mergeCell ref="C23:D23"/>
    <mergeCell ref="E23:G23"/>
    <mergeCell ref="D24:G24"/>
    <mergeCell ref="D25:G25"/>
    <mergeCell ref="D26:G26"/>
    <mergeCell ref="D27:G27"/>
    <mergeCell ref="D28:G28"/>
    <mergeCell ref="D16:G16"/>
    <mergeCell ref="B17:C17"/>
    <mergeCell ref="E17:G17"/>
    <mergeCell ref="B18:C18"/>
    <mergeCell ref="E18:G18"/>
    <mergeCell ref="B19:C19"/>
    <mergeCell ref="E19:G19"/>
    <mergeCell ref="B20:C20"/>
    <mergeCell ref="E20:G20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3:E3"/>
    <mergeCell ref="B4:E4"/>
    <mergeCell ref="D6:G6"/>
    <mergeCell ref="B7:C7"/>
    <mergeCell ref="D7:E7"/>
    <mergeCell ref="F7:G7"/>
    <mergeCell ref="B8:C8"/>
    <mergeCell ref="D8:E8"/>
    <mergeCell ref="F8:G8"/>
  </mergeCells>
  <printOptions horizontalCentered="1"/>
  <pageMargins left="0.75" right="0.75" top="1" bottom="1" header="0.511811023622047" footer="0.511811023622047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13</vt:i4>
      </vt:variant>
    </vt:vector>
  </HeadingPairs>
  <TitlesOfParts>
    <vt:vector size="16" baseType="lpstr">
      <vt:lpstr>Allergenmatrix</vt:lpstr>
      <vt:lpstr>Auswertung</vt:lpstr>
      <vt:lpstr>Stammdaten</vt:lpstr>
      <vt:lpstr>Allergenmatrix!Druckbereich</vt:lpstr>
      <vt:lpstr>Auswertung!Druckbereich</vt:lpstr>
      <vt:lpstr>Stammdaten!Druckbereich</vt:lpstr>
      <vt:lpstr>Allergenmatrix!Drucktitel</vt:lpstr>
      <vt:lpstr>Liste_Kategorien</vt:lpstr>
      <vt:lpstr>Liste_Nachweis</vt:lpstr>
      <vt:lpstr>Liste_Status</vt:lpstr>
      <vt:lpstr>Liste_Team</vt:lpstr>
      <vt:lpstr>Pruefintervall</vt:lpstr>
      <vt:lpstr>Schulungsintervall</vt:lpstr>
      <vt:lpstr>Warnfrist</vt:lpstr>
      <vt:lpstr>Ziel_Allergenfrei</vt:lpstr>
      <vt:lpstr>Ziel_Doku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2026-07-24T08:38:28Z</dcterms:created>
  <dcterms:modified xsi:type="dcterms:W3CDTF">2026-07-24T08:42:34Z</dcterms:modified>
  <dc:language>en-US</dc:language>
</cp:coreProperties>
</file>