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2A0CCE0D-A34F-4750-BAAC-1001A9EB229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Buffetplan" sheetId="1" r:id="rId1"/>
    <sheet name="Auswertung" sheetId="2" r:id="rId2"/>
    <sheet name="Stammdaten" sheetId="3" r:id="rId3"/>
  </sheets>
  <definedNames>
    <definedName name="_xlnm._FilterDatabase" localSheetId="0" hidden="1">Buffetplan!$B$17:$R$67</definedName>
    <definedName name="Anlass">Stammdaten!$C$8</definedName>
    <definedName name="Beginn">Stammdaten!$C$10</definedName>
    <definedName name="Budget">Stammdaten!$C$23</definedName>
    <definedName name="_xlnm.Print_Area" localSheetId="0">Buffetplan!$B$1:$R$70</definedName>
    <definedName name="_xlnm.Print_Area" localSheetId="2">Stammdaten!$B$1:$G$84</definedName>
    <definedName name="_xlnm.Print_Titles" localSheetId="0">Buffetplan!$16:$17</definedName>
    <definedName name="Eventdatum">Stammdaten!$C$9</definedName>
    <definedName name="Faktor_Kind">Stammdaten!$C$19</definedName>
    <definedName name="Gaeste_erwachsen">Stammdaten!$C$17</definedName>
    <definedName name="Gaeste_gesamt">Stammdaten!$C$20</definedName>
    <definedName name="Gaeste_gewichtet">Stammdaten!$C$21</definedName>
    <definedName name="Gaeste_kinder">Stammdaten!$C$18</definedName>
    <definedName name="Kat_Bereich">Stammdaten!$C$30:$C$39</definedName>
    <definedName name="Kat_Einheit">Stammdaten!$D$30:$D$39</definedName>
    <definedName name="Kat_Namen">Stammdaten!$B$30:$B$39</definedName>
    <definedName name="Kat_Positionen">Stammdaten!$F$30:$F$39</definedName>
    <definedName name="Kat_Richtwert">Stammdaten!$E$30:$E$39</definedName>
    <definedName name="Liste_Beschaffung">Stammdaten!$D$55:$D$58</definedName>
    <definedName name="Liste_Ernaehrung">Stammdaten!$C$55:$C$58</definedName>
    <definedName name="Liste_Servierart">Stammdaten!$B$55:$B$57</definedName>
    <definedName name="Liste_Status">Stammdaten!$E$55:$E$59</definedName>
    <definedName name="Liste_Zustaendig">Stammdaten!$B$44:$B$51</definedName>
    <definedName name="Puffer">Stammdaten!$C$22</definedName>
    <definedName name="Servierform">Stammdaten!$C$12</definedName>
    <definedName name="Veranstalter">Stammdaten!$C$7</definedName>
    <definedName name="Veranstaltungsort">Stammdaten!$C$11</definedName>
    <definedName name="Ziel_Deckung">Stammdaten!$C$26</definedName>
    <definedName name="Ziel_Kosten_Gast">Stammdaten!$C$24</definedName>
    <definedName name="Ziel_Vegetarisch">Stammdaten!$C$25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0" i="3" l="1"/>
  <c r="E40" i="3"/>
  <c r="C24" i="3"/>
  <c r="C21" i="3"/>
  <c r="C20" i="3"/>
  <c r="G55" i="2"/>
  <c r="F55" i="2"/>
  <c r="L55" i="2" s="1"/>
  <c r="G54" i="2"/>
  <c r="F54" i="2"/>
  <c r="L54" i="2" s="1"/>
  <c r="G53" i="2"/>
  <c r="F53" i="2"/>
  <c r="L53" i="2" s="1"/>
  <c r="L52" i="2"/>
  <c r="G52" i="2"/>
  <c r="F52" i="2"/>
  <c r="G51" i="2"/>
  <c r="F51" i="2"/>
  <c r="L51" i="2" s="1"/>
  <c r="G50" i="2"/>
  <c r="F50" i="2"/>
  <c r="L50" i="2" s="1"/>
  <c r="G49" i="2"/>
  <c r="G48" i="2"/>
  <c r="G47" i="2"/>
  <c r="B42" i="2"/>
  <c r="F42" i="2" s="1"/>
  <c r="F41" i="2"/>
  <c r="D41" i="2"/>
  <c r="G41" i="2" s="1"/>
  <c r="B41" i="2"/>
  <c r="E41" i="2" s="1"/>
  <c r="L40" i="2"/>
  <c r="J40" i="2"/>
  <c r="E40" i="2"/>
  <c r="D40" i="2"/>
  <c r="G40" i="2" s="1"/>
  <c r="B40" i="2"/>
  <c r="F40" i="2" s="1"/>
  <c r="L39" i="2"/>
  <c r="J39" i="2"/>
  <c r="K39" i="2" s="1"/>
  <c r="H39" i="2"/>
  <c r="D39" i="2"/>
  <c r="G39" i="2" s="1"/>
  <c r="B39" i="2"/>
  <c r="F39" i="2" s="1"/>
  <c r="L38" i="2"/>
  <c r="J38" i="2"/>
  <c r="K38" i="2" s="1"/>
  <c r="H38" i="2"/>
  <c r="F38" i="2"/>
  <c r="B38" i="2"/>
  <c r="E38" i="2" s="1"/>
  <c r="L37" i="2"/>
  <c r="J37" i="2"/>
  <c r="K37" i="2" s="1"/>
  <c r="H37" i="2"/>
  <c r="B37" i="2"/>
  <c r="F37" i="2" s="1"/>
  <c r="L36" i="2"/>
  <c r="J36" i="2"/>
  <c r="K36" i="2" s="1"/>
  <c r="H36" i="2"/>
  <c r="D36" i="2"/>
  <c r="G36" i="2" s="1"/>
  <c r="B36" i="2"/>
  <c r="F36" i="2" s="1"/>
  <c r="J35" i="2"/>
  <c r="K35" i="2" s="1"/>
  <c r="H35" i="2"/>
  <c r="L35" i="2" s="1"/>
  <c r="F35" i="2"/>
  <c r="E35" i="2"/>
  <c r="B35" i="2"/>
  <c r="D35" i="2" s="1"/>
  <c r="L30" i="2"/>
  <c r="J30" i="2"/>
  <c r="K30" i="2" s="1"/>
  <c r="G30" i="2"/>
  <c r="D30" i="2"/>
  <c r="D31" i="2" s="1"/>
  <c r="L29" i="2"/>
  <c r="J29" i="2"/>
  <c r="K29" i="2" s="1"/>
  <c r="G29" i="2"/>
  <c r="G31" i="2" s="1"/>
  <c r="D29" i="2"/>
  <c r="E29" i="2" s="1"/>
  <c r="L28" i="2"/>
  <c r="K28" i="2"/>
  <c r="J28" i="2"/>
  <c r="G28" i="2"/>
  <c r="E28" i="2"/>
  <c r="D28" i="2"/>
  <c r="L27" i="2"/>
  <c r="L31" i="2" s="1"/>
  <c r="J27" i="2"/>
  <c r="J31" i="2" s="1"/>
  <c r="G27" i="2"/>
  <c r="D27" i="2"/>
  <c r="E27" i="2" s="1"/>
  <c r="L23" i="2"/>
  <c r="F22" i="2"/>
  <c r="G22" i="2" s="1"/>
  <c r="E22" i="2"/>
  <c r="C22" i="2"/>
  <c r="B22" i="2"/>
  <c r="J22" i="2" s="1"/>
  <c r="K22" i="2" s="1"/>
  <c r="F21" i="2"/>
  <c r="G21" i="2" s="1"/>
  <c r="E21" i="2"/>
  <c r="C21" i="2"/>
  <c r="B21" i="2"/>
  <c r="D21" i="2" s="1"/>
  <c r="J20" i="2"/>
  <c r="K20" i="2" s="1"/>
  <c r="H20" i="2"/>
  <c r="I20" i="2" s="1"/>
  <c r="F20" i="2"/>
  <c r="G20" i="2" s="1"/>
  <c r="E20" i="2"/>
  <c r="D20" i="2"/>
  <c r="L20" i="2" s="1"/>
  <c r="C20" i="2"/>
  <c r="B20" i="2"/>
  <c r="H19" i="2"/>
  <c r="I19" i="2" s="1"/>
  <c r="E19" i="2"/>
  <c r="C19" i="2"/>
  <c r="B19" i="2"/>
  <c r="F19" i="2" s="1"/>
  <c r="G19" i="2" s="1"/>
  <c r="J18" i="2"/>
  <c r="K18" i="2" s="1"/>
  <c r="F18" i="2"/>
  <c r="G18" i="2" s="1"/>
  <c r="E18" i="2"/>
  <c r="C18" i="2"/>
  <c r="B18" i="2"/>
  <c r="D18" i="2" s="1"/>
  <c r="L18" i="2" s="1"/>
  <c r="J17" i="2"/>
  <c r="K17" i="2" s="1"/>
  <c r="E17" i="2"/>
  <c r="C17" i="2"/>
  <c r="B17" i="2"/>
  <c r="H17" i="2" s="1"/>
  <c r="I17" i="2" s="1"/>
  <c r="J16" i="2"/>
  <c r="K16" i="2" s="1"/>
  <c r="E16" i="2"/>
  <c r="C16" i="2"/>
  <c r="B16" i="2"/>
  <c r="F16" i="2" s="1"/>
  <c r="G16" i="2" s="1"/>
  <c r="F15" i="2"/>
  <c r="E15" i="2"/>
  <c r="G15" i="2" s="1"/>
  <c r="L15" i="2" s="1"/>
  <c r="D15" i="2"/>
  <c r="C15" i="2"/>
  <c r="B15" i="2"/>
  <c r="J15" i="2" s="1"/>
  <c r="K15" i="2" s="1"/>
  <c r="L14" i="2"/>
  <c r="J14" i="2"/>
  <c r="K14" i="2" s="1"/>
  <c r="G14" i="2"/>
  <c r="F14" i="2"/>
  <c r="E14" i="2"/>
  <c r="D14" i="2"/>
  <c r="C14" i="2"/>
  <c r="B14" i="2"/>
  <c r="H14" i="2" s="1"/>
  <c r="I14" i="2" s="1"/>
  <c r="F13" i="2"/>
  <c r="G13" i="2" s="1"/>
  <c r="E13" i="2"/>
  <c r="C13" i="2"/>
  <c r="E23" i="2" s="1"/>
  <c r="B13" i="2"/>
  <c r="J13" i="2" s="1"/>
  <c r="J8" i="2"/>
  <c r="H8" i="2"/>
  <c r="D8" i="2"/>
  <c r="B8" i="2"/>
  <c r="T3" i="2"/>
  <c r="I3" i="2"/>
  <c r="T2" i="2"/>
  <c r="I2" i="2"/>
  <c r="T1" i="2"/>
  <c r="P68" i="1"/>
  <c r="O68" i="1"/>
  <c r="E68" i="1"/>
  <c r="R67" i="1"/>
  <c r="J67" i="1"/>
  <c r="K67" i="1" s="1"/>
  <c r="H67" i="1"/>
  <c r="B67" i="1"/>
  <c r="R66" i="1"/>
  <c r="K66" i="1"/>
  <c r="J66" i="1"/>
  <c r="H66" i="1"/>
  <c r="B66" i="1"/>
  <c r="R65" i="1"/>
  <c r="J65" i="1"/>
  <c r="K65" i="1" s="1"/>
  <c r="H65" i="1"/>
  <c r="B65" i="1"/>
  <c r="R64" i="1"/>
  <c r="J64" i="1"/>
  <c r="K64" i="1" s="1"/>
  <c r="H64" i="1"/>
  <c r="B64" i="1"/>
  <c r="R63" i="1"/>
  <c r="J63" i="1"/>
  <c r="K63" i="1" s="1"/>
  <c r="H63" i="1"/>
  <c r="B63" i="1"/>
  <c r="R62" i="1"/>
  <c r="K62" i="1"/>
  <c r="J62" i="1"/>
  <c r="H62" i="1"/>
  <c r="B62" i="1"/>
  <c r="R61" i="1"/>
  <c r="J61" i="1"/>
  <c r="K61" i="1" s="1"/>
  <c r="H61" i="1"/>
  <c r="B61" i="1"/>
  <c r="R60" i="1"/>
  <c r="J60" i="1"/>
  <c r="K60" i="1" s="1"/>
  <c r="H60" i="1"/>
  <c r="B60" i="1"/>
  <c r="R59" i="1"/>
  <c r="J59" i="1"/>
  <c r="K59" i="1" s="1"/>
  <c r="H59" i="1"/>
  <c r="B59" i="1"/>
  <c r="R58" i="1"/>
  <c r="K58" i="1"/>
  <c r="J58" i="1"/>
  <c r="H58" i="1"/>
  <c r="B58" i="1"/>
  <c r="R57" i="1"/>
  <c r="J57" i="1"/>
  <c r="K57" i="1" s="1"/>
  <c r="H57" i="1"/>
  <c r="B57" i="1"/>
  <c r="R56" i="1"/>
  <c r="J56" i="1"/>
  <c r="K56" i="1" s="1"/>
  <c r="H56" i="1"/>
  <c r="B56" i="1"/>
  <c r="R55" i="1"/>
  <c r="J55" i="1"/>
  <c r="K55" i="1" s="1"/>
  <c r="H55" i="1"/>
  <c r="B55" i="1"/>
  <c r="R54" i="1"/>
  <c r="K54" i="1"/>
  <c r="J54" i="1"/>
  <c r="H54" i="1"/>
  <c r="B54" i="1"/>
  <c r="R53" i="1"/>
  <c r="J53" i="1"/>
  <c r="K53" i="1" s="1"/>
  <c r="H53" i="1"/>
  <c r="B53" i="1"/>
  <c r="R52" i="1"/>
  <c r="J52" i="1"/>
  <c r="K52" i="1" s="1"/>
  <c r="H52" i="1"/>
  <c r="B52" i="1"/>
  <c r="R51" i="1"/>
  <c r="J51" i="1"/>
  <c r="K51" i="1" s="1"/>
  <c r="H51" i="1"/>
  <c r="B51" i="1"/>
  <c r="R50" i="1"/>
  <c r="K50" i="1"/>
  <c r="J50" i="1"/>
  <c r="H50" i="1"/>
  <c r="B50" i="1"/>
  <c r="R49" i="1"/>
  <c r="J49" i="1"/>
  <c r="K49" i="1" s="1"/>
  <c r="H49" i="1"/>
  <c r="B49" i="1"/>
  <c r="R48" i="1"/>
  <c r="J48" i="1"/>
  <c r="K48" i="1" s="1"/>
  <c r="H48" i="1"/>
  <c r="B48" i="1"/>
  <c r="R47" i="1"/>
  <c r="J47" i="1"/>
  <c r="K47" i="1" s="1"/>
  <c r="H47" i="1"/>
  <c r="B47" i="1"/>
  <c r="R46" i="1"/>
  <c r="J46" i="1"/>
  <c r="K46" i="1" s="1"/>
  <c r="H46" i="1"/>
  <c r="B46" i="1"/>
  <c r="R45" i="1"/>
  <c r="J45" i="1"/>
  <c r="K45" i="1" s="1"/>
  <c r="H45" i="1"/>
  <c r="B45" i="1"/>
  <c r="R44" i="1"/>
  <c r="J44" i="1"/>
  <c r="K44" i="1" s="1"/>
  <c r="H44" i="1"/>
  <c r="B44" i="1"/>
  <c r="R43" i="1"/>
  <c r="J43" i="1"/>
  <c r="K43" i="1" s="1"/>
  <c r="H43" i="1"/>
  <c r="B43" i="1"/>
  <c r="R42" i="1"/>
  <c r="J42" i="1"/>
  <c r="K42" i="1" s="1"/>
  <c r="H42" i="1"/>
  <c r="B42" i="1"/>
  <c r="R41" i="1"/>
  <c r="J41" i="1"/>
  <c r="K41" i="1" s="1"/>
  <c r="H41" i="1"/>
  <c r="B41" i="1"/>
  <c r="R40" i="1"/>
  <c r="J40" i="1"/>
  <c r="K40" i="1" s="1"/>
  <c r="H40" i="1"/>
  <c r="B40" i="1"/>
  <c r="R39" i="1"/>
  <c r="J39" i="1"/>
  <c r="K39" i="1" s="1"/>
  <c r="H39" i="1"/>
  <c r="B39" i="1"/>
  <c r="R38" i="1"/>
  <c r="J38" i="1"/>
  <c r="K38" i="1" s="1"/>
  <c r="H38" i="1"/>
  <c r="B38" i="1"/>
  <c r="R37" i="1"/>
  <c r="J37" i="1"/>
  <c r="K37" i="1" s="1"/>
  <c r="H37" i="1"/>
  <c r="B37" i="1"/>
  <c r="R36" i="1"/>
  <c r="J36" i="1"/>
  <c r="K36" i="1" s="1"/>
  <c r="H36" i="1"/>
  <c r="B36" i="1"/>
  <c r="R35" i="1"/>
  <c r="J35" i="1"/>
  <c r="K35" i="1" s="1"/>
  <c r="H35" i="1"/>
  <c r="B35" i="1"/>
  <c r="R34" i="1"/>
  <c r="J34" i="1"/>
  <c r="K34" i="1" s="1"/>
  <c r="H34" i="1"/>
  <c r="B34" i="1"/>
  <c r="R33" i="1"/>
  <c r="J33" i="1"/>
  <c r="K33" i="1" s="1"/>
  <c r="H33" i="1"/>
  <c r="B33" i="1"/>
  <c r="R32" i="1"/>
  <c r="J32" i="1"/>
  <c r="K32" i="1" s="1"/>
  <c r="H32" i="1"/>
  <c r="B32" i="1"/>
  <c r="R31" i="1"/>
  <c r="J31" i="1"/>
  <c r="K31" i="1" s="1"/>
  <c r="H31" i="1"/>
  <c r="B31" i="1"/>
  <c r="R30" i="1"/>
  <c r="J30" i="1"/>
  <c r="K30" i="1" s="1"/>
  <c r="H30" i="1"/>
  <c r="B30" i="1"/>
  <c r="R29" i="1"/>
  <c r="J29" i="1"/>
  <c r="K29" i="1" s="1"/>
  <c r="H29" i="1"/>
  <c r="F27" i="2" s="1"/>
  <c r="B29" i="1"/>
  <c r="R28" i="1"/>
  <c r="J28" i="1"/>
  <c r="K28" i="1" s="1"/>
  <c r="H28" i="1"/>
  <c r="B28" i="1"/>
  <c r="R27" i="1"/>
  <c r="J27" i="1"/>
  <c r="H16" i="2" s="1"/>
  <c r="I16" i="2" s="1"/>
  <c r="H27" i="1"/>
  <c r="B27" i="1"/>
  <c r="R26" i="1"/>
  <c r="J26" i="1"/>
  <c r="K26" i="1" s="1"/>
  <c r="H26" i="1"/>
  <c r="B26" i="1"/>
  <c r="R25" i="1"/>
  <c r="J25" i="1"/>
  <c r="K25" i="1" s="1"/>
  <c r="H25" i="1"/>
  <c r="B25" i="1"/>
  <c r="R24" i="1"/>
  <c r="J24" i="1"/>
  <c r="K24" i="1" s="1"/>
  <c r="H24" i="1"/>
  <c r="B24" i="1"/>
  <c r="R23" i="1"/>
  <c r="J23" i="1"/>
  <c r="K23" i="1" s="1"/>
  <c r="H23" i="1"/>
  <c r="B23" i="1"/>
  <c r="R22" i="1"/>
  <c r="J22" i="1"/>
  <c r="K22" i="1" s="1"/>
  <c r="H22" i="1"/>
  <c r="F28" i="2" s="1"/>
  <c r="B22" i="1"/>
  <c r="R21" i="1"/>
  <c r="J21" i="1"/>
  <c r="K21" i="1" s="1"/>
  <c r="H21" i="1"/>
  <c r="F30" i="2" s="1"/>
  <c r="B21" i="1"/>
  <c r="R20" i="1"/>
  <c r="J20" i="1"/>
  <c r="K20" i="1" s="1"/>
  <c r="H20" i="1"/>
  <c r="H12" i="1" s="1"/>
  <c r="B20" i="1"/>
  <c r="R19" i="1"/>
  <c r="Q68" i="1" s="1"/>
  <c r="J19" i="1"/>
  <c r="K19" i="1" s="1"/>
  <c r="H19" i="1"/>
  <c r="B19" i="1"/>
  <c r="R18" i="1"/>
  <c r="J18" i="1"/>
  <c r="K18" i="1" s="1"/>
  <c r="H18" i="1"/>
  <c r="K12" i="1" s="1"/>
  <c r="B18" i="1"/>
  <c r="Q12" i="1"/>
  <c r="N12" i="1"/>
  <c r="B12" i="1"/>
  <c r="P8" i="1"/>
  <c r="L8" i="1"/>
  <c r="H8" i="1"/>
  <c r="D8" i="1"/>
  <c r="P7" i="1"/>
  <c r="L7" i="1"/>
  <c r="H7" i="1"/>
  <c r="D7" i="1"/>
  <c r="T3" i="1"/>
  <c r="L3" i="1"/>
  <c r="T2" i="1"/>
  <c r="L2" i="1"/>
  <c r="T1" i="1"/>
  <c r="F43" i="2" l="1"/>
  <c r="K13" i="2"/>
  <c r="F23" i="2"/>
  <c r="G35" i="2"/>
  <c r="G43" i="2" s="1"/>
  <c r="D43" i="2"/>
  <c r="L21" i="2"/>
  <c r="E39" i="2"/>
  <c r="D42" i="2"/>
  <c r="G42" i="2" s="1"/>
  <c r="D37" i="2"/>
  <c r="G37" i="2" s="1"/>
  <c r="E42" i="2"/>
  <c r="J19" i="2"/>
  <c r="K19" i="2" s="1"/>
  <c r="H21" i="2"/>
  <c r="I21" i="2" s="1"/>
  <c r="H23" i="2"/>
  <c r="E37" i="2"/>
  <c r="G23" i="2"/>
  <c r="D16" i="2"/>
  <c r="L16" i="2" s="1"/>
  <c r="F29" i="2"/>
  <c r="F31" i="2" s="1"/>
  <c r="F8" i="2"/>
  <c r="J21" i="2"/>
  <c r="K21" i="2" s="1"/>
  <c r="K27" i="1"/>
  <c r="H18" i="2"/>
  <c r="I18" i="2" s="1"/>
  <c r="D22" i="2"/>
  <c r="L22" i="2" s="1"/>
  <c r="E30" i="2"/>
  <c r="E31" i="2" s="1"/>
  <c r="F49" i="2" s="1"/>
  <c r="L49" i="2" s="1"/>
  <c r="D13" i="2"/>
  <c r="D38" i="2"/>
  <c r="G38" i="2" s="1"/>
  <c r="E36" i="2"/>
  <c r="E43" i="2" s="1"/>
  <c r="J68" i="1"/>
  <c r="K27" i="2"/>
  <c r="K31" i="2" s="1"/>
  <c r="K68" i="1"/>
  <c r="H22" i="2"/>
  <c r="I22" i="2" s="1"/>
  <c r="H13" i="2"/>
  <c r="I13" i="2" s="1"/>
  <c r="D17" i="2"/>
  <c r="L17" i="2" s="1"/>
  <c r="I68" i="1"/>
  <c r="E12" i="1"/>
  <c r="H15" i="2"/>
  <c r="I15" i="2" s="1"/>
  <c r="F17" i="2"/>
  <c r="G17" i="2" s="1"/>
  <c r="D19" i="2"/>
  <c r="L19" i="2" s="1"/>
  <c r="D23" i="2" l="1"/>
  <c r="L13" i="2"/>
  <c r="F48" i="2" s="1"/>
  <c r="L48" i="2" s="1"/>
  <c r="L8" i="2"/>
  <c r="F47" i="2"/>
  <c r="L47" i="2" s="1"/>
  <c r="J23" i="2"/>
  <c r="K23" i="2"/>
  <c r="I23" i="2"/>
</calcChain>
</file>

<file path=xl/sharedStrings.xml><?xml version="1.0" encoding="utf-8"?>
<sst xmlns="http://schemas.openxmlformats.org/spreadsheetml/2006/main" count="649" uniqueCount="380">
  <si>
    <t>BUFFET-LISTE 2026</t>
  </si>
  <si>
    <t>Speisenplanung, Mengenermittlung, Allergene und Zuständigkeiten</t>
  </si>
  <si>
    <t>01</t>
  </si>
  <si>
    <t>ECKDATEN DER VERANSTALTUNG</t>
  </si>
  <si>
    <t>alle Angaben stammen aus dem Blatt »Stammdaten«</t>
  </si>
  <si>
    <t>ANLASS</t>
  </si>
  <si>
    <t>VERANSTALTUNGSDATUM</t>
  </si>
  <si>
    <t>VERANSTALTUNGSORT</t>
  </si>
  <si>
    <t>BUFFETERÖFFNUNG</t>
  </si>
  <si>
    <t>GÄSTE GESAMT</t>
  </si>
  <si>
    <t>GÄSTE GEWICHTET</t>
  </si>
  <si>
    <t>SICHERHEITSPUFFER</t>
  </si>
  <si>
    <t>BUDGET GESAMT</t>
  </si>
  <si>
    <t>02</t>
  </si>
  <si>
    <t>KENNZAHLEN DER PLANUNG</t>
  </si>
  <si>
    <t>berechnet aus den erfassten Buffet-Positionen</t>
  </si>
  <si>
    <t>POSITIONEN AM BUFFET</t>
  </si>
  <si>
    <t>SPEISENMENGE JE GAST</t>
  </si>
  <si>
    <t>BEDARF SPEISEN</t>
  </si>
  <si>
    <t>BEDARF GETRÄNKE &amp; SUPPEN</t>
  </si>
  <si>
    <t>KOSTEN JE GAST</t>
  </si>
  <si>
    <t>VEGETARISCH / VEGAN</t>
  </si>
  <si>
    <t>erfasste Speisen und Getränke</t>
  </si>
  <si>
    <t>Richtwert Abendbuffet: 800–1.000 g</t>
  </si>
  <si>
    <t>inkl. Sicherheitspuffer</t>
  </si>
  <si>
    <t>Zielwert laut Stammdaten beachten</t>
  </si>
  <si>
    <t>Anteil an allen Positionen</t>
  </si>
  <si>
    <t>03</t>
  </si>
  <si>
    <t>BUFFET-POSITIONEN</t>
  </si>
  <si>
    <t>eine Zeile je Speise – graue Spalten berechnen sich selbst</t>
  </si>
  <si>
    <t>SPEISE &amp; KENNZEICHNUNG</t>
  </si>
  <si>
    <t>MENGENPLANUNG</t>
  </si>
  <si>
    <t>ORGANISATION</t>
  </si>
  <si>
    <t>NOTIZEN &amp; PRÜFUNG</t>
  </si>
  <si>
    <t>Nr.</t>
  </si>
  <si>
    <t>Kategorie</t>
  </si>
  <si>
    <t>Speise / Gericht</t>
  </si>
  <si>
    <t>Servierart</t>
  </si>
  <si>
    <t>Ernährung</t>
  </si>
  <si>
    <t>Allergene</t>
  </si>
  <si>
    <t>Einheit</t>
  </si>
  <si>
    <t>Menge je Gast</t>
  </si>
  <si>
    <t>Bedarf gesamt</t>
  </si>
  <si>
    <t>Bedarf kg / l</t>
  </si>
  <si>
    <t>Beschaffung</t>
  </si>
  <si>
    <t>Zuständig</t>
  </si>
  <si>
    <t>Vorbereitung ab</t>
  </si>
  <si>
    <t>Kosten</t>
  </si>
  <si>
    <t>Status</t>
  </si>
  <si>
    <t>Bemerkung</t>
  </si>
  <si>
    <t>Prüfhinweis</t>
  </si>
  <si>
    <t>Aperitif &amp; Fingerfood</t>
  </si>
  <si>
    <t>Blätterteigstangen mit Käse</t>
  </si>
  <si>
    <t>Kalt</t>
  </si>
  <si>
    <t>Vegetarisch</t>
  </si>
  <si>
    <t>A, C, G</t>
  </si>
  <si>
    <t>Eigenproduktion</t>
  </si>
  <si>
    <t>K. Sommer</t>
  </si>
  <si>
    <t>Zubereitet</t>
  </si>
  <si>
    <t>Am Vortag backen, luftdicht lagern</t>
  </si>
  <si>
    <t>Gemüsesticks mit Kräuterdip</t>
  </si>
  <si>
    <t>G</t>
  </si>
  <si>
    <t>L. Hoffmann</t>
  </si>
  <si>
    <t>Eingekauft</t>
  </si>
  <si>
    <t>Dip separat, Sticks frisch schneiden</t>
  </si>
  <si>
    <t>Mini-Quiche mit Gemüse</t>
  </si>
  <si>
    <t>Warm</t>
  </si>
  <si>
    <t>Einkauf</t>
  </si>
  <si>
    <t>T. Berger</t>
  </si>
  <si>
    <t>Bestellt</t>
  </si>
  <si>
    <t>Vor dem Servieren 10 Min. aufbacken</t>
  </si>
  <si>
    <t>Vorspeisen kalt</t>
  </si>
  <si>
    <t>Antipasti-Platte mit Oliven</t>
  </si>
  <si>
    <t>Vegan</t>
  </si>
  <si>
    <t>L</t>
  </si>
  <si>
    <t>Auf zwei Platten aufteilen</t>
  </si>
  <si>
    <t>Räucherfisch-Röllchen</t>
  </si>
  <si>
    <t>Fisch</t>
  </si>
  <si>
    <t>D, G</t>
  </si>
  <si>
    <t>Offen</t>
  </si>
  <si>
    <t>Kühlkette beachten, max. 2 Std.</t>
  </si>
  <si>
    <t>Hummus mit Fladenbrot</t>
  </si>
  <si>
    <t>A, K</t>
  </si>
  <si>
    <t>Suppen</t>
  </si>
  <si>
    <t>Kürbiscremesuppe</t>
  </si>
  <si>
    <t>G, I</t>
  </si>
  <si>
    <t>S. Wagner</t>
  </si>
  <si>
    <t>Im Rechaud warmhalten (mind. 65 °C)</t>
  </si>
  <si>
    <t>Klare Gemüsebrühe mit Einlage</t>
  </si>
  <si>
    <t>I</t>
  </si>
  <si>
    <t>Alternative ohne Milchprodukte</t>
  </si>
  <si>
    <t>Salate</t>
  </si>
  <si>
    <t>Blattsalat mit Vinaigrette</t>
  </si>
  <si>
    <t>J, L</t>
  </si>
  <si>
    <t>Mitbringsel</t>
  </si>
  <si>
    <t>R. Neumann</t>
  </si>
  <si>
    <t>Dressing separat reichen</t>
  </si>
  <si>
    <t>Kartoffelsalat</t>
  </si>
  <si>
    <t>C, G, J</t>
  </si>
  <si>
    <t>Am Vortag ansetzen, Aroma zieht durch</t>
  </si>
  <si>
    <t>Bunter Nudelsalat</t>
  </si>
  <si>
    <t>A, J</t>
  </si>
  <si>
    <t>Hauptspeisen warm</t>
  </si>
  <si>
    <t>Geschnetzeltes in Rahmsauce</t>
  </si>
  <si>
    <t>Fleisch</t>
  </si>
  <si>
    <t>A, G</t>
  </si>
  <si>
    <t>Frisch zubereiten, zwei Chafing Dishes</t>
  </si>
  <si>
    <t>Gemüsecurry mit Kokosmilch</t>
  </si>
  <si>
    <t>Fleischlose Hauptkomponente</t>
  </si>
  <si>
    <t>Ofenlachs mit Kräutern</t>
  </si>
  <si>
    <t>D</t>
  </si>
  <si>
    <t>Deckungsgrad der Kategorie prüfen</t>
  </si>
  <si>
    <t>Beilagen</t>
  </si>
  <si>
    <t>Kräuterkartoffeln aus dem Ofen</t>
  </si>
  <si>
    <t>Basmatireis</t>
  </si>
  <si>
    <t>Passend zum Curry</t>
  </si>
  <si>
    <t>Ofengemüse der Saison</t>
  </si>
  <si>
    <t>Brot &amp; Gebäck</t>
  </si>
  <si>
    <t>Baguette-Auswahl</t>
  </si>
  <si>
    <t>Raumtemperatur</t>
  </si>
  <si>
    <t>A, F</t>
  </si>
  <si>
    <t>Am Veranstaltungstag frisch abholen</t>
  </si>
  <si>
    <t>Vollkornbrötchen</t>
  </si>
  <si>
    <t>A, G, K</t>
  </si>
  <si>
    <t>Butter &amp; Aufstriche</t>
  </si>
  <si>
    <t>G, H</t>
  </si>
  <si>
    <t>Auch vegane Variante bereitstellen</t>
  </si>
  <si>
    <t>Käse &amp; Aufschnitt</t>
  </si>
  <si>
    <t>Käseauswahl mit Trauben</t>
  </si>
  <si>
    <t>30 Min. vor dem Servieren temperieren</t>
  </si>
  <si>
    <t>Aufschnittplatte gemischt</t>
  </si>
  <si>
    <t>Desserts</t>
  </si>
  <si>
    <t>Obstsalat mit Minze</t>
  </si>
  <si>
    <t>A. Fuchs</t>
  </si>
  <si>
    <t>Erst am Veranstaltungstag schneiden</t>
  </si>
  <si>
    <t>Schokoladenmousse im Glas</t>
  </si>
  <si>
    <t>C, F, G</t>
  </si>
  <si>
    <t>Portionsgläser gekühlt lagern</t>
  </si>
  <si>
    <t>Blechkuchen (zwei Sorten)</t>
  </si>
  <si>
    <t>A, C, G, H</t>
  </si>
  <si>
    <t>Getränke</t>
  </si>
  <si>
    <t>Mineralwasser still &amp; spritzig</t>
  </si>
  <si>
    <t>M. Kaiser</t>
  </si>
  <si>
    <t>Gekühlt anliefern lassen</t>
  </si>
  <si>
    <t>Apfelschorle</t>
  </si>
  <si>
    <t>Weißwein &amp; alkoholfreie Alternative</t>
  </si>
  <si>
    <t>Sulfite kennzeichnen</t>
  </si>
  <si>
    <t>Kaffee &amp; Teeauswahl</t>
  </si>
  <si>
    <t>Milch &amp; pflanzliche Alternative</t>
  </si>
  <si>
    <t>GESAMT</t>
  </si>
  <si>
    <t>Speisen (Angaben in g) · Getränke siehe Auswertung</t>
  </si>
  <si>
    <t>LEGENDE</t>
  </si>
  <si>
    <t>Am Buffet</t>
  </si>
  <si>
    <t>Eingabefeld</t>
  </si>
  <si>
    <t>Berechnet</t>
  </si>
  <si>
    <t>Prüfhinweise mit Beerenfarbe kennzeichnen unvollständige oder terminlich kritische Positionen.</t>
  </si>
  <si>
    <t>AUSWERTUNG</t>
  </si>
  <si>
    <t>Deckungsgrade, Ernährungsprofil, Kosten und Prüfhinweise</t>
  </si>
  <si>
    <t>KENNZAHLEN DER VERANSTALTUNG</t>
  </si>
  <si>
    <t>alle Werte aktualisieren sich automatisch</t>
  </si>
  <si>
    <t>POSITIONEN</t>
  </si>
  <si>
    <t>KOSTEN GESAMT</t>
  </si>
  <si>
    <t>BUDGETAUSLASTUNG</t>
  </si>
  <si>
    <t>Ø DECKUNG</t>
  </si>
  <si>
    <t>Erwachsene + Kinder × Faktor</t>
  </si>
  <si>
    <t>Summe aller Positionen</t>
  </si>
  <si>
    <t>Kosten im Verhältnis zum Budget</t>
  </si>
  <si>
    <t>über alle belegten Kategorien</t>
  </si>
  <si>
    <t>MENGEN- UND KOSTENANALYSE JE KATEGORIE</t>
  </si>
  <si>
    <t>Soll-Ist-Vergleich gegen die Mengenrichtwerte</t>
  </si>
  <si>
    <t>Positionen</t>
  </si>
  <si>
    <t>Richtwert je Gast</t>
  </si>
  <si>
    <t>Geplant je Gast</t>
  </si>
  <si>
    <t>Deckung</t>
  </si>
  <si>
    <t>Menge kg / l</t>
  </si>
  <si>
    <t>Kostenanteil</t>
  </si>
  <si>
    <t>Bewertung</t>
  </si>
  <si>
    <t>SUMME</t>
  </si>
  <si>
    <t>ERNÄHRUNGSPROFIL &amp; BESCHAFFUNG</t>
  </si>
  <si>
    <t>Ausgewogenheit und Herkunft der Positionen</t>
  </si>
  <si>
    <t>Ernährungsform</t>
  </si>
  <si>
    <t>Anteil</t>
  </si>
  <si>
    <t>Menge kg</t>
  </si>
  <si>
    <t>Beschaffungsart</t>
  </si>
  <si>
    <t>Catering</t>
  </si>
  <si>
    <t>davon fleischlos</t>
  </si>
  <si>
    <t>Summe</t>
  </si>
  <si>
    <t>04</t>
  </si>
  <si>
    <t>ZUSTÄNDIGKEITEN &amp; STATUS</t>
  </si>
  <si>
    <t>Arbeitsverteilung und Fortschritt der Vorbereitung</t>
  </si>
  <si>
    <t>davon offen</t>
  </si>
  <si>
    <t>Vorbereitungsgrad</t>
  </si>
  <si>
    <t>05</t>
  </si>
  <si>
    <t>PRÜFHINWEISE</t>
  </si>
  <si>
    <t>Ampel für die Qualitätssicherung der Planung</t>
  </si>
  <si>
    <t>Prüfung</t>
  </si>
  <si>
    <t>Ist</t>
  </si>
  <si>
    <t>Soll</t>
  </si>
  <si>
    <t>Erläuterung</t>
  </si>
  <si>
    <t>Kategorien ohne Position</t>
  </si>
  <si>
    <t>Jede Kategorie des Buffets sollte mindestens eine Speise enthalten.</t>
  </si>
  <si>
    <t>Kategorien mit Unterdeckung</t>
  </si>
  <si>
    <t>Geplante Menge je Gast liegt unter dem Mindest-Deckungsgrad.</t>
  </si>
  <si>
    <t>Anteil vegetarisch / vegan</t>
  </si>
  <si>
    <t>Empfehlung für eine ausgewogene Auswahl laut Stammdaten.</t>
  </si>
  <si>
    <t>Anteil warmer Speisen</t>
  </si>
  <si>
    <t>Ein Abendbuffet wirkt mit warmen Komponenten hochwertiger.</t>
  </si>
  <si>
    <t>Budgetauslastung</t>
  </si>
  <si>
    <t>Summe aller Positionen im Verhältnis zum Budget.</t>
  </si>
  <si>
    <t>Kosten je Gast</t>
  </si>
  <si>
    <t>Zielwert ergibt sich aus Budget und Gästezahl.</t>
  </si>
  <si>
    <t>Positionen ohne Zuständigkeit</t>
  </si>
  <si>
    <t>Jede Position benötigt eine verantwortliche Person.</t>
  </si>
  <si>
    <t>Vorbereitungstermine nach dem Event</t>
  </si>
  <si>
    <t>Termine dürfen nicht nach dem Veranstaltungsdatum liegen.</t>
  </si>
  <si>
    <t>Noch offene Positionen</t>
  </si>
  <si>
    <t>Statuspflege im Blatt »Buffetplan« fortführen.</t>
  </si>
  <si>
    <t>06</t>
  </si>
  <si>
    <t>DIAGRAMME</t>
  </si>
  <si>
    <t>Deckungsgrad je Kategorie und Kostenverteilung</t>
  </si>
  <si>
    <t>STAMMDATEN</t>
  </si>
  <si>
    <t>Zentrale Vorgaben für Mengen, Kosten und Zuständigkeiten</t>
  </si>
  <si>
    <t>Alle gelben Felder sind Eingabefelder</t>
  </si>
  <si>
    <t>VERANSTALTUNGSDATEN</t>
  </si>
  <si>
    <t>steuert die Kopfzeilen der übrigen Blätter</t>
  </si>
  <si>
    <t>Veranstalter / Organisation</t>
  </si>
  <si>
    <t>Muster Event &amp; Service GmbH</t>
  </si>
  <si>
    <t>Erscheint in der Kopfzeile</t>
  </si>
  <si>
    <t>Anlass / Veranstaltung</t>
  </si>
  <si>
    <t>Sommerfest 2026</t>
  </si>
  <si>
    <t>Kurzbezeichnung des Events</t>
  </si>
  <si>
    <t>Veranstaltungsdatum</t>
  </si>
  <si>
    <t>Referenzdatum für alle Terminprüfungen</t>
  </si>
  <si>
    <t>Beginn / Buffeteröffnung</t>
  </si>
  <si>
    <t>18:30 Uhr</t>
  </si>
  <si>
    <t>Freitext</t>
  </si>
  <si>
    <t>Veranstaltungsort</t>
  </si>
  <si>
    <t>Gemeindesaal Nord, Musterstadt</t>
  </si>
  <si>
    <t>Ort bzw. Raum</t>
  </si>
  <si>
    <t>Servierform</t>
  </si>
  <si>
    <t>Abendbuffet, kalt &amp; warm</t>
  </si>
  <si>
    <t>z. B. Stehempfang, Brunch, Abendbuffet</t>
  </si>
  <si>
    <t>Verantwortlich (Gesamtorganisation)</t>
  </si>
  <si>
    <t>J. Winter</t>
  </si>
  <si>
    <t>Ansprechpartner für Rückfragen</t>
  </si>
  <si>
    <t>Kontakt (intern)</t>
  </si>
  <si>
    <t>Durchwahl -240</t>
  </si>
  <si>
    <t>Telefon oder Kürzel</t>
  </si>
  <si>
    <t>PLANUNGSPARAMETER</t>
  </si>
  <si>
    <t>Basis aller automatischen Berechnungen</t>
  </si>
  <si>
    <t>Erwachsene</t>
  </si>
  <si>
    <t>Personen</t>
  </si>
  <si>
    <t>Anzahl erwachsener Gäste</t>
  </si>
  <si>
    <t>Kinder</t>
  </si>
  <si>
    <t>Anzahl Kinder</t>
  </si>
  <si>
    <t>Mengenfaktor je Kind</t>
  </si>
  <si>
    <t>Faktor</t>
  </si>
  <si>
    <t>Kinder essen erfahrungsgemäß rund die Hälfte</t>
  </si>
  <si>
    <t>Gäste gesamt</t>
  </si>
  <si>
    <t>Basis für die Kosten je Gast</t>
  </si>
  <si>
    <t>Gäste gewichtet</t>
  </si>
  <si>
    <t>Basis für die Mengenberechnung</t>
  </si>
  <si>
    <t>Sicherheitspuffer</t>
  </si>
  <si>
    <t>Aufschlag</t>
  </si>
  <si>
    <t>Aufschlag auf alle Bedarfsmengen</t>
  </si>
  <si>
    <t>Budget gesamt</t>
  </si>
  <si>
    <t>Brutto</t>
  </si>
  <si>
    <t>Kostenrahmen der Verpflegung</t>
  </si>
  <si>
    <t>Zielwert Kosten je Gast</t>
  </si>
  <si>
    <t>je Gast</t>
  </si>
  <si>
    <t>Budget geteilt durch Gäste gesamt</t>
  </si>
  <si>
    <t>Mindestanteil vegetarisch/vegan</t>
  </si>
  <si>
    <t>der Positionen</t>
  </si>
  <si>
    <t>Empfehlung für eine ausgewogene Auswahl</t>
  </si>
  <si>
    <t>Mindest-Deckungsgrad je Kategorie</t>
  </si>
  <si>
    <t>vom Richtwert</t>
  </si>
  <si>
    <t>Untergrenze für die Bewertung</t>
  </si>
  <si>
    <t>MENGENRICHTWERTE JE KATEGORIE</t>
  </si>
  <si>
    <t>Richtwert je Gast – frei anpassbar</t>
  </si>
  <si>
    <t>Buffetbereich</t>
  </si>
  <si>
    <t>Positionen empfohlen</t>
  </si>
  <si>
    <t>Hinweis zur Planung</t>
  </si>
  <si>
    <t>Empfang</t>
  </si>
  <si>
    <t>g</t>
  </si>
  <si>
    <t>Kleine Happen, 3–4 Stück je Gast</t>
  </si>
  <si>
    <t>Kaltes Buffet</t>
  </si>
  <si>
    <t>Platten vorportionieren</t>
  </si>
  <si>
    <t>Warmes Buffet</t>
  </si>
  <si>
    <t>ml</t>
  </si>
  <si>
    <t>Tasse statt Teller spart Menge</t>
  </si>
  <si>
    <t>Mind. eine fleischlose Hauptkomponente</t>
  </si>
  <si>
    <t>Sättigungsbeilage plus Gemüse</t>
  </si>
  <si>
    <t>Rund 2 Scheiben je Gast</t>
  </si>
  <si>
    <t>Dessertbuffet</t>
  </si>
  <si>
    <t>Portionsgläser erleichtern die Ausgabe</t>
  </si>
  <si>
    <t>Getränkeausgabe</t>
  </si>
  <si>
    <t>Ohne Kaffee/Tee rund 600 ml je Gast</t>
  </si>
  <si>
    <t>SUMME RICHTWERTE</t>
  </si>
  <si>
    <t>Speisen in g · Getränke und Suppen in ml je Gast</t>
  </si>
  <si>
    <t>ZUSTÄNDIGE / HELFERTEAM</t>
  </si>
  <si>
    <t>Auswahlliste für die Buffetplanung</t>
  </si>
  <si>
    <t>Name / Kürzel</t>
  </si>
  <si>
    <t>Rolle</t>
  </si>
  <si>
    <t>Bereich</t>
  </si>
  <si>
    <t>Verfügbar ab</t>
  </si>
  <si>
    <t>Erreichbarkeit</t>
  </si>
  <si>
    <t>Küchenleitung</t>
  </si>
  <si>
    <t>Warme Küche</t>
  </si>
  <si>
    <t>05.09.2026, 12:00</t>
  </si>
  <si>
    <t>vor Ort</t>
  </si>
  <si>
    <t>Kalte Küche</t>
  </si>
  <si>
    <t>Kalte Speisen</t>
  </si>
  <si>
    <t>04.09.2026, 09:00</t>
  </si>
  <si>
    <t>Bestellungen</t>
  </si>
  <si>
    <t>01.09.2026</t>
  </si>
  <si>
    <t>mobil</t>
  </si>
  <si>
    <t>Bar &amp; Ausschank</t>
  </si>
  <si>
    <t>05.09.2026, 15:00</t>
  </si>
  <si>
    <t>Patisserie</t>
  </si>
  <si>
    <t>04.09.2026, 14:00</t>
  </si>
  <si>
    <t>Service</t>
  </si>
  <si>
    <t>Aufbau/Service</t>
  </si>
  <si>
    <t>05.09.2026, 16:00</t>
  </si>
  <si>
    <t>Backwaren</t>
  </si>
  <si>
    <t>05.09.2026, 10:00</t>
  </si>
  <si>
    <t>Organisation</t>
  </si>
  <si>
    <t>Koordination</t>
  </si>
  <si>
    <t>durchgehend</t>
  </si>
  <si>
    <t>AUSWAHLLISTEN</t>
  </si>
  <si>
    <t>Werte der Dropdown-Felder</t>
  </si>
  <si>
    <t>Eigene Werte können direkt in diese Felder geschrieben werden – die Dropdown-Listen der Blätter »Buffetplan« und »Auswertung« übernehmen sie automatisch.</t>
  </si>
  <si>
    <t>ALLERGENKENNZEICHNUNG</t>
  </si>
  <si>
    <t>Kennbuchstaben für die Spalte »Allergene«</t>
  </si>
  <si>
    <t>A</t>
  </si>
  <si>
    <t>Glutenhaltiges Getreide</t>
  </si>
  <si>
    <t>B</t>
  </si>
  <si>
    <t>Krebstiere</t>
  </si>
  <si>
    <t>C</t>
  </si>
  <si>
    <t>Eier</t>
  </si>
  <si>
    <t>Fische</t>
  </si>
  <si>
    <t>E</t>
  </si>
  <si>
    <t>Erdnüsse</t>
  </si>
  <si>
    <t>F</t>
  </si>
  <si>
    <t>Sojabohnen</t>
  </si>
  <si>
    <t>Milch &amp; Laktose</t>
  </si>
  <si>
    <t>H</t>
  </si>
  <si>
    <t>Schalenfrüchte / Nüsse</t>
  </si>
  <si>
    <t>Sellerie</t>
  </si>
  <si>
    <t>J</t>
  </si>
  <si>
    <t>Senf</t>
  </si>
  <si>
    <t>K</t>
  </si>
  <si>
    <t>Sesamsamen</t>
  </si>
  <si>
    <t>Schwefeldioxid / Sulfite</t>
  </si>
  <si>
    <t>M</t>
  </si>
  <si>
    <t>Lupinen</t>
  </si>
  <si>
    <t>N</t>
  </si>
  <si>
    <t>Weichtiere</t>
  </si>
  <si>
    <t>07</t>
  </si>
  <si>
    <t>ANLEITUNG IN 7 SCHRITTEN</t>
  </si>
  <si>
    <t>Schritt 1</t>
  </si>
  <si>
    <t>Veranstaltungsdaten (01) und Planungsparameter (02) ausfüllen – Gästezahl und Puffer steuern alle Mengen.</t>
  </si>
  <si>
    <t>Schritt 2</t>
  </si>
  <si>
    <t>Mengenrichtwerte (03) prüfen und an das Format der Feier anpassen (Stehempfang benötigt weniger als ein Abendbuffet).</t>
  </si>
  <si>
    <t>Schritt 3</t>
  </si>
  <si>
    <t>Helferteam (04) und Auswahllisten (05) an die eigene Veranstaltung anpassen.</t>
  </si>
  <si>
    <t>Schritt 4</t>
  </si>
  <si>
    <t>Im Blatt »Buffetplan« je Zeile eine Speise erfassen: Kategorie wählen, Bezeichnung, Ernährungsform, Allergene und Menge je Gast eintragen.</t>
  </si>
  <si>
    <t>Schritt 5</t>
  </si>
  <si>
    <t>Bedarfsmengen, Einheit und Prüfhinweise berechnen sich automatisch – graue Felder nicht überschreiben.</t>
  </si>
  <si>
    <t>Schritt 6</t>
  </si>
  <si>
    <t>Zuständigkeit, Vorbereitungstermin, Kosten und Status pflegen; der Status färbt die Zeile automatisch ein.</t>
  </si>
  <si>
    <t>Schritt 7</t>
  </si>
  <si>
    <t>Im Blatt »Auswertung« Deckungsgrade, Ernährungsprofil, Budget und Prüfhinweise kontrollieren und nachsteuern.</t>
  </si>
  <si>
    <t>08</t>
  </si>
  <si>
    <t>FARBLEGENDE &amp; HINWEIS</t>
  </si>
  <si>
    <t>Im Zielkorridor</t>
  </si>
  <si>
    <t>Unterdeckung</t>
  </si>
  <si>
    <t>Hinweis prüfen</t>
  </si>
  <si>
    <t>Kopfzeilen und Summen: Graphit</t>
  </si>
  <si>
    <t>Alle Namen, Mengen und Preise sind frei erfundene Beispielwerte und dienen ausschließlich der Veranschaulichung. Die Mengenrichtwerte sind Erfahrungswerte und ersetzen keine verbindliche Kalkulation; Allergenangaben sind vor der Veranstaltung mit den tatsächlich verwendeten Zutaten abzugleichen.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</si>
</sst>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dd\.mm\.yyyy"/>
    <numFmt numFmtId="165" formatCode="#,##0.00&quot; €&quot;"/>
    <numFmt numFmtId="166" formatCode="#,##0.0"/>
    <numFmt numFmtId="167" formatCode="#,##0&quot; g&quot;"/>
    <numFmt numFmtId="168" formatCode="#,##0.0&quot; kg&quot;"/>
    <numFmt numFmtId="169" formatCode="#,##0.0&quot; l&quot;"/>
    <numFmt numFmtId="170" formatCode="0%&quot; erledigt&quot;"/>
    <numFmt numFmtId="171" formatCode="0.0%"/>
  </numFmts>
  <fonts count="40" x14ac:knownFonts="1">
    <font>
      <sz val="11"/>
      <color theme="1"/>
      <name val="Calibri"/>
      <family val="2"/>
      <charset val="1"/>
    </font>
    <font>
      <sz val="8"/>
      <color rgb="FF262A2E"/>
      <name val="Calibri"/>
      <charset val="1"/>
    </font>
    <font>
      <b/>
      <sz val="20"/>
      <color rgb="FFFFFFFF"/>
      <name val="Calibri"/>
      <charset val="1"/>
    </font>
    <font>
      <b/>
      <sz val="11"/>
      <color rgb="FF262A2E"/>
      <name val="Calibri"/>
      <charset val="1"/>
    </font>
    <font>
      <i/>
      <sz val="9"/>
      <color rgb="FFFBEBC6"/>
      <name val="Calibri"/>
      <charset val="1"/>
    </font>
    <font>
      <sz val="9"/>
      <color rgb="FF262A2E"/>
      <name val="Calibri"/>
      <charset val="1"/>
    </font>
    <font>
      <b/>
      <sz val="10"/>
      <color rgb="FF262A2E"/>
      <name val="Calibri"/>
      <charset val="1"/>
    </font>
    <font>
      <i/>
      <sz val="8.5"/>
      <color rgb="FF737C86"/>
      <name val="Calibri"/>
      <charset val="1"/>
    </font>
    <font>
      <b/>
      <sz val="8"/>
      <color rgb="FFFFFFFF"/>
      <name val="Calibri"/>
      <charset val="1"/>
    </font>
    <font>
      <b/>
      <sz val="7.5"/>
      <color rgb="FF262A2E"/>
      <name val="Calibri"/>
      <charset val="1"/>
    </font>
    <font>
      <b/>
      <sz val="15"/>
      <color rgb="FF262A2E"/>
      <name val="Calibri"/>
      <charset val="1"/>
    </font>
    <font>
      <b/>
      <sz val="15"/>
      <color rgb="FFC98A14"/>
      <name val="Calibri"/>
      <charset val="1"/>
    </font>
    <font>
      <b/>
      <sz val="15"/>
      <color rgb="FF6E8C3A"/>
      <name val="Calibri"/>
      <charset val="1"/>
    </font>
    <font>
      <b/>
      <sz val="15"/>
      <color rgb="FF4A6C86"/>
      <name val="Calibri"/>
      <charset val="1"/>
    </font>
    <font>
      <b/>
      <sz val="15"/>
      <color rgb="FF8E2A44"/>
      <name val="Calibri"/>
      <charset val="1"/>
    </font>
    <font>
      <i/>
      <sz val="8"/>
      <color rgb="FF737C86"/>
      <name val="Calibri"/>
      <charset val="1"/>
    </font>
    <font>
      <b/>
      <sz val="9"/>
      <color rgb="FFFFFFFF"/>
      <name val="Calibri"/>
      <charset val="1"/>
    </font>
    <font>
      <sz val="9"/>
      <color rgb="FF737C86"/>
      <name val="Calibri"/>
      <charset val="1"/>
    </font>
    <font>
      <sz val="9.5"/>
      <color rgb="FF262A2E"/>
      <name val="Calibri"/>
      <charset val="1"/>
    </font>
    <font>
      <b/>
      <sz val="9.5"/>
      <color rgb="FF262A2E"/>
      <name val="Calibri"/>
      <charset val="1"/>
    </font>
    <font>
      <b/>
      <sz val="9"/>
      <color rgb="FF262A2E"/>
      <name val="Calibri"/>
      <charset val="1"/>
    </font>
    <font>
      <i/>
      <sz val="9"/>
      <color rgb="FF3E454C"/>
      <name val="Calibri"/>
      <charset val="1"/>
    </font>
    <font>
      <b/>
      <sz val="10"/>
      <color rgb="FFFFFFFF"/>
      <name val="Calibri"/>
      <charset val="1"/>
    </font>
    <font>
      <i/>
      <sz val="9.5"/>
      <color rgb="FFFBEBC6"/>
      <name val="Calibri"/>
      <charset val="1"/>
    </font>
    <font>
      <b/>
      <sz val="9.5"/>
      <color rgb="FFFFFFFF"/>
      <name val="Calibri"/>
      <charset val="1"/>
    </font>
    <font>
      <i/>
      <sz val="8.5"/>
      <color rgb="FFFBEBC6"/>
      <name val="Calibri"/>
      <charset val="1"/>
    </font>
    <font>
      <b/>
      <sz val="10"/>
      <color rgb="FFC98A14"/>
      <name val="Calibri"/>
      <charset val="1"/>
    </font>
    <font>
      <b/>
      <sz val="8"/>
      <color rgb="FF737C86"/>
      <name val="Calibri"/>
      <charset val="1"/>
    </font>
    <font>
      <b/>
      <sz val="8.5"/>
      <color rgb="FF262A2E"/>
      <name val="Calibri"/>
      <charset val="1"/>
    </font>
    <font>
      <b/>
      <sz val="8.5"/>
      <color rgb="FFFFFFFF"/>
      <name val="Calibri"/>
      <charset val="1"/>
    </font>
    <font>
      <b/>
      <sz val="9.5"/>
      <color rgb="FFFBEBC6"/>
      <name val="Calibri"/>
      <charset val="1"/>
    </font>
    <font>
      <i/>
      <sz val="8"/>
      <color rgb="FFFBEBC6"/>
      <name val="Calibri"/>
      <charset val="1"/>
    </font>
    <font>
      <b/>
      <sz val="9"/>
      <color rgb="FFC98A14"/>
      <name val="Calibri"/>
      <charset val="1"/>
    </font>
    <font>
      <sz val="9.5"/>
      <color rgb="FF737C86"/>
      <name val="Calibri"/>
      <charset val="1"/>
    </font>
    <font>
      <i/>
      <sz val="9"/>
      <color rgb="FF737C86"/>
      <name val="Calibri"/>
      <charset val="1"/>
    </font>
    <font>
      <b/>
      <sz val="9.5"/>
      <color rgb="FF3E454C"/>
      <name val="Calibri"/>
      <charset val="1"/>
    </font>
    <font>
      <sz val="10"/>
      <color rgb="FF262A2E"/>
      <name val="Calibri"/>
      <charset val="1"/>
    </font>
    <font>
      <i/>
      <sz val="8.5"/>
      <color rgb="FFFFFFFF"/>
      <name val="Calibri"/>
      <charset val="1"/>
    </font>
    <font>
      <b/>
      <sz val="7.5"/>
      <color theme="0"/>
      <name val="Calibri"/>
      <family val="2"/>
    </font>
    <font>
      <b/>
      <sz val="10"/>
      <color rgb="FFFFFFFF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262A2E"/>
        <bgColor rgb="FF3E454C"/>
      </patternFill>
    </fill>
    <fill>
      <patternFill patternType="solid">
        <fgColor rgb="FFC98A14"/>
        <bgColor rgb="FF9C6A0C"/>
      </patternFill>
    </fill>
    <fill>
      <patternFill patternType="solid">
        <fgColor rgb="FF6E8C3A"/>
        <bgColor rgb="FF737C86"/>
      </patternFill>
    </fill>
    <fill>
      <patternFill patternType="solid">
        <fgColor rgb="FF8E2A44"/>
        <bgColor rgb="FF993300"/>
      </patternFill>
    </fill>
    <fill>
      <patternFill patternType="solid">
        <fgColor rgb="FF3E454C"/>
        <bgColor rgb="FF262A2E"/>
      </patternFill>
    </fill>
    <fill>
      <patternFill patternType="solid">
        <fgColor rgb="FFF4EEE1"/>
        <bgColor rgb="FFEFEDE8"/>
      </patternFill>
    </fill>
    <fill>
      <patternFill patternType="solid">
        <fgColor rgb="FFFCFAF5"/>
        <bgColor rgb="FFFFFFFF"/>
      </patternFill>
    </fill>
    <fill>
      <patternFill patternType="solid">
        <fgColor rgb="FF4A6C86"/>
        <bgColor rgb="FF4F81BD"/>
      </patternFill>
    </fill>
    <fill>
      <patternFill patternType="solid">
        <fgColor rgb="FFEFEDE8"/>
        <bgColor rgb="FFF4EEE1"/>
      </patternFill>
    </fill>
    <fill>
      <patternFill patternType="solid">
        <fgColor rgb="FFFFF6E0"/>
        <bgColor rgb="FFFCFAF5"/>
      </patternFill>
    </fill>
    <fill>
      <patternFill patternType="solid">
        <fgColor rgb="FFF7E0E5"/>
        <bgColor rgb="FFEFEDE8"/>
      </patternFill>
    </fill>
    <fill>
      <patternFill patternType="solid">
        <fgColor rgb="FFFBEBC6"/>
        <bgColor rgb="FFF4EEE1"/>
      </patternFill>
    </fill>
    <fill>
      <patternFill patternType="solid">
        <fgColor rgb="FFDEE8EF"/>
        <bgColor rgb="FFE8EFDB"/>
      </patternFill>
    </fill>
    <fill>
      <patternFill patternType="solid">
        <fgColor rgb="FFE8EFDB"/>
        <bgColor rgb="FFEFEDE8"/>
      </patternFill>
    </fill>
  </fills>
  <borders count="20">
    <border>
      <left/>
      <right/>
      <top/>
      <bottom/>
      <diagonal/>
    </border>
    <border>
      <left/>
      <right/>
      <top/>
      <bottom style="dashed">
        <color rgb="FF262A2E"/>
      </bottom>
      <diagonal/>
    </border>
    <border>
      <left style="thin">
        <color rgb="FFC9C2B4"/>
      </left>
      <right style="thin">
        <color rgb="FFC9C2B4"/>
      </right>
      <top style="thin">
        <color rgb="FFC9C2B4"/>
      </top>
      <bottom style="thin">
        <color rgb="FFC9C2B4"/>
      </bottom>
      <diagonal/>
    </border>
    <border>
      <left style="thick">
        <color rgb="FF262A2E"/>
      </left>
      <right style="thin">
        <color rgb="FFC9C2B4"/>
      </right>
      <top style="thin">
        <color rgb="FFC9C2B4"/>
      </top>
      <bottom/>
      <diagonal/>
    </border>
    <border>
      <left style="thick">
        <color rgb="FFC98A14"/>
      </left>
      <right style="thin">
        <color rgb="FFC9C2B4"/>
      </right>
      <top style="thin">
        <color rgb="FFC9C2B4"/>
      </top>
      <bottom/>
      <diagonal/>
    </border>
    <border>
      <left style="thick">
        <color rgb="FF6E8C3A"/>
      </left>
      <right style="thin">
        <color rgb="FFC9C2B4"/>
      </right>
      <top style="thin">
        <color rgb="FFC9C2B4"/>
      </top>
      <bottom/>
      <diagonal/>
    </border>
    <border>
      <left style="thick">
        <color rgb="FF4A6C86"/>
      </left>
      <right style="thin">
        <color rgb="FFC9C2B4"/>
      </right>
      <top style="thin">
        <color rgb="FFC9C2B4"/>
      </top>
      <bottom/>
      <diagonal/>
    </border>
    <border>
      <left style="thick">
        <color rgb="FF8E2A44"/>
      </left>
      <right style="thin">
        <color rgb="FFC9C2B4"/>
      </right>
      <top style="thin">
        <color rgb="FFC9C2B4"/>
      </top>
      <bottom/>
      <diagonal/>
    </border>
    <border>
      <left style="thick">
        <color rgb="FF262A2E"/>
      </left>
      <right style="thin">
        <color rgb="FFC9C2B4"/>
      </right>
      <top/>
      <bottom/>
      <diagonal/>
    </border>
    <border>
      <left style="thick">
        <color rgb="FFC98A14"/>
      </left>
      <right style="thin">
        <color rgb="FFC9C2B4"/>
      </right>
      <top/>
      <bottom/>
      <diagonal/>
    </border>
    <border>
      <left style="thick">
        <color rgb="FF6E8C3A"/>
      </left>
      <right style="thin">
        <color rgb="FFC9C2B4"/>
      </right>
      <top/>
      <bottom/>
      <diagonal/>
    </border>
    <border>
      <left style="thick">
        <color rgb="FF4A6C86"/>
      </left>
      <right style="thin">
        <color rgb="FFC9C2B4"/>
      </right>
      <top/>
      <bottom/>
      <diagonal/>
    </border>
    <border>
      <left style="thick">
        <color rgb="FF8E2A44"/>
      </left>
      <right style="thin">
        <color rgb="FFC9C2B4"/>
      </right>
      <top/>
      <bottom/>
      <diagonal/>
    </border>
    <border>
      <left style="thick">
        <color rgb="FF262A2E"/>
      </left>
      <right style="thin">
        <color rgb="FFC9C2B4"/>
      </right>
      <top/>
      <bottom style="thin">
        <color rgb="FFC9C2B4"/>
      </bottom>
      <diagonal/>
    </border>
    <border>
      <left style="thick">
        <color rgb="FFC98A14"/>
      </left>
      <right style="thin">
        <color rgb="FFC9C2B4"/>
      </right>
      <top/>
      <bottom style="thin">
        <color rgb="FFC9C2B4"/>
      </bottom>
      <diagonal/>
    </border>
    <border>
      <left style="thick">
        <color rgb="FF6E8C3A"/>
      </left>
      <right style="thin">
        <color rgb="FFC9C2B4"/>
      </right>
      <top/>
      <bottom style="thin">
        <color rgb="FFC9C2B4"/>
      </bottom>
      <diagonal/>
    </border>
    <border>
      <left style="thick">
        <color rgb="FF4A6C86"/>
      </left>
      <right style="thin">
        <color rgb="FFC9C2B4"/>
      </right>
      <top/>
      <bottom style="thin">
        <color rgb="FFC9C2B4"/>
      </bottom>
      <diagonal/>
    </border>
    <border>
      <left style="thick">
        <color rgb="FF8E2A44"/>
      </left>
      <right style="thin">
        <color rgb="FFC9C2B4"/>
      </right>
      <top/>
      <bottom style="thin">
        <color rgb="FFC9C2B4"/>
      </bottom>
      <diagonal/>
    </border>
    <border>
      <left style="thin">
        <color rgb="FF737C86"/>
      </left>
      <right style="thin">
        <color rgb="FF737C86"/>
      </right>
      <top style="thin">
        <color rgb="FF262A2E"/>
      </top>
      <bottom style="medium">
        <color rgb="FFC98A14"/>
      </bottom>
      <diagonal/>
    </border>
    <border>
      <left style="thin">
        <color rgb="FF737C86"/>
      </left>
      <right style="thin">
        <color rgb="FF737C86"/>
      </right>
      <top/>
      <bottom style="medium">
        <color rgb="FFC98A1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9" fillId="7" borderId="3" xfId="0" applyFont="1" applyFill="1" applyBorder="1" applyAlignment="1">
      <alignment horizontal="left" vertical="center" indent="1"/>
    </xf>
    <xf numFmtId="165" fontId="6" fillId="7" borderId="2" xfId="0" applyNumberFormat="1" applyFont="1" applyFill="1" applyBorder="1" applyAlignment="1">
      <alignment horizontal="left" vertical="center" indent="1"/>
    </xf>
    <xf numFmtId="9" fontId="6" fillId="7" borderId="2" xfId="0" applyNumberFormat="1" applyFont="1" applyFill="1" applyBorder="1" applyAlignment="1">
      <alignment horizontal="left" vertical="center" indent="1"/>
    </xf>
    <xf numFmtId="166" fontId="6" fillId="7" borderId="2" xfId="0" applyNumberFormat="1" applyFont="1" applyFill="1" applyBorder="1" applyAlignment="1">
      <alignment horizontal="left" vertical="center" indent="1"/>
    </xf>
    <xf numFmtId="3" fontId="6" fillId="7" borderId="2" xfId="0" applyNumberFormat="1" applyFont="1" applyFill="1" applyBorder="1" applyAlignment="1">
      <alignment horizontal="left" vertical="center" indent="1"/>
    </xf>
    <xf numFmtId="164" fontId="6" fillId="7" borderId="2" xfId="0" applyNumberFormat="1" applyFont="1" applyFill="1" applyBorder="1" applyAlignment="1">
      <alignment horizontal="left" vertical="center" indent="1"/>
    </xf>
    <xf numFmtId="0" fontId="6" fillId="7" borderId="2" xfId="0" applyFont="1" applyFill="1" applyBorder="1" applyAlignment="1">
      <alignment horizontal="left" vertical="center" indent="1"/>
    </xf>
    <xf numFmtId="0" fontId="8" fillId="6" borderId="0" xfId="0" applyFont="1" applyFill="1" applyAlignment="1">
      <alignment horizontal="left" vertical="center" indent="1"/>
    </xf>
    <xf numFmtId="0" fontId="7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indent="1"/>
    </xf>
    <xf numFmtId="0" fontId="5" fillId="3" borderId="0" xfId="0" applyFont="1" applyFill="1" applyAlignment="1">
      <alignment horizontal="right" vertical="center" indent="1"/>
    </xf>
    <xf numFmtId="0" fontId="4" fillId="2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1"/>
    </xf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9" fontId="1" fillId="0" borderId="0" xfId="0" applyNumberFormat="1" applyFont="1" applyAlignment="1">
      <alignment horizontal="left" vertical="center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6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9" fillId="7" borderId="5" xfId="0" applyFont="1" applyFill="1" applyBorder="1" applyAlignment="1">
      <alignment horizontal="left" vertical="center" indent="1"/>
    </xf>
    <xf numFmtId="9" fontId="12" fillId="8" borderId="10" xfId="0" applyNumberFormat="1" applyFont="1" applyFill="1" applyBorder="1" applyAlignment="1">
      <alignment horizontal="left" vertical="center" indent="1"/>
    </xf>
    <xf numFmtId="0" fontId="15" fillId="8" borderId="15" xfId="0" applyFont="1" applyFill="1" applyBorder="1" applyAlignment="1">
      <alignment horizontal="left" vertical="center" indent="1"/>
    </xf>
    <xf numFmtId="0" fontId="16" fillId="2" borderId="18" xfId="0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8" fillId="11" borderId="2" xfId="0" applyFont="1" applyFill="1" applyBorder="1" applyAlignment="1">
      <alignment horizontal="left" vertical="center" indent="1"/>
    </xf>
    <xf numFmtId="0" fontId="19" fillId="11" borderId="2" xfId="0" applyFont="1" applyFill="1" applyBorder="1" applyAlignment="1">
      <alignment horizontal="left" vertical="center" indent="1"/>
    </xf>
    <xf numFmtId="0" fontId="5" fillId="11" borderId="2" xfId="0" applyFont="1" applyFill="1" applyBorder="1" applyAlignment="1">
      <alignment horizontal="center" vertical="center"/>
    </xf>
    <xf numFmtId="3" fontId="18" fillId="11" borderId="2" xfId="0" applyNumberFormat="1" applyFont="1" applyFill="1" applyBorder="1" applyAlignment="1">
      <alignment horizontal="center" vertical="center"/>
    </xf>
    <xf numFmtId="3" fontId="19" fillId="10" borderId="2" xfId="0" applyNumberFormat="1" applyFont="1" applyFill="1" applyBorder="1" applyAlignment="1">
      <alignment horizontal="center" vertical="center"/>
    </xf>
    <xf numFmtId="4" fontId="17" fillId="10" borderId="2" xfId="0" applyNumberFormat="1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left" vertical="center" indent="1"/>
    </xf>
    <xf numFmtId="164" fontId="5" fillId="11" borderId="2" xfId="0" applyNumberFormat="1" applyFont="1" applyFill="1" applyBorder="1" applyAlignment="1">
      <alignment horizontal="center" vertical="center"/>
    </xf>
    <xf numFmtId="165" fontId="18" fillId="11" borderId="2" xfId="0" applyNumberFormat="1" applyFont="1" applyFill="1" applyBorder="1" applyAlignment="1">
      <alignment horizontal="right" vertical="center"/>
    </xf>
    <xf numFmtId="0" fontId="20" fillId="11" borderId="2" xfId="0" applyFont="1" applyFill="1" applyBorder="1" applyAlignment="1">
      <alignment horizontal="center" vertical="center"/>
    </xf>
    <xf numFmtId="0" fontId="21" fillId="11" borderId="2" xfId="0" applyFont="1" applyFill="1" applyBorder="1" applyAlignment="1">
      <alignment horizontal="left" vertical="center" indent="1"/>
    </xf>
    <xf numFmtId="0" fontId="20" fillId="10" borderId="2" xfId="0" applyFont="1" applyFill="1" applyBorder="1" applyAlignment="1">
      <alignment horizontal="center" vertical="center"/>
    </xf>
    <xf numFmtId="167" fontId="24" fillId="2" borderId="0" xfId="0" applyNumberFormat="1" applyFont="1" applyFill="1" applyAlignment="1">
      <alignment horizontal="center" vertical="center"/>
    </xf>
    <xf numFmtId="168" fontId="24" fillId="2" borderId="0" xfId="0" applyNumberFormat="1" applyFont="1" applyFill="1" applyAlignment="1">
      <alignment horizontal="center" vertical="center"/>
    </xf>
    <xf numFmtId="165" fontId="22" fillId="2" borderId="0" xfId="0" applyNumberFormat="1" applyFont="1" applyFill="1" applyAlignment="1">
      <alignment horizontal="right" vertical="center"/>
    </xf>
    <xf numFmtId="170" fontId="26" fillId="2" borderId="0" xfId="0" applyNumberFormat="1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8" fillId="12" borderId="2" xfId="0" applyFont="1" applyFill="1" applyBorder="1" applyAlignment="1">
      <alignment horizontal="center" vertical="center"/>
    </xf>
    <xf numFmtId="0" fontId="28" fillId="13" borderId="2" xfId="0" applyFont="1" applyFill="1" applyBorder="1" applyAlignment="1">
      <alignment horizontal="center" vertical="center"/>
    </xf>
    <xf numFmtId="0" fontId="28" fillId="14" borderId="2" xfId="0" applyFont="1" applyFill="1" applyBorder="1" applyAlignment="1">
      <alignment horizontal="center" vertical="center"/>
    </xf>
    <xf numFmtId="0" fontId="28" fillId="15" borderId="2" xfId="0" applyFont="1" applyFill="1" applyBorder="1" applyAlignment="1">
      <alignment horizontal="center" vertical="center"/>
    </xf>
    <xf numFmtId="0" fontId="29" fillId="4" borderId="2" xfId="0" applyFont="1" applyFill="1" applyBorder="1" applyAlignment="1">
      <alignment horizontal="center" vertical="center"/>
    </xf>
    <xf numFmtId="0" fontId="28" fillId="11" borderId="2" xfId="0" applyFont="1" applyFill="1" applyBorder="1" applyAlignment="1">
      <alignment horizontal="center" vertical="center"/>
    </xf>
    <xf numFmtId="0" fontId="28" fillId="10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0" fontId="16" fillId="2" borderId="19" xfId="0" applyFont="1" applyFill="1" applyBorder="1" applyAlignment="1">
      <alignment horizontal="center" vertical="center" wrapText="1"/>
    </xf>
    <xf numFmtId="0" fontId="19" fillId="8" borderId="2" xfId="0" applyFont="1" applyFill="1" applyBorder="1" applyAlignment="1">
      <alignment horizontal="left" vertical="center" indent="1"/>
    </xf>
    <xf numFmtId="0" fontId="17" fillId="8" borderId="2" xfId="0" applyFont="1" applyFill="1" applyBorder="1" applyAlignment="1">
      <alignment horizontal="center" vertical="center"/>
    </xf>
    <xf numFmtId="3" fontId="18" fillId="10" borderId="2" xfId="0" applyNumberFormat="1" applyFont="1" applyFill="1" applyBorder="1" applyAlignment="1">
      <alignment horizontal="center" vertical="center"/>
    </xf>
    <xf numFmtId="3" fontId="18" fillId="8" borderId="2" xfId="0" applyNumberFormat="1" applyFont="1" applyFill="1" applyBorder="1" applyAlignment="1">
      <alignment horizontal="center" vertical="center"/>
    </xf>
    <xf numFmtId="9" fontId="19" fillId="10" borderId="2" xfId="0" applyNumberFormat="1" applyFont="1" applyFill="1" applyBorder="1" applyAlignment="1">
      <alignment horizontal="center" vertical="center"/>
    </xf>
    <xf numFmtId="165" fontId="18" fillId="10" borderId="2" xfId="0" applyNumberFormat="1" applyFont="1" applyFill="1" applyBorder="1" applyAlignment="1">
      <alignment horizontal="right" vertical="center"/>
    </xf>
    <xf numFmtId="9" fontId="5" fillId="10" borderId="2" xfId="0" applyNumberFormat="1" applyFont="1" applyFill="1" applyBorder="1" applyAlignment="1">
      <alignment horizontal="center" vertical="center"/>
    </xf>
    <xf numFmtId="0" fontId="20" fillId="8" borderId="2" xfId="0" applyFont="1" applyFill="1" applyBorder="1" applyAlignment="1">
      <alignment horizontal="center" vertical="center"/>
    </xf>
    <xf numFmtId="3" fontId="24" fillId="2" borderId="0" xfId="0" applyNumberFormat="1" applyFont="1" applyFill="1" applyAlignment="1">
      <alignment horizontal="center" vertical="center"/>
    </xf>
    <xf numFmtId="167" fontId="30" fillId="2" borderId="0" xfId="0" applyNumberFormat="1" applyFont="1" applyFill="1" applyAlignment="1">
      <alignment horizontal="center" vertical="center"/>
    </xf>
    <xf numFmtId="9" fontId="24" fillId="2" borderId="0" xfId="0" applyNumberFormat="1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16" fillId="6" borderId="0" xfId="0" applyFont="1" applyFill="1" applyAlignment="1">
      <alignment horizontal="center" vertical="center" wrapText="1"/>
    </xf>
    <xf numFmtId="166" fontId="18" fillId="10" borderId="2" xfId="0" applyNumberFormat="1" applyFont="1" applyFill="1" applyBorder="1" applyAlignment="1">
      <alignment horizontal="center" vertical="center"/>
    </xf>
    <xf numFmtId="3" fontId="16" fillId="6" borderId="0" xfId="0" applyNumberFormat="1" applyFont="1" applyFill="1" applyAlignment="1">
      <alignment horizontal="center" vertical="center"/>
    </xf>
    <xf numFmtId="9" fontId="32" fillId="6" borderId="0" xfId="0" applyNumberFormat="1" applyFont="1" applyFill="1" applyAlignment="1">
      <alignment horizontal="center" vertical="center"/>
    </xf>
    <xf numFmtId="166" fontId="16" fillId="6" borderId="0" xfId="0" applyNumberFormat="1" applyFont="1" applyFill="1" applyAlignment="1">
      <alignment horizontal="center" vertical="center"/>
    </xf>
    <xf numFmtId="165" fontId="16" fillId="6" borderId="0" xfId="0" applyNumberFormat="1" applyFont="1" applyFill="1" applyAlignment="1">
      <alignment horizontal="right" vertical="center"/>
    </xf>
    <xf numFmtId="9" fontId="16" fillId="6" borderId="0" xfId="0" applyNumberFormat="1" applyFont="1" applyFill="1" applyAlignment="1">
      <alignment horizontal="center" vertical="center"/>
    </xf>
    <xf numFmtId="9" fontId="17" fillId="10" borderId="2" xfId="0" applyNumberFormat="1" applyFont="1" applyFill="1" applyBorder="1" applyAlignment="1">
      <alignment horizontal="center" vertical="center"/>
    </xf>
    <xf numFmtId="3" fontId="32" fillId="6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3" fontId="33" fillId="10" borderId="2" xfId="0" applyNumberFormat="1" applyFont="1" applyFill="1" applyBorder="1" applyAlignment="1">
      <alignment horizontal="center" vertical="center"/>
    </xf>
    <xf numFmtId="0" fontId="34" fillId="8" borderId="2" xfId="0" applyFont="1" applyFill="1" applyBorder="1" applyAlignment="1">
      <alignment horizontal="left" vertical="center" indent="1"/>
    </xf>
    <xf numFmtId="9" fontId="33" fillId="10" borderId="2" xfId="0" applyNumberFormat="1" applyFont="1" applyFill="1" applyBorder="1" applyAlignment="1">
      <alignment horizontal="center" vertical="center"/>
    </xf>
    <xf numFmtId="171" fontId="19" fillId="10" borderId="2" xfId="0" applyNumberFormat="1" applyFont="1" applyFill="1" applyBorder="1" applyAlignment="1">
      <alignment horizontal="center" vertical="center"/>
    </xf>
    <xf numFmtId="165" fontId="19" fillId="10" borderId="2" xfId="0" applyNumberFormat="1" applyFont="1" applyFill="1" applyBorder="1" applyAlignment="1">
      <alignment horizontal="center" vertical="center"/>
    </xf>
    <xf numFmtId="165" fontId="33" fillId="10" borderId="2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3" fontId="36" fillId="11" borderId="2" xfId="0" applyNumberFormat="1" applyFont="1" applyFill="1" applyBorder="1" applyAlignment="1">
      <alignment horizontal="right" vertical="center"/>
    </xf>
    <xf numFmtId="2" fontId="36" fillId="11" borderId="2" xfId="0" applyNumberFormat="1" applyFont="1" applyFill="1" applyBorder="1" applyAlignment="1">
      <alignment horizontal="right" vertical="center"/>
    </xf>
    <xf numFmtId="3" fontId="6" fillId="10" borderId="2" xfId="0" applyNumberFormat="1" applyFont="1" applyFill="1" applyBorder="1" applyAlignment="1">
      <alignment horizontal="right" vertical="center"/>
    </xf>
    <xf numFmtId="166" fontId="6" fillId="10" borderId="2" xfId="0" applyNumberFormat="1" applyFont="1" applyFill="1" applyBorder="1" applyAlignment="1">
      <alignment horizontal="right" vertical="center"/>
    </xf>
    <xf numFmtId="9" fontId="36" fillId="11" borderId="2" xfId="0" applyNumberFormat="1" applyFont="1" applyFill="1" applyBorder="1" applyAlignment="1">
      <alignment horizontal="right" vertical="center"/>
    </xf>
    <xf numFmtId="165" fontId="36" fillId="11" borderId="2" xfId="0" applyNumberFormat="1" applyFont="1" applyFill="1" applyBorder="1" applyAlignment="1">
      <alignment horizontal="right" vertical="center"/>
    </xf>
    <xf numFmtId="165" fontId="6" fillId="10" borderId="2" xfId="0" applyNumberFormat="1" applyFont="1" applyFill="1" applyBorder="1" applyAlignment="1">
      <alignment horizontal="right" vertical="center"/>
    </xf>
    <xf numFmtId="0" fontId="16" fillId="2" borderId="2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left" vertical="center" indent="1"/>
    </xf>
    <xf numFmtId="0" fontId="18" fillId="11" borderId="2" xfId="0" applyFont="1" applyFill="1" applyBorder="1" applyAlignment="1">
      <alignment horizontal="center" vertical="center"/>
    </xf>
    <xf numFmtId="0" fontId="37" fillId="2" borderId="0" xfId="0" applyFont="1" applyFill="1" applyAlignment="1">
      <alignment horizontal="left" vertical="center" indent="1"/>
    </xf>
    <xf numFmtId="0" fontId="16" fillId="2" borderId="2" xfId="0" applyFont="1" applyFill="1" applyBorder="1" applyAlignment="1">
      <alignment horizontal="center" vertical="center"/>
    </xf>
    <xf numFmtId="0" fontId="18" fillId="8" borderId="2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/>
    </xf>
    <xf numFmtId="0" fontId="0" fillId="0" borderId="1" xfId="0" applyBorder="1"/>
    <xf numFmtId="0" fontId="20" fillId="13" borderId="2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left" vertical="center" indent="1"/>
    </xf>
    <xf numFmtId="0" fontId="9" fillId="7" borderId="5" xfId="0" applyFont="1" applyFill="1" applyBorder="1" applyAlignment="1">
      <alignment horizontal="left" vertical="center" indent="1"/>
    </xf>
    <xf numFmtId="0" fontId="9" fillId="7" borderId="6" xfId="0" applyFont="1" applyFill="1" applyBorder="1" applyAlignment="1">
      <alignment horizontal="left" vertical="center" indent="1"/>
    </xf>
    <xf numFmtId="0" fontId="9" fillId="7" borderId="7" xfId="0" applyFont="1" applyFill="1" applyBorder="1" applyAlignment="1">
      <alignment horizontal="left" vertical="center" indent="1"/>
    </xf>
    <xf numFmtId="3" fontId="10" fillId="8" borderId="8" xfId="0" applyNumberFormat="1" applyFont="1" applyFill="1" applyBorder="1" applyAlignment="1">
      <alignment horizontal="left" vertical="center" indent="1"/>
    </xf>
    <xf numFmtId="167" fontId="11" fillId="8" borderId="9" xfId="0" applyNumberFormat="1" applyFont="1" applyFill="1" applyBorder="1" applyAlignment="1">
      <alignment horizontal="left" vertical="center" indent="1"/>
    </xf>
    <xf numFmtId="168" fontId="12" fillId="8" borderId="10" xfId="0" applyNumberFormat="1" applyFont="1" applyFill="1" applyBorder="1" applyAlignment="1">
      <alignment horizontal="left" vertical="center" indent="1"/>
    </xf>
    <xf numFmtId="169" fontId="13" fillId="8" borderId="11" xfId="0" applyNumberFormat="1" applyFont="1" applyFill="1" applyBorder="1" applyAlignment="1">
      <alignment horizontal="left" vertical="center" indent="1"/>
    </xf>
    <xf numFmtId="165" fontId="14" fillId="8" borderId="12" xfId="0" applyNumberFormat="1" applyFont="1" applyFill="1" applyBorder="1" applyAlignment="1">
      <alignment horizontal="left" vertical="center" indent="1"/>
    </xf>
    <xf numFmtId="9" fontId="12" fillId="8" borderId="10" xfId="0" applyNumberFormat="1" applyFont="1" applyFill="1" applyBorder="1" applyAlignment="1">
      <alignment horizontal="left" vertical="center" indent="1"/>
    </xf>
    <xf numFmtId="0" fontId="15" fillId="8" borderId="13" xfId="0" applyFont="1" applyFill="1" applyBorder="1" applyAlignment="1">
      <alignment horizontal="left" vertical="center" indent="1"/>
    </xf>
    <xf numFmtId="0" fontId="15" fillId="8" borderId="14" xfId="0" applyFont="1" applyFill="1" applyBorder="1" applyAlignment="1">
      <alignment horizontal="left" vertical="center" indent="1"/>
    </xf>
    <xf numFmtId="0" fontId="15" fillId="8" borderId="15" xfId="0" applyFont="1" applyFill="1" applyBorder="1" applyAlignment="1">
      <alignment horizontal="left" vertical="center" indent="1"/>
    </xf>
    <xf numFmtId="0" fontId="15" fillId="8" borderId="16" xfId="0" applyFont="1" applyFill="1" applyBorder="1" applyAlignment="1">
      <alignment horizontal="left" vertical="center" indent="1"/>
    </xf>
    <xf numFmtId="0" fontId="15" fillId="8" borderId="17" xfId="0" applyFont="1" applyFill="1" applyBorder="1" applyAlignment="1">
      <alignment horizontal="left" vertical="center" indent="1"/>
    </xf>
    <xf numFmtId="0" fontId="22" fillId="2" borderId="0" xfId="0" applyFont="1" applyFill="1" applyAlignment="1">
      <alignment horizontal="left" vertical="center" indent="1"/>
    </xf>
    <xf numFmtId="0" fontId="23" fillId="2" borderId="0" xfId="0" applyFont="1" applyFill="1" applyAlignment="1">
      <alignment horizontal="left" vertical="center" indent="1"/>
    </xf>
    <xf numFmtId="0" fontId="25" fillId="2" borderId="0" xfId="0" applyFont="1" applyFill="1" applyAlignment="1">
      <alignment horizontal="left" vertical="center" indent="1"/>
    </xf>
    <xf numFmtId="0" fontId="24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166" fontId="10" fillId="8" borderId="8" xfId="0" applyNumberFormat="1" applyFont="1" applyFill="1" applyBorder="1" applyAlignment="1">
      <alignment horizontal="left" vertical="center" indent="1"/>
    </xf>
    <xf numFmtId="3" fontId="11" fillId="8" borderId="9" xfId="0" applyNumberFormat="1" applyFont="1" applyFill="1" applyBorder="1" applyAlignment="1">
      <alignment horizontal="left" vertical="center" indent="1"/>
    </xf>
    <xf numFmtId="165" fontId="10" fillId="8" borderId="8" xfId="0" applyNumberFormat="1" applyFont="1" applyFill="1" applyBorder="1" applyAlignment="1">
      <alignment horizontal="left" vertical="center" indent="1"/>
    </xf>
    <xf numFmtId="171" fontId="14" fillId="8" borderId="12" xfId="0" applyNumberFormat="1" applyFont="1" applyFill="1" applyBorder="1" applyAlignment="1">
      <alignment horizontal="left" vertical="center" indent="1"/>
    </xf>
    <xf numFmtId="0" fontId="24" fillId="2" borderId="0" xfId="0" applyFont="1" applyFill="1" applyAlignment="1">
      <alignment horizontal="left" vertical="center" indent="1"/>
    </xf>
    <xf numFmtId="0" fontId="16" fillId="6" borderId="0" xfId="0" applyFont="1" applyFill="1" applyAlignment="1">
      <alignment horizontal="center" vertical="center" wrapText="1"/>
    </xf>
    <xf numFmtId="0" fontId="19" fillId="8" borderId="2" xfId="0" applyFont="1" applyFill="1" applyBorder="1" applyAlignment="1">
      <alignment horizontal="left" vertical="center" indent="1"/>
    </xf>
    <xf numFmtId="0" fontId="16" fillId="6" borderId="0" xfId="0" applyFont="1" applyFill="1" applyAlignment="1">
      <alignment horizontal="left" vertical="center" indent="1"/>
    </xf>
    <xf numFmtId="0" fontId="16" fillId="6" borderId="0" xfId="0" applyFont="1" applyFill="1" applyAlignment="1">
      <alignment horizontal="center" vertical="center"/>
    </xf>
    <xf numFmtId="9" fontId="32" fillId="6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34" fillId="8" borderId="2" xfId="0" applyFont="1" applyFill="1" applyBorder="1" applyAlignment="1">
      <alignment horizontal="left" vertical="center" indent="1"/>
    </xf>
    <xf numFmtId="0" fontId="36" fillId="11" borderId="2" xfId="0" applyFont="1" applyFill="1" applyBorder="1" applyAlignment="1">
      <alignment horizontal="left" vertical="center"/>
    </xf>
    <xf numFmtId="164" fontId="36" fillId="11" borderId="2" xfId="0" applyNumberFormat="1" applyFont="1" applyFill="1" applyBorder="1" applyAlignment="1">
      <alignment horizontal="left" vertical="center" indent="1"/>
    </xf>
    <xf numFmtId="0" fontId="16" fillId="2" borderId="2" xfId="0" applyFont="1" applyFill="1" applyBorder="1" applyAlignment="1">
      <alignment horizontal="center" vertical="center"/>
    </xf>
    <xf numFmtId="0" fontId="18" fillId="8" borderId="2" xfId="0" applyFont="1" applyFill="1" applyBorder="1" applyAlignment="1">
      <alignment horizontal="center" vertical="center"/>
    </xf>
    <xf numFmtId="0" fontId="34" fillId="0" borderId="0" xfId="0" applyFont="1" applyAlignment="1">
      <alignment horizontal="left" vertical="center" wrapText="1" indent="1"/>
    </xf>
    <xf numFmtId="0" fontId="18" fillId="8" borderId="2" xfId="0" applyFont="1" applyFill="1" applyBorder="1" applyAlignment="1">
      <alignment horizontal="left" vertical="center" indent="1"/>
    </xf>
    <xf numFmtId="0" fontId="18" fillId="0" borderId="2" xfId="0" applyFont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38" fillId="2" borderId="0" xfId="0" applyFont="1" applyFill="1" applyAlignment="1">
      <alignment horizontal="center" vertical="center"/>
    </xf>
    <xf numFmtId="0" fontId="39" fillId="3" borderId="0" xfId="0" applyFont="1" applyFill="1" applyAlignment="1">
      <alignment horizontal="center" vertical="center"/>
    </xf>
    <xf numFmtId="0" fontId="39" fillId="4" borderId="0" xfId="0" applyFont="1" applyFill="1" applyAlignment="1">
      <alignment horizontal="center" vertical="center"/>
    </xf>
    <xf numFmtId="0" fontId="39" fillId="9" borderId="0" xfId="0" applyFont="1" applyFill="1" applyAlignment="1">
      <alignment horizontal="center" vertical="center"/>
    </xf>
    <xf numFmtId="0" fontId="39" fillId="5" borderId="0" xfId="0" applyFont="1" applyFill="1" applyAlignment="1">
      <alignment horizontal="center" vertical="center"/>
    </xf>
  </cellXfs>
  <cellStyles count="1">
    <cellStyle name="Standard" xfId="0" builtinId="0"/>
  </cellStyles>
  <dxfs count="33"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A0C"/>
      <rgbColor rgb="FF800080"/>
      <rgbColor rgb="FF008080"/>
      <rgbColor rgb="FFC9C2B4"/>
      <rgbColor rgb="FF878787"/>
      <rgbColor rgb="FF8FA7BA"/>
      <rgbColor rgb="FF8E2A44"/>
      <rgbColor rgb="FFFFF6E0"/>
      <rgbColor rgb="FFDEE8E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EDE8"/>
      <rgbColor rgb="FFE8EFDB"/>
      <rgbColor rgb="FFFBEBC6"/>
      <rgbColor rgb="FFF4EEE1"/>
      <rgbColor rgb="FFFCFAF5"/>
      <rgbColor rgb="FFC79AA6"/>
      <rgbColor rgb="FFF7E0E5"/>
      <rgbColor rgb="FF4F81BD"/>
      <rgbColor rgb="FF33CCCC"/>
      <rgbColor rgb="FFA8B57A"/>
      <rgbColor rgb="FFFFCC00"/>
      <rgbColor rgb="FFC98A14"/>
      <rgbColor rgb="FFFF6600"/>
      <rgbColor rgb="FF4A6C86"/>
      <rgbColor rgb="FF9AA0A6"/>
      <rgbColor rgb="FF003366"/>
      <rgbColor rgb="FF6E8C3A"/>
      <rgbColor rgb="FF003300"/>
      <rgbColor rgb="FF3E454C"/>
      <rgbColor rgb="FF993300"/>
      <rgbColor rgb="FF737C86"/>
      <rgbColor rgb="FF333399"/>
      <rgbColor rgb="FF262A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262A2E"/>
                </a:solidFill>
                <a:latin typeface="Calibri"/>
              </a:defRPr>
            </a:pPr>
            <a:r>
              <a:rPr sz="1000" b="1" strike="noStrike" spc="-1">
                <a:solidFill>
                  <a:srgbClr val="262A2E"/>
                </a:solidFill>
                <a:latin typeface="Calibri"/>
              </a:rPr>
              <a:t>Deckungsgrad je Kategorie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Auswertung!$G$12</c:f>
              <c:strCache>
                <c:ptCount val="1"/>
                <c:pt idx="0">
                  <c:v>Deckung</c:v>
                </c:pt>
              </c:strCache>
            </c:strRef>
          </c:tx>
          <c:spPr>
            <a:solidFill>
              <a:srgbClr val="6E8C3A"/>
            </a:solidFill>
            <a:ln w="0"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C98A1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EA4E-4E8D-9FF8-6FFE4F3CF24A}"/>
              </c:ext>
            </c:extLst>
          </c:dPt>
          <c:dPt>
            <c:idx val="4"/>
            <c:invertIfNegative val="0"/>
            <c:bubble3D val="0"/>
            <c:spPr>
              <a:solidFill>
                <a:srgbClr val="8E2A4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EA4E-4E8D-9FF8-6FFE4F3CF24A}"/>
              </c:ext>
            </c:extLst>
          </c:dPt>
          <c:dLbls>
            <c:dLbl>
              <c:idx val="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1-EA4E-4E8D-9FF8-6FFE4F3CF24A}"/>
                </c:ext>
              </c:extLst>
            </c:dLbl>
            <c:dLbl>
              <c:idx val="4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3-EA4E-4E8D-9FF8-6FFE4F3CF2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Auswertung!$B$13:$B$22</c:f>
              <c:strCache>
                <c:ptCount val="10"/>
                <c:pt idx="0">
                  <c:v>Aperitif &amp; Fingerfood</c:v>
                </c:pt>
                <c:pt idx="1">
                  <c:v>Vorspeisen kalt</c:v>
                </c:pt>
                <c:pt idx="2">
                  <c:v>Suppen</c:v>
                </c:pt>
                <c:pt idx="3">
                  <c:v>Salate</c:v>
                </c:pt>
                <c:pt idx="4">
                  <c:v>Hauptspeisen warm</c:v>
                </c:pt>
                <c:pt idx="5">
                  <c:v>Beilagen</c:v>
                </c:pt>
                <c:pt idx="6">
                  <c:v>Brot &amp; Gebäck</c:v>
                </c:pt>
                <c:pt idx="7">
                  <c:v>Käse &amp; Aufschnitt</c:v>
                </c:pt>
                <c:pt idx="8">
                  <c:v>Desserts</c:v>
                </c:pt>
                <c:pt idx="9">
                  <c:v>Getränke</c:v>
                </c:pt>
              </c:strCache>
            </c:strRef>
          </c:cat>
          <c:val>
            <c:numRef>
              <c:f>Auswertung!$G$13:$G$22</c:f>
              <c:numCache>
                <c:formatCode>0%</c:formatCode>
                <c:ptCount val="10"/>
                <c:pt idx="0">
                  <c:v>1.0833333333333333</c:v>
                </c:pt>
                <c:pt idx="1">
                  <c:v>0.9375</c:v>
                </c:pt>
                <c:pt idx="2">
                  <c:v>1</c:v>
                </c:pt>
                <c:pt idx="3">
                  <c:v>1</c:v>
                </c:pt>
                <c:pt idx="4">
                  <c:v>0.86111111111111116</c:v>
                </c:pt>
                <c:pt idx="5">
                  <c:v>1.0384615384615385</c:v>
                </c:pt>
                <c:pt idx="6">
                  <c:v>1</c:v>
                </c:pt>
                <c:pt idx="7">
                  <c:v>1.0833333333333333</c:v>
                </c:pt>
                <c:pt idx="8">
                  <c:v>1.0666666666666667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4E-4E8D-9FF8-6FFE4F3CF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axId val="56714952"/>
        <c:axId val="46054985"/>
      </c:barChart>
      <c:catAx>
        <c:axId val="56714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46054985"/>
        <c:crosses val="autoZero"/>
        <c:auto val="1"/>
        <c:lblAlgn val="ctr"/>
        <c:lblOffset val="100"/>
        <c:noMultiLvlLbl val="0"/>
      </c:catAx>
      <c:valAx>
        <c:axId val="46054985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56714952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262A2E"/>
                </a:solidFill>
                <a:latin typeface="Calibri"/>
              </a:defRPr>
            </a:pPr>
            <a:r>
              <a:rPr sz="1000" b="1" strike="noStrike" spc="-1">
                <a:solidFill>
                  <a:srgbClr val="262A2E"/>
                </a:solidFill>
                <a:latin typeface="Calibri"/>
              </a:rPr>
              <a:t>Kostenverteilung nach Kategorie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Auswertung!$J$12</c:f>
              <c:strCache>
                <c:ptCount val="1"/>
                <c:pt idx="0">
                  <c:v>Kosten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C98A14"/>
              </a:solidFill>
              <a:ln w="1260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1-87A2-4F26-BD3B-E67BCB214CAA}"/>
              </c:ext>
            </c:extLst>
          </c:dPt>
          <c:dPt>
            <c:idx val="1"/>
            <c:bubble3D val="0"/>
            <c:spPr>
              <a:solidFill>
                <a:srgbClr val="6E8C3A"/>
              </a:solidFill>
              <a:ln w="1260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3-87A2-4F26-BD3B-E67BCB214CAA}"/>
              </c:ext>
            </c:extLst>
          </c:dPt>
          <c:dPt>
            <c:idx val="2"/>
            <c:bubble3D val="0"/>
            <c:spPr>
              <a:solidFill>
                <a:srgbClr val="4A6C86"/>
              </a:solidFill>
              <a:ln w="1260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5-87A2-4F26-BD3B-E67BCB214CAA}"/>
              </c:ext>
            </c:extLst>
          </c:dPt>
          <c:dPt>
            <c:idx val="3"/>
            <c:bubble3D val="0"/>
            <c:spPr>
              <a:solidFill>
                <a:srgbClr val="8E2A44"/>
              </a:solidFill>
              <a:ln w="1260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7-87A2-4F26-BD3B-E67BCB214CAA}"/>
              </c:ext>
            </c:extLst>
          </c:dPt>
          <c:dPt>
            <c:idx val="4"/>
            <c:bubble3D val="0"/>
            <c:spPr>
              <a:solidFill>
                <a:srgbClr val="3E454C"/>
              </a:solidFill>
              <a:ln w="1260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9-87A2-4F26-BD3B-E67BCB214CAA}"/>
              </c:ext>
            </c:extLst>
          </c:dPt>
          <c:dPt>
            <c:idx val="5"/>
            <c:bubble3D val="0"/>
            <c:spPr>
              <a:solidFill>
                <a:srgbClr val="9C6A0C"/>
              </a:solidFill>
              <a:ln w="1260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B-87A2-4F26-BD3B-E67BCB214CAA}"/>
              </c:ext>
            </c:extLst>
          </c:dPt>
          <c:dPt>
            <c:idx val="6"/>
            <c:bubble3D val="0"/>
            <c:spPr>
              <a:solidFill>
                <a:srgbClr val="A8B57A"/>
              </a:solidFill>
              <a:ln w="1260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D-87A2-4F26-BD3B-E67BCB214CAA}"/>
              </c:ext>
            </c:extLst>
          </c:dPt>
          <c:dPt>
            <c:idx val="7"/>
            <c:bubble3D val="0"/>
            <c:spPr>
              <a:solidFill>
                <a:srgbClr val="8FA7BA"/>
              </a:solidFill>
              <a:ln w="1260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F-87A2-4F26-BD3B-E67BCB214CAA}"/>
              </c:ext>
            </c:extLst>
          </c:dPt>
          <c:dPt>
            <c:idx val="8"/>
            <c:bubble3D val="0"/>
            <c:spPr>
              <a:solidFill>
                <a:srgbClr val="C79AA6"/>
              </a:solidFill>
              <a:ln w="1260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11-87A2-4F26-BD3B-E67BCB214CAA}"/>
              </c:ext>
            </c:extLst>
          </c:dPt>
          <c:dPt>
            <c:idx val="9"/>
            <c:bubble3D val="0"/>
            <c:spPr>
              <a:solidFill>
                <a:srgbClr val="9AA0A6"/>
              </a:solidFill>
              <a:ln w="1260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13-87A2-4F26-BD3B-E67BCB214CAA}"/>
              </c:ext>
            </c:extLst>
          </c:dPt>
          <c:dLbls>
            <c:dLbl>
              <c:idx val="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1-87A2-4F26-BD3B-E67BCB214CAA}"/>
                </c:ext>
              </c:extLst>
            </c:dLbl>
            <c:dLbl>
              <c:idx val="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3-87A2-4F26-BD3B-E67BCB214CAA}"/>
                </c:ext>
              </c:extLst>
            </c:dLbl>
            <c:dLbl>
              <c:idx val="2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5-87A2-4F26-BD3B-E67BCB214CAA}"/>
                </c:ext>
              </c:extLst>
            </c:dLbl>
            <c:dLbl>
              <c:idx val="3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7-87A2-4F26-BD3B-E67BCB214CAA}"/>
                </c:ext>
              </c:extLst>
            </c:dLbl>
            <c:dLbl>
              <c:idx val="4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9-87A2-4F26-BD3B-E67BCB214CAA}"/>
                </c:ext>
              </c:extLst>
            </c:dLbl>
            <c:dLbl>
              <c:idx val="5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B-87A2-4F26-BD3B-E67BCB214CAA}"/>
                </c:ext>
              </c:extLst>
            </c:dLbl>
            <c:dLbl>
              <c:idx val="6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D-87A2-4F26-BD3B-E67BCB214CAA}"/>
                </c:ext>
              </c:extLst>
            </c:dLbl>
            <c:dLbl>
              <c:idx val="7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F-87A2-4F26-BD3B-E67BCB214CAA}"/>
                </c:ext>
              </c:extLst>
            </c:dLbl>
            <c:dLbl>
              <c:idx val="8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1-87A2-4F26-BD3B-E67BCB214CAA}"/>
                </c:ext>
              </c:extLst>
            </c:dLbl>
            <c:dLbl>
              <c:idx val="9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3-87A2-4F26-BD3B-E67BCB214C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Auswertung!$B$13:$B$22</c:f>
              <c:strCache>
                <c:ptCount val="10"/>
                <c:pt idx="0">
                  <c:v>Aperitif &amp; Fingerfood</c:v>
                </c:pt>
                <c:pt idx="1">
                  <c:v>Vorspeisen kalt</c:v>
                </c:pt>
                <c:pt idx="2">
                  <c:v>Suppen</c:v>
                </c:pt>
                <c:pt idx="3">
                  <c:v>Salate</c:v>
                </c:pt>
                <c:pt idx="4">
                  <c:v>Hauptspeisen warm</c:v>
                </c:pt>
                <c:pt idx="5">
                  <c:v>Beilagen</c:v>
                </c:pt>
                <c:pt idx="6">
                  <c:v>Brot &amp; Gebäck</c:v>
                </c:pt>
                <c:pt idx="7">
                  <c:v>Käse &amp; Aufschnitt</c:v>
                </c:pt>
                <c:pt idx="8">
                  <c:v>Desserts</c:v>
                </c:pt>
                <c:pt idx="9">
                  <c:v>Getränke</c:v>
                </c:pt>
              </c:strCache>
            </c:strRef>
          </c:cat>
          <c:val>
            <c:numRef>
              <c:f>Auswertung!$J$13:$J$22</c:f>
              <c:numCache>
                <c:formatCode>#,##0.00" €"</c:formatCode>
                <c:ptCount val="10"/>
                <c:pt idx="0">
                  <c:v>97.5</c:v>
                </c:pt>
                <c:pt idx="1">
                  <c:v>151.5</c:v>
                </c:pt>
                <c:pt idx="2">
                  <c:v>64</c:v>
                </c:pt>
                <c:pt idx="3">
                  <c:v>84</c:v>
                </c:pt>
                <c:pt idx="4">
                  <c:v>416</c:v>
                </c:pt>
                <c:pt idx="5">
                  <c:v>106</c:v>
                </c:pt>
                <c:pt idx="6">
                  <c:v>65.5</c:v>
                </c:pt>
                <c:pt idx="7">
                  <c:v>118</c:v>
                </c:pt>
                <c:pt idx="8">
                  <c:v>136</c:v>
                </c:pt>
                <c:pt idx="9">
                  <c:v>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7A2-4F26-BD3B-E67BCB214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57</xdr:row>
      <xdr:rowOff>0</xdr:rowOff>
    </xdr:from>
    <xdr:to>
      <xdr:col>5</xdr:col>
      <xdr:colOff>522720</xdr:colOff>
      <xdr:row>72</xdr:row>
      <xdr:rowOff>93960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57</xdr:row>
      <xdr:rowOff>0</xdr:rowOff>
    </xdr:from>
    <xdr:to>
      <xdr:col>11</xdr:col>
      <xdr:colOff>1227240</xdr:colOff>
      <xdr:row>72</xdr:row>
      <xdr:rowOff>93960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70"/>
  <sheetViews>
    <sheetView showGridLines="0" tabSelected="1" zoomScaleNormal="100" workbookViewId="0">
      <pane xSplit="4" ySplit="17" topLeftCell="E18" activePane="bottomRight" state="frozen"/>
      <selection pane="topRight" activeCell="E1" sqref="E1"/>
      <selection pane="bottomLeft" activeCell="A18" sqref="A18"/>
      <selection pane="bottomRight" activeCell="L47" sqref="L47"/>
    </sheetView>
  </sheetViews>
  <sheetFormatPr baseColWidth="10" defaultColWidth="8.7109375" defaultRowHeight="15" x14ac:dyDescent="0.25"/>
  <cols>
    <col min="1" max="1" width="1.5703125" customWidth="1"/>
    <col min="2" max="2" width="5" customWidth="1"/>
    <col min="3" max="3" width="18" customWidth="1"/>
    <col min="4" max="4" width="28" customWidth="1"/>
    <col min="5" max="5" width="11" customWidth="1"/>
    <col min="6" max="6" width="13" customWidth="1"/>
    <col min="7" max="7" width="11" customWidth="1"/>
    <col min="8" max="8" width="7.42578125" customWidth="1"/>
    <col min="9" max="9" width="11" customWidth="1"/>
    <col min="10" max="10" width="13" customWidth="1"/>
    <col min="11" max="11" width="12" customWidth="1"/>
    <col min="12" max="13" width="15" customWidth="1"/>
    <col min="14" max="14" width="13" customWidth="1"/>
    <col min="15" max="15" width="11" customWidth="1"/>
    <col min="16" max="16" width="13" customWidth="1"/>
    <col min="17" max="17" width="34" customWidth="1"/>
    <col min="18" max="18" width="16" customWidth="1"/>
    <col min="20" max="20" width="12" hidden="1" customWidth="1"/>
  </cols>
  <sheetData>
    <row r="1" spans="2:20" x14ac:dyDescent="0.25">
      <c r="T1" s="15">
        <f>Eventdatum</f>
        <v>46270</v>
      </c>
    </row>
    <row r="2" spans="2:20" ht="30" customHeight="1" x14ac:dyDescent="0.25">
      <c r="B2" s="14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3" t="str">
        <f>Anlass</f>
        <v>Sommerfest 2026</v>
      </c>
      <c r="M2" s="13"/>
      <c r="N2" s="13"/>
      <c r="O2" s="13"/>
      <c r="P2" s="13"/>
      <c r="Q2" s="13"/>
      <c r="R2" s="13"/>
      <c r="T2" s="16">
        <f>Ziel_Kosten_Gast</f>
        <v>25</v>
      </c>
    </row>
    <row r="3" spans="2:20" ht="16.5" customHeight="1" x14ac:dyDescent="0.25">
      <c r="B3" s="12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1" t="str">
        <f>"Termin: "&amp;RIGHT("0"&amp;DAY(Eventdatum),2)&amp;"."&amp;RIGHT("0"&amp;MONTH(Eventdatum),2)&amp;"."&amp;YEAR(Eventdatum)&amp;"  ·  "&amp;Veranstaltungsort</f>
        <v>Termin: 05.09.2026  ·  Gemeindesaal Nord, Musterstadt</v>
      </c>
      <c r="M3" s="11"/>
      <c r="N3" s="11"/>
      <c r="O3" s="11"/>
      <c r="P3" s="11"/>
      <c r="Q3" s="11"/>
      <c r="R3" s="11"/>
      <c r="T3" s="17">
        <f>Ziel_Vegetarisch</f>
        <v>0.35</v>
      </c>
    </row>
    <row r="4" spans="2:20" ht="4.5" customHeight="1" x14ac:dyDescent="0.25">
      <c r="B4" s="18"/>
      <c r="C4" s="18"/>
      <c r="D4" s="19"/>
      <c r="E4" s="20"/>
      <c r="F4" s="21"/>
      <c r="G4" s="18"/>
      <c r="H4" s="19"/>
      <c r="I4" s="19"/>
      <c r="J4" s="20"/>
      <c r="K4" s="21"/>
      <c r="L4" s="18"/>
      <c r="M4" s="18"/>
      <c r="N4" s="19"/>
      <c r="O4" s="20"/>
      <c r="P4" s="21"/>
      <c r="Q4" s="18"/>
      <c r="R4" s="19"/>
    </row>
    <row r="6" spans="2:20" ht="19.5" customHeight="1" x14ac:dyDescent="0.25">
      <c r="B6" s="22" t="s">
        <v>2</v>
      </c>
      <c r="C6" s="10" t="s">
        <v>3</v>
      </c>
      <c r="D6" s="10"/>
      <c r="E6" s="9" t="s">
        <v>4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2:20" ht="16.5" customHeight="1" x14ac:dyDescent="0.25">
      <c r="B7" s="8" t="s">
        <v>5</v>
      </c>
      <c r="C7" s="8"/>
      <c r="D7" s="7" t="str">
        <f>Anlass</f>
        <v>Sommerfest 2026</v>
      </c>
      <c r="E7" s="7"/>
      <c r="F7" s="8" t="s">
        <v>6</v>
      </c>
      <c r="G7" s="8"/>
      <c r="H7" s="6">
        <f>Eventdatum</f>
        <v>46270</v>
      </c>
      <c r="I7" s="6"/>
      <c r="J7" s="8" t="s">
        <v>7</v>
      </c>
      <c r="K7" s="8"/>
      <c r="L7" s="7" t="str">
        <f>Veranstaltungsort</f>
        <v>Gemeindesaal Nord, Musterstadt</v>
      </c>
      <c r="M7" s="7"/>
      <c r="N7" s="8" t="s">
        <v>8</v>
      </c>
      <c r="O7" s="8"/>
      <c r="P7" s="7" t="str">
        <f>Beginn</f>
        <v>18:30 Uhr</v>
      </c>
      <c r="Q7" s="7"/>
      <c r="R7" s="7"/>
    </row>
    <row r="8" spans="2:20" ht="16.5" customHeight="1" x14ac:dyDescent="0.25">
      <c r="B8" s="8" t="s">
        <v>9</v>
      </c>
      <c r="C8" s="8"/>
      <c r="D8" s="5">
        <f>Gaeste_gesamt</f>
        <v>60</v>
      </c>
      <c r="E8" s="5"/>
      <c r="F8" s="8" t="s">
        <v>10</v>
      </c>
      <c r="G8" s="8"/>
      <c r="H8" s="4">
        <f>Gaeste_gewichtet</f>
        <v>54</v>
      </c>
      <c r="I8" s="4"/>
      <c r="J8" s="8" t="s">
        <v>11</v>
      </c>
      <c r="K8" s="8"/>
      <c r="L8" s="3">
        <f>Puffer</f>
        <v>0.1</v>
      </c>
      <c r="M8" s="3"/>
      <c r="N8" s="8" t="s">
        <v>12</v>
      </c>
      <c r="O8" s="8"/>
      <c r="P8" s="2">
        <f>Budget</f>
        <v>1500</v>
      </c>
      <c r="Q8" s="2"/>
      <c r="R8" s="2"/>
    </row>
    <row r="10" spans="2:20" ht="19.5" customHeight="1" x14ac:dyDescent="0.25">
      <c r="B10" s="22" t="s">
        <v>13</v>
      </c>
      <c r="C10" s="10" t="s">
        <v>14</v>
      </c>
      <c r="D10" s="10"/>
      <c r="E10" s="9" t="s">
        <v>15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2:20" ht="13.5" customHeight="1" x14ac:dyDescent="0.25">
      <c r="B11" s="1" t="s">
        <v>16</v>
      </c>
      <c r="C11" s="1"/>
      <c r="D11" s="1"/>
      <c r="E11" s="102" t="s">
        <v>17</v>
      </c>
      <c r="F11" s="102"/>
      <c r="G11" s="102"/>
      <c r="H11" s="103" t="s">
        <v>18</v>
      </c>
      <c r="I11" s="103"/>
      <c r="J11" s="103"/>
      <c r="K11" s="104" t="s">
        <v>19</v>
      </c>
      <c r="L11" s="104"/>
      <c r="M11" s="104"/>
      <c r="N11" s="105" t="s">
        <v>20</v>
      </c>
      <c r="O11" s="105"/>
      <c r="P11" s="105"/>
      <c r="Q11" s="103" t="s">
        <v>21</v>
      </c>
      <c r="R11" s="103"/>
    </row>
    <row r="12" spans="2:20" ht="22.5" customHeight="1" x14ac:dyDescent="0.25">
      <c r="B12" s="106">
        <f>COUNTA($D$18:$D$67)</f>
        <v>29</v>
      </c>
      <c r="C12" s="106"/>
      <c r="D12" s="106"/>
      <c r="E12" s="107">
        <f>ROUND(SUMIF($H$18:$H$67,"g",$I$18:$I$67),0)</f>
        <v>855</v>
      </c>
      <c r="F12" s="107"/>
      <c r="G12" s="107"/>
      <c r="H12" s="108">
        <f>ROUND(SUMIF($H$18:$H$67,"g",$J$18:$J$67)/1000,1)</f>
        <v>50.8</v>
      </c>
      <c r="I12" s="108"/>
      <c r="J12" s="108"/>
      <c r="K12" s="109">
        <f>ROUND(SUMIF($H$18:$H$67,"ml",$J$18:$J$67)/1000,1)</f>
        <v>59.4</v>
      </c>
      <c r="L12" s="109"/>
      <c r="M12" s="109"/>
      <c r="N12" s="110">
        <f>IFERROR(SUM($O$18:$O$67)/Gaeste_gesamt,0)</f>
        <v>23.375</v>
      </c>
      <c r="O12" s="110"/>
      <c r="P12" s="110"/>
      <c r="Q12" s="111">
        <f>IFERROR((COUNTIF($F$18:$F$67,"Vegetarisch")+COUNTIF($F$18:$F$67,"Vegan"))/COUNTA($D$18:$D$67),0)</f>
        <v>0.86206896551724133</v>
      </c>
      <c r="R12" s="111"/>
    </row>
    <row r="13" spans="2:20" ht="12.75" customHeight="1" x14ac:dyDescent="0.25">
      <c r="B13" s="112" t="s">
        <v>22</v>
      </c>
      <c r="C13" s="112"/>
      <c r="D13" s="112"/>
      <c r="E13" s="113" t="s">
        <v>23</v>
      </c>
      <c r="F13" s="113"/>
      <c r="G13" s="113"/>
      <c r="H13" s="114" t="s">
        <v>24</v>
      </c>
      <c r="I13" s="114"/>
      <c r="J13" s="114"/>
      <c r="K13" s="115" t="s">
        <v>24</v>
      </c>
      <c r="L13" s="115"/>
      <c r="M13" s="115"/>
      <c r="N13" s="116" t="s">
        <v>25</v>
      </c>
      <c r="O13" s="116"/>
      <c r="P13" s="116"/>
      <c r="Q13" s="114" t="s">
        <v>26</v>
      </c>
      <c r="R13" s="114"/>
    </row>
    <row r="15" spans="2:20" ht="19.5" customHeight="1" x14ac:dyDescent="0.25">
      <c r="B15" s="22" t="s">
        <v>27</v>
      </c>
      <c r="C15" s="10" t="s">
        <v>28</v>
      </c>
      <c r="D15" s="10"/>
      <c r="E15" s="9" t="s">
        <v>29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2:20" ht="13.5" customHeight="1" x14ac:dyDescent="0.25">
      <c r="B16" s="142"/>
      <c r="C16" s="143" t="s">
        <v>30</v>
      </c>
      <c r="D16" s="143"/>
      <c r="E16" s="143"/>
      <c r="F16" s="143"/>
      <c r="G16" s="143"/>
      <c r="H16" s="144" t="s">
        <v>31</v>
      </c>
      <c r="I16" s="144"/>
      <c r="J16" s="144"/>
      <c r="K16" s="144"/>
      <c r="L16" s="145" t="s">
        <v>32</v>
      </c>
      <c r="M16" s="145"/>
      <c r="N16" s="145"/>
      <c r="O16" s="145"/>
      <c r="P16" s="145"/>
      <c r="Q16" s="146" t="s">
        <v>33</v>
      </c>
      <c r="R16" s="146"/>
    </row>
    <row r="17" spans="2:18" ht="30" customHeight="1" x14ac:dyDescent="0.25">
      <c r="B17" s="27" t="s">
        <v>34</v>
      </c>
      <c r="C17" s="27" t="s">
        <v>35</v>
      </c>
      <c r="D17" s="27" t="s">
        <v>36</v>
      </c>
      <c r="E17" s="27" t="s">
        <v>37</v>
      </c>
      <c r="F17" s="27" t="s">
        <v>38</v>
      </c>
      <c r="G17" s="27" t="s">
        <v>39</v>
      </c>
      <c r="H17" s="27" t="s">
        <v>40</v>
      </c>
      <c r="I17" s="27" t="s">
        <v>41</v>
      </c>
      <c r="J17" s="27" t="s">
        <v>42</v>
      </c>
      <c r="K17" s="27" t="s">
        <v>43</v>
      </c>
      <c r="L17" s="27" t="s">
        <v>44</v>
      </c>
      <c r="M17" s="27" t="s">
        <v>45</v>
      </c>
      <c r="N17" s="27" t="s">
        <v>46</v>
      </c>
      <c r="O17" s="27" t="s">
        <v>47</v>
      </c>
      <c r="P17" s="27" t="s">
        <v>48</v>
      </c>
      <c r="Q17" s="27" t="s">
        <v>49</v>
      </c>
      <c r="R17" s="27" t="s">
        <v>50</v>
      </c>
    </row>
    <row r="18" spans="2:18" ht="15" customHeight="1" x14ac:dyDescent="0.25">
      <c r="B18" s="28">
        <f>IF($D18="","",COUNTA($D$18:$D18))</f>
        <v>1</v>
      </c>
      <c r="C18" s="29" t="s">
        <v>51</v>
      </c>
      <c r="D18" s="30" t="s">
        <v>52</v>
      </c>
      <c r="E18" s="31" t="s">
        <v>53</v>
      </c>
      <c r="F18" s="31" t="s">
        <v>54</v>
      </c>
      <c r="G18" s="31" t="s">
        <v>55</v>
      </c>
      <c r="H18" s="28" t="str">
        <f t="shared" ref="H18:H49" si="0">IF($C18="","",IFERROR(INDEX(Kat_Einheit,MATCH($C18,Kat_Namen,0)),"?"))</f>
        <v>g</v>
      </c>
      <c r="I18" s="32">
        <v>20</v>
      </c>
      <c r="J18" s="33">
        <f t="shared" ref="J18:J49" si="1">IF($C18="","",IF($I18="","",ROUND($I18*Gaeste_gewichtet*(1+Puffer),0)))</f>
        <v>1188</v>
      </c>
      <c r="K18" s="34">
        <f t="shared" ref="K18:K49" si="2">IF($J18="","",ROUND($J18/1000,2))</f>
        <v>1.19</v>
      </c>
      <c r="L18" s="31" t="s">
        <v>56</v>
      </c>
      <c r="M18" s="35" t="s">
        <v>57</v>
      </c>
      <c r="N18" s="36">
        <v>46269</v>
      </c>
      <c r="O18" s="37">
        <v>34</v>
      </c>
      <c r="P18" s="38" t="s">
        <v>58</v>
      </c>
      <c r="Q18" s="39" t="s">
        <v>59</v>
      </c>
      <c r="R18" s="40" t="str">
        <f t="shared" ref="R18:R49" si="3">IF($D18="","",IF($C18="","Kategorie fehlt",IF($I18="","Menge fehlt",IF($M18="","Zuständigkeit offen",IF($O18="","Kosten offen",IF($N18="","Termin offen",IF($N18&gt;Eventdatum,"Termin nach Event","OK")))))))</f>
        <v>OK</v>
      </c>
    </row>
    <row r="19" spans="2:18" ht="15" customHeight="1" x14ac:dyDescent="0.25">
      <c r="B19" s="28">
        <f>IF($D19="","",COUNTA($D$18:$D19))</f>
        <v>2</v>
      </c>
      <c r="C19" s="29" t="s">
        <v>51</v>
      </c>
      <c r="D19" s="30" t="s">
        <v>60</v>
      </c>
      <c r="E19" s="31" t="s">
        <v>53</v>
      </c>
      <c r="F19" s="31" t="s">
        <v>54</v>
      </c>
      <c r="G19" s="31" t="s">
        <v>61</v>
      </c>
      <c r="H19" s="28" t="str">
        <f t="shared" si="0"/>
        <v>g</v>
      </c>
      <c r="I19" s="32">
        <v>25</v>
      </c>
      <c r="J19" s="33">
        <f t="shared" si="1"/>
        <v>1485</v>
      </c>
      <c r="K19" s="34">
        <f t="shared" si="2"/>
        <v>1.49</v>
      </c>
      <c r="L19" s="31" t="s">
        <v>56</v>
      </c>
      <c r="M19" s="35" t="s">
        <v>62</v>
      </c>
      <c r="N19" s="36">
        <v>46270</v>
      </c>
      <c r="O19" s="37">
        <v>22.5</v>
      </c>
      <c r="P19" s="38" t="s">
        <v>63</v>
      </c>
      <c r="Q19" s="39" t="s">
        <v>64</v>
      </c>
      <c r="R19" s="40" t="str">
        <f t="shared" si="3"/>
        <v>OK</v>
      </c>
    </row>
    <row r="20" spans="2:18" ht="15" customHeight="1" x14ac:dyDescent="0.25">
      <c r="B20" s="28">
        <f>IF($D20="","",COUNTA($D$18:$D20))</f>
        <v>3</v>
      </c>
      <c r="C20" s="29" t="s">
        <v>51</v>
      </c>
      <c r="D20" s="30" t="s">
        <v>65</v>
      </c>
      <c r="E20" s="31" t="s">
        <v>66</v>
      </c>
      <c r="F20" s="31" t="s">
        <v>54</v>
      </c>
      <c r="G20" s="31" t="s">
        <v>55</v>
      </c>
      <c r="H20" s="28" t="str">
        <f t="shared" si="0"/>
        <v>g</v>
      </c>
      <c r="I20" s="32">
        <v>20</v>
      </c>
      <c r="J20" s="33">
        <f t="shared" si="1"/>
        <v>1188</v>
      </c>
      <c r="K20" s="34">
        <f t="shared" si="2"/>
        <v>1.19</v>
      </c>
      <c r="L20" s="31" t="s">
        <v>67</v>
      </c>
      <c r="M20" s="35" t="s">
        <v>68</v>
      </c>
      <c r="N20" s="36">
        <v>46269</v>
      </c>
      <c r="O20" s="37">
        <v>41</v>
      </c>
      <c r="P20" s="38" t="s">
        <v>69</v>
      </c>
      <c r="Q20" s="39" t="s">
        <v>70</v>
      </c>
      <c r="R20" s="40" t="str">
        <f t="shared" si="3"/>
        <v>OK</v>
      </c>
    </row>
    <row r="21" spans="2:18" ht="15" customHeight="1" x14ac:dyDescent="0.25">
      <c r="B21" s="28">
        <f>IF($D21="","",COUNTA($D$18:$D21))</f>
        <v>4</v>
      </c>
      <c r="C21" s="29" t="s">
        <v>71</v>
      </c>
      <c r="D21" s="30" t="s">
        <v>72</v>
      </c>
      <c r="E21" s="31" t="s">
        <v>53</v>
      </c>
      <c r="F21" s="31" t="s">
        <v>73</v>
      </c>
      <c r="G21" s="31" t="s">
        <v>74</v>
      </c>
      <c r="H21" s="28" t="str">
        <f t="shared" si="0"/>
        <v>g</v>
      </c>
      <c r="I21" s="32">
        <v>30</v>
      </c>
      <c r="J21" s="33">
        <f t="shared" si="1"/>
        <v>1782</v>
      </c>
      <c r="K21" s="34">
        <f t="shared" si="2"/>
        <v>1.78</v>
      </c>
      <c r="L21" s="31" t="s">
        <v>67</v>
      </c>
      <c r="M21" s="35" t="s">
        <v>68</v>
      </c>
      <c r="N21" s="36">
        <v>46269</v>
      </c>
      <c r="O21" s="37">
        <v>68</v>
      </c>
      <c r="P21" s="38" t="s">
        <v>69</v>
      </c>
      <c r="Q21" s="39" t="s">
        <v>75</v>
      </c>
      <c r="R21" s="40" t="str">
        <f t="shared" si="3"/>
        <v>OK</v>
      </c>
    </row>
    <row r="22" spans="2:18" ht="15" customHeight="1" x14ac:dyDescent="0.25">
      <c r="B22" s="28">
        <f>IF($D22="","",COUNTA($D$18:$D22))</f>
        <v>5</v>
      </c>
      <c r="C22" s="29" t="s">
        <v>71</v>
      </c>
      <c r="D22" s="30" t="s">
        <v>76</v>
      </c>
      <c r="E22" s="31" t="s">
        <v>53</v>
      </c>
      <c r="F22" s="31" t="s">
        <v>77</v>
      </c>
      <c r="G22" s="31" t="s">
        <v>78</v>
      </c>
      <c r="H22" s="28" t="str">
        <f t="shared" si="0"/>
        <v>g</v>
      </c>
      <c r="I22" s="32">
        <v>20</v>
      </c>
      <c r="J22" s="33">
        <f t="shared" si="1"/>
        <v>1188</v>
      </c>
      <c r="K22" s="34">
        <f t="shared" si="2"/>
        <v>1.19</v>
      </c>
      <c r="L22" s="31" t="s">
        <v>67</v>
      </c>
      <c r="M22" s="35" t="s">
        <v>68</v>
      </c>
      <c r="N22" s="36">
        <v>46270</v>
      </c>
      <c r="O22" s="37">
        <v>54</v>
      </c>
      <c r="P22" s="38" t="s">
        <v>79</v>
      </c>
      <c r="Q22" s="39" t="s">
        <v>80</v>
      </c>
      <c r="R22" s="40" t="str">
        <f t="shared" si="3"/>
        <v>OK</v>
      </c>
    </row>
    <row r="23" spans="2:18" ht="15" customHeight="1" x14ac:dyDescent="0.25">
      <c r="B23" s="28">
        <f>IF($D23="","",COUNTA($D$18:$D23))</f>
        <v>6</v>
      </c>
      <c r="C23" s="29" t="s">
        <v>71</v>
      </c>
      <c r="D23" s="30" t="s">
        <v>81</v>
      </c>
      <c r="E23" s="31" t="s">
        <v>53</v>
      </c>
      <c r="F23" s="31" t="s">
        <v>73</v>
      </c>
      <c r="G23" s="31" t="s">
        <v>82</v>
      </c>
      <c r="H23" s="28" t="str">
        <f t="shared" si="0"/>
        <v>g</v>
      </c>
      <c r="I23" s="32">
        <v>25</v>
      </c>
      <c r="J23" s="33">
        <f t="shared" si="1"/>
        <v>1485</v>
      </c>
      <c r="K23" s="34">
        <f t="shared" si="2"/>
        <v>1.49</v>
      </c>
      <c r="L23" s="31" t="s">
        <v>56</v>
      </c>
      <c r="M23" s="35" t="s">
        <v>62</v>
      </c>
      <c r="N23" s="36">
        <v>46269</v>
      </c>
      <c r="O23" s="37">
        <v>29.5</v>
      </c>
      <c r="P23" s="38" t="s">
        <v>58</v>
      </c>
      <c r="Q23" s="39"/>
      <c r="R23" s="40" t="str">
        <f t="shared" si="3"/>
        <v>OK</v>
      </c>
    </row>
    <row r="24" spans="2:18" ht="15" customHeight="1" x14ac:dyDescent="0.25">
      <c r="B24" s="28">
        <f>IF($D24="","",COUNTA($D$18:$D24))</f>
        <v>7</v>
      </c>
      <c r="C24" s="29" t="s">
        <v>83</v>
      </c>
      <c r="D24" s="30" t="s">
        <v>84</v>
      </c>
      <c r="E24" s="31" t="s">
        <v>66</v>
      </c>
      <c r="F24" s="31" t="s">
        <v>54</v>
      </c>
      <c r="G24" s="31" t="s">
        <v>85</v>
      </c>
      <c r="H24" s="28" t="str">
        <f t="shared" si="0"/>
        <v>ml</v>
      </c>
      <c r="I24" s="32">
        <v>120</v>
      </c>
      <c r="J24" s="33">
        <f t="shared" si="1"/>
        <v>7128</v>
      </c>
      <c r="K24" s="34">
        <f t="shared" si="2"/>
        <v>7.13</v>
      </c>
      <c r="L24" s="31" t="s">
        <v>56</v>
      </c>
      <c r="M24" s="35" t="s">
        <v>86</v>
      </c>
      <c r="N24" s="36">
        <v>46269</v>
      </c>
      <c r="O24" s="37">
        <v>46</v>
      </c>
      <c r="P24" s="38" t="s">
        <v>58</v>
      </c>
      <c r="Q24" s="39" t="s">
        <v>87</v>
      </c>
      <c r="R24" s="40" t="str">
        <f t="shared" si="3"/>
        <v>OK</v>
      </c>
    </row>
    <row r="25" spans="2:18" ht="15" customHeight="1" x14ac:dyDescent="0.25">
      <c r="B25" s="28">
        <f>IF($D25="","",COUNTA($D$18:$D25))</f>
        <v>8</v>
      </c>
      <c r="C25" s="29" t="s">
        <v>83</v>
      </c>
      <c r="D25" s="30" t="s">
        <v>88</v>
      </c>
      <c r="E25" s="31" t="s">
        <v>66</v>
      </c>
      <c r="F25" s="31" t="s">
        <v>73</v>
      </c>
      <c r="G25" s="31" t="s">
        <v>89</v>
      </c>
      <c r="H25" s="28" t="str">
        <f t="shared" si="0"/>
        <v>ml</v>
      </c>
      <c r="I25" s="32">
        <v>80</v>
      </c>
      <c r="J25" s="33">
        <f t="shared" si="1"/>
        <v>4752</v>
      </c>
      <c r="K25" s="34">
        <f t="shared" si="2"/>
        <v>4.75</v>
      </c>
      <c r="L25" s="31" t="s">
        <v>56</v>
      </c>
      <c r="M25" s="35" t="s">
        <v>86</v>
      </c>
      <c r="N25" s="36">
        <v>46270</v>
      </c>
      <c r="O25" s="37">
        <v>18</v>
      </c>
      <c r="P25" s="38" t="s">
        <v>79</v>
      </c>
      <c r="Q25" s="39" t="s">
        <v>90</v>
      </c>
      <c r="R25" s="40" t="str">
        <f t="shared" si="3"/>
        <v>OK</v>
      </c>
    </row>
    <row r="26" spans="2:18" ht="15" customHeight="1" x14ac:dyDescent="0.25">
      <c r="B26" s="28">
        <f>IF($D26="","",COUNTA($D$18:$D26))</f>
        <v>9</v>
      </c>
      <c r="C26" s="29" t="s">
        <v>91</v>
      </c>
      <c r="D26" s="30" t="s">
        <v>92</v>
      </c>
      <c r="E26" s="31" t="s">
        <v>53</v>
      </c>
      <c r="F26" s="31" t="s">
        <v>73</v>
      </c>
      <c r="G26" s="31" t="s">
        <v>93</v>
      </c>
      <c r="H26" s="28" t="str">
        <f t="shared" si="0"/>
        <v>g</v>
      </c>
      <c r="I26" s="32">
        <v>40</v>
      </c>
      <c r="J26" s="33">
        <f t="shared" si="1"/>
        <v>2376</v>
      </c>
      <c r="K26" s="34">
        <f t="shared" si="2"/>
        <v>2.38</v>
      </c>
      <c r="L26" s="31" t="s">
        <v>94</v>
      </c>
      <c r="M26" s="35" t="s">
        <v>95</v>
      </c>
      <c r="N26" s="36">
        <v>46270</v>
      </c>
      <c r="O26" s="37">
        <v>24</v>
      </c>
      <c r="P26" s="38" t="s">
        <v>69</v>
      </c>
      <c r="Q26" s="39" t="s">
        <v>96</v>
      </c>
      <c r="R26" s="40" t="str">
        <f t="shared" si="3"/>
        <v>OK</v>
      </c>
    </row>
    <row r="27" spans="2:18" ht="15" customHeight="1" x14ac:dyDescent="0.25">
      <c r="B27" s="28">
        <f>IF($D27="","",COUNTA($D$18:$D27))</f>
        <v>10</v>
      </c>
      <c r="C27" s="29" t="s">
        <v>91</v>
      </c>
      <c r="D27" s="30" t="s">
        <v>97</v>
      </c>
      <c r="E27" s="31" t="s">
        <v>53</v>
      </c>
      <c r="F27" s="31" t="s">
        <v>54</v>
      </c>
      <c r="G27" s="31" t="s">
        <v>98</v>
      </c>
      <c r="H27" s="28" t="str">
        <f t="shared" si="0"/>
        <v>g</v>
      </c>
      <c r="I27" s="32">
        <v>45</v>
      </c>
      <c r="J27" s="33">
        <f t="shared" si="1"/>
        <v>2673</v>
      </c>
      <c r="K27" s="34">
        <f t="shared" si="2"/>
        <v>2.67</v>
      </c>
      <c r="L27" s="31" t="s">
        <v>94</v>
      </c>
      <c r="M27" s="35" t="s">
        <v>95</v>
      </c>
      <c r="N27" s="36">
        <v>46269</v>
      </c>
      <c r="O27" s="37">
        <v>32</v>
      </c>
      <c r="P27" s="38" t="s">
        <v>63</v>
      </c>
      <c r="Q27" s="39" t="s">
        <v>99</v>
      </c>
      <c r="R27" s="40" t="str">
        <f t="shared" si="3"/>
        <v>OK</v>
      </c>
    </row>
    <row r="28" spans="2:18" ht="15" customHeight="1" x14ac:dyDescent="0.25">
      <c r="B28" s="28">
        <f>IF($D28="","",COUNTA($D$18:$D28))</f>
        <v>11</v>
      </c>
      <c r="C28" s="29" t="s">
        <v>91</v>
      </c>
      <c r="D28" s="30" t="s">
        <v>100</v>
      </c>
      <c r="E28" s="31" t="s">
        <v>53</v>
      </c>
      <c r="F28" s="31" t="s">
        <v>73</v>
      </c>
      <c r="G28" s="31" t="s">
        <v>101</v>
      </c>
      <c r="H28" s="28" t="str">
        <f t="shared" si="0"/>
        <v>g</v>
      </c>
      <c r="I28" s="32">
        <v>35</v>
      </c>
      <c r="J28" s="33">
        <f t="shared" si="1"/>
        <v>2079</v>
      </c>
      <c r="K28" s="34">
        <f t="shared" si="2"/>
        <v>2.08</v>
      </c>
      <c r="L28" s="31" t="s">
        <v>56</v>
      </c>
      <c r="M28" s="35" t="s">
        <v>62</v>
      </c>
      <c r="N28" s="36">
        <v>46269</v>
      </c>
      <c r="O28" s="37">
        <v>28</v>
      </c>
      <c r="P28" s="38" t="s">
        <v>58</v>
      </c>
      <c r="Q28" s="39"/>
      <c r="R28" s="40" t="str">
        <f t="shared" si="3"/>
        <v>OK</v>
      </c>
    </row>
    <row r="29" spans="2:18" ht="15" customHeight="1" x14ac:dyDescent="0.25">
      <c r="B29" s="28">
        <f>IF($D29="","",COUNTA($D$18:$D29))</f>
        <v>12</v>
      </c>
      <c r="C29" s="29" t="s">
        <v>102</v>
      </c>
      <c r="D29" s="30" t="s">
        <v>103</v>
      </c>
      <c r="E29" s="31" t="s">
        <v>66</v>
      </c>
      <c r="F29" s="31" t="s">
        <v>104</v>
      </c>
      <c r="G29" s="31" t="s">
        <v>105</v>
      </c>
      <c r="H29" s="28" t="str">
        <f t="shared" si="0"/>
        <v>g</v>
      </c>
      <c r="I29" s="32">
        <v>60</v>
      </c>
      <c r="J29" s="33">
        <f t="shared" si="1"/>
        <v>3564</v>
      </c>
      <c r="K29" s="34">
        <f t="shared" si="2"/>
        <v>3.56</v>
      </c>
      <c r="L29" s="31" t="s">
        <v>56</v>
      </c>
      <c r="M29" s="35" t="s">
        <v>86</v>
      </c>
      <c r="N29" s="36">
        <v>46270</v>
      </c>
      <c r="O29" s="37">
        <v>196</v>
      </c>
      <c r="P29" s="38" t="s">
        <v>79</v>
      </c>
      <c r="Q29" s="39" t="s">
        <v>106</v>
      </c>
      <c r="R29" s="40" t="str">
        <f t="shared" si="3"/>
        <v>OK</v>
      </c>
    </row>
    <row r="30" spans="2:18" ht="15" customHeight="1" x14ac:dyDescent="0.25">
      <c r="B30" s="28">
        <f>IF($D30="","",COUNTA($D$18:$D30))</f>
        <v>13</v>
      </c>
      <c r="C30" s="29" t="s">
        <v>102</v>
      </c>
      <c r="D30" s="30" t="s">
        <v>107</v>
      </c>
      <c r="E30" s="31" t="s">
        <v>66</v>
      </c>
      <c r="F30" s="31" t="s">
        <v>73</v>
      </c>
      <c r="G30" s="31"/>
      <c r="H30" s="28" t="str">
        <f t="shared" si="0"/>
        <v>g</v>
      </c>
      <c r="I30" s="32">
        <v>55</v>
      </c>
      <c r="J30" s="33">
        <f t="shared" si="1"/>
        <v>3267</v>
      </c>
      <c r="K30" s="34">
        <f t="shared" si="2"/>
        <v>3.27</v>
      </c>
      <c r="L30" s="31" t="s">
        <v>56</v>
      </c>
      <c r="M30" s="35" t="s">
        <v>86</v>
      </c>
      <c r="N30" s="36">
        <v>46270</v>
      </c>
      <c r="O30" s="37">
        <v>88</v>
      </c>
      <c r="P30" s="38" t="s">
        <v>79</v>
      </c>
      <c r="Q30" s="39" t="s">
        <v>108</v>
      </c>
      <c r="R30" s="40" t="str">
        <f t="shared" si="3"/>
        <v>OK</v>
      </c>
    </row>
    <row r="31" spans="2:18" ht="15" customHeight="1" x14ac:dyDescent="0.25">
      <c r="B31" s="28">
        <f>IF($D31="","",COUNTA($D$18:$D31))</f>
        <v>14</v>
      </c>
      <c r="C31" s="29" t="s">
        <v>102</v>
      </c>
      <c r="D31" s="30" t="s">
        <v>109</v>
      </c>
      <c r="E31" s="31" t="s">
        <v>66</v>
      </c>
      <c r="F31" s="31" t="s">
        <v>77</v>
      </c>
      <c r="G31" s="31" t="s">
        <v>110</v>
      </c>
      <c r="H31" s="28" t="str">
        <f t="shared" si="0"/>
        <v>g</v>
      </c>
      <c r="I31" s="32">
        <v>40</v>
      </c>
      <c r="J31" s="33">
        <f t="shared" si="1"/>
        <v>2376</v>
      </c>
      <c r="K31" s="34">
        <f t="shared" si="2"/>
        <v>2.38</v>
      </c>
      <c r="L31" s="31" t="s">
        <v>67</v>
      </c>
      <c r="M31" s="35" t="s">
        <v>68</v>
      </c>
      <c r="N31" s="36">
        <v>46270</v>
      </c>
      <c r="O31" s="37">
        <v>132</v>
      </c>
      <c r="P31" s="38" t="s">
        <v>69</v>
      </c>
      <c r="Q31" s="39" t="s">
        <v>111</v>
      </c>
      <c r="R31" s="40" t="str">
        <f t="shared" si="3"/>
        <v>OK</v>
      </c>
    </row>
    <row r="32" spans="2:18" ht="15" customHeight="1" x14ac:dyDescent="0.25">
      <c r="B32" s="28">
        <f>IF($D32="","",COUNTA($D$18:$D32))</f>
        <v>15</v>
      </c>
      <c r="C32" s="29" t="s">
        <v>112</v>
      </c>
      <c r="D32" s="30" t="s">
        <v>113</v>
      </c>
      <c r="E32" s="31" t="s">
        <v>66</v>
      </c>
      <c r="F32" s="31" t="s">
        <v>73</v>
      </c>
      <c r="G32" s="31"/>
      <c r="H32" s="28" t="str">
        <f t="shared" si="0"/>
        <v>g</v>
      </c>
      <c r="I32" s="32">
        <v>55</v>
      </c>
      <c r="J32" s="33">
        <f t="shared" si="1"/>
        <v>3267</v>
      </c>
      <c r="K32" s="34">
        <f t="shared" si="2"/>
        <v>3.27</v>
      </c>
      <c r="L32" s="31" t="s">
        <v>56</v>
      </c>
      <c r="M32" s="35" t="s">
        <v>86</v>
      </c>
      <c r="N32" s="36">
        <v>46270</v>
      </c>
      <c r="O32" s="37">
        <v>38</v>
      </c>
      <c r="P32" s="38" t="s">
        <v>79</v>
      </c>
      <c r="Q32" s="39"/>
      <c r="R32" s="40" t="str">
        <f t="shared" si="3"/>
        <v>OK</v>
      </c>
    </row>
    <row r="33" spans="2:18" ht="15" customHeight="1" x14ac:dyDescent="0.25">
      <c r="B33" s="28">
        <f>IF($D33="","",COUNTA($D$18:$D33))</f>
        <v>16</v>
      </c>
      <c r="C33" s="29" t="s">
        <v>112</v>
      </c>
      <c r="D33" s="30" t="s">
        <v>114</v>
      </c>
      <c r="E33" s="31" t="s">
        <v>66</v>
      </c>
      <c r="F33" s="31" t="s">
        <v>73</v>
      </c>
      <c r="G33" s="31"/>
      <c r="H33" s="28" t="str">
        <f t="shared" si="0"/>
        <v>g</v>
      </c>
      <c r="I33" s="32">
        <v>40</v>
      </c>
      <c r="J33" s="33">
        <f t="shared" si="1"/>
        <v>2376</v>
      </c>
      <c r="K33" s="34">
        <f t="shared" si="2"/>
        <v>2.38</v>
      </c>
      <c r="L33" s="31" t="s">
        <v>56</v>
      </c>
      <c r="M33" s="35" t="s">
        <v>86</v>
      </c>
      <c r="N33" s="36">
        <v>46270</v>
      </c>
      <c r="O33" s="37">
        <v>22</v>
      </c>
      <c r="P33" s="38" t="s">
        <v>79</v>
      </c>
      <c r="Q33" s="39" t="s">
        <v>115</v>
      </c>
      <c r="R33" s="40" t="str">
        <f t="shared" si="3"/>
        <v>OK</v>
      </c>
    </row>
    <row r="34" spans="2:18" ht="15" customHeight="1" x14ac:dyDescent="0.25">
      <c r="B34" s="28">
        <f>IF($D34="","",COUNTA($D$18:$D34))</f>
        <v>17</v>
      </c>
      <c r="C34" s="29" t="s">
        <v>112</v>
      </c>
      <c r="D34" s="30" t="s">
        <v>116</v>
      </c>
      <c r="E34" s="31" t="s">
        <v>66</v>
      </c>
      <c r="F34" s="31" t="s">
        <v>73</v>
      </c>
      <c r="G34" s="31"/>
      <c r="H34" s="28" t="str">
        <f t="shared" si="0"/>
        <v>g</v>
      </c>
      <c r="I34" s="32">
        <v>40</v>
      </c>
      <c r="J34" s="33">
        <f t="shared" si="1"/>
        <v>2376</v>
      </c>
      <c r="K34" s="34">
        <f t="shared" si="2"/>
        <v>2.38</v>
      </c>
      <c r="L34" s="31" t="s">
        <v>56</v>
      </c>
      <c r="M34" s="35" t="s">
        <v>62</v>
      </c>
      <c r="N34" s="36">
        <v>46269</v>
      </c>
      <c r="O34" s="37">
        <v>46</v>
      </c>
      <c r="P34" s="38" t="s">
        <v>63</v>
      </c>
      <c r="Q34" s="39"/>
      <c r="R34" s="40" t="str">
        <f t="shared" si="3"/>
        <v>OK</v>
      </c>
    </row>
    <row r="35" spans="2:18" ht="15" customHeight="1" x14ac:dyDescent="0.25">
      <c r="B35" s="28">
        <f>IF($D35="","",COUNTA($D$18:$D35))</f>
        <v>18</v>
      </c>
      <c r="C35" s="29" t="s">
        <v>117</v>
      </c>
      <c r="D35" s="30" t="s">
        <v>118</v>
      </c>
      <c r="E35" s="31" t="s">
        <v>119</v>
      </c>
      <c r="F35" s="31" t="s">
        <v>73</v>
      </c>
      <c r="G35" s="31" t="s">
        <v>120</v>
      </c>
      <c r="H35" s="28" t="str">
        <f t="shared" si="0"/>
        <v>g</v>
      </c>
      <c r="I35" s="32">
        <v>40</v>
      </c>
      <c r="J35" s="33">
        <f t="shared" si="1"/>
        <v>2376</v>
      </c>
      <c r="K35" s="34">
        <f t="shared" si="2"/>
        <v>2.38</v>
      </c>
      <c r="L35" s="31" t="s">
        <v>67</v>
      </c>
      <c r="M35" s="35" t="s">
        <v>57</v>
      </c>
      <c r="N35" s="36">
        <v>46270</v>
      </c>
      <c r="O35" s="37">
        <v>26</v>
      </c>
      <c r="P35" s="38" t="s">
        <v>69</v>
      </c>
      <c r="Q35" s="39" t="s">
        <v>121</v>
      </c>
      <c r="R35" s="40" t="str">
        <f t="shared" si="3"/>
        <v>OK</v>
      </c>
    </row>
    <row r="36" spans="2:18" ht="15" customHeight="1" x14ac:dyDescent="0.25">
      <c r="B36" s="28">
        <f>IF($D36="","",COUNTA($D$18:$D36))</f>
        <v>19</v>
      </c>
      <c r="C36" s="29" t="s">
        <v>117</v>
      </c>
      <c r="D36" s="30" t="s">
        <v>122</v>
      </c>
      <c r="E36" s="31" t="s">
        <v>119</v>
      </c>
      <c r="F36" s="31" t="s">
        <v>54</v>
      </c>
      <c r="G36" s="31" t="s">
        <v>123</v>
      </c>
      <c r="H36" s="28" t="str">
        <f t="shared" si="0"/>
        <v>g</v>
      </c>
      <c r="I36" s="32">
        <v>25</v>
      </c>
      <c r="J36" s="33">
        <f t="shared" si="1"/>
        <v>1485</v>
      </c>
      <c r="K36" s="34">
        <f t="shared" si="2"/>
        <v>1.49</v>
      </c>
      <c r="L36" s="31" t="s">
        <v>67</v>
      </c>
      <c r="M36" s="35" t="s">
        <v>57</v>
      </c>
      <c r="N36" s="36">
        <v>46270</v>
      </c>
      <c r="O36" s="37">
        <v>18.5</v>
      </c>
      <c r="P36" s="38" t="s">
        <v>69</v>
      </c>
      <c r="Q36" s="39"/>
      <c r="R36" s="40" t="str">
        <f t="shared" si="3"/>
        <v>OK</v>
      </c>
    </row>
    <row r="37" spans="2:18" ht="15" customHeight="1" x14ac:dyDescent="0.25">
      <c r="B37" s="28">
        <f>IF($D37="","",COUNTA($D$18:$D37))</f>
        <v>20</v>
      </c>
      <c r="C37" s="29" t="s">
        <v>117</v>
      </c>
      <c r="D37" s="30" t="s">
        <v>124</v>
      </c>
      <c r="E37" s="31" t="s">
        <v>53</v>
      </c>
      <c r="F37" s="31" t="s">
        <v>54</v>
      </c>
      <c r="G37" s="31" t="s">
        <v>125</v>
      </c>
      <c r="H37" s="28" t="str">
        <f t="shared" si="0"/>
        <v>g</v>
      </c>
      <c r="I37" s="32">
        <v>15</v>
      </c>
      <c r="J37" s="33">
        <f t="shared" si="1"/>
        <v>891</v>
      </c>
      <c r="K37" s="34">
        <f t="shared" si="2"/>
        <v>0.89</v>
      </c>
      <c r="L37" s="31" t="s">
        <v>67</v>
      </c>
      <c r="M37" s="35" t="s">
        <v>68</v>
      </c>
      <c r="N37" s="36">
        <v>46269</v>
      </c>
      <c r="O37" s="37">
        <v>21</v>
      </c>
      <c r="P37" s="38" t="s">
        <v>63</v>
      </c>
      <c r="Q37" s="39" t="s">
        <v>126</v>
      </c>
      <c r="R37" s="40" t="str">
        <f t="shared" si="3"/>
        <v>OK</v>
      </c>
    </row>
    <row r="38" spans="2:18" ht="15" customHeight="1" x14ac:dyDescent="0.25">
      <c r="B38" s="28">
        <f>IF($D38="","",COUNTA($D$18:$D38))</f>
        <v>21</v>
      </c>
      <c r="C38" s="29" t="s">
        <v>127</v>
      </c>
      <c r="D38" s="30" t="s">
        <v>128</v>
      </c>
      <c r="E38" s="31" t="s">
        <v>53</v>
      </c>
      <c r="F38" s="31" t="s">
        <v>54</v>
      </c>
      <c r="G38" s="31" t="s">
        <v>125</v>
      </c>
      <c r="H38" s="28" t="str">
        <f t="shared" si="0"/>
        <v>g</v>
      </c>
      <c r="I38" s="32">
        <v>35</v>
      </c>
      <c r="J38" s="33">
        <f t="shared" si="1"/>
        <v>2079</v>
      </c>
      <c r="K38" s="34">
        <f t="shared" si="2"/>
        <v>2.08</v>
      </c>
      <c r="L38" s="31" t="s">
        <v>67</v>
      </c>
      <c r="M38" s="35" t="s">
        <v>68</v>
      </c>
      <c r="N38" s="36">
        <v>46269</v>
      </c>
      <c r="O38" s="37">
        <v>66</v>
      </c>
      <c r="P38" s="38" t="s">
        <v>63</v>
      </c>
      <c r="Q38" s="39" t="s">
        <v>129</v>
      </c>
      <c r="R38" s="40" t="str">
        <f t="shared" si="3"/>
        <v>OK</v>
      </c>
    </row>
    <row r="39" spans="2:18" ht="15" customHeight="1" x14ac:dyDescent="0.25">
      <c r="B39" s="28">
        <f>IF($D39="","",COUNTA($D$18:$D39))</f>
        <v>22</v>
      </c>
      <c r="C39" s="29" t="s">
        <v>127</v>
      </c>
      <c r="D39" s="30" t="s">
        <v>130</v>
      </c>
      <c r="E39" s="31" t="s">
        <v>53</v>
      </c>
      <c r="F39" s="31" t="s">
        <v>104</v>
      </c>
      <c r="G39" s="31" t="s">
        <v>93</v>
      </c>
      <c r="H39" s="28" t="str">
        <f t="shared" si="0"/>
        <v>g</v>
      </c>
      <c r="I39" s="32">
        <v>30</v>
      </c>
      <c r="J39" s="33">
        <f t="shared" si="1"/>
        <v>1782</v>
      </c>
      <c r="K39" s="34">
        <f t="shared" si="2"/>
        <v>1.78</v>
      </c>
      <c r="L39" s="31" t="s">
        <v>67</v>
      </c>
      <c r="M39" s="35" t="s">
        <v>68</v>
      </c>
      <c r="N39" s="36">
        <v>46270</v>
      </c>
      <c r="O39" s="37">
        <v>52</v>
      </c>
      <c r="P39" s="38" t="s">
        <v>69</v>
      </c>
      <c r="Q39" s="39"/>
      <c r="R39" s="40" t="str">
        <f t="shared" si="3"/>
        <v>OK</v>
      </c>
    </row>
    <row r="40" spans="2:18" ht="15" customHeight="1" x14ac:dyDescent="0.25">
      <c r="B40" s="28">
        <f>IF($D40="","",COUNTA($D$18:$D40))</f>
        <v>23</v>
      </c>
      <c r="C40" s="29" t="s">
        <v>131</v>
      </c>
      <c r="D40" s="30" t="s">
        <v>132</v>
      </c>
      <c r="E40" s="31" t="s">
        <v>53</v>
      </c>
      <c r="F40" s="31" t="s">
        <v>73</v>
      </c>
      <c r="G40" s="31"/>
      <c r="H40" s="28" t="str">
        <f t="shared" si="0"/>
        <v>g</v>
      </c>
      <c r="I40" s="32">
        <v>50</v>
      </c>
      <c r="J40" s="33">
        <f t="shared" si="1"/>
        <v>2970</v>
      </c>
      <c r="K40" s="34">
        <f t="shared" si="2"/>
        <v>2.97</v>
      </c>
      <c r="L40" s="31" t="s">
        <v>56</v>
      </c>
      <c r="M40" s="35" t="s">
        <v>133</v>
      </c>
      <c r="N40" s="36">
        <v>46270</v>
      </c>
      <c r="O40" s="37">
        <v>42</v>
      </c>
      <c r="P40" s="38" t="s">
        <v>79</v>
      </c>
      <c r="Q40" s="39" t="s">
        <v>134</v>
      </c>
      <c r="R40" s="40" t="str">
        <f t="shared" si="3"/>
        <v>OK</v>
      </c>
    </row>
    <row r="41" spans="2:18" ht="15" customHeight="1" x14ac:dyDescent="0.25">
      <c r="B41" s="28">
        <f>IF($D41="","",COUNTA($D$18:$D41))</f>
        <v>24</v>
      </c>
      <c r="C41" s="29" t="s">
        <v>131</v>
      </c>
      <c r="D41" s="30" t="s">
        <v>135</v>
      </c>
      <c r="E41" s="31" t="s">
        <v>53</v>
      </c>
      <c r="F41" s="31" t="s">
        <v>54</v>
      </c>
      <c r="G41" s="31" t="s">
        <v>136</v>
      </c>
      <c r="H41" s="28" t="str">
        <f t="shared" si="0"/>
        <v>g</v>
      </c>
      <c r="I41" s="32">
        <v>60</v>
      </c>
      <c r="J41" s="33">
        <f t="shared" si="1"/>
        <v>3564</v>
      </c>
      <c r="K41" s="34">
        <f t="shared" si="2"/>
        <v>3.56</v>
      </c>
      <c r="L41" s="31" t="s">
        <v>56</v>
      </c>
      <c r="M41" s="35" t="s">
        <v>133</v>
      </c>
      <c r="N41" s="36">
        <v>46269</v>
      </c>
      <c r="O41" s="37">
        <v>58</v>
      </c>
      <c r="P41" s="38" t="s">
        <v>58</v>
      </c>
      <c r="Q41" s="39" t="s">
        <v>137</v>
      </c>
      <c r="R41" s="40" t="str">
        <f t="shared" si="3"/>
        <v>OK</v>
      </c>
    </row>
    <row r="42" spans="2:18" ht="15" customHeight="1" x14ac:dyDescent="0.25">
      <c r="B42" s="28">
        <f>IF($D42="","",COUNTA($D$18:$D42))</f>
        <v>25</v>
      </c>
      <c r="C42" s="29" t="s">
        <v>131</v>
      </c>
      <c r="D42" s="30" t="s">
        <v>138</v>
      </c>
      <c r="E42" s="31" t="s">
        <v>119</v>
      </c>
      <c r="F42" s="31" t="s">
        <v>54</v>
      </c>
      <c r="G42" s="31" t="s">
        <v>139</v>
      </c>
      <c r="H42" s="28" t="str">
        <f t="shared" si="0"/>
        <v>g</v>
      </c>
      <c r="I42" s="32">
        <v>50</v>
      </c>
      <c r="J42" s="33">
        <f t="shared" si="1"/>
        <v>2970</v>
      </c>
      <c r="K42" s="34">
        <f t="shared" si="2"/>
        <v>2.97</v>
      </c>
      <c r="L42" s="31" t="s">
        <v>94</v>
      </c>
      <c r="M42" s="35" t="s">
        <v>133</v>
      </c>
      <c r="N42" s="36">
        <v>46269</v>
      </c>
      <c r="O42" s="37">
        <v>36</v>
      </c>
      <c r="P42" s="38" t="s">
        <v>63</v>
      </c>
      <c r="Q42" s="39"/>
      <c r="R42" s="40" t="str">
        <f t="shared" si="3"/>
        <v>OK</v>
      </c>
    </row>
    <row r="43" spans="2:18" ht="15" customHeight="1" x14ac:dyDescent="0.25">
      <c r="B43" s="28">
        <f>IF($D43="","",COUNTA($D$18:$D43))</f>
        <v>26</v>
      </c>
      <c r="C43" s="29" t="s">
        <v>140</v>
      </c>
      <c r="D43" s="30" t="s">
        <v>141</v>
      </c>
      <c r="E43" s="31" t="s">
        <v>53</v>
      </c>
      <c r="F43" s="31" t="s">
        <v>73</v>
      </c>
      <c r="G43" s="31"/>
      <c r="H43" s="28" t="str">
        <f t="shared" si="0"/>
        <v>ml</v>
      </c>
      <c r="I43" s="32">
        <v>350</v>
      </c>
      <c r="J43" s="33">
        <f t="shared" si="1"/>
        <v>20790</v>
      </c>
      <c r="K43" s="34">
        <f t="shared" si="2"/>
        <v>20.79</v>
      </c>
      <c r="L43" s="31" t="s">
        <v>67</v>
      </c>
      <c r="M43" s="35" t="s">
        <v>142</v>
      </c>
      <c r="N43" s="36">
        <v>46268</v>
      </c>
      <c r="O43" s="37">
        <v>28</v>
      </c>
      <c r="P43" s="38" t="s">
        <v>63</v>
      </c>
      <c r="Q43" s="39" t="s">
        <v>143</v>
      </c>
      <c r="R43" s="40" t="str">
        <f t="shared" si="3"/>
        <v>OK</v>
      </c>
    </row>
    <row r="44" spans="2:18" ht="15" customHeight="1" x14ac:dyDescent="0.25">
      <c r="B44" s="28">
        <f>IF($D44="","",COUNTA($D$18:$D44))</f>
        <v>27</v>
      </c>
      <c r="C44" s="29" t="s">
        <v>140</v>
      </c>
      <c r="D44" s="30" t="s">
        <v>144</v>
      </c>
      <c r="E44" s="31" t="s">
        <v>53</v>
      </c>
      <c r="F44" s="31" t="s">
        <v>73</v>
      </c>
      <c r="G44" s="31"/>
      <c r="H44" s="28" t="str">
        <f t="shared" si="0"/>
        <v>ml</v>
      </c>
      <c r="I44" s="32">
        <v>200</v>
      </c>
      <c r="J44" s="33">
        <f t="shared" si="1"/>
        <v>11880</v>
      </c>
      <c r="K44" s="34">
        <f t="shared" si="2"/>
        <v>11.88</v>
      </c>
      <c r="L44" s="31" t="s">
        <v>67</v>
      </c>
      <c r="M44" s="35" t="s">
        <v>142</v>
      </c>
      <c r="N44" s="36">
        <v>46268</v>
      </c>
      <c r="O44" s="37">
        <v>24</v>
      </c>
      <c r="P44" s="38" t="s">
        <v>63</v>
      </c>
      <c r="Q44" s="39"/>
      <c r="R44" s="40" t="str">
        <f t="shared" si="3"/>
        <v>OK</v>
      </c>
    </row>
    <row r="45" spans="2:18" ht="15" customHeight="1" x14ac:dyDescent="0.25">
      <c r="B45" s="28">
        <f>IF($D45="","",COUNTA($D$18:$D45))</f>
        <v>28</v>
      </c>
      <c r="C45" s="29" t="s">
        <v>140</v>
      </c>
      <c r="D45" s="30" t="s">
        <v>145</v>
      </c>
      <c r="E45" s="31" t="s">
        <v>53</v>
      </c>
      <c r="F45" s="31" t="s">
        <v>73</v>
      </c>
      <c r="G45" s="31" t="s">
        <v>74</v>
      </c>
      <c r="H45" s="28" t="str">
        <f t="shared" si="0"/>
        <v>ml</v>
      </c>
      <c r="I45" s="32">
        <v>120</v>
      </c>
      <c r="J45" s="33">
        <f t="shared" si="1"/>
        <v>7128</v>
      </c>
      <c r="K45" s="34">
        <f t="shared" si="2"/>
        <v>7.13</v>
      </c>
      <c r="L45" s="31" t="s">
        <v>67</v>
      </c>
      <c r="M45" s="35" t="s">
        <v>142</v>
      </c>
      <c r="N45" s="36">
        <v>46269</v>
      </c>
      <c r="O45" s="37">
        <v>78</v>
      </c>
      <c r="P45" s="38" t="s">
        <v>69</v>
      </c>
      <c r="Q45" s="39" t="s">
        <v>146</v>
      </c>
      <c r="R45" s="40" t="str">
        <f t="shared" si="3"/>
        <v>OK</v>
      </c>
    </row>
    <row r="46" spans="2:18" ht="15" customHeight="1" x14ac:dyDescent="0.25">
      <c r="B46" s="28">
        <f>IF($D46="","",COUNTA($D$18:$D46))</f>
        <v>29</v>
      </c>
      <c r="C46" s="29" t="s">
        <v>140</v>
      </c>
      <c r="D46" s="30" t="s">
        <v>147</v>
      </c>
      <c r="E46" s="31" t="s">
        <v>66</v>
      </c>
      <c r="F46" s="31" t="s">
        <v>54</v>
      </c>
      <c r="G46" s="31" t="s">
        <v>61</v>
      </c>
      <c r="H46" s="28" t="str">
        <f t="shared" si="0"/>
        <v>ml</v>
      </c>
      <c r="I46" s="32">
        <v>130</v>
      </c>
      <c r="J46" s="33">
        <f t="shared" si="1"/>
        <v>7722</v>
      </c>
      <c r="K46" s="34">
        <f t="shared" si="2"/>
        <v>7.72</v>
      </c>
      <c r="L46" s="31" t="s">
        <v>56</v>
      </c>
      <c r="M46" s="35" t="s">
        <v>95</v>
      </c>
      <c r="N46" s="36">
        <v>46270</v>
      </c>
      <c r="O46" s="37">
        <v>34</v>
      </c>
      <c r="P46" s="38" t="s">
        <v>79</v>
      </c>
      <c r="Q46" s="39" t="s">
        <v>148</v>
      </c>
      <c r="R46" s="40" t="str">
        <f t="shared" si="3"/>
        <v>OK</v>
      </c>
    </row>
    <row r="47" spans="2:18" ht="15" customHeight="1" x14ac:dyDescent="0.25">
      <c r="B47" s="28" t="str">
        <f>IF($D47="","",COUNTA($D$18:$D47))</f>
        <v/>
      </c>
      <c r="C47" s="29"/>
      <c r="D47" s="30"/>
      <c r="E47" s="31"/>
      <c r="F47" s="31"/>
      <c r="G47" s="31"/>
      <c r="H47" s="28" t="str">
        <f t="shared" si="0"/>
        <v/>
      </c>
      <c r="I47" s="32"/>
      <c r="J47" s="33" t="str">
        <f t="shared" si="1"/>
        <v/>
      </c>
      <c r="K47" s="34" t="str">
        <f t="shared" si="2"/>
        <v/>
      </c>
      <c r="L47" s="31"/>
      <c r="M47" s="35"/>
      <c r="N47" s="36"/>
      <c r="O47" s="37"/>
      <c r="P47" s="38"/>
      <c r="Q47" s="39"/>
      <c r="R47" s="40" t="str">
        <f t="shared" si="3"/>
        <v/>
      </c>
    </row>
    <row r="48" spans="2:18" ht="15" customHeight="1" x14ac:dyDescent="0.25">
      <c r="B48" s="28" t="str">
        <f>IF($D48="","",COUNTA($D$18:$D48))</f>
        <v/>
      </c>
      <c r="C48" s="29"/>
      <c r="D48" s="30"/>
      <c r="E48" s="31"/>
      <c r="F48" s="31"/>
      <c r="G48" s="31"/>
      <c r="H48" s="28" t="str">
        <f t="shared" si="0"/>
        <v/>
      </c>
      <c r="I48" s="32"/>
      <c r="J48" s="33" t="str">
        <f t="shared" si="1"/>
        <v/>
      </c>
      <c r="K48" s="34" t="str">
        <f t="shared" si="2"/>
        <v/>
      </c>
      <c r="L48" s="31"/>
      <c r="M48" s="35"/>
      <c r="N48" s="36"/>
      <c r="O48" s="37"/>
      <c r="P48" s="38"/>
      <c r="Q48" s="39"/>
      <c r="R48" s="40" t="str">
        <f t="shared" si="3"/>
        <v/>
      </c>
    </row>
    <row r="49" spans="2:18" ht="15" customHeight="1" x14ac:dyDescent="0.25">
      <c r="B49" s="28" t="str">
        <f>IF($D49="","",COUNTA($D$18:$D49))</f>
        <v/>
      </c>
      <c r="C49" s="29"/>
      <c r="D49" s="30"/>
      <c r="E49" s="31"/>
      <c r="F49" s="31"/>
      <c r="G49" s="31"/>
      <c r="H49" s="28" t="str">
        <f t="shared" si="0"/>
        <v/>
      </c>
      <c r="I49" s="32"/>
      <c r="J49" s="33" t="str">
        <f t="shared" si="1"/>
        <v/>
      </c>
      <c r="K49" s="34" t="str">
        <f t="shared" si="2"/>
        <v/>
      </c>
      <c r="L49" s="31"/>
      <c r="M49" s="35"/>
      <c r="N49" s="36"/>
      <c r="O49" s="37"/>
      <c r="P49" s="38"/>
      <c r="Q49" s="39"/>
      <c r="R49" s="40" t="str">
        <f t="shared" si="3"/>
        <v/>
      </c>
    </row>
    <row r="50" spans="2:18" ht="15" customHeight="1" x14ac:dyDescent="0.25">
      <c r="B50" s="28" t="str">
        <f>IF($D50="","",COUNTA($D$18:$D50))</f>
        <v/>
      </c>
      <c r="C50" s="29"/>
      <c r="D50" s="30"/>
      <c r="E50" s="31"/>
      <c r="F50" s="31"/>
      <c r="G50" s="31"/>
      <c r="H50" s="28" t="str">
        <f t="shared" ref="H50:H67" si="4">IF($C50="","",IFERROR(INDEX(Kat_Einheit,MATCH($C50,Kat_Namen,0)),"?"))</f>
        <v/>
      </c>
      <c r="I50" s="32"/>
      <c r="J50" s="33" t="str">
        <f t="shared" ref="J50:J67" si="5">IF($C50="","",IF($I50="","",ROUND($I50*Gaeste_gewichtet*(1+Puffer),0)))</f>
        <v/>
      </c>
      <c r="K50" s="34" t="str">
        <f t="shared" ref="K50:K67" si="6">IF($J50="","",ROUND($J50/1000,2))</f>
        <v/>
      </c>
      <c r="L50" s="31"/>
      <c r="M50" s="35"/>
      <c r="N50" s="36"/>
      <c r="O50" s="37"/>
      <c r="P50" s="38"/>
      <c r="Q50" s="39"/>
      <c r="R50" s="40" t="str">
        <f t="shared" ref="R50:R67" si="7">IF($D50="","",IF($C50="","Kategorie fehlt",IF($I50="","Menge fehlt",IF($M50="","Zuständigkeit offen",IF($O50="","Kosten offen",IF($N50="","Termin offen",IF($N50&gt;Eventdatum,"Termin nach Event","OK")))))))</f>
        <v/>
      </c>
    </row>
    <row r="51" spans="2:18" ht="15" customHeight="1" x14ac:dyDescent="0.25">
      <c r="B51" s="28" t="str">
        <f>IF($D51="","",COUNTA($D$18:$D51))</f>
        <v/>
      </c>
      <c r="C51" s="29"/>
      <c r="D51" s="30"/>
      <c r="E51" s="31"/>
      <c r="F51" s="31"/>
      <c r="G51" s="31"/>
      <c r="H51" s="28" t="str">
        <f t="shared" si="4"/>
        <v/>
      </c>
      <c r="I51" s="32"/>
      <c r="J51" s="33" t="str">
        <f t="shared" si="5"/>
        <v/>
      </c>
      <c r="K51" s="34" t="str">
        <f t="shared" si="6"/>
        <v/>
      </c>
      <c r="L51" s="31"/>
      <c r="M51" s="35"/>
      <c r="N51" s="36"/>
      <c r="O51" s="37"/>
      <c r="P51" s="38"/>
      <c r="Q51" s="39"/>
      <c r="R51" s="40" t="str">
        <f t="shared" si="7"/>
        <v/>
      </c>
    </row>
    <row r="52" spans="2:18" ht="15" customHeight="1" x14ac:dyDescent="0.25">
      <c r="B52" s="28" t="str">
        <f>IF($D52="","",COUNTA($D$18:$D52))</f>
        <v/>
      </c>
      <c r="C52" s="29"/>
      <c r="D52" s="30"/>
      <c r="E52" s="31"/>
      <c r="F52" s="31"/>
      <c r="G52" s="31"/>
      <c r="H52" s="28" t="str">
        <f t="shared" si="4"/>
        <v/>
      </c>
      <c r="I52" s="32"/>
      <c r="J52" s="33" t="str">
        <f t="shared" si="5"/>
        <v/>
      </c>
      <c r="K52" s="34" t="str">
        <f t="shared" si="6"/>
        <v/>
      </c>
      <c r="L52" s="31"/>
      <c r="M52" s="35"/>
      <c r="N52" s="36"/>
      <c r="O52" s="37"/>
      <c r="P52" s="38"/>
      <c r="Q52" s="39"/>
      <c r="R52" s="40" t="str">
        <f t="shared" si="7"/>
        <v/>
      </c>
    </row>
    <row r="53" spans="2:18" ht="15" customHeight="1" x14ac:dyDescent="0.25">
      <c r="B53" s="28" t="str">
        <f>IF($D53="","",COUNTA($D$18:$D53))</f>
        <v/>
      </c>
      <c r="C53" s="29"/>
      <c r="D53" s="30"/>
      <c r="E53" s="31"/>
      <c r="F53" s="31"/>
      <c r="G53" s="31"/>
      <c r="H53" s="28" t="str">
        <f t="shared" si="4"/>
        <v/>
      </c>
      <c r="I53" s="32"/>
      <c r="J53" s="33" t="str">
        <f t="shared" si="5"/>
        <v/>
      </c>
      <c r="K53" s="34" t="str">
        <f t="shared" si="6"/>
        <v/>
      </c>
      <c r="L53" s="31"/>
      <c r="M53" s="35"/>
      <c r="N53" s="36"/>
      <c r="O53" s="37"/>
      <c r="P53" s="38"/>
      <c r="Q53" s="39"/>
      <c r="R53" s="40" t="str">
        <f t="shared" si="7"/>
        <v/>
      </c>
    </row>
    <row r="54" spans="2:18" ht="15" customHeight="1" x14ac:dyDescent="0.25">
      <c r="B54" s="28" t="str">
        <f>IF($D54="","",COUNTA($D$18:$D54))</f>
        <v/>
      </c>
      <c r="C54" s="29"/>
      <c r="D54" s="30"/>
      <c r="E54" s="31"/>
      <c r="F54" s="31"/>
      <c r="G54" s="31"/>
      <c r="H54" s="28" t="str">
        <f t="shared" si="4"/>
        <v/>
      </c>
      <c r="I54" s="32"/>
      <c r="J54" s="33" t="str">
        <f t="shared" si="5"/>
        <v/>
      </c>
      <c r="K54" s="34" t="str">
        <f t="shared" si="6"/>
        <v/>
      </c>
      <c r="L54" s="31"/>
      <c r="M54" s="35"/>
      <c r="N54" s="36"/>
      <c r="O54" s="37"/>
      <c r="P54" s="38"/>
      <c r="Q54" s="39"/>
      <c r="R54" s="40" t="str">
        <f t="shared" si="7"/>
        <v/>
      </c>
    </row>
    <row r="55" spans="2:18" ht="15" customHeight="1" x14ac:dyDescent="0.25">
      <c r="B55" s="28" t="str">
        <f>IF($D55="","",COUNTA($D$18:$D55))</f>
        <v/>
      </c>
      <c r="C55" s="29"/>
      <c r="D55" s="30"/>
      <c r="E55" s="31"/>
      <c r="F55" s="31"/>
      <c r="G55" s="31"/>
      <c r="H55" s="28" t="str">
        <f t="shared" si="4"/>
        <v/>
      </c>
      <c r="I55" s="32"/>
      <c r="J55" s="33" t="str">
        <f t="shared" si="5"/>
        <v/>
      </c>
      <c r="K55" s="34" t="str">
        <f t="shared" si="6"/>
        <v/>
      </c>
      <c r="L55" s="31"/>
      <c r="M55" s="35"/>
      <c r="N55" s="36"/>
      <c r="O55" s="37"/>
      <c r="P55" s="38"/>
      <c r="Q55" s="39"/>
      <c r="R55" s="40" t="str">
        <f t="shared" si="7"/>
        <v/>
      </c>
    </row>
    <row r="56" spans="2:18" ht="15" customHeight="1" x14ac:dyDescent="0.25">
      <c r="B56" s="28" t="str">
        <f>IF($D56="","",COUNTA($D$18:$D56))</f>
        <v/>
      </c>
      <c r="C56" s="29"/>
      <c r="D56" s="30"/>
      <c r="E56" s="31"/>
      <c r="F56" s="31"/>
      <c r="G56" s="31"/>
      <c r="H56" s="28" t="str">
        <f t="shared" si="4"/>
        <v/>
      </c>
      <c r="I56" s="32"/>
      <c r="J56" s="33" t="str">
        <f t="shared" si="5"/>
        <v/>
      </c>
      <c r="K56" s="34" t="str">
        <f t="shared" si="6"/>
        <v/>
      </c>
      <c r="L56" s="31"/>
      <c r="M56" s="35"/>
      <c r="N56" s="36"/>
      <c r="O56" s="37"/>
      <c r="P56" s="38"/>
      <c r="Q56" s="39"/>
      <c r="R56" s="40" t="str">
        <f t="shared" si="7"/>
        <v/>
      </c>
    </row>
    <row r="57" spans="2:18" ht="15" customHeight="1" x14ac:dyDescent="0.25">
      <c r="B57" s="28" t="str">
        <f>IF($D57="","",COUNTA($D$18:$D57))</f>
        <v/>
      </c>
      <c r="C57" s="29"/>
      <c r="D57" s="30"/>
      <c r="E57" s="31"/>
      <c r="F57" s="31"/>
      <c r="G57" s="31"/>
      <c r="H57" s="28" t="str">
        <f t="shared" si="4"/>
        <v/>
      </c>
      <c r="I57" s="32"/>
      <c r="J57" s="33" t="str">
        <f t="shared" si="5"/>
        <v/>
      </c>
      <c r="K57" s="34" t="str">
        <f t="shared" si="6"/>
        <v/>
      </c>
      <c r="L57" s="31"/>
      <c r="M57" s="35"/>
      <c r="N57" s="36"/>
      <c r="O57" s="37"/>
      <c r="P57" s="38"/>
      <c r="Q57" s="39"/>
      <c r="R57" s="40" t="str">
        <f t="shared" si="7"/>
        <v/>
      </c>
    </row>
    <row r="58" spans="2:18" ht="15" customHeight="1" x14ac:dyDescent="0.25">
      <c r="B58" s="28" t="str">
        <f>IF($D58="","",COUNTA($D$18:$D58))</f>
        <v/>
      </c>
      <c r="C58" s="29"/>
      <c r="D58" s="30"/>
      <c r="E58" s="31"/>
      <c r="F58" s="31"/>
      <c r="G58" s="31"/>
      <c r="H58" s="28" t="str">
        <f t="shared" si="4"/>
        <v/>
      </c>
      <c r="I58" s="32"/>
      <c r="J58" s="33" t="str">
        <f t="shared" si="5"/>
        <v/>
      </c>
      <c r="K58" s="34" t="str">
        <f t="shared" si="6"/>
        <v/>
      </c>
      <c r="L58" s="31"/>
      <c r="M58" s="35"/>
      <c r="N58" s="36"/>
      <c r="O58" s="37"/>
      <c r="P58" s="38"/>
      <c r="Q58" s="39"/>
      <c r="R58" s="40" t="str">
        <f t="shared" si="7"/>
        <v/>
      </c>
    </row>
    <row r="59" spans="2:18" ht="15" customHeight="1" x14ac:dyDescent="0.25">
      <c r="B59" s="28" t="str">
        <f>IF($D59="","",COUNTA($D$18:$D59))</f>
        <v/>
      </c>
      <c r="C59" s="29"/>
      <c r="D59" s="30"/>
      <c r="E59" s="31"/>
      <c r="F59" s="31"/>
      <c r="G59" s="31"/>
      <c r="H59" s="28" t="str">
        <f t="shared" si="4"/>
        <v/>
      </c>
      <c r="I59" s="32"/>
      <c r="J59" s="33" t="str">
        <f t="shared" si="5"/>
        <v/>
      </c>
      <c r="K59" s="34" t="str">
        <f t="shared" si="6"/>
        <v/>
      </c>
      <c r="L59" s="31"/>
      <c r="M59" s="35"/>
      <c r="N59" s="36"/>
      <c r="O59" s="37"/>
      <c r="P59" s="38"/>
      <c r="Q59" s="39"/>
      <c r="R59" s="40" t="str">
        <f t="shared" si="7"/>
        <v/>
      </c>
    </row>
    <row r="60" spans="2:18" ht="15" customHeight="1" x14ac:dyDescent="0.25">
      <c r="B60" s="28" t="str">
        <f>IF($D60="","",COUNTA($D$18:$D60))</f>
        <v/>
      </c>
      <c r="C60" s="29"/>
      <c r="D60" s="30"/>
      <c r="E60" s="31"/>
      <c r="F60" s="31"/>
      <c r="G60" s="31"/>
      <c r="H60" s="28" t="str">
        <f t="shared" si="4"/>
        <v/>
      </c>
      <c r="I60" s="32"/>
      <c r="J60" s="33" t="str">
        <f t="shared" si="5"/>
        <v/>
      </c>
      <c r="K60" s="34" t="str">
        <f t="shared" si="6"/>
        <v/>
      </c>
      <c r="L60" s="31"/>
      <c r="M60" s="35"/>
      <c r="N60" s="36"/>
      <c r="O60" s="37"/>
      <c r="P60" s="38"/>
      <c r="Q60" s="39"/>
      <c r="R60" s="40" t="str">
        <f t="shared" si="7"/>
        <v/>
      </c>
    </row>
    <row r="61" spans="2:18" ht="15" customHeight="1" x14ac:dyDescent="0.25">
      <c r="B61" s="28" t="str">
        <f>IF($D61="","",COUNTA($D$18:$D61))</f>
        <v/>
      </c>
      <c r="C61" s="29"/>
      <c r="D61" s="30"/>
      <c r="E61" s="31"/>
      <c r="F61" s="31"/>
      <c r="G61" s="31"/>
      <c r="H61" s="28" t="str">
        <f t="shared" si="4"/>
        <v/>
      </c>
      <c r="I61" s="32"/>
      <c r="J61" s="33" t="str">
        <f t="shared" si="5"/>
        <v/>
      </c>
      <c r="K61" s="34" t="str">
        <f t="shared" si="6"/>
        <v/>
      </c>
      <c r="L61" s="31"/>
      <c r="M61" s="35"/>
      <c r="N61" s="36"/>
      <c r="O61" s="37"/>
      <c r="P61" s="38"/>
      <c r="Q61" s="39"/>
      <c r="R61" s="40" t="str">
        <f t="shared" si="7"/>
        <v/>
      </c>
    </row>
    <row r="62" spans="2:18" ht="15" customHeight="1" x14ac:dyDescent="0.25">
      <c r="B62" s="28" t="str">
        <f>IF($D62="","",COUNTA($D$18:$D62))</f>
        <v/>
      </c>
      <c r="C62" s="29"/>
      <c r="D62" s="30"/>
      <c r="E62" s="31"/>
      <c r="F62" s="31"/>
      <c r="G62" s="31"/>
      <c r="H62" s="28" t="str">
        <f t="shared" si="4"/>
        <v/>
      </c>
      <c r="I62" s="32"/>
      <c r="J62" s="33" t="str">
        <f t="shared" si="5"/>
        <v/>
      </c>
      <c r="K62" s="34" t="str">
        <f t="shared" si="6"/>
        <v/>
      </c>
      <c r="L62" s="31"/>
      <c r="M62" s="35"/>
      <c r="N62" s="36"/>
      <c r="O62" s="37"/>
      <c r="P62" s="38"/>
      <c r="Q62" s="39"/>
      <c r="R62" s="40" t="str">
        <f t="shared" si="7"/>
        <v/>
      </c>
    </row>
    <row r="63" spans="2:18" ht="15" customHeight="1" x14ac:dyDescent="0.25">
      <c r="B63" s="28" t="str">
        <f>IF($D63="","",COUNTA($D$18:$D63))</f>
        <v/>
      </c>
      <c r="C63" s="29"/>
      <c r="D63" s="30"/>
      <c r="E63" s="31"/>
      <c r="F63" s="31"/>
      <c r="G63" s="31"/>
      <c r="H63" s="28" t="str">
        <f t="shared" si="4"/>
        <v/>
      </c>
      <c r="I63" s="32"/>
      <c r="J63" s="33" t="str">
        <f t="shared" si="5"/>
        <v/>
      </c>
      <c r="K63" s="34" t="str">
        <f t="shared" si="6"/>
        <v/>
      </c>
      <c r="L63" s="31"/>
      <c r="M63" s="35"/>
      <c r="N63" s="36"/>
      <c r="O63" s="37"/>
      <c r="P63" s="38"/>
      <c r="Q63" s="39"/>
      <c r="R63" s="40" t="str">
        <f t="shared" si="7"/>
        <v/>
      </c>
    </row>
    <row r="64" spans="2:18" ht="15" customHeight="1" x14ac:dyDescent="0.25">
      <c r="B64" s="28" t="str">
        <f>IF($D64="","",COUNTA($D$18:$D64))</f>
        <v/>
      </c>
      <c r="C64" s="29"/>
      <c r="D64" s="30"/>
      <c r="E64" s="31"/>
      <c r="F64" s="31"/>
      <c r="G64" s="31"/>
      <c r="H64" s="28" t="str">
        <f t="shared" si="4"/>
        <v/>
      </c>
      <c r="I64" s="32"/>
      <c r="J64" s="33" t="str">
        <f t="shared" si="5"/>
        <v/>
      </c>
      <c r="K64" s="34" t="str">
        <f t="shared" si="6"/>
        <v/>
      </c>
      <c r="L64" s="31"/>
      <c r="M64" s="35"/>
      <c r="N64" s="36"/>
      <c r="O64" s="37"/>
      <c r="P64" s="38"/>
      <c r="Q64" s="39"/>
      <c r="R64" s="40" t="str">
        <f t="shared" si="7"/>
        <v/>
      </c>
    </row>
    <row r="65" spans="2:18" ht="15" customHeight="1" x14ac:dyDescent="0.25">
      <c r="B65" s="28" t="str">
        <f>IF($D65="","",COUNTA($D$18:$D65))</f>
        <v/>
      </c>
      <c r="C65" s="29"/>
      <c r="D65" s="30"/>
      <c r="E65" s="31"/>
      <c r="F65" s="31"/>
      <c r="G65" s="31"/>
      <c r="H65" s="28" t="str">
        <f t="shared" si="4"/>
        <v/>
      </c>
      <c r="I65" s="32"/>
      <c r="J65" s="33" t="str">
        <f t="shared" si="5"/>
        <v/>
      </c>
      <c r="K65" s="34" t="str">
        <f t="shared" si="6"/>
        <v/>
      </c>
      <c r="L65" s="31"/>
      <c r="M65" s="35"/>
      <c r="N65" s="36"/>
      <c r="O65" s="37"/>
      <c r="P65" s="38"/>
      <c r="Q65" s="39"/>
      <c r="R65" s="40" t="str">
        <f t="shared" si="7"/>
        <v/>
      </c>
    </row>
    <row r="66" spans="2:18" ht="15" customHeight="1" x14ac:dyDescent="0.25">
      <c r="B66" s="28" t="str">
        <f>IF($D66="","",COUNTA($D$18:$D66))</f>
        <v/>
      </c>
      <c r="C66" s="29"/>
      <c r="D66" s="30"/>
      <c r="E66" s="31"/>
      <c r="F66" s="31"/>
      <c r="G66" s="31"/>
      <c r="H66" s="28" t="str">
        <f t="shared" si="4"/>
        <v/>
      </c>
      <c r="I66" s="32"/>
      <c r="J66" s="33" t="str">
        <f t="shared" si="5"/>
        <v/>
      </c>
      <c r="K66" s="34" t="str">
        <f t="shared" si="6"/>
        <v/>
      </c>
      <c r="L66" s="31"/>
      <c r="M66" s="35"/>
      <c r="N66" s="36"/>
      <c r="O66" s="37"/>
      <c r="P66" s="38"/>
      <c r="Q66" s="39"/>
      <c r="R66" s="40" t="str">
        <f t="shared" si="7"/>
        <v/>
      </c>
    </row>
    <row r="67" spans="2:18" ht="15" customHeight="1" x14ac:dyDescent="0.25">
      <c r="B67" s="28" t="str">
        <f>IF($D67="","",COUNTA($D$18:$D67))</f>
        <v/>
      </c>
      <c r="C67" s="29"/>
      <c r="D67" s="30"/>
      <c r="E67" s="31"/>
      <c r="F67" s="31"/>
      <c r="G67" s="31"/>
      <c r="H67" s="28" t="str">
        <f t="shared" si="4"/>
        <v/>
      </c>
      <c r="I67" s="32"/>
      <c r="J67" s="33" t="str">
        <f t="shared" si="5"/>
        <v/>
      </c>
      <c r="K67" s="34" t="str">
        <f t="shared" si="6"/>
        <v/>
      </c>
      <c r="L67" s="31"/>
      <c r="M67" s="35"/>
      <c r="N67" s="36"/>
      <c r="O67" s="37"/>
      <c r="P67" s="38"/>
      <c r="Q67" s="39"/>
      <c r="R67" s="40" t="str">
        <f t="shared" si="7"/>
        <v/>
      </c>
    </row>
    <row r="68" spans="2:18" ht="19.5" customHeight="1" x14ac:dyDescent="0.25">
      <c r="B68" s="117" t="s">
        <v>149</v>
      </c>
      <c r="C68" s="117"/>
      <c r="D68" s="117"/>
      <c r="E68" s="118" t="str">
        <f>"Positionen: "&amp;COUNTA($D$18:$D$67)&amp;"   ·   offen: "&amp;COUNTIF($P$18:$P$67,"Offen")</f>
        <v>Positionen: 29   ·   offen: 8</v>
      </c>
      <c r="F68" s="118"/>
      <c r="G68" s="118"/>
      <c r="H68" s="118"/>
      <c r="I68" s="41">
        <f>ROUND(SUMIF($H$18:$H$67,"g",$I$18:$I$67),0)</f>
        <v>855</v>
      </c>
      <c r="J68" s="41">
        <f>SUMIF($H$18:$H$67,"g",$J$18:$J$67)</f>
        <v>50787</v>
      </c>
      <c r="K68" s="42">
        <f>ROUND(SUMIF($H$18:$H$67,"g",$J$18:$J$67)/1000,1)</f>
        <v>50.8</v>
      </c>
      <c r="L68" s="119" t="s">
        <v>150</v>
      </c>
      <c r="M68" s="119"/>
      <c r="N68" s="119"/>
      <c r="O68" s="43">
        <f>SUM($O$18:$O$67)</f>
        <v>1402.5</v>
      </c>
      <c r="P68" s="44">
        <f>IFERROR((COUNTA($D$18:$D$67)-COUNTIF($P$18:$P$67,"Offen"))/COUNTA($D$18:$D$67),0)</f>
        <v>0.72413793103448276</v>
      </c>
      <c r="Q68" s="120" t="str">
        <f>"Hinweise: "&amp;SUMPRODUCT(($R$18:$R$67&lt;&gt;"")*($R$18:$R$67&lt;&gt;"OK"))</f>
        <v>Hinweise: 0</v>
      </c>
      <c r="R68" s="120"/>
    </row>
    <row r="70" spans="2:18" ht="15.75" customHeight="1" x14ac:dyDescent="0.25">
      <c r="B70" s="46" t="s">
        <v>151</v>
      </c>
      <c r="D70" s="47" t="s">
        <v>79</v>
      </c>
      <c r="E70" s="48" t="s">
        <v>69</v>
      </c>
      <c r="F70" s="49" t="s">
        <v>63</v>
      </c>
      <c r="G70" s="50" t="s">
        <v>58</v>
      </c>
      <c r="H70" s="51" t="s">
        <v>152</v>
      </c>
      <c r="J70" s="52" t="s">
        <v>153</v>
      </c>
      <c r="K70" s="53" t="s">
        <v>154</v>
      </c>
      <c r="L70" s="121" t="s">
        <v>155</v>
      </c>
      <c r="M70" s="121"/>
      <c r="N70" s="121"/>
      <c r="O70" s="121"/>
      <c r="P70" s="121"/>
      <c r="Q70" s="121"/>
      <c r="R70" s="121"/>
    </row>
  </sheetData>
  <autoFilter ref="B17:R67" xr:uid="{00000000-0009-0000-0000-000000000000}"/>
  <mergeCells count="53">
    <mergeCell ref="B68:D68"/>
    <mergeCell ref="E68:H68"/>
    <mergeCell ref="L68:N68"/>
    <mergeCell ref="Q68:R68"/>
    <mergeCell ref="L70:R70"/>
    <mergeCell ref="C15:D15"/>
    <mergeCell ref="E15:R15"/>
    <mergeCell ref="C16:G16"/>
    <mergeCell ref="H16:K16"/>
    <mergeCell ref="L16:P16"/>
    <mergeCell ref="Q16:R16"/>
    <mergeCell ref="Q12:R12"/>
    <mergeCell ref="B13:D13"/>
    <mergeCell ref="E13:G13"/>
    <mergeCell ref="H13:J13"/>
    <mergeCell ref="K13:M13"/>
    <mergeCell ref="N13:P13"/>
    <mergeCell ref="Q13:R13"/>
    <mergeCell ref="B12:D12"/>
    <mergeCell ref="E12:G12"/>
    <mergeCell ref="H12:J12"/>
    <mergeCell ref="K12:M12"/>
    <mergeCell ref="N12:P12"/>
    <mergeCell ref="C10:D10"/>
    <mergeCell ref="E10:R10"/>
    <mergeCell ref="B11:D11"/>
    <mergeCell ref="E11:G11"/>
    <mergeCell ref="H11:J11"/>
    <mergeCell ref="K11:M11"/>
    <mergeCell ref="N11:P11"/>
    <mergeCell ref="Q11:R11"/>
    <mergeCell ref="L7:M7"/>
    <mergeCell ref="N7:O7"/>
    <mergeCell ref="P7:R7"/>
    <mergeCell ref="B8:C8"/>
    <mergeCell ref="D8:E8"/>
    <mergeCell ref="F8:G8"/>
    <mergeCell ref="H8:I8"/>
    <mergeCell ref="J8:K8"/>
    <mergeCell ref="L8:M8"/>
    <mergeCell ref="N8:O8"/>
    <mergeCell ref="P8:R8"/>
    <mergeCell ref="B7:C7"/>
    <mergeCell ref="D7:E7"/>
    <mergeCell ref="F7:G7"/>
    <mergeCell ref="H7:I7"/>
    <mergeCell ref="J7:K7"/>
    <mergeCell ref="B2:K2"/>
    <mergeCell ref="L2:R2"/>
    <mergeCell ref="B3:K3"/>
    <mergeCell ref="L3:R3"/>
    <mergeCell ref="C6:D6"/>
    <mergeCell ref="E6:R6"/>
  </mergeCells>
  <conditionalFormatting sqref="E18:E67">
    <cfRule type="expression" dxfId="32" priority="15">
      <formula>$E18="Warm"</formula>
    </cfRule>
  </conditionalFormatting>
  <conditionalFormatting sqref="F18:F67">
    <cfRule type="expression" dxfId="31" priority="7">
      <formula>$F18="Vegan"</formula>
    </cfRule>
    <cfRule type="expression" dxfId="30" priority="8">
      <formula>$F18="Vegetarisch"</formula>
    </cfRule>
    <cfRule type="expression" dxfId="29" priority="9">
      <formula>$F18="Fisch"</formula>
    </cfRule>
    <cfRule type="expression" dxfId="28" priority="10">
      <formula>$F18="Fleisch"</formula>
    </cfRule>
  </conditionalFormatting>
  <conditionalFormatting sqref="H18:H67">
    <cfRule type="expression" dxfId="27" priority="13">
      <formula>$H18="?"</formula>
    </cfRule>
  </conditionalFormatting>
  <conditionalFormatting sqref="N18:N67">
    <cfRule type="expression" dxfId="26" priority="14">
      <formula>IF($N18="",0,IF($N18&gt;$T$1,1,0))</formula>
    </cfRule>
  </conditionalFormatting>
  <conditionalFormatting sqref="N12:P12">
    <cfRule type="expression" dxfId="25" priority="16">
      <formula>$N$12&gt;$T$2</formula>
    </cfRule>
    <cfRule type="expression" dxfId="24" priority="17">
      <formula>$N$12&lt;=$T$2</formula>
    </cfRule>
  </conditionalFormatting>
  <conditionalFormatting sqref="P18:P67">
    <cfRule type="expression" dxfId="23" priority="2">
      <formula>$P18="Offen"</formula>
    </cfRule>
    <cfRule type="expression" dxfId="22" priority="3">
      <formula>$P18="Bestellt"</formula>
    </cfRule>
    <cfRule type="expression" dxfId="21" priority="4">
      <formula>$P18="Eingekauft"</formula>
    </cfRule>
    <cfRule type="expression" dxfId="20" priority="5">
      <formula>$P18="Zubereitet"</formula>
    </cfRule>
    <cfRule type="expression" dxfId="19" priority="6">
      <formula>$P18="Am Buffet"</formula>
    </cfRule>
  </conditionalFormatting>
  <conditionalFormatting sqref="Q12:R12">
    <cfRule type="expression" dxfId="18" priority="18">
      <formula>$Q$12&lt;$T$3</formula>
    </cfRule>
    <cfRule type="expression" dxfId="17" priority="19">
      <formula>$Q$12&gt;=$T$3</formula>
    </cfRule>
  </conditionalFormatting>
  <conditionalFormatting sqref="R18:R67">
    <cfRule type="expression" dxfId="16" priority="11">
      <formula>$R18="OK"</formula>
    </cfRule>
    <cfRule type="expression" dxfId="15" priority="12">
      <formula>$R18&lt;&gt;""</formula>
    </cfRule>
  </conditionalFormatting>
  <dataValidations count="6">
    <dataValidation type="list" allowBlank="1" sqref="C18:C67" xr:uid="{00000000-0002-0000-0000-000000000000}">
      <formula1>Kat_Namen</formula1>
      <formula2>0</formula2>
    </dataValidation>
    <dataValidation type="list" allowBlank="1" sqref="E18:E67" xr:uid="{00000000-0002-0000-0000-000001000000}">
      <formula1>Liste_Servierart</formula1>
      <formula2>0</formula2>
    </dataValidation>
    <dataValidation type="list" allowBlank="1" sqref="F18:F67" xr:uid="{00000000-0002-0000-0000-000002000000}">
      <formula1>Liste_Ernaehrung</formula1>
      <formula2>0</formula2>
    </dataValidation>
    <dataValidation type="list" allowBlank="1" sqref="L18:L67" xr:uid="{00000000-0002-0000-0000-000003000000}">
      <formula1>Liste_Beschaffung</formula1>
      <formula2>0</formula2>
    </dataValidation>
    <dataValidation type="list" allowBlank="1" sqref="M18:M67" xr:uid="{00000000-0002-0000-0000-000004000000}">
      <formula1>Liste_Zustaendig</formula1>
      <formula2>0</formula2>
    </dataValidation>
    <dataValidation type="list" allowBlank="1" sqref="P18:P67" xr:uid="{00000000-0002-0000-0000-000005000000}">
      <formula1>Liste_Status</formula1>
      <formula2>0</formula2>
    </dataValidation>
  </dataValidations>
  <printOptions horizontalCentered="1"/>
  <pageMargins left="0.75" right="0.75" top="1" bottom="1" header="0.511811023622047" footer="0.511811023622047"/>
  <pageSetup paperSize="9" fitToHeight="2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T57"/>
  <sheetViews>
    <sheetView showGridLines="0" zoomScaleNormal="100" workbookViewId="0">
      <pane ySplit="4" topLeftCell="A5" activePane="bottomLeft" state="frozen"/>
      <selection pane="bottomLeft"/>
    </sheetView>
  </sheetViews>
  <sheetFormatPr baseColWidth="10" defaultColWidth="8.7109375" defaultRowHeight="15" x14ac:dyDescent="0.25"/>
  <cols>
    <col min="1" max="1" width="1.5703125" customWidth="1"/>
    <col min="2" max="2" width="26" customWidth="1"/>
    <col min="3" max="3" width="9" customWidth="1"/>
    <col min="4" max="4" width="11" customWidth="1"/>
    <col min="5" max="6" width="14" customWidth="1"/>
    <col min="7" max="7" width="11" customWidth="1"/>
    <col min="8" max="8" width="14" customWidth="1"/>
    <col min="9" max="10" width="13" customWidth="1"/>
    <col min="11" max="11" width="10" customWidth="1"/>
    <col min="12" max="12" width="24" customWidth="1"/>
    <col min="20" max="20" width="12" hidden="1" customWidth="1"/>
  </cols>
  <sheetData>
    <row r="1" spans="2:20" x14ac:dyDescent="0.25">
      <c r="T1" s="17">
        <f>Ziel_Deckung</f>
        <v>0.9</v>
      </c>
    </row>
    <row r="2" spans="2:20" ht="30" customHeight="1" x14ac:dyDescent="0.25">
      <c r="B2" s="14" t="s">
        <v>156</v>
      </c>
      <c r="C2" s="14"/>
      <c r="D2" s="14"/>
      <c r="E2" s="14"/>
      <c r="F2" s="14"/>
      <c r="G2" s="14"/>
      <c r="H2" s="14"/>
      <c r="I2" s="13" t="str">
        <f>Anlass</f>
        <v>Sommerfest 2026</v>
      </c>
      <c r="J2" s="13"/>
      <c r="K2" s="13"/>
      <c r="L2" s="13"/>
      <c r="T2" s="16">
        <f>Budget</f>
        <v>1500</v>
      </c>
    </row>
    <row r="3" spans="2:20" ht="16.5" customHeight="1" x14ac:dyDescent="0.25">
      <c r="B3" s="12" t="s">
        <v>157</v>
      </c>
      <c r="C3" s="12"/>
      <c r="D3" s="12"/>
      <c r="E3" s="12"/>
      <c r="F3" s="12"/>
      <c r="G3" s="12"/>
      <c r="H3" s="12"/>
      <c r="I3" s="11" t="str">
        <f>"Gäste: "&amp;Gaeste_gesamt&amp;"  ·  Buffeteröffnung: "&amp;Beginn</f>
        <v>Gäste: 60  ·  Buffeteröffnung: 18:30 Uhr</v>
      </c>
      <c r="J3" s="11"/>
      <c r="K3" s="11"/>
      <c r="L3" s="11"/>
      <c r="T3" s="17">
        <f>Ziel_Vegetarisch</f>
        <v>0.35</v>
      </c>
    </row>
    <row r="4" spans="2:20" ht="4.5" customHeight="1" x14ac:dyDescent="0.25">
      <c r="B4" s="18"/>
      <c r="C4" s="18"/>
      <c r="D4" s="19"/>
      <c r="E4" s="20"/>
      <c r="F4" s="21"/>
      <c r="G4" s="18"/>
      <c r="H4" s="19"/>
      <c r="I4" s="19"/>
      <c r="J4" s="20"/>
      <c r="K4" s="21"/>
      <c r="L4" s="18"/>
    </row>
    <row r="6" spans="2:20" ht="19.5" customHeight="1" x14ac:dyDescent="0.25">
      <c r="B6" s="22" t="s">
        <v>2</v>
      </c>
      <c r="C6" s="10" t="s">
        <v>158</v>
      </c>
      <c r="D6" s="10"/>
      <c r="E6" s="10"/>
      <c r="F6" s="10"/>
      <c r="G6" s="9" t="s">
        <v>159</v>
      </c>
      <c r="H6" s="9"/>
      <c r="I6" s="9"/>
      <c r="J6" s="9"/>
      <c r="K6" s="9"/>
      <c r="L6" s="9"/>
    </row>
    <row r="7" spans="2:20" ht="13.5" customHeight="1" x14ac:dyDescent="0.25">
      <c r="B7" s="1" t="s">
        <v>10</v>
      </c>
      <c r="C7" s="1"/>
      <c r="D7" s="102" t="s">
        <v>160</v>
      </c>
      <c r="E7" s="102"/>
      <c r="F7" s="103" t="s">
        <v>18</v>
      </c>
      <c r="G7" s="103"/>
      <c r="H7" s="1" t="s">
        <v>161</v>
      </c>
      <c r="I7" s="1"/>
      <c r="J7" s="105" t="s">
        <v>162</v>
      </c>
      <c r="K7" s="105"/>
      <c r="L7" s="24" t="s">
        <v>163</v>
      </c>
    </row>
    <row r="8" spans="2:20" ht="22.5" customHeight="1" x14ac:dyDescent="0.25">
      <c r="B8" s="122">
        <f>Gaeste_gewichtet</f>
        <v>54</v>
      </c>
      <c r="C8" s="122"/>
      <c r="D8" s="123">
        <f>COUNTA(Buffetplan!$D$18:$D$67)</f>
        <v>29</v>
      </c>
      <c r="E8" s="123"/>
      <c r="F8" s="108">
        <f>ROUND(SUMIF(Buffetplan!$H$18:$H$67,"g",Buffetplan!$J$18:$J$67)/1000,1)</f>
        <v>50.8</v>
      </c>
      <c r="G8" s="108"/>
      <c r="H8" s="124">
        <f>SUM(Buffetplan!$O$18:$O$67)</f>
        <v>1402.5</v>
      </c>
      <c r="I8" s="124"/>
      <c r="J8" s="125">
        <f>IFERROR(SUM(Buffetplan!$O$18:$O$67)/Budget,0)</f>
        <v>0.93500000000000005</v>
      </c>
      <c r="K8" s="125"/>
      <c r="L8" s="25">
        <f>IFERROR(SUMIF($D$13:$D$22,"&gt;0",$G$13:$G$22)/COUNTIF($D$13:$D$22,"&gt;0"),0)</f>
        <v>1.0070405982905983</v>
      </c>
    </row>
    <row r="9" spans="2:20" ht="12.75" customHeight="1" x14ac:dyDescent="0.25">
      <c r="B9" s="112" t="s">
        <v>164</v>
      </c>
      <c r="C9" s="112"/>
      <c r="D9" s="113" t="s">
        <v>22</v>
      </c>
      <c r="E9" s="113"/>
      <c r="F9" s="114" t="s">
        <v>24</v>
      </c>
      <c r="G9" s="114"/>
      <c r="H9" s="112" t="s">
        <v>165</v>
      </c>
      <c r="I9" s="112"/>
      <c r="J9" s="116" t="s">
        <v>166</v>
      </c>
      <c r="K9" s="116"/>
      <c r="L9" s="26" t="s">
        <v>167</v>
      </c>
    </row>
    <row r="11" spans="2:20" ht="19.5" customHeight="1" x14ac:dyDescent="0.25">
      <c r="B11" s="22" t="s">
        <v>13</v>
      </c>
      <c r="C11" s="10" t="s">
        <v>168</v>
      </c>
      <c r="D11" s="10"/>
      <c r="E11" s="10"/>
      <c r="F11" s="10"/>
      <c r="G11" s="10"/>
      <c r="H11" s="9" t="s">
        <v>169</v>
      </c>
      <c r="I11" s="9"/>
      <c r="J11" s="9"/>
      <c r="K11" s="9"/>
      <c r="L11" s="9"/>
    </row>
    <row r="12" spans="2:20" ht="30" customHeight="1" x14ac:dyDescent="0.25">
      <c r="B12" s="55" t="s">
        <v>35</v>
      </c>
      <c r="C12" s="55" t="s">
        <v>40</v>
      </c>
      <c r="D12" s="55" t="s">
        <v>170</v>
      </c>
      <c r="E12" s="55" t="s">
        <v>171</v>
      </c>
      <c r="F12" s="55" t="s">
        <v>172</v>
      </c>
      <c r="G12" s="55" t="s">
        <v>173</v>
      </c>
      <c r="H12" s="55" t="s">
        <v>42</v>
      </c>
      <c r="I12" s="55" t="s">
        <v>174</v>
      </c>
      <c r="J12" s="55" t="s">
        <v>47</v>
      </c>
      <c r="K12" s="55" t="s">
        <v>175</v>
      </c>
      <c r="L12" s="55" t="s">
        <v>176</v>
      </c>
    </row>
    <row r="13" spans="2:20" ht="15" customHeight="1" x14ac:dyDescent="0.25">
      <c r="B13" s="56" t="str">
        <f>Stammdaten!$B$30</f>
        <v>Aperitif &amp; Fingerfood</v>
      </c>
      <c r="C13" s="57" t="str">
        <f>Stammdaten!$D$30</f>
        <v>g</v>
      </c>
      <c r="D13" s="58">
        <f>COUNTIF(Buffetplan!$C$18:$C$67,$B13)</f>
        <v>3</v>
      </c>
      <c r="E13" s="59">
        <f>Stammdaten!$E$30</f>
        <v>60</v>
      </c>
      <c r="F13" s="33">
        <f>ROUND(SUMIF(Buffetplan!$C$18:$C$67,$B13,Buffetplan!$I$18:$I$67),0)</f>
        <v>65</v>
      </c>
      <c r="G13" s="60">
        <f t="shared" ref="G13:G22" si="0">IFERROR($F13/$E13,0)</f>
        <v>1.0833333333333333</v>
      </c>
      <c r="H13" s="58">
        <f>SUMIF(Buffetplan!$C$18:$C$67,$B13,Buffetplan!$J$18:$J$67)</f>
        <v>3861</v>
      </c>
      <c r="I13" s="34">
        <f t="shared" ref="I13:I22" si="1">ROUND($H13/1000,2)</f>
        <v>3.86</v>
      </c>
      <c r="J13" s="61">
        <f>SUMIF(Buffetplan!$C$18:$C$67,$B13,Buffetplan!$O$18:$O$67)</f>
        <v>97.5</v>
      </c>
      <c r="K13" s="62">
        <f>IFERROR($J13/SUM(Buffetplan!$O$18:$O$67),0)</f>
        <v>6.9518716577540107E-2</v>
      </c>
      <c r="L13" s="63" t="str">
        <f t="shared" ref="L13:L22" si="2">IF($D13=0,"Keine Position",IF($G13&lt;Ziel_Deckung,"Unterdeckung",IF($G13&gt;1.3,"Überplanung","Im Zielkorridor")))</f>
        <v>Im Zielkorridor</v>
      </c>
    </row>
    <row r="14" spans="2:20" ht="15" customHeight="1" x14ac:dyDescent="0.25">
      <c r="B14" s="56" t="str">
        <f>Stammdaten!$B$31</f>
        <v>Vorspeisen kalt</v>
      </c>
      <c r="C14" s="57" t="str">
        <f>Stammdaten!$D$31</f>
        <v>g</v>
      </c>
      <c r="D14" s="58">
        <f>COUNTIF(Buffetplan!$C$18:$C$67,$B14)</f>
        <v>3</v>
      </c>
      <c r="E14" s="59">
        <f>Stammdaten!$E$31</f>
        <v>80</v>
      </c>
      <c r="F14" s="33">
        <f>ROUND(SUMIF(Buffetplan!$C$18:$C$67,$B14,Buffetplan!$I$18:$I$67),0)</f>
        <v>75</v>
      </c>
      <c r="G14" s="60">
        <f t="shared" si="0"/>
        <v>0.9375</v>
      </c>
      <c r="H14" s="58">
        <f>SUMIF(Buffetplan!$C$18:$C$67,$B14,Buffetplan!$J$18:$J$67)</f>
        <v>4455</v>
      </c>
      <c r="I14" s="34">
        <f t="shared" si="1"/>
        <v>4.46</v>
      </c>
      <c r="J14" s="61">
        <f>SUMIF(Buffetplan!$C$18:$C$67,$B14,Buffetplan!$O$18:$O$67)</f>
        <v>151.5</v>
      </c>
      <c r="K14" s="62">
        <f>IFERROR($J14/SUM(Buffetplan!$O$18:$O$67),0)</f>
        <v>0.10802139037433155</v>
      </c>
      <c r="L14" s="63" t="str">
        <f t="shared" si="2"/>
        <v>Im Zielkorridor</v>
      </c>
    </row>
    <row r="15" spans="2:20" ht="15" customHeight="1" x14ac:dyDescent="0.25">
      <c r="B15" s="56" t="str">
        <f>Stammdaten!$B$32</f>
        <v>Suppen</v>
      </c>
      <c r="C15" s="57" t="str">
        <f>Stammdaten!$D$32</f>
        <v>ml</v>
      </c>
      <c r="D15" s="58">
        <f>COUNTIF(Buffetplan!$C$18:$C$67,$B15)</f>
        <v>2</v>
      </c>
      <c r="E15" s="59">
        <f>Stammdaten!$E$32</f>
        <v>200</v>
      </c>
      <c r="F15" s="33">
        <f>ROUND(SUMIF(Buffetplan!$C$18:$C$67,$B15,Buffetplan!$I$18:$I$67),0)</f>
        <v>200</v>
      </c>
      <c r="G15" s="60">
        <f t="shared" si="0"/>
        <v>1</v>
      </c>
      <c r="H15" s="58">
        <f>SUMIF(Buffetplan!$C$18:$C$67,$B15,Buffetplan!$J$18:$J$67)</f>
        <v>11880</v>
      </c>
      <c r="I15" s="34">
        <f t="shared" si="1"/>
        <v>11.88</v>
      </c>
      <c r="J15" s="61">
        <f>SUMIF(Buffetplan!$C$18:$C$67,$B15,Buffetplan!$O$18:$O$67)</f>
        <v>64</v>
      </c>
      <c r="K15" s="62">
        <f>IFERROR($J15/SUM(Buffetplan!$O$18:$O$67),0)</f>
        <v>4.5632798573975043E-2</v>
      </c>
      <c r="L15" s="63" t="str">
        <f t="shared" si="2"/>
        <v>Im Zielkorridor</v>
      </c>
    </row>
    <row r="16" spans="2:20" ht="15" customHeight="1" x14ac:dyDescent="0.25">
      <c r="B16" s="56" t="str">
        <f>Stammdaten!$B$33</f>
        <v>Salate</v>
      </c>
      <c r="C16" s="57" t="str">
        <f>Stammdaten!$D$33</f>
        <v>g</v>
      </c>
      <c r="D16" s="58">
        <f>COUNTIF(Buffetplan!$C$18:$C$67,$B16)</f>
        <v>3</v>
      </c>
      <c r="E16" s="59">
        <f>Stammdaten!$E$33</f>
        <v>120</v>
      </c>
      <c r="F16" s="33">
        <f>ROUND(SUMIF(Buffetplan!$C$18:$C$67,$B16,Buffetplan!$I$18:$I$67),0)</f>
        <v>120</v>
      </c>
      <c r="G16" s="60">
        <f t="shared" si="0"/>
        <v>1</v>
      </c>
      <c r="H16" s="58">
        <f>SUMIF(Buffetplan!$C$18:$C$67,$B16,Buffetplan!$J$18:$J$67)</f>
        <v>7128</v>
      </c>
      <c r="I16" s="34">
        <f t="shared" si="1"/>
        <v>7.13</v>
      </c>
      <c r="J16" s="61">
        <f>SUMIF(Buffetplan!$C$18:$C$67,$B16,Buffetplan!$O$18:$O$67)</f>
        <v>84</v>
      </c>
      <c r="K16" s="62">
        <f>IFERROR($J16/SUM(Buffetplan!$O$18:$O$67),0)</f>
        <v>5.9893048128342244E-2</v>
      </c>
      <c r="L16" s="63" t="str">
        <f t="shared" si="2"/>
        <v>Im Zielkorridor</v>
      </c>
    </row>
    <row r="17" spans="2:12" ht="15" customHeight="1" x14ac:dyDescent="0.25">
      <c r="B17" s="56" t="str">
        <f>Stammdaten!$B$34</f>
        <v>Hauptspeisen warm</v>
      </c>
      <c r="C17" s="57" t="str">
        <f>Stammdaten!$D$34</f>
        <v>g</v>
      </c>
      <c r="D17" s="58">
        <f>COUNTIF(Buffetplan!$C$18:$C$67,$B17)</f>
        <v>3</v>
      </c>
      <c r="E17" s="59">
        <f>Stammdaten!$E$34</f>
        <v>180</v>
      </c>
      <c r="F17" s="33">
        <f>ROUND(SUMIF(Buffetplan!$C$18:$C$67,$B17,Buffetplan!$I$18:$I$67),0)</f>
        <v>155</v>
      </c>
      <c r="G17" s="60">
        <f t="shared" si="0"/>
        <v>0.86111111111111116</v>
      </c>
      <c r="H17" s="58">
        <f>SUMIF(Buffetplan!$C$18:$C$67,$B17,Buffetplan!$J$18:$J$67)</f>
        <v>9207</v>
      </c>
      <c r="I17" s="34">
        <f t="shared" si="1"/>
        <v>9.2100000000000009</v>
      </c>
      <c r="J17" s="61">
        <f>SUMIF(Buffetplan!$C$18:$C$67,$B17,Buffetplan!$O$18:$O$67)</f>
        <v>416</v>
      </c>
      <c r="K17" s="62">
        <f>IFERROR($J17/SUM(Buffetplan!$O$18:$O$67),0)</f>
        <v>0.29661319073083781</v>
      </c>
      <c r="L17" s="63" t="str">
        <f t="shared" si="2"/>
        <v>Unterdeckung</v>
      </c>
    </row>
    <row r="18" spans="2:12" ht="15" customHeight="1" x14ac:dyDescent="0.25">
      <c r="B18" s="56" t="str">
        <f>Stammdaten!$B$35</f>
        <v>Beilagen</v>
      </c>
      <c r="C18" s="57" t="str">
        <f>Stammdaten!$D$35</f>
        <v>g</v>
      </c>
      <c r="D18" s="58">
        <f>COUNTIF(Buffetplan!$C$18:$C$67,$B18)</f>
        <v>3</v>
      </c>
      <c r="E18" s="59">
        <f>Stammdaten!$E$35</f>
        <v>130</v>
      </c>
      <c r="F18" s="33">
        <f>ROUND(SUMIF(Buffetplan!$C$18:$C$67,$B18,Buffetplan!$I$18:$I$67),0)</f>
        <v>135</v>
      </c>
      <c r="G18" s="60">
        <f t="shared" si="0"/>
        <v>1.0384615384615385</v>
      </c>
      <c r="H18" s="58">
        <f>SUMIF(Buffetplan!$C$18:$C$67,$B18,Buffetplan!$J$18:$J$67)</f>
        <v>8019</v>
      </c>
      <c r="I18" s="34">
        <f t="shared" si="1"/>
        <v>8.02</v>
      </c>
      <c r="J18" s="61">
        <f>SUMIF(Buffetplan!$C$18:$C$67,$B18,Buffetplan!$O$18:$O$67)</f>
        <v>106</v>
      </c>
      <c r="K18" s="62">
        <f>IFERROR($J18/SUM(Buffetplan!$O$18:$O$67),0)</f>
        <v>7.5579322638146165E-2</v>
      </c>
      <c r="L18" s="63" t="str">
        <f t="shared" si="2"/>
        <v>Im Zielkorridor</v>
      </c>
    </row>
    <row r="19" spans="2:12" ht="15" customHeight="1" x14ac:dyDescent="0.25">
      <c r="B19" s="56" t="str">
        <f>Stammdaten!$B$36</f>
        <v>Brot &amp; Gebäck</v>
      </c>
      <c r="C19" s="57" t="str">
        <f>Stammdaten!$D$36</f>
        <v>g</v>
      </c>
      <c r="D19" s="58">
        <f>COUNTIF(Buffetplan!$C$18:$C$67,$B19)</f>
        <v>3</v>
      </c>
      <c r="E19" s="59">
        <f>Stammdaten!$E$36</f>
        <v>80</v>
      </c>
      <c r="F19" s="33">
        <f>ROUND(SUMIF(Buffetplan!$C$18:$C$67,$B19,Buffetplan!$I$18:$I$67),0)</f>
        <v>80</v>
      </c>
      <c r="G19" s="60">
        <f t="shared" si="0"/>
        <v>1</v>
      </c>
      <c r="H19" s="58">
        <f>SUMIF(Buffetplan!$C$18:$C$67,$B19,Buffetplan!$J$18:$J$67)</f>
        <v>4752</v>
      </c>
      <c r="I19" s="34">
        <f t="shared" si="1"/>
        <v>4.75</v>
      </c>
      <c r="J19" s="61">
        <f>SUMIF(Buffetplan!$C$18:$C$67,$B19,Buffetplan!$O$18:$O$67)</f>
        <v>65.5</v>
      </c>
      <c r="K19" s="62">
        <f>IFERROR($J19/SUM(Buffetplan!$O$18:$O$67),0)</f>
        <v>4.6702317290552582E-2</v>
      </c>
      <c r="L19" s="63" t="str">
        <f t="shared" si="2"/>
        <v>Im Zielkorridor</v>
      </c>
    </row>
    <row r="20" spans="2:12" ht="15" customHeight="1" x14ac:dyDescent="0.25">
      <c r="B20" s="56" t="str">
        <f>Stammdaten!$B$37</f>
        <v>Käse &amp; Aufschnitt</v>
      </c>
      <c r="C20" s="57" t="str">
        <f>Stammdaten!$D$37</f>
        <v>g</v>
      </c>
      <c r="D20" s="58">
        <f>COUNTIF(Buffetplan!$C$18:$C$67,$B20)</f>
        <v>2</v>
      </c>
      <c r="E20" s="59">
        <f>Stammdaten!$E$37</f>
        <v>60</v>
      </c>
      <c r="F20" s="33">
        <f>ROUND(SUMIF(Buffetplan!$C$18:$C$67,$B20,Buffetplan!$I$18:$I$67),0)</f>
        <v>65</v>
      </c>
      <c r="G20" s="60">
        <f t="shared" si="0"/>
        <v>1.0833333333333333</v>
      </c>
      <c r="H20" s="58">
        <f>SUMIF(Buffetplan!$C$18:$C$67,$B20,Buffetplan!$J$18:$J$67)</f>
        <v>3861</v>
      </c>
      <c r="I20" s="34">
        <f t="shared" si="1"/>
        <v>3.86</v>
      </c>
      <c r="J20" s="61">
        <f>SUMIF(Buffetplan!$C$18:$C$67,$B20,Buffetplan!$O$18:$O$67)</f>
        <v>118</v>
      </c>
      <c r="K20" s="62">
        <f>IFERROR($J20/SUM(Buffetplan!$O$18:$O$67),0)</f>
        <v>8.413547237076649E-2</v>
      </c>
      <c r="L20" s="63" t="str">
        <f t="shared" si="2"/>
        <v>Im Zielkorridor</v>
      </c>
    </row>
    <row r="21" spans="2:12" ht="15" customHeight="1" x14ac:dyDescent="0.25">
      <c r="B21" s="56" t="str">
        <f>Stammdaten!$B$38</f>
        <v>Desserts</v>
      </c>
      <c r="C21" s="57" t="str">
        <f>Stammdaten!$D$38</f>
        <v>g</v>
      </c>
      <c r="D21" s="58">
        <f>COUNTIF(Buffetplan!$C$18:$C$67,$B21)</f>
        <v>3</v>
      </c>
      <c r="E21" s="59">
        <f>Stammdaten!$E$38</f>
        <v>150</v>
      </c>
      <c r="F21" s="33">
        <f>ROUND(SUMIF(Buffetplan!$C$18:$C$67,$B21,Buffetplan!$I$18:$I$67),0)</f>
        <v>160</v>
      </c>
      <c r="G21" s="60">
        <f t="shared" si="0"/>
        <v>1.0666666666666667</v>
      </c>
      <c r="H21" s="58">
        <f>SUMIF(Buffetplan!$C$18:$C$67,$B21,Buffetplan!$J$18:$J$67)</f>
        <v>9504</v>
      </c>
      <c r="I21" s="34">
        <f t="shared" si="1"/>
        <v>9.5</v>
      </c>
      <c r="J21" s="61">
        <f>SUMIF(Buffetplan!$C$18:$C$67,$B21,Buffetplan!$O$18:$O$67)</f>
        <v>136</v>
      </c>
      <c r="K21" s="62">
        <f>IFERROR($J21/SUM(Buffetplan!$O$18:$O$67),0)</f>
        <v>9.696969696969697E-2</v>
      </c>
      <c r="L21" s="63" t="str">
        <f t="shared" si="2"/>
        <v>Im Zielkorridor</v>
      </c>
    </row>
    <row r="22" spans="2:12" ht="15" customHeight="1" x14ac:dyDescent="0.25">
      <c r="B22" s="56" t="str">
        <f>Stammdaten!$B$39</f>
        <v>Getränke</v>
      </c>
      <c r="C22" s="57" t="str">
        <f>Stammdaten!$D$39</f>
        <v>ml</v>
      </c>
      <c r="D22" s="58">
        <f>COUNTIF(Buffetplan!$C$18:$C$67,$B22)</f>
        <v>4</v>
      </c>
      <c r="E22" s="59">
        <f>Stammdaten!$E$39</f>
        <v>800</v>
      </c>
      <c r="F22" s="33">
        <f>ROUND(SUMIF(Buffetplan!$C$18:$C$67,$B22,Buffetplan!$I$18:$I$67),0)</f>
        <v>800</v>
      </c>
      <c r="G22" s="60">
        <f t="shared" si="0"/>
        <v>1</v>
      </c>
      <c r="H22" s="58">
        <f>SUMIF(Buffetplan!$C$18:$C$67,$B22,Buffetplan!$J$18:$J$67)</f>
        <v>47520</v>
      </c>
      <c r="I22" s="34">
        <f t="shared" si="1"/>
        <v>47.52</v>
      </c>
      <c r="J22" s="61">
        <f>SUMIF(Buffetplan!$C$18:$C$67,$B22,Buffetplan!$O$18:$O$67)</f>
        <v>164</v>
      </c>
      <c r="K22" s="62">
        <f>IFERROR($J22/SUM(Buffetplan!$O$18:$O$67),0)</f>
        <v>0.11693404634581105</v>
      </c>
      <c r="L22" s="63" t="str">
        <f t="shared" si="2"/>
        <v>Im Zielkorridor</v>
      </c>
    </row>
    <row r="23" spans="2:12" ht="18" customHeight="1" x14ac:dyDescent="0.25">
      <c r="B23" s="126" t="s">
        <v>177</v>
      </c>
      <c r="C23" s="126"/>
      <c r="D23" s="64">
        <f>SUM($D$13:$D$22)</f>
        <v>29</v>
      </c>
      <c r="E23" s="65">
        <f>SUMIF($C$13:$C$22,"g",$E$13:$E$22)</f>
        <v>860</v>
      </c>
      <c r="F23" s="41">
        <f>SUMIF($C$13:$C$22,"g",$F$13:$F$22)</f>
        <v>855</v>
      </c>
      <c r="G23" s="66">
        <f>IFERROR(SUMIF($C$13:$C$22,"g",$F$13:$F$22)/SUMIF($C$13:$C$22,"g",$E$13:$E$22),0)</f>
        <v>0.9941860465116279</v>
      </c>
      <c r="H23" s="41">
        <f>SUMIF($C$13:$C$22,"g",$H$13:$H$22)</f>
        <v>50787</v>
      </c>
      <c r="I23" s="42">
        <f>ROUND(SUMIF($C$13:$C$22,"g",$H$13:$H$22)/1000,1)</f>
        <v>50.8</v>
      </c>
      <c r="J23" s="43">
        <f>SUM($J$13:$J$22)</f>
        <v>1402.5</v>
      </c>
      <c r="K23" s="66">
        <f>IFERROR(SUM($J$13:$J$22)/SUM(Buffetplan!$O$18:$O$67),0)</f>
        <v>1</v>
      </c>
      <c r="L23" s="67" t="str">
        <f>"Speisenwerte in g – Getränke und Suppen separat"</f>
        <v>Speisenwerte in g – Getränke und Suppen separat</v>
      </c>
    </row>
    <row r="25" spans="2:12" ht="19.5" customHeight="1" x14ac:dyDescent="0.25">
      <c r="B25" s="22" t="s">
        <v>27</v>
      </c>
      <c r="C25" s="10" t="s">
        <v>178</v>
      </c>
      <c r="D25" s="10"/>
      <c r="E25" s="10"/>
      <c r="F25" s="10"/>
      <c r="G25" s="9" t="s">
        <v>179</v>
      </c>
      <c r="H25" s="9"/>
      <c r="I25" s="9"/>
      <c r="J25" s="9"/>
      <c r="K25" s="9"/>
      <c r="L25" s="9"/>
    </row>
    <row r="26" spans="2:12" ht="25.5" customHeight="1" x14ac:dyDescent="0.25">
      <c r="B26" s="127" t="s">
        <v>180</v>
      </c>
      <c r="C26" s="127"/>
      <c r="D26" s="68" t="s">
        <v>170</v>
      </c>
      <c r="E26" s="68" t="s">
        <v>181</v>
      </c>
      <c r="F26" s="68" t="s">
        <v>182</v>
      </c>
      <c r="G26" s="68" t="s">
        <v>47</v>
      </c>
      <c r="H26" s="127" t="s">
        <v>183</v>
      </c>
      <c r="I26" s="127"/>
      <c r="J26" s="68" t="s">
        <v>170</v>
      </c>
      <c r="K26" s="68" t="s">
        <v>181</v>
      </c>
      <c r="L26" s="68" t="s">
        <v>47</v>
      </c>
    </row>
    <row r="27" spans="2:12" ht="15" customHeight="1" x14ac:dyDescent="0.25">
      <c r="B27" s="128" t="s">
        <v>104</v>
      </c>
      <c r="C27" s="128"/>
      <c r="D27" s="58">
        <f>COUNTIF(Buffetplan!$F$18:$F$67,$B27)</f>
        <v>2</v>
      </c>
      <c r="E27" s="60">
        <f>IFERROR($D27/COUNTA(Buffetplan!$D$18:$D$67),0)</f>
        <v>6.8965517241379309E-2</v>
      </c>
      <c r="F27" s="69">
        <f>ROUND(SUMIFS(Buffetplan!$J$18:$J$67,Buffetplan!$F$18:$F$67,$B27,Buffetplan!$H$18:$H$67,"g")/1000,1)</f>
        <v>5.3</v>
      </c>
      <c r="G27" s="61">
        <f>SUMIF(Buffetplan!$F$18:$F$67,$B27,Buffetplan!$O$18:$O$67)</f>
        <v>248</v>
      </c>
      <c r="H27" s="128" t="s">
        <v>56</v>
      </c>
      <c r="I27" s="128"/>
      <c r="J27" s="58">
        <f>COUNTIF(Buffetplan!$L$18:$L$67,$H27)</f>
        <v>14</v>
      </c>
      <c r="K27" s="60">
        <f>IFERROR($J27/COUNTA(Buffetplan!$D$18:$D$67),0)</f>
        <v>0.48275862068965519</v>
      </c>
      <c r="L27" s="61">
        <f>SUMIF(Buffetplan!$L$18:$L$67,$H27,Buffetplan!$O$18:$O$67)</f>
        <v>702</v>
      </c>
    </row>
    <row r="28" spans="2:12" ht="15" customHeight="1" x14ac:dyDescent="0.25">
      <c r="B28" s="128" t="s">
        <v>77</v>
      </c>
      <c r="C28" s="128"/>
      <c r="D28" s="58">
        <f>COUNTIF(Buffetplan!$F$18:$F$67,$B28)</f>
        <v>2</v>
      </c>
      <c r="E28" s="60">
        <f>IFERROR($D28/COUNTA(Buffetplan!$D$18:$D$67),0)</f>
        <v>6.8965517241379309E-2</v>
      </c>
      <c r="F28" s="69">
        <f>ROUND(SUMIFS(Buffetplan!$J$18:$J$67,Buffetplan!$F$18:$F$67,$B28,Buffetplan!$H$18:$H$67,"g")/1000,1)</f>
        <v>3.6</v>
      </c>
      <c r="G28" s="61">
        <f>SUMIF(Buffetplan!$F$18:$F$67,$B28,Buffetplan!$O$18:$O$67)</f>
        <v>186</v>
      </c>
      <c r="H28" s="128" t="s">
        <v>67</v>
      </c>
      <c r="I28" s="128"/>
      <c r="J28" s="58">
        <f>COUNTIF(Buffetplan!$L$18:$L$67,$H28)</f>
        <v>12</v>
      </c>
      <c r="K28" s="60">
        <f>IFERROR($J28/COUNTA(Buffetplan!$D$18:$D$67),0)</f>
        <v>0.41379310344827586</v>
      </c>
      <c r="L28" s="61">
        <f>SUMIF(Buffetplan!$L$18:$L$67,$H28,Buffetplan!$O$18:$O$67)</f>
        <v>608.5</v>
      </c>
    </row>
    <row r="29" spans="2:12" ht="15" customHeight="1" x14ac:dyDescent="0.25">
      <c r="B29" s="128" t="s">
        <v>54</v>
      </c>
      <c r="C29" s="128"/>
      <c r="D29" s="58">
        <f>COUNTIF(Buffetplan!$F$18:$F$67,$B29)</f>
        <v>11</v>
      </c>
      <c r="E29" s="60">
        <f>IFERROR($D29/COUNTA(Buffetplan!$D$18:$D$67),0)</f>
        <v>0.37931034482758619</v>
      </c>
      <c r="F29" s="69">
        <f>ROUND(SUMIFS(Buffetplan!$J$18:$J$67,Buffetplan!$F$18:$F$67,$B29,Buffetplan!$H$18:$H$67,"g")/1000,1)</f>
        <v>17.5</v>
      </c>
      <c r="G29" s="61">
        <f>SUMIF(Buffetplan!$F$18:$F$67,$B29,Buffetplan!$O$18:$O$67)</f>
        <v>409</v>
      </c>
      <c r="H29" s="128" t="s">
        <v>94</v>
      </c>
      <c r="I29" s="128"/>
      <c r="J29" s="58">
        <f>COUNTIF(Buffetplan!$L$18:$L$67,$H29)</f>
        <v>3</v>
      </c>
      <c r="K29" s="60">
        <f>IFERROR($J29/COUNTA(Buffetplan!$D$18:$D$67),0)</f>
        <v>0.10344827586206896</v>
      </c>
      <c r="L29" s="61">
        <f>SUMIF(Buffetplan!$L$18:$L$67,$H29,Buffetplan!$O$18:$O$67)</f>
        <v>92</v>
      </c>
    </row>
    <row r="30" spans="2:12" ht="15" customHeight="1" x14ac:dyDescent="0.25">
      <c r="B30" s="128" t="s">
        <v>73</v>
      </c>
      <c r="C30" s="128"/>
      <c r="D30" s="58">
        <f>COUNTIF(Buffetplan!$F$18:$F$67,$B30)</f>
        <v>14</v>
      </c>
      <c r="E30" s="60">
        <f>IFERROR($D30/COUNTA(Buffetplan!$D$18:$D$67),0)</f>
        <v>0.48275862068965519</v>
      </c>
      <c r="F30" s="69">
        <f>ROUND(SUMIFS(Buffetplan!$J$18:$J$67,Buffetplan!$F$18:$F$67,$B30,Buffetplan!$H$18:$H$67,"g")/1000,1)</f>
        <v>24.4</v>
      </c>
      <c r="G30" s="61">
        <f>SUMIF(Buffetplan!$F$18:$F$67,$B30,Buffetplan!$O$18:$O$67)</f>
        <v>559.5</v>
      </c>
      <c r="H30" s="128" t="s">
        <v>184</v>
      </c>
      <c r="I30" s="128"/>
      <c r="J30" s="58">
        <f>COUNTIF(Buffetplan!$L$18:$L$67,$H30)</f>
        <v>0</v>
      </c>
      <c r="K30" s="60">
        <f>IFERROR($J30/COUNTA(Buffetplan!$D$18:$D$67),0)</f>
        <v>0</v>
      </c>
      <c r="L30" s="61">
        <f>SUMIF(Buffetplan!$L$18:$L$67,$H30,Buffetplan!$O$18:$O$67)</f>
        <v>0</v>
      </c>
    </row>
    <row r="31" spans="2:12" ht="16.5" customHeight="1" x14ac:dyDescent="0.25">
      <c r="B31" s="129" t="s">
        <v>185</v>
      </c>
      <c r="C31" s="129"/>
      <c r="D31" s="70">
        <f>$D$29+$D$30</f>
        <v>25</v>
      </c>
      <c r="E31" s="71">
        <f>$E$29+$E$30</f>
        <v>0.86206896551724133</v>
      </c>
      <c r="F31" s="72">
        <f>ROUND($F$29+$F$30,1)</f>
        <v>41.9</v>
      </c>
      <c r="G31" s="73">
        <f>$G$29+$G$30</f>
        <v>968.5</v>
      </c>
      <c r="H31" s="129" t="s">
        <v>186</v>
      </c>
      <c r="I31" s="129"/>
      <c r="J31" s="70">
        <f>SUM($J$27:$J$30)</f>
        <v>29</v>
      </c>
      <c r="K31" s="74">
        <f>SUM($K$27:$K$30)</f>
        <v>1</v>
      </c>
      <c r="L31" s="73">
        <f>SUM($L$27:$L$30)</f>
        <v>1402.5</v>
      </c>
    </row>
    <row r="33" spans="2:12" ht="19.5" customHeight="1" x14ac:dyDescent="0.25">
      <c r="B33" s="22" t="s">
        <v>187</v>
      </c>
      <c r="C33" s="10" t="s">
        <v>188</v>
      </c>
      <c r="D33" s="10"/>
      <c r="E33" s="10"/>
      <c r="F33" s="10"/>
      <c r="G33" s="9" t="s">
        <v>189</v>
      </c>
      <c r="H33" s="9"/>
      <c r="I33" s="9"/>
      <c r="J33" s="9"/>
      <c r="K33" s="9"/>
      <c r="L33" s="9"/>
    </row>
    <row r="34" spans="2:12" ht="25.5" customHeight="1" x14ac:dyDescent="0.25">
      <c r="B34" s="130" t="s">
        <v>45</v>
      </c>
      <c r="C34" s="130"/>
      <c r="D34" s="68" t="s">
        <v>170</v>
      </c>
      <c r="E34" s="68" t="s">
        <v>190</v>
      </c>
      <c r="F34" s="68" t="s">
        <v>47</v>
      </c>
      <c r="G34" s="68" t="s">
        <v>181</v>
      </c>
      <c r="H34" s="130" t="s">
        <v>48</v>
      </c>
      <c r="I34" s="130"/>
      <c r="J34" s="68" t="s">
        <v>170</v>
      </c>
      <c r="K34" s="68" t="s">
        <v>181</v>
      </c>
      <c r="L34" s="68" t="s">
        <v>47</v>
      </c>
    </row>
    <row r="35" spans="2:12" ht="15" customHeight="1" x14ac:dyDescent="0.25">
      <c r="B35" s="128" t="str">
        <f>Stammdaten!$B$44</f>
        <v>S. Wagner</v>
      </c>
      <c r="C35" s="128"/>
      <c r="D35" s="58">
        <f>COUNTIF(Buffetplan!$M$18:$M$67,$B35)</f>
        <v>6</v>
      </c>
      <c r="E35" s="33">
        <f>COUNTIFS(Buffetplan!$M$18:$M$67,$B35,Buffetplan!$P$18:$P$67,"Offen")</f>
        <v>5</v>
      </c>
      <c r="F35" s="61">
        <f>SUMIF(Buffetplan!$M$18:$M$67,$B35,Buffetplan!$O$18:$O$67)</f>
        <v>408</v>
      </c>
      <c r="G35" s="75">
        <f>IFERROR($D35/COUNTA(Buffetplan!$D$18:$D$67),0)</f>
        <v>0.20689655172413793</v>
      </c>
      <c r="H35" s="128" t="str">
        <f>Stammdaten!$E$55</f>
        <v>Offen</v>
      </c>
      <c r="I35" s="128"/>
      <c r="J35" s="58">
        <f>COUNTIF(Buffetplan!$P$18:$P$67,$H35)</f>
        <v>8</v>
      </c>
      <c r="K35" s="60">
        <f>IFERROR($J35/COUNTA(Buffetplan!$D$18:$D$67),0)</f>
        <v>0.27586206896551724</v>
      </c>
      <c r="L35" s="61">
        <f>SUMIF(Buffetplan!$P$18:$P$67,$H35,Buffetplan!$O$18:$O$67)</f>
        <v>492</v>
      </c>
    </row>
    <row r="36" spans="2:12" ht="15" customHeight="1" x14ac:dyDescent="0.25">
      <c r="B36" s="128" t="str">
        <f>Stammdaten!$B$45</f>
        <v>L. Hoffmann</v>
      </c>
      <c r="C36" s="128"/>
      <c r="D36" s="58">
        <f>COUNTIF(Buffetplan!$M$18:$M$67,$B36)</f>
        <v>4</v>
      </c>
      <c r="E36" s="33">
        <f>COUNTIFS(Buffetplan!$M$18:$M$67,$B36,Buffetplan!$P$18:$P$67,"Offen")</f>
        <v>0</v>
      </c>
      <c r="F36" s="61">
        <f>SUMIF(Buffetplan!$M$18:$M$67,$B36,Buffetplan!$O$18:$O$67)</f>
        <v>126</v>
      </c>
      <c r="G36" s="75">
        <f>IFERROR($D36/COUNTA(Buffetplan!$D$18:$D$67),0)</f>
        <v>0.13793103448275862</v>
      </c>
      <c r="H36" s="128" t="str">
        <f>Stammdaten!$E$56</f>
        <v>Bestellt</v>
      </c>
      <c r="I36" s="128"/>
      <c r="J36" s="58">
        <f>COUNTIF(Buffetplan!$P$18:$P$67,$H36)</f>
        <v>8</v>
      </c>
      <c r="K36" s="60">
        <f>IFERROR($J36/COUNTA(Buffetplan!$D$18:$D$67),0)</f>
        <v>0.27586206896551724</v>
      </c>
      <c r="L36" s="61">
        <f>SUMIF(Buffetplan!$P$18:$P$67,$H36,Buffetplan!$O$18:$O$67)</f>
        <v>439.5</v>
      </c>
    </row>
    <row r="37" spans="2:12" ht="15" customHeight="1" x14ac:dyDescent="0.25">
      <c r="B37" s="128" t="str">
        <f>Stammdaten!$B$46</f>
        <v>T. Berger</v>
      </c>
      <c r="C37" s="128"/>
      <c r="D37" s="58">
        <f>COUNTIF(Buffetplan!$M$18:$M$67,$B37)</f>
        <v>7</v>
      </c>
      <c r="E37" s="33">
        <f>COUNTIFS(Buffetplan!$M$18:$M$67,$B37,Buffetplan!$P$18:$P$67,"Offen")</f>
        <v>1</v>
      </c>
      <c r="F37" s="61">
        <f>SUMIF(Buffetplan!$M$18:$M$67,$B37,Buffetplan!$O$18:$O$67)</f>
        <v>434</v>
      </c>
      <c r="G37" s="75">
        <f>IFERROR($D37/COUNTA(Buffetplan!$D$18:$D$67),0)</f>
        <v>0.2413793103448276</v>
      </c>
      <c r="H37" s="128" t="str">
        <f>Stammdaten!$E$57</f>
        <v>Eingekauft</v>
      </c>
      <c r="I37" s="128"/>
      <c r="J37" s="58">
        <f>COUNTIF(Buffetplan!$P$18:$P$67,$H37)</f>
        <v>8</v>
      </c>
      <c r="K37" s="60">
        <f>IFERROR($J37/COUNTA(Buffetplan!$D$18:$D$67),0)</f>
        <v>0.27586206896551724</v>
      </c>
      <c r="L37" s="61">
        <f>SUMIF(Buffetplan!$P$18:$P$67,$H37,Buffetplan!$O$18:$O$67)</f>
        <v>275.5</v>
      </c>
    </row>
    <row r="38" spans="2:12" ht="15" customHeight="1" x14ac:dyDescent="0.25">
      <c r="B38" s="128" t="str">
        <f>Stammdaten!$B$47</f>
        <v>M. Kaiser</v>
      </c>
      <c r="C38" s="128"/>
      <c r="D38" s="58">
        <f>COUNTIF(Buffetplan!$M$18:$M$67,$B38)</f>
        <v>3</v>
      </c>
      <c r="E38" s="33">
        <f>COUNTIFS(Buffetplan!$M$18:$M$67,$B38,Buffetplan!$P$18:$P$67,"Offen")</f>
        <v>0</v>
      </c>
      <c r="F38" s="61">
        <f>SUMIF(Buffetplan!$M$18:$M$67,$B38,Buffetplan!$O$18:$O$67)</f>
        <v>130</v>
      </c>
      <c r="G38" s="75">
        <f>IFERROR($D38/COUNTA(Buffetplan!$D$18:$D$67),0)</f>
        <v>0.10344827586206896</v>
      </c>
      <c r="H38" s="128" t="str">
        <f>Stammdaten!$E$58</f>
        <v>Zubereitet</v>
      </c>
      <c r="I38" s="128"/>
      <c r="J38" s="58">
        <f>COUNTIF(Buffetplan!$P$18:$P$67,$H38)</f>
        <v>5</v>
      </c>
      <c r="K38" s="60">
        <f>IFERROR($J38/COUNTA(Buffetplan!$D$18:$D$67),0)</f>
        <v>0.17241379310344829</v>
      </c>
      <c r="L38" s="61">
        <f>SUMIF(Buffetplan!$P$18:$P$67,$H38,Buffetplan!$O$18:$O$67)</f>
        <v>195.5</v>
      </c>
    </row>
    <row r="39" spans="2:12" ht="15" customHeight="1" x14ac:dyDescent="0.25">
      <c r="B39" s="128" t="str">
        <f>Stammdaten!$B$48</f>
        <v>A. Fuchs</v>
      </c>
      <c r="C39" s="128"/>
      <c r="D39" s="58">
        <f>COUNTIF(Buffetplan!$M$18:$M$67,$B39)</f>
        <v>3</v>
      </c>
      <c r="E39" s="33">
        <f>COUNTIFS(Buffetplan!$M$18:$M$67,$B39,Buffetplan!$P$18:$P$67,"Offen")</f>
        <v>1</v>
      </c>
      <c r="F39" s="61">
        <f>SUMIF(Buffetplan!$M$18:$M$67,$B39,Buffetplan!$O$18:$O$67)</f>
        <v>136</v>
      </c>
      <c r="G39" s="75">
        <f>IFERROR($D39/COUNTA(Buffetplan!$D$18:$D$67),0)</f>
        <v>0.10344827586206896</v>
      </c>
      <c r="H39" s="128" t="str">
        <f>Stammdaten!$E$59</f>
        <v>Am Buffet</v>
      </c>
      <c r="I39" s="128"/>
      <c r="J39" s="58">
        <f>COUNTIF(Buffetplan!$P$18:$P$67,$H39)</f>
        <v>0</v>
      </c>
      <c r="K39" s="60">
        <f>IFERROR($J39/COUNTA(Buffetplan!$D$18:$D$67),0)</f>
        <v>0</v>
      </c>
      <c r="L39" s="61">
        <f>SUMIF(Buffetplan!$P$18:$P$67,$H39,Buffetplan!$O$18:$O$67)</f>
        <v>0</v>
      </c>
    </row>
    <row r="40" spans="2:12" ht="15" customHeight="1" x14ac:dyDescent="0.25">
      <c r="B40" s="128" t="str">
        <f>Stammdaten!$B$49</f>
        <v>R. Neumann</v>
      </c>
      <c r="C40" s="128"/>
      <c r="D40" s="58">
        <f>COUNTIF(Buffetplan!$M$18:$M$67,$B40)</f>
        <v>3</v>
      </c>
      <c r="E40" s="33">
        <f>COUNTIFS(Buffetplan!$M$18:$M$67,$B40,Buffetplan!$P$18:$P$67,"Offen")</f>
        <v>1</v>
      </c>
      <c r="F40" s="61">
        <f>SUMIF(Buffetplan!$M$18:$M$67,$B40,Buffetplan!$O$18:$O$67)</f>
        <v>90</v>
      </c>
      <c r="G40" s="75">
        <f>IFERROR($D40/COUNTA(Buffetplan!$D$18:$D$67),0)</f>
        <v>0.10344827586206896</v>
      </c>
      <c r="H40" s="129" t="s">
        <v>191</v>
      </c>
      <c r="I40" s="129"/>
      <c r="J40" s="131">
        <f>IFERROR((COUNTA(Buffetplan!$D$18:$D$67)-COUNTIF(Buffetplan!$P$18:$P$67,"Offen"))/COUNTA(Buffetplan!$D$18:$D$67),0)</f>
        <v>0.72413793103448276</v>
      </c>
      <c r="K40" s="131"/>
      <c r="L40" s="73">
        <f>SUM(Buffetplan!$O$18:$O$67)</f>
        <v>1402.5</v>
      </c>
    </row>
    <row r="41" spans="2:12" ht="15" customHeight="1" x14ac:dyDescent="0.25">
      <c r="B41" s="128" t="str">
        <f>Stammdaten!$B$50</f>
        <v>K. Sommer</v>
      </c>
      <c r="C41" s="128"/>
      <c r="D41" s="58">
        <f>COUNTIF(Buffetplan!$M$18:$M$67,$B41)</f>
        <v>3</v>
      </c>
      <c r="E41" s="33">
        <f>COUNTIFS(Buffetplan!$M$18:$M$67,$B41,Buffetplan!$P$18:$P$67,"Offen")</f>
        <v>0</v>
      </c>
      <c r="F41" s="61">
        <f>SUMIF(Buffetplan!$M$18:$M$67,$B41,Buffetplan!$O$18:$O$67)</f>
        <v>78.5</v>
      </c>
      <c r="G41" s="75">
        <f>IFERROR($D41/COUNTA(Buffetplan!$D$18:$D$67),0)</f>
        <v>0.10344827586206896</v>
      </c>
    </row>
    <row r="42" spans="2:12" ht="15" customHeight="1" x14ac:dyDescent="0.25">
      <c r="B42" s="128" t="str">
        <f>Stammdaten!$B$51</f>
        <v>J. Winter</v>
      </c>
      <c r="C42" s="128"/>
      <c r="D42" s="58">
        <f>COUNTIF(Buffetplan!$M$18:$M$67,$B42)</f>
        <v>0</v>
      </c>
      <c r="E42" s="33">
        <f>COUNTIFS(Buffetplan!$M$18:$M$67,$B42,Buffetplan!$P$18:$P$67,"Offen")</f>
        <v>0</v>
      </c>
      <c r="F42" s="61">
        <f>SUMIF(Buffetplan!$M$18:$M$67,$B42,Buffetplan!$O$18:$O$67)</f>
        <v>0</v>
      </c>
      <c r="G42" s="75">
        <f>IFERROR($D42/COUNTA(Buffetplan!$D$18:$D$67),0)</f>
        <v>0</v>
      </c>
    </row>
    <row r="43" spans="2:12" ht="16.5" customHeight="1" x14ac:dyDescent="0.25">
      <c r="B43" s="129" t="s">
        <v>186</v>
      </c>
      <c r="C43" s="129"/>
      <c r="D43" s="70">
        <f>SUM($D$35:$D$42)</f>
        <v>29</v>
      </c>
      <c r="E43" s="76">
        <f>SUM($E$35:$E$42)</f>
        <v>8</v>
      </c>
      <c r="F43" s="73">
        <f>SUM($F$35:$F$42)</f>
        <v>1402.5</v>
      </c>
      <c r="G43" s="74">
        <f>SUM($G$35:$G$42)</f>
        <v>1</v>
      </c>
    </row>
    <row r="45" spans="2:12" ht="19.5" customHeight="1" x14ac:dyDescent="0.25">
      <c r="B45" s="22" t="s">
        <v>192</v>
      </c>
      <c r="C45" s="10" t="s">
        <v>193</v>
      </c>
      <c r="D45" s="10"/>
      <c r="E45" s="9" t="s">
        <v>194</v>
      </c>
      <c r="F45" s="9"/>
      <c r="G45" s="9"/>
      <c r="H45" s="9"/>
      <c r="I45" s="9"/>
      <c r="J45" s="9"/>
      <c r="K45" s="9"/>
      <c r="L45" s="9"/>
    </row>
    <row r="46" spans="2:12" ht="25.5" customHeight="1" x14ac:dyDescent="0.25">
      <c r="B46" s="132" t="s">
        <v>195</v>
      </c>
      <c r="C46" s="132"/>
      <c r="D46" s="132"/>
      <c r="E46" s="132"/>
      <c r="F46" s="77" t="s">
        <v>196</v>
      </c>
      <c r="G46" s="77" t="s">
        <v>197</v>
      </c>
      <c r="H46" s="132" t="s">
        <v>198</v>
      </c>
      <c r="I46" s="132"/>
      <c r="J46" s="132"/>
      <c r="K46" s="132"/>
      <c r="L46" s="77" t="s">
        <v>176</v>
      </c>
    </row>
    <row r="47" spans="2:12" ht="15.75" customHeight="1" x14ac:dyDescent="0.25">
      <c r="B47" s="128" t="s">
        <v>199</v>
      </c>
      <c r="C47" s="128"/>
      <c r="D47" s="128"/>
      <c r="E47" s="128"/>
      <c r="F47" s="33">
        <f>COUNTIF($D$13:$D$22,0)</f>
        <v>0</v>
      </c>
      <c r="G47" s="78">
        <f>0</f>
        <v>0</v>
      </c>
      <c r="H47" s="133" t="s">
        <v>200</v>
      </c>
      <c r="I47" s="133"/>
      <c r="J47" s="133"/>
      <c r="K47" s="133"/>
      <c r="L47" s="63" t="str">
        <f>IF($F47&lt;=$G47,"OK","PRÜFEN")</f>
        <v>OK</v>
      </c>
    </row>
    <row r="48" spans="2:12" ht="15.75" customHeight="1" x14ac:dyDescent="0.25">
      <c r="B48" s="128" t="s">
        <v>201</v>
      </c>
      <c r="C48" s="128"/>
      <c r="D48" s="128"/>
      <c r="E48" s="128"/>
      <c r="F48" s="33">
        <f>COUNTIF($L$13:$L$22,"Unterdeckung")</f>
        <v>1</v>
      </c>
      <c r="G48" s="78">
        <f>0</f>
        <v>0</v>
      </c>
      <c r="H48" s="133" t="s">
        <v>202</v>
      </c>
      <c r="I48" s="133"/>
      <c r="J48" s="133"/>
      <c r="K48" s="133"/>
      <c r="L48" s="63" t="str">
        <f>IF($F48&lt;=$G48,"OK","PRÜFEN")</f>
        <v>PRÜFEN</v>
      </c>
    </row>
    <row r="49" spans="2:12" ht="15.75" customHeight="1" x14ac:dyDescent="0.25">
      <c r="B49" s="128" t="s">
        <v>203</v>
      </c>
      <c r="C49" s="128"/>
      <c r="D49" s="128"/>
      <c r="E49" s="128"/>
      <c r="F49" s="60">
        <f>$E$31</f>
        <v>0.86206896551724133</v>
      </c>
      <c r="G49" s="80">
        <f>Ziel_Vegetarisch</f>
        <v>0.35</v>
      </c>
      <c r="H49" s="133" t="s">
        <v>204</v>
      </c>
      <c r="I49" s="133"/>
      <c r="J49" s="133"/>
      <c r="K49" s="133"/>
      <c r="L49" s="63" t="str">
        <f>IF($F49&gt;=$G49,"OK","PRÜFEN")</f>
        <v>OK</v>
      </c>
    </row>
    <row r="50" spans="2:12" ht="15.75" customHeight="1" x14ac:dyDescent="0.25">
      <c r="B50" s="128" t="s">
        <v>205</v>
      </c>
      <c r="C50" s="128"/>
      <c r="D50" s="128"/>
      <c r="E50" s="128"/>
      <c r="F50" s="60">
        <f>IFERROR(COUNTIF(Buffetplan!$E$18:$E$67,"Warm")/COUNTA(Buffetplan!$D$18:$D$67),0)</f>
        <v>0.34482758620689657</v>
      </c>
      <c r="G50" s="80">
        <f>0.25</f>
        <v>0.25</v>
      </c>
      <c r="H50" s="133" t="s">
        <v>206</v>
      </c>
      <c r="I50" s="133"/>
      <c r="J50" s="133"/>
      <c r="K50" s="133"/>
      <c r="L50" s="63" t="str">
        <f>IF($F50&gt;=$G50,"OK","PRÜFEN")</f>
        <v>OK</v>
      </c>
    </row>
    <row r="51" spans="2:12" ht="15.75" customHeight="1" x14ac:dyDescent="0.25">
      <c r="B51" s="128" t="s">
        <v>207</v>
      </c>
      <c r="C51" s="128"/>
      <c r="D51" s="128"/>
      <c r="E51" s="128"/>
      <c r="F51" s="81">
        <f>IFERROR(SUM(Buffetplan!$O$18:$O$67)/Budget,0)</f>
        <v>0.93500000000000005</v>
      </c>
      <c r="G51" s="80">
        <f>1</f>
        <v>1</v>
      </c>
      <c r="H51" s="133" t="s">
        <v>208</v>
      </c>
      <c r="I51" s="133"/>
      <c r="J51" s="133"/>
      <c r="K51" s="133"/>
      <c r="L51" s="63" t="str">
        <f>IF($F51&lt;=$G51,"OK","PRÜFEN")</f>
        <v>OK</v>
      </c>
    </row>
    <row r="52" spans="2:12" ht="15.75" customHeight="1" x14ac:dyDescent="0.25">
      <c r="B52" s="128" t="s">
        <v>209</v>
      </c>
      <c r="C52" s="128"/>
      <c r="D52" s="128"/>
      <c r="E52" s="128"/>
      <c r="F52" s="82">
        <f>IFERROR(SUM(Buffetplan!$O$18:$O$67)/Gaeste_gesamt,0)</f>
        <v>23.375</v>
      </c>
      <c r="G52" s="83">
        <f>Ziel_Kosten_Gast</f>
        <v>25</v>
      </c>
      <c r="H52" s="133" t="s">
        <v>210</v>
      </c>
      <c r="I52" s="133"/>
      <c r="J52" s="133"/>
      <c r="K52" s="133"/>
      <c r="L52" s="63" t="str">
        <f>IF($F52&lt;=$G52,"OK","PRÜFEN")</f>
        <v>OK</v>
      </c>
    </row>
    <row r="53" spans="2:12" ht="15.75" customHeight="1" x14ac:dyDescent="0.25">
      <c r="B53" s="128" t="s">
        <v>211</v>
      </c>
      <c r="C53" s="128"/>
      <c r="D53" s="128"/>
      <c r="E53" s="128"/>
      <c r="F53" s="33">
        <f>COUNTA(Buffetplan!$D$18:$D$67)-COUNTA(Buffetplan!$M$18:$M$67)</f>
        <v>0</v>
      </c>
      <c r="G53" s="78">
        <f>0</f>
        <v>0</v>
      </c>
      <c r="H53" s="133" t="s">
        <v>212</v>
      </c>
      <c r="I53" s="133"/>
      <c r="J53" s="133"/>
      <c r="K53" s="133"/>
      <c r="L53" s="63" t="str">
        <f>IF($F53&lt;=$G53,"OK","PRÜFEN")</f>
        <v>OK</v>
      </c>
    </row>
    <row r="54" spans="2:12" ht="15.75" customHeight="1" x14ac:dyDescent="0.25">
      <c r="B54" s="128" t="s">
        <v>213</v>
      </c>
      <c r="C54" s="128"/>
      <c r="D54" s="128"/>
      <c r="E54" s="128"/>
      <c r="F54" s="33">
        <f>COUNTIF(Buffetplan!$N$18:$N$67,"&gt;"&amp;Eventdatum)</f>
        <v>0</v>
      </c>
      <c r="G54" s="78">
        <f>0</f>
        <v>0</v>
      </c>
      <c r="H54" s="133" t="s">
        <v>214</v>
      </c>
      <c r="I54" s="133"/>
      <c r="J54" s="133"/>
      <c r="K54" s="133"/>
      <c r="L54" s="63" t="str">
        <f>IF($F54&lt;=$G54,"OK","PRÜFEN")</f>
        <v>OK</v>
      </c>
    </row>
    <row r="55" spans="2:12" ht="15.75" customHeight="1" x14ac:dyDescent="0.25">
      <c r="B55" s="128" t="s">
        <v>215</v>
      </c>
      <c r="C55" s="128"/>
      <c r="D55" s="128"/>
      <c r="E55" s="128"/>
      <c r="F55" s="33">
        <f>COUNTIF(Buffetplan!$P$18:$P$67,"Offen")</f>
        <v>8</v>
      </c>
      <c r="G55" s="78">
        <f>0</f>
        <v>0</v>
      </c>
      <c r="H55" s="133" t="s">
        <v>216</v>
      </c>
      <c r="I55" s="133"/>
      <c r="J55" s="133"/>
      <c r="K55" s="133"/>
      <c r="L55" s="63" t="str">
        <f>IF($F55&lt;=$G55,"OK","IN ARBEIT")</f>
        <v>IN ARBEIT</v>
      </c>
    </row>
    <row r="57" spans="2:12" ht="19.5" customHeight="1" x14ac:dyDescent="0.25">
      <c r="B57" s="22" t="s">
        <v>217</v>
      </c>
      <c r="C57" s="10" t="s">
        <v>218</v>
      </c>
      <c r="D57" s="10"/>
      <c r="E57" s="9" t="s">
        <v>219</v>
      </c>
      <c r="F57" s="9"/>
      <c r="G57" s="9"/>
      <c r="H57" s="9"/>
      <c r="I57" s="9"/>
      <c r="J57" s="9"/>
      <c r="K57" s="9"/>
      <c r="L57" s="9"/>
    </row>
  </sheetData>
  <mergeCells count="82">
    <mergeCell ref="B55:E55"/>
    <mergeCell ref="H55:K55"/>
    <mergeCell ref="C57:D57"/>
    <mergeCell ref="E57:L57"/>
    <mergeCell ref="B52:E52"/>
    <mergeCell ref="H52:K52"/>
    <mergeCell ref="B53:E53"/>
    <mergeCell ref="H53:K53"/>
    <mergeCell ref="B54:E54"/>
    <mergeCell ref="H54:K54"/>
    <mergeCell ref="B49:E49"/>
    <mergeCell ref="H49:K49"/>
    <mergeCell ref="B50:E50"/>
    <mergeCell ref="H50:K50"/>
    <mergeCell ref="B51:E51"/>
    <mergeCell ref="H51:K51"/>
    <mergeCell ref="B46:E46"/>
    <mergeCell ref="H46:K46"/>
    <mergeCell ref="B47:E47"/>
    <mergeCell ref="H47:K47"/>
    <mergeCell ref="B48:E48"/>
    <mergeCell ref="H48:K48"/>
    <mergeCell ref="B41:C41"/>
    <mergeCell ref="B42:C42"/>
    <mergeCell ref="B43:C43"/>
    <mergeCell ref="C45:D45"/>
    <mergeCell ref="E45:L45"/>
    <mergeCell ref="B39:C39"/>
    <mergeCell ref="H39:I39"/>
    <mergeCell ref="B40:C40"/>
    <mergeCell ref="H40:I40"/>
    <mergeCell ref="J40:K40"/>
    <mergeCell ref="B36:C36"/>
    <mergeCell ref="H36:I36"/>
    <mergeCell ref="B37:C37"/>
    <mergeCell ref="H37:I37"/>
    <mergeCell ref="B38:C38"/>
    <mergeCell ref="H38:I38"/>
    <mergeCell ref="C33:F33"/>
    <mergeCell ref="G33:L33"/>
    <mergeCell ref="B34:C34"/>
    <mergeCell ref="H34:I34"/>
    <mergeCell ref="B35:C35"/>
    <mergeCell ref="H35:I35"/>
    <mergeCell ref="B29:C29"/>
    <mergeCell ref="H29:I29"/>
    <mergeCell ref="B30:C30"/>
    <mergeCell ref="H30:I30"/>
    <mergeCell ref="B31:C31"/>
    <mergeCell ref="H31:I31"/>
    <mergeCell ref="B26:C26"/>
    <mergeCell ref="H26:I26"/>
    <mergeCell ref="B27:C27"/>
    <mergeCell ref="H27:I27"/>
    <mergeCell ref="B28:C28"/>
    <mergeCell ref="H28:I28"/>
    <mergeCell ref="C11:G11"/>
    <mergeCell ref="H11:L11"/>
    <mergeCell ref="B23:C23"/>
    <mergeCell ref="C25:F25"/>
    <mergeCell ref="G25:L25"/>
    <mergeCell ref="B9:C9"/>
    <mergeCell ref="D9:E9"/>
    <mergeCell ref="F9:G9"/>
    <mergeCell ref="H9:I9"/>
    <mergeCell ref="J9:K9"/>
    <mergeCell ref="B8:C8"/>
    <mergeCell ref="D8:E8"/>
    <mergeCell ref="F8:G8"/>
    <mergeCell ref="H8:I8"/>
    <mergeCell ref="J8:K8"/>
    <mergeCell ref="B7:C7"/>
    <mergeCell ref="D7:E7"/>
    <mergeCell ref="F7:G7"/>
    <mergeCell ref="H7:I7"/>
    <mergeCell ref="J7:K7"/>
    <mergeCell ref="B2:H2"/>
    <mergeCell ref="I2:L2"/>
    <mergeCell ref="B3:H3"/>
    <mergeCell ref="I3:L3"/>
    <mergeCell ref="C6:F6"/>
    <mergeCell ref="G6:L6"/>
  </mergeCells>
  <conditionalFormatting sqref="E35:E42">
    <cfRule type="expression" dxfId="14" priority="13">
      <formula>$E35&gt;0</formula>
    </cfRule>
  </conditionalFormatting>
  <conditionalFormatting sqref="G13:G22">
    <cfRule type="expression" dxfId="13" priority="2">
      <formula>IF($D13=0,0,IF($G13&lt;$T$1,1,0))</formula>
    </cfRule>
    <cfRule type="expression" dxfId="12" priority="3">
      <formula>IF($D13=0,0,IF($G13&gt;1.3,1,0))</formula>
    </cfRule>
    <cfRule type="expression" dxfId="11" priority="4">
      <formula>IF($D13=0,0,1)</formula>
    </cfRule>
  </conditionalFormatting>
  <conditionalFormatting sqref="J8:K8">
    <cfRule type="expression" dxfId="10" priority="14">
      <formula>$J$8&gt;1</formula>
    </cfRule>
    <cfRule type="expression" dxfId="9" priority="15">
      <formula>$J$8&lt;=1</formula>
    </cfRule>
  </conditionalFormatting>
  <conditionalFormatting sqref="K13:K22">
    <cfRule type="dataBar" priority="9">
      <dataBar>
        <cfvo type="num" val="0"/>
        <cfvo type="max"/>
        <color rgb="FF9C6A0C"/>
      </dataBar>
      <extLst>
        <ext xmlns:x14="http://schemas.microsoft.com/office/spreadsheetml/2009/9/main" uri="{B025F937-C7B1-47D3-B67F-A62EFF666E3E}">
          <x14:id>{B5916B9A-D4CD-4612-87C5-B25040FEFE74}</x14:id>
        </ext>
      </extLst>
    </cfRule>
  </conditionalFormatting>
  <conditionalFormatting sqref="L8">
    <cfRule type="expression" dxfId="8" priority="16">
      <formula>$L$8&lt;$T$1</formula>
    </cfRule>
    <cfRule type="expression" dxfId="7" priority="17">
      <formula>$L$8&gt;=$T$1</formula>
    </cfRule>
  </conditionalFormatting>
  <conditionalFormatting sqref="L13:L22">
    <cfRule type="expression" dxfId="6" priority="5">
      <formula>$L13="Unterdeckung"</formula>
    </cfRule>
    <cfRule type="expression" dxfId="5" priority="6">
      <formula>$L13="Überplanung"</formula>
    </cfRule>
    <cfRule type="expression" dxfId="4" priority="7">
      <formula>$L13="Im Zielkorridor"</formula>
    </cfRule>
    <cfRule type="expression" dxfId="3" priority="8">
      <formula>$L13="Keine Position"</formula>
    </cfRule>
  </conditionalFormatting>
  <conditionalFormatting sqref="L47:L55">
    <cfRule type="expression" dxfId="2" priority="10">
      <formula>$L47="OK"</formula>
    </cfRule>
    <cfRule type="expression" dxfId="1" priority="11">
      <formula>$L47="IN ARBEIT"</formula>
    </cfRule>
    <cfRule type="expression" dxfId="0" priority="12">
      <formula>$L47="PRÜFEN"</formula>
    </cfRule>
  </conditionalFormatting>
  <printOptions horizontalCentered="1"/>
  <pageMargins left="0.75" right="0.75" top="1" bottom="1" header="0.511811023622047" footer="0.511811023622047"/>
  <pageSetup paperSize="9" fitToHeight="2" orientation="landscape" horizontalDpi="300" verticalDpi="300"/>
  <rowBreaks count="1" manualBreakCount="1">
    <brk id="32" max="16383" man="1"/>
  </rowBreak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5916B9A-D4CD-4612-87C5-B25040FEFE74}">
            <x14:dataBar axisPosition="none">
              <x14:cfvo type="num">
                <xm:f>0</xm:f>
              </x14:cfvo>
              <x14:cfvo type="max"/>
              <x14:negativeFillColor rgb="FF9C6A0C"/>
            </x14:dataBar>
          </x14:cfRule>
          <xm:sqref>K13:K22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G83"/>
  <sheetViews>
    <sheetView showGridLines="0" zoomScaleNormal="100" workbookViewId="0"/>
  </sheetViews>
  <sheetFormatPr baseColWidth="10" defaultColWidth="8.7109375" defaultRowHeight="15" x14ac:dyDescent="0.25"/>
  <cols>
    <col min="1" max="1" width="1.5703125" customWidth="1"/>
    <col min="2" max="2" width="30" customWidth="1"/>
    <col min="3" max="3" width="22" customWidth="1"/>
    <col min="4" max="4" width="13" customWidth="1"/>
    <col min="5" max="5" width="15" customWidth="1"/>
    <col min="6" max="6" width="17" customWidth="1"/>
    <col min="7" max="7" width="30" customWidth="1"/>
    <col min="8" max="8" width="2" customWidth="1"/>
  </cols>
  <sheetData>
    <row r="2" spans="2:7" ht="30" customHeight="1" x14ac:dyDescent="0.25">
      <c r="B2" s="14" t="s">
        <v>220</v>
      </c>
      <c r="C2" s="14"/>
      <c r="D2" s="14"/>
      <c r="E2" s="14"/>
      <c r="F2" s="13" t="s">
        <v>0</v>
      </c>
      <c r="G2" s="13"/>
    </row>
    <row r="3" spans="2:7" ht="16.5" customHeight="1" x14ac:dyDescent="0.25">
      <c r="B3" s="12" t="s">
        <v>221</v>
      </c>
      <c r="C3" s="12"/>
      <c r="D3" s="12"/>
      <c r="E3" s="12"/>
      <c r="F3" s="11" t="s">
        <v>222</v>
      </c>
      <c r="G3" s="11"/>
    </row>
    <row r="4" spans="2:7" ht="4.5" customHeight="1" x14ac:dyDescent="0.25">
      <c r="B4" s="18"/>
      <c r="C4" s="18"/>
      <c r="D4" s="19"/>
      <c r="E4" s="20"/>
      <c r="F4" s="21"/>
      <c r="G4" s="18"/>
    </row>
    <row r="6" spans="2:7" ht="19.5" customHeight="1" x14ac:dyDescent="0.25">
      <c r="B6" s="22" t="s">
        <v>2</v>
      </c>
      <c r="C6" s="10" t="s">
        <v>223</v>
      </c>
      <c r="D6" s="10"/>
      <c r="E6" s="9" t="s">
        <v>224</v>
      </c>
      <c r="F6" s="9"/>
      <c r="G6" s="9"/>
    </row>
    <row r="7" spans="2:7" ht="15.75" customHeight="1" x14ac:dyDescent="0.25">
      <c r="B7" s="84" t="s">
        <v>225</v>
      </c>
      <c r="C7" s="134" t="s">
        <v>226</v>
      </c>
      <c r="D7" s="134"/>
      <c r="E7" s="121" t="s">
        <v>227</v>
      </c>
      <c r="F7" s="121"/>
      <c r="G7" s="121"/>
    </row>
    <row r="8" spans="2:7" ht="15.75" customHeight="1" x14ac:dyDescent="0.25">
      <c r="B8" s="84" t="s">
        <v>228</v>
      </c>
      <c r="C8" s="134" t="s">
        <v>229</v>
      </c>
      <c r="D8" s="134"/>
      <c r="E8" s="121" t="s">
        <v>230</v>
      </c>
      <c r="F8" s="121"/>
      <c r="G8" s="121"/>
    </row>
    <row r="9" spans="2:7" ht="15.75" customHeight="1" x14ac:dyDescent="0.25">
      <c r="B9" s="84" t="s">
        <v>231</v>
      </c>
      <c r="C9" s="135">
        <v>46270</v>
      </c>
      <c r="D9" s="135"/>
      <c r="E9" s="121" t="s">
        <v>232</v>
      </c>
      <c r="F9" s="121"/>
      <c r="G9" s="121"/>
    </row>
    <row r="10" spans="2:7" ht="15.75" customHeight="1" x14ac:dyDescent="0.25">
      <c r="B10" s="84" t="s">
        <v>233</v>
      </c>
      <c r="C10" s="134" t="s">
        <v>234</v>
      </c>
      <c r="D10" s="134"/>
      <c r="E10" s="121" t="s">
        <v>235</v>
      </c>
      <c r="F10" s="121"/>
      <c r="G10" s="121"/>
    </row>
    <row r="11" spans="2:7" ht="15.75" customHeight="1" x14ac:dyDescent="0.25">
      <c r="B11" s="84" t="s">
        <v>236</v>
      </c>
      <c r="C11" s="134" t="s">
        <v>237</v>
      </c>
      <c r="D11" s="134"/>
      <c r="E11" s="121" t="s">
        <v>238</v>
      </c>
      <c r="F11" s="121"/>
      <c r="G11" s="121"/>
    </row>
    <row r="12" spans="2:7" ht="15.75" customHeight="1" x14ac:dyDescent="0.25">
      <c r="B12" s="84" t="s">
        <v>239</v>
      </c>
      <c r="C12" s="134" t="s">
        <v>240</v>
      </c>
      <c r="D12" s="134"/>
      <c r="E12" s="121" t="s">
        <v>241</v>
      </c>
      <c r="F12" s="121"/>
      <c r="G12" s="121"/>
    </row>
    <row r="13" spans="2:7" ht="15.75" customHeight="1" x14ac:dyDescent="0.25">
      <c r="B13" s="84" t="s">
        <v>242</v>
      </c>
      <c r="C13" s="134" t="s">
        <v>243</v>
      </c>
      <c r="D13" s="134"/>
      <c r="E13" s="121" t="s">
        <v>244</v>
      </c>
      <c r="F13" s="121"/>
      <c r="G13" s="121"/>
    </row>
    <row r="14" spans="2:7" ht="15.75" customHeight="1" x14ac:dyDescent="0.25">
      <c r="B14" s="84" t="s">
        <v>245</v>
      </c>
      <c r="C14" s="134" t="s">
        <v>246</v>
      </c>
      <c r="D14" s="134"/>
      <c r="E14" s="121" t="s">
        <v>247</v>
      </c>
      <c r="F14" s="121"/>
      <c r="G14" s="121"/>
    </row>
    <row r="16" spans="2:7" ht="19.5" customHeight="1" x14ac:dyDescent="0.25">
      <c r="B16" s="22" t="s">
        <v>13</v>
      </c>
      <c r="C16" s="10" t="s">
        <v>248</v>
      </c>
      <c r="D16" s="10"/>
      <c r="E16" s="9" t="s">
        <v>249</v>
      </c>
      <c r="F16" s="9"/>
      <c r="G16" s="9"/>
    </row>
    <row r="17" spans="2:7" ht="15.75" customHeight="1" x14ac:dyDescent="0.25">
      <c r="B17" s="84" t="s">
        <v>250</v>
      </c>
      <c r="C17" s="85">
        <v>48</v>
      </c>
      <c r="D17" s="54" t="s">
        <v>251</v>
      </c>
      <c r="E17" s="121" t="s">
        <v>252</v>
      </c>
      <c r="F17" s="121"/>
      <c r="G17" s="121"/>
    </row>
    <row r="18" spans="2:7" ht="15.75" customHeight="1" x14ac:dyDescent="0.25">
      <c r="B18" s="84" t="s">
        <v>253</v>
      </c>
      <c r="C18" s="85">
        <v>12</v>
      </c>
      <c r="D18" s="54" t="s">
        <v>251</v>
      </c>
      <c r="E18" s="121" t="s">
        <v>254</v>
      </c>
      <c r="F18" s="121"/>
      <c r="G18" s="121"/>
    </row>
    <row r="19" spans="2:7" ht="15.75" customHeight="1" x14ac:dyDescent="0.25">
      <c r="B19" s="84" t="s">
        <v>255</v>
      </c>
      <c r="C19" s="86">
        <v>0.5</v>
      </c>
      <c r="D19" s="54" t="s">
        <v>256</v>
      </c>
      <c r="E19" s="121" t="s">
        <v>257</v>
      </c>
      <c r="F19" s="121"/>
      <c r="G19" s="121"/>
    </row>
    <row r="20" spans="2:7" ht="15.75" customHeight="1" x14ac:dyDescent="0.25">
      <c r="B20" s="84" t="s">
        <v>258</v>
      </c>
      <c r="C20" s="87">
        <f>C17+C18</f>
        <v>60</v>
      </c>
      <c r="D20" s="54" t="s">
        <v>251</v>
      </c>
      <c r="E20" s="121" t="s">
        <v>259</v>
      </c>
      <c r="F20" s="121"/>
      <c r="G20" s="121"/>
    </row>
    <row r="21" spans="2:7" ht="15.75" customHeight="1" x14ac:dyDescent="0.25">
      <c r="B21" s="84" t="s">
        <v>260</v>
      </c>
      <c r="C21" s="88">
        <f>C17+C18*C19</f>
        <v>54</v>
      </c>
      <c r="D21" s="54" t="s">
        <v>251</v>
      </c>
      <c r="E21" s="121" t="s">
        <v>261</v>
      </c>
      <c r="F21" s="121"/>
      <c r="G21" s="121"/>
    </row>
    <row r="22" spans="2:7" ht="15.75" customHeight="1" x14ac:dyDescent="0.25">
      <c r="B22" s="84" t="s">
        <v>262</v>
      </c>
      <c r="C22" s="89">
        <v>0.1</v>
      </c>
      <c r="D22" s="54" t="s">
        <v>263</v>
      </c>
      <c r="E22" s="121" t="s">
        <v>264</v>
      </c>
      <c r="F22" s="121"/>
      <c r="G22" s="121"/>
    </row>
    <row r="23" spans="2:7" ht="15.75" customHeight="1" x14ac:dyDescent="0.25">
      <c r="B23" s="84" t="s">
        <v>265</v>
      </c>
      <c r="C23" s="90">
        <v>1500</v>
      </c>
      <c r="D23" s="54" t="s">
        <v>266</v>
      </c>
      <c r="E23" s="121" t="s">
        <v>267</v>
      </c>
      <c r="F23" s="121"/>
      <c r="G23" s="121"/>
    </row>
    <row r="24" spans="2:7" ht="15.75" customHeight="1" x14ac:dyDescent="0.25">
      <c r="B24" s="84" t="s">
        <v>268</v>
      </c>
      <c r="C24" s="91">
        <f>IFERROR(C23/C20,0)</f>
        <v>25</v>
      </c>
      <c r="D24" s="54" t="s">
        <v>269</v>
      </c>
      <c r="E24" s="121" t="s">
        <v>270</v>
      </c>
      <c r="F24" s="121"/>
      <c r="G24" s="121"/>
    </row>
    <row r="25" spans="2:7" ht="15.75" customHeight="1" x14ac:dyDescent="0.25">
      <c r="B25" s="84" t="s">
        <v>271</v>
      </c>
      <c r="C25" s="89">
        <v>0.35</v>
      </c>
      <c r="D25" s="54" t="s">
        <v>272</v>
      </c>
      <c r="E25" s="121" t="s">
        <v>273</v>
      </c>
      <c r="F25" s="121"/>
      <c r="G25" s="121"/>
    </row>
    <row r="26" spans="2:7" ht="15.75" customHeight="1" x14ac:dyDescent="0.25">
      <c r="B26" s="84" t="s">
        <v>274</v>
      </c>
      <c r="C26" s="89">
        <v>0.9</v>
      </c>
      <c r="D26" s="54" t="s">
        <v>275</v>
      </c>
      <c r="E26" s="121" t="s">
        <v>276</v>
      </c>
      <c r="F26" s="121"/>
      <c r="G26" s="121"/>
    </row>
    <row r="28" spans="2:7" ht="19.5" customHeight="1" x14ac:dyDescent="0.25">
      <c r="B28" s="22" t="s">
        <v>27</v>
      </c>
      <c r="C28" s="10" t="s">
        <v>277</v>
      </c>
      <c r="D28" s="10"/>
      <c r="E28" s="10"/>
      <c r="F28" s="9" t="s">
        <v>278</v>
      </c>
      <c r="G28" s="9"/>
    </row>
    <row r="29" spans="2:7" ht="27.75" customHeight="1" x14ac:dyDescent="0.25">
      <c r="B29" s="92" t="s">
        <v>35</v>
      </c>
      <c r="C29" s="92" t="s">
        <v>279</v>
      </c>
      <c r="D29" s="92" t="s">
        <v>40</v>
      </c>
      <c r="E29" s="92" t="s">
        <v>171</v>
      </c>
      <c r="F29" s="92" t="s">
        <v>280</v>
      </c>
      <c r="G29" s="92" t="s">
        <v>281</v>
      </c>
    </row>
    <row r="30" spans="2:7" ht="15" customHeight="1" x14ac:dyDescent="0.25">
      <c r="B30" s="56" t="s">
        <v>51</v>
      </c>
      <c r="C30" s="93" t="s">
        <v>282</v>
      </c>
      <c r="D30" s="94" t="s">
        <v>283</v>
      </c>
      <c r="E30" s="32">
        <v>60</v>
      </c>
      <c r="F30" s="32">
        <v>3</v>
      </c>
      <c r="G30" s="79" t="s">
        <v>284</v>
      </c>
    </row>
    <row r="31" spans="2:7" ht="15" customHeight="1" x14ac:dyDescent="0.25">
      <c r="B31" s="56" t="s">
        <v>71</v>
      </c>
      <c r="C31" s="93" t="s">
        <v>285</v>
      </c>
      <c r="D31" s="94" t="s">
        <v>283</v>
      </c>
      <c r="E31" s="32">
        <v>80</v>
      </c>
      <c r="F31" s="32">
        <v>3</v>
      </c>
      <c r="G31" s="79" t="s">
        <v>286</v>
      </c>
    </row>
    <row r="32" spans="2:7" ht="15" customHeight="1" x14ac:dyDescent="0.25">
      <c r="B32" s="56" t="s">
        <v>83</v>
      </c>
      <c r="C32" s="93" t="s">
        <v>287</v>
      </c>
      <c r="D32" s="94" t="s">
        <v>288</v>
      </c>
      <c r="E32" s="32">
        <v>200</v>
      </c>
      <c r="F32" s="32">
        <v>1</v>
      </c>
      <c r="G32" s="79" t="s">
        <v>289</v>
      </c>
    </row>
    <row r="33" spans="2:7" ht="15" customHeight="1" x14ac:dyDescent="0.25">
      <c r="B33" s="56" t="s">
        <v>91</v>
      </c>
      <c r="C33" s="93" t="s">
        <v>285</v>
      </c>
      <c r="D33" s="94" t="s">
        <v>283</v>
      </c>
      <c r="E33" s="32">
        <v>120</v>
      </c>
      <c r="F33" s="32">
        <v>3</v>
      </c>
      <c r="G33" s="79" t="s">
        <v>96</v>
      </c>
    </row>
    <row r="34" spans="2:7" ht="15" customHeight="1" x14ac:dyDescent="0.25">
      <c r="B34" s="56" t="s">
        <v>102</v>
      </c>
      <c r="C34" s="93" t="s">
        <v>287</v>
      </c>
      <c r="D34" s="94" t="s">
        <v>283</v>
      </c>
      <c r="E34" s="32">
        <v>180</v>
      </c>
      <c r="F34" s="32">
        <v>3</v>
      </c>
      <c r="G34" s="79" t="s">
        <v>290</v>
      </c>
    </row>
    <row r="35" spans="2:7" ht="15" customHeight="1" x14ac:dyDescent="0.25">
      <c r="B35" s="56" t="s">
        <v>112</v>
      </c>
      <c r="C35" s="93" t="s">
        <v>287</v>
      </c>
      <c r="D35" s="94" t="s">
        <v>283</v>
      </c>
      <c r="E35" s="32">
        <v>130</v>
      </c>
      <c r="F35" s="32">
        <v>3</v>
      </c>
      <c r="G35" s="79" t="s">
        <v>291</v>
      </c>
    </row>
    <row r="36" spans="2:7" ht="15" customHeight="1" x14ac:dyDescent="0.25">
      <c r="B36" s="56" t="s">
        <v>117</v>
      </c>
      <c r="C36" s="93" t="s">
        <v>285</v>
      </c>
      <c r="D36" s="94" t="s">
        <v>283</v>
      </c>
      <c r="E36" s="32">
        <v>80</v>
      </c>
      <c r="F36" s="32">
        <v>2</v>
      </c>
      <c r="G36" s="79" t="s">
        <v>292</v>
      </c>
    </row>
    <row r="37" spans="2:7" ht="15" customHeight="1" x14ac:dyDescent="0.25">
      <c r="B37" s="56" t="s">
        <v>127</v>
      </c>
      <c r="C37" s="93" t="s">
        <v>285</v>
      </c>
      <c r="D37" s="94" t="s">
        <v>283</v>
      </c>
      <c r="E37" s="32">
        <v>60</v>
      </c>
      <c r="F37" s="32">
        <v>2</v>
      </c>
      <c r="G37" s="79" t="s">
        <v>129</v>
      </c>
    </row>
    <row r="38" spans="2:7" ht="15" customHeight="1" x14ac:dyDescent="0.25">
      <c r="B38" s="56" t="s">
        <v>131</v>
      </c>
      <c r="C38" s="93" t="s">
        <v>293</v>
      </c>
      <c r="D38" s="94" t="s">
        <v>283</v>
      </c>
      <c r="E38" s="32">
        <v>150</v>
      </c>
      <c r="F38" s="32">
        <v>3</v>
      </c>
      <c r="G38" s="79" t="s">
        <v>294</v>
      </c>
    </row>
    <row r="39" spans="2:7" ht="15" customHeight="1" x14ac:dyDescent="0.25">
      <c r="B39" s="56" t="s">
        <v>140</v>
      </c>
      <c r="C39" s="93" t="s">
        <v>295</v>
      </c>
      <c r="D39" s="94" t="s">
        <v>288</v>
      </c>
      <c r="E39" s="32">
        <v>800</v>
      </c>
      <c r="F39" s="32">
        <v>4</v>
      </c>
      <c r="G39" s="79" t="s">
        <v>296</v>
      </c>
    </row>
    <row r="40" spans="2:7" x14ac:dyDescent="0.25">
      <c r="B40" s="126" t="s">
        <v>297</v>
      </c>
      <c r="C40" s="126"/>
      <c r="D40" s="45" t="s">
        <v>283</v>
      </c>
      <c r="E40" s="64">
        <f>SUMIF($D$30:$D$39,"g",$E$30:$E$39)</f>
        <v>860</v>
      </c>
      <c r="F40" s="64">
        <f>SUMIF($D$30:$D$39,"ml",$E$30:$E$39)</f>
        <v>1000</v>
      </c>
      <c r="G40" s="95" t="s">
        <v>298</v>
      </c>
    </row>
    <row r="42" spans="2:7" ht="19.5" customHeight="1" x14ac:dyDescent="0.25">
      <c r="B42" s="22" t="s">
        <v>187</v>
      </c>
      <c r="C42" s="10" t="s">
        <v>299</v>
      </c>
      <c r="D42" s="10"/>
      <c r="E42" s="9" t="s">
        <v>300</v>
      </c>
      <c r="F42" s="9"/>
      <c r="G42" s="9"/>
    </row>
    <row r="43" spans="2:7" x14ac:dyDescent="0.25">
      <c r="B43" s="96" t="s">
        <v>301</v>
      </c>
      <c r="C43" s="96" t="s">
        <v>302</v>
      </c>
      <c r="D43" s="96" t="s">
        <v>303</v>
      </c>
      <c r="E43" s="136" t="s">
        <v>304</v>
      </c>
      <c r="F43" s="136"/>
      <c r="G43" s="96" t="s">
        <v>305</v>
      </c>
    </row>
    <row r="44" spans="2:7" ht="15" customHeight="1" x14ac:dyDescent="0.25">
      <c r="B44" s="30" t="s">
        <v>86</v>
      </c>
      <c r="C44" s="93" t="s">
        <v>306</v>
      </c>
      <c r="D44" s="93" t="s">
        <v>307</v>
      </c>
      <c r="E44" s="137" t="s">
        <v>308</v>
      </c>
      <c r="F44" s="137"/>
      <c r="G44" s="79" t="s">
        <v>309</v>
      </c>
    </row>
    <row r="45" spans="2:7" ht="15" customHeight="1" x14ac:dyDescent="0.25">
      <c r="B45" s="30" t="s">
        <v>62</v>
      </c>
      <c r="C45" s="93" t="s">
        <v>310</v>
      </c>
      <c r="D45" s="93" t="s">
        <v>311</v>
      </c>
      <c r="E45" s="137" t="s">
        <v>312</v>
      </c>
      <c r="F45" s="137"/>
      <c r="G45" s="79" t="s">
        <v>309</v>
      </c>
    </row>
    <row r="46" spans="2:7" ht="15" customHeight="1" x14ac:dyDescent="0.25">
      <c r="B46" s="30" t="s">
        <v>68</v>
      </c>
      <c r="C46" s="93" t="s">
        <v>67</v>
      </c>
      <c r="D46" s="93" t="s">
        <v>313</v>
      </c>
      <c r="E46" s="137" t="s">
        <v>314</v>
      </c>
      <c r="F46" s="137"/>
      <c r="G46" s="79" t="s">
        <v>315</v>
      </c>
    </row>
    <row r="47" spans="2:7" ht="15" customHeight="1" x14ac:dyDescent="0.25">
      <c r="B47" s="30" t="s">
        <v>142</v>
      </c>
      <c r="C47" s="93" t="s">
        <v>295</v>
      </c>
      <c r="D47" s="93" t="s">
        <v>316</v>
      </c>
      <c r="E47" s="137" t="s">
        <v>317</v>
      </c>
      <c r="F47" s="137"/>
      <c r="G47" s="79" t="s">
        <v>309</v>
      </c>
    </row>
    <row r="48" spans="2:7" ht="15" customHeight="1" x14ac:dyDescent="0.25">
      <c r="B48" s="30" t="s">
        <v>133</v>
      </c>
      <c r="C48" s="93" t="s">
        <v>318</v>
      </c>
      <c r="D48" s="93" t="s">
        <v>131</v>
      </c>
      <c r="E48" s="137" t="s">
        <v>319</v>
      </c>
      <c r="F48" s="137"/>
      <c r="G48" s="79" t="s">
        <v>309</v>
      </c>
    </row>
    <row r="49" spans="2:7" ht="15" customHeight="1" x14ac:dyDescent="0.25">
      <c r="B49" s="30" t="s">
        <v>95</v>
      </c>
      <c r="C49" s="93" t="s">
        <v>320</v>
      </c>
      <c r="D49" s="93" t="s">
        <v>321</v>
      </c>
      <c r="E49" s="137" t="s">
        <v>322</v>
      </c>
      <c r="F49" s="137"/>
      <c r="G49" s="79" t="s">
        <v>309</v>
      </c>
    </row>
    <row r="50" spans="2:7" ht="15" customHeight="1" x14ac:dyDescent="0.25">
      <c r="B50" s="30" t="s">
        <v>57</v>
      </c>
      <c r="C50" s="93" t="s">
        <v>323</v>
      </c>
      <c r="D50" s="93" t="s">
        <v>117</v>
      </c>
      <c r="E50" s="137" t="s">
        <v>324</v>
      </c>
      <c r="F50" s="137"/>
      <c r="G50" s="79" t="s">
        <v>315</v>
      </c>
    </row>
    <row r="51" spans="2:7" ht="15" customHeight="1" x14ac:dyDescent="0.25">
      <c r="B51" s="30" t="s">
        <v>243</v>
      </c>
      <c r="C51" s="93" t="s">
        <v>325</v>
      </c>
      <c r="D51" s="93" t="s">
        <v>326</v>
      </c>
      <c r="E51" s="137" t="s">
        <v>327</v>
      </c>
      <c r="F51" s="137"/>
      <c r="G51" s="79" t="s">
        <v>246</v>
      </c>
    </row>
    <row r="53" spans="2:7" ht="19.5" customHeight="1" x14ac:dyDescent="0.25">
      <c r="B53" s="22" t="s">
        <v>192</v>
      </c>
      <c r="C53" s="23" t="s">
        <v>328</v>
      </c>
      <c r="D53" s="9" t="s">
        <v>329</v>
      </c>
      <c r="E53" s="9"/>
      <c r="F53" s="9"/>
      <c r="G53" s="9"/>
    </row>
    <row r="54" spans="2:7" x14ac:dyDescent="0.25">
      <c r="B54" s="98" t="s">
        <v>37</v>
      </c>
      <c r="C54" s="98" t="s">
        <v>180</v>
      </c>
      <c r="D54" s="98" t="s">
        <v>44</v>
      </c>
      <c r="E54" s="98" t="s">
        <v>48</v>
      </c>
    </row>
    <row r="55" spans="2:7" ht="15" customHeight="1" x14ac:dyDescent="0.25">
      <c r="B55" s="97" t="s">
        <v>53</v>
      </c>
      <c r="C55" s="97" t="s">
        <v>104</v>
      </c>
      <c r="D55" s="97" t="s">
        <v>56</v>
      </c>
      <c r="E55" s="97" t="s">
        <v>79</v>
      </c>
      <c r="F55" s="138" t="s">
        <v>330</v>
      </c>
      <c r="G55" s="138"/>
    </row>
    <row r="56" spans="2:7" ht="15" customHeight="1" x14ac:dyDescent="0.25">
      <c r="B56" s="97" t="s">
        <v>66</v>
      </c>
      <c r="C56" s="97" t="s">
        <v>77</v>
      </c>
      <c r="D56" s="97" t="s">
        <v>67</v>
      </c>
      <c r="E56" s="97" t="s">
        <v>69</v>
      </c>
      <c r="F56" s="138"/>
      <c r="G56" s="138"/>
    </row>
    <row r="57" spans="2:7" ht="15" customHeight="1" x14ac:dyDescent="0.25">
      <c r="B57" s="97" t="s">
        <v>119</v>
      </c>
      <c r="C57" s="97" t="s">
        <v>54</v>
      </c>
      <c r="D57" s="97" t="s">
        <v>94</v>
      </c>
      <c r="E57" s="97" t="s">
        <v>63</v>
      </c>
      <c r="F57" s="138"/>
      <c r="G57" s="138"/>
    </row>
    <row r="58" spans="2:7" ht="15" customHeight="1" x14ac:dyDescent="0.25">
      <c r="C58" s="97" t="s">
        <v>73</v>
      </c>
      <c r="D58" s="97" t="s">
        <v>184</v>
      </c>
      <c r="E58" s="97" t="s">
        <v>58</v>
      </c>
      <c r="F58" s="138"/>
      <c r="G58" s="138"/>
    </row>
    <row r="59" spans="2:7" ht="15" customHeight="1" x14ac:dyDescent="0.25">
      <c r="E59" s="97" t="s">
        <v>152</v>
      </c>
    </row>
    <row r="61" spans="2:7" ht="19.5" customHeight="1" x14ac:dyDescent="0.25">
      <c r="B61" s="22" t="s">
        <v>217</v>
      </c>
      <c r="C61" s="10" t="s">
        <v>331</v>
      </c>
      <c r="D61" s="10"/>
      <c r="E61" s="9" t="s">
        <v>332</v>
      </c>
      <c r="F61" s="9"/>
      <c r="G61" s="9"/>
    </row>
    <row r="62" spans="2:7" ht="15" customHeight="1" x14ac:dyDescent="0.25">
      <c r="B62" s="99" t="s">
        <v>333</v>
      </c>
      <c r="C62" s="139" t="s">
        <v>334</v>
      </c>
      <c r="D62" s="139"/>
      <c r="E62" s="99" t="s">
        <v>335</v>
      </c>
      <c r="F62" s="139" t="s">
        <v>336</v>
      </c>
      <c r="G62" s="139"/>
    </row>
    <row r="63" spans="2:7" ht="15" customHeight="1" x14ac:dyDescent="0.25">
      <c r="B63" s="99" t="s">
        <v>337</v>
      </c>
      <c r="C63" s="139" t="s">
        <v>338</v>
      </c>
      <c r="D63" s="139"/>
      <c r="E63" s="99" t="s">
        <v>110</v>
      </c>
      <c r="F63" s="139" t="s">
        <v>339</v>
      </c>
      <c r="G63" s="139"/>
    </row>
    <row r="64" spans="2:7" ht="15" customHeight="1" x14ac:dyDescent="0.25">
      <c r="B64" s="99" t="s">
        <v>340</v>
      </c>
      <c r="C64" s="139" t="s">
        <v>341</v>
      </c>
      <c r="D64" s="139"/>
      <c r="E64" s="99" t="s">
        <v>342</v>
      </c>
      <c r="F64" s="139" t="s">
        <v>343</v>
      </c>
      <c r="G64" s="139"/>
    </row>
    <row r="65" spans="2:7" ht="15" customHeight="1" x14ac:dyDescent="0.25">
      <c r="B65" s="99" t="s">
        <v>61</v>
      </c>
      <c r="C65" s="139" t="s">
        <v>344</v>
      </c>
      <c r="D65" s="139"/>
      <c r="E65" s="99" t="s">
        <v>345</v>
      </c>
      <c r="F65" s="139" t="s">
        <v>346</v>
      </c>
      <c r="G65" s="139"/>
    </row>
    <row r="66" spans="2:7" ht="15" customHeight="1" x14ac:dyDescent="0.25">
      <c r="B66" s="99" t="s">
        <v>89</v>
      </c>
      <c r="C66" s="139" t="s">
        <v>347</v>
      </c>
      <c r="D66" s="139"/>
      <c r="E66" s="99" t="s">
        <v>348</v>
      </c>
      <c r="F66" s="139" t="s">
        <v>349</v>
      </c>
      <c r="G66" s="139"/>
    </row>
    <row r="67" spans="2:7" ht="15" customHeight="1" x14ac:dyDescent="0.25">
      <c r="B67" s="99" t="s">
        <v>350</v>
      </c>
      <c r="C67" s="139" t="s">
        <v>351</v>
      </c>
      <c r="D67" s="139"/>
      <c r="E67" s="99" t="s">
        <v>74</v>
      </c>
      <c r="F67" s="139" t="s">
        <v>352</v>
      </c>
      <c r="G67" s="139"/>
    </row>
    <row r="68" spans="2:7" ht="15" customHeight="1" x14ac:dyDescent="0.25">
      <c r="B68" s="99" t="s">
        <v>353</v>
      </c>
      <c r="C68" s="139" t="s">
        <v>354</v>
      </c>
      <c r="D68" s="139"/>
      <c r="E68" s="99" t="s">
        <v>355</v>
      </c>
      <c r="F68" s="139" t="s">
        <v>356</v>
      </c>
      <c r="G68" s="139"/>
    </row>
    <row r="70" spans="2:7" ht="19.5" customHeight="1" x14ac:dyDescent="0.25">
      <c r="B70" s="22" t="s">
        <v>357</v>
      </c>
      <c r="C70" s="10" t="s">
        <v>358</v>
      </c>
      <c r="D70" s="10"/>
      <c r="E70" s="10"/>
      <c r="F70" s="100"/>
      <c r="G70" s="100"/>
    </row>
    <row r="71" spans="2:7" ht="25.5" customHeight="1" x14ac:dyDescent="0.25">
      <c r="B71" s="101" t="s">
        <v>359</v>
      </c>
      <c r="C71" s="140" t="s">
        <v>360</v>
      </c>
      <c r="D71" s="140"/>
      <c r="E71" s="140"/>
      <c r="F71" s="140"/>
      <c r="G71" s="140"/>
    </row>
    <row r="72" spans="2:7" ht="25.5" customHeight="1" x14ac:dyDescent="0.25">
      <c r="B72" s="101" t="s">
        <v>361</v>
      </c>
      <c r="C72" s="140" t="s">
        <v>362</v>
      </c>
      <c r="D72" s="140"/>
      <c r="E72" s="140"/>
      <c r="F72" s="140"/>
      <c r="G72" s="140"/>
    </row>
    <row r="73" spans="2:7" ht="25.5" customHeight="1" x14ac:dyDescent="0.25">
      <c r="B73" s="101" t="s">
        <v>363</v>
      </c>
      <c r="C73" s="140" t="s">
        <v>364</v>
      </c>
      <c r="D73" s="140"/>
      <c r="E73" s="140"/>
      <c r="F73" s="140"/>
      <c r="G73" s="140"/>
    </row>
    <row r="74" spans="2:7" ht="25.5" customHeight="1" x14ac:dyDescent="0.25">
      <c r="B74" s="101" t="s">
        <v>365</v>
      </c>
      <c r="C74" s="140" t="s">
        <v>366</v>
      </c>
      <c r="D74" s="140"/>
      <c r="E74" s="140"/>
      <c r="F74" s="140"/>
      <c r="G74" s="140"/>
    </row>
    <row r="75" spans="2:7" ht="25.5" customHeight="1" x14ac:dyDescent="0.25">
      <c r="B75" s="101" t="s">
        <v>367</v>
      </c>
      <c r="C75" s="140" t="s">
        <v>368</v>
      </c>
      <c r="D75" s="140"/>
      <c r="E75" s="140"/>
      <c r="F75" s="140"/>
      <c r="G75" s="140"/>
    </row>
    <row r="76" spans="2:7" ht="25.5" customHeight="1" x14ac:dyDescent="0.25">
      <c r="B76" s="101" t="s">
        <v>369</v>
      </c>
      <c r="C76" s="140" t="s">
        <v>370</v>
      </c>
      <c r="D76" s="140"/>
      <c r="E76" s="140"/>
      <c r="F76" s="140"/>
      <c r="G76" s="140"/>
    </row>
    <row r="77" spans="2:7" ht="25.5" customHeight="1" x14ac:dyDescent="0.25">
      <c r="B77" s="101" t="s">
        <v>371</v>
      </c>
      <c r="C77" s="140" t="s">
        <v>372</v>
      </c>
      <c r="D77" s="140"/>
      <c r="E77" s="140"/>
      <c r="F77" s="140"/>
      <c r="G77" s="140"/>
    </row>
    <row r="79" spans="2:7" ht="19.5" customHeight="1" x14ac:dyDescent="0.25">
      <c r="B79" s="22" t="s">
        <v>373</v>
      </c>
      <c r="C79" s="10" t="s">
        <v>374</v>
      </c>
      <c r="D79" s="10"/>
      <c r="E79" s="100"/>
      <c r="F79" s="100"/>
      <c r="G79" s="100"/>
    </row>
    <row r="80" spans="2:7" x14ac:dyDescent="0.25">
      <c r="B80" s="52" t="s">
        <v>153</v>
      </c>
      <c r="C80" s="53" t="s">
        <v>154</v>
      </c>
      <c r="D80" s="50" t="s">
        <v>375</v>
      </c>
      <c r="E80" s="47" t="s">
        <v>376</v>
      </c>
      <c r="F80" s="48" t="s">
        <v>377</v>
      </c>
      <c r="G80" s="54" t="s">
        <v>378</v>
      </c>
    </row>
    <row r="82" spans="2:7" ht="15" customHeight="1" x14ac:dyDescent="0.25">
      <c r="B82" s="141" t="s">
        <v>379</v>
      </c>
      <c r="C82" s="141"/>
      <c r="D82" s="141"/>
      <c r="E82" s="141"/>
      <c r="F82" s="141"/>
      <c r="G82" s="141"/>
    </row>
    <row r="83" spans="2:7" ht="15" customHeight="1" x14ac:dyDescent="0.25">
      <c r="B83" s="141"/>
      <c r="C83" s="141"/>
      <c r="D83" s="141"/>
      <c r="E83" s="141"/>
      <c r="F83" s="141"/>
      <c r="G83" s="141"/>
    </row>
  </sheetData>
  <mergeCells count="76">
    <mergeCell ref="C75:G75"/>
    <mergeCell ref="C76:G76"/>
    <mergeCell ref="C77:G77"/>
    <mergeCell ref="C79:D79"/>
    <mergeCell ref="B82:G83"/>
    <mergeCell ref="C70:E70"/>
    <mergeCell ref="C71:G71"/>
    <mergeCell ref="C72:G72"/>
    <mergeCell ref="C73:G73"/>
    <mergeCell ref="C74:G74"/>
    <mergeCell ref="C66:D66"/>
    <mergeCell ref="F66:G66"/>
    <mergeCell ref="C67:D67"/>
    <mergeCell ref="F67:G67"/>
    <mergeCell ref="C68:D68"/>
    <mergeCell ref="F68:G68"/>
    <mergeCell ref="C63:D63"/>
    <mergeCell ref="F63:G63"/>
    <mergeCell ref="C64:D64"/>
    <mergeCell ref="F64:G64"/>
    <mergeCell ref="C65:D65"/>
    <mergeCell ref="F65:G65"/>
    <mergeCell ref="F55:G58"/>
    <mergeCell ref="C61:D61"/>
    <mergeCell ref="E61:G61"/>
    <mergeCell ref="C62:D62"/>
    <mergeCell ref="F62:G62"/>
    <mergeCell ref="E48:F48"/>
    <mergeCell ref="E49:F49"/>
    <mergeCell ref="E50:F50"/>
    <mergeCell ref="E51:F51"/>
    <mergeCell ref="D53:G53"/>
    <mergeCell ref="E43:F43"/>
    <mergeCell ref="E44:F44"/>
    <mergeCell ref="E45:F45"/>
    <mergeCell ref="E46:F46"/>
    <mergeCell ref="E47:F47"/>
    <mergeCell ref="C28:E28"/>
    <mergeCell ref="F28:G28"/>
    <mergeCell ref="B40:C40"/>
    <mergeCell ref="C42:D42"/>
    <mergeCell ref="E42:G42"/>
    <mergeCell ref="E22:G22"/>
    <mergeCell ref="E23:G23"/>
    <mergeCell ref="E24:G24"/>
    <mergeCell ref="E25:G25"/>
    <mergeCell ref="E26:G26"/>
    <mergeCell ref="E17:G17"/>
    <mergeCell ref="E18:G18"/>
    <mergeCell ref="E19:G19"/>
    <mergeCell ref="E20:G20"/>
    <mergeCell ref="E21:G21"/>
    <mergeCell ref="C13:D13"/>
    <mergeCell ref="E13:G13"/>
    <mergeCell ref="C14:D14"/>
    <mergeCell ref="E14:G14"/>
    <mergeCell ref="C16:D16"/>
    <mergeCell ref="E16:G16"/>
    <mergeCell ref="C10:D10"/>
    <mergeCell ref="E10:G10"/>
    <mergeCell ref="C11:D11"/>
    <mergeCell ref="E11:G11"/>
    <mergeCell ref="C12:D12"/>
    <mergeCell ref="E12:G12"/>
    <mergeCell ref="C7:D7"/>
    <mergeCell ref="E7:G7"/>
    <mergeCell ref="C8:D8"/>
    <mergeCell ref="E8:G8"/>
    <mergeCell ref="C9:D9"/>
    <mergeCell ref="E9:G9"/>
    <mergeCell ref="B2:E2"/>
    <mergeCell ref="F2:G2"/>
    <mergeCell ref="B3:E3"/>
    <mergeCell ref="F3:G3"/>
    <mergeCell ref="C6:D6"/>
    <mergeCell ref="E6:G6"/>
  </mergeCells>
  <printOptions horizontalCentered="1"/>
  <pageMargins left="0.75" right="0.75" top="1" bottom="1" header="0.511811023622047" footer="0.511811023622047"/>
  <pageSetup paperSize="9" fitToHeight="2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29</vt:i4>
      </vt:variant>
    </vt:vector>
  </HeadingPairs>
  <TitlesOfParts>
    <vt:vector size="32" baseType="lpstr">
      <vt:lpstr>Buffetplan</vt:lpstr>
      <vt:lpstr>Auswertung</vt:lpstr>
      <vt:lpstr>Stammdaten</vt:lpstr>
      <vt:lpstr>Anlass</vt:lpstr>
      <vt:lpstr>Beginn</vt:lpstr>
      <vt:lpstr>Budget</vt:lpstr>
      <vt:lpstr>Buffetplan!Druckbereich</vt:lpstr>
      <vt:lpstr>Stammdaten!Druckbereich</vt:lpstr>
      <vt:lpstr>Buffetplan!Drucktitel</vt:lpstr>
      <vt:lpstr>Eventdatum</vt:lpstr>
      <vt:lpstr>Faktor_Kind</vt:lpstr>
      <vt:lpstr>Gaeste_erwachsen</vt:lpstr>
      <vt:lpstr>Gaeste_gesamt</vt:lpstr>
      <vt:lpstr>Gaeste_gewichtet</vt:lpstr>
      <vt:lpstr>Gaeste_kinder</vt:lpstr>
      <vt:lpstr>Kat_Bereich</vt:lpstr>
      <vt:lpstr>Kat_Einheit</vt:lpstr>
      <vt:lpstr>Kat_Namen</vt:lpstr>
      <vt:lpstr>Kat_Positionen</vt:lpstr>
      <vt:lpstr>Kat_Richtwert</vt:lpstr>
      <vt:lpstr>Liste_Beschaffung</vt:lpstr>
      <vt:lpstr>Liste_Ernaehrung</vt:lpstr>
      <vt:lpstr>Liste_Servierart</vt:lpstr>
      <vt:lpstr>Liste_Status</vt:lpstr>
      <vt:lpstr>Liste_Zustaendig</vt:lpstr>
      <vt:lpstr>Puffer</vt:lpstr>
      <vt:lpstr>Servierform</vt:lpstr>
      <vt:lpstr>Veranstalter</vt:lpstr>
      <vt:lpstr>Veranstaltungsort</vt:lpstr>
      <vt:lpstr>Ziel_Deckung</vt:lpstr>
      <vt:lpstr>Ziel_Kosten_Gast</vt:lpstr>
      <vt:lpstr>Ziel_Vegetarisch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2026-07-23T10:24:01Z</dcterms:created>
  <dcterms:modified xsi:type="dcterms:W3CDTF">2026-07-23T11:05:10Z</dcterms:modified>
  <dc:language>en-US</dc:language>
</cp:coreProperties>
</file>