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ergi\Documents\SEO\SEO\AA_Webs\Excel Vorlage\Generador\"/>
    </mc:Choice>
  </mc:AlternateContent>
  <xr:revisionPtr revIDLastSave="0" documentId="13_ncr:1_{E1C81662-AB4F-4AB1-A7A7-3DA061DD0795}" xr6:coauthVersionLast="47" xr6:coauthVersionMax="47" xr10:uidLastSave="{00000000-0000-0000-0000-000000000000}"/>
  <bookViews>
    <workbookView xWindow="690" yWindow="690" windowWidth="25500" windowHeight="13500" tabRatio="500" xr2:uid="{00000000-000D-0000-FFFF-FFFF00000000}"/>
  </bookViews>
  <sheets>
    <sheet name="Cockpit" sheetId="1" r:id="rId1"/>
    <sheet name="Konzept" sheetId="2" r:id="rId2"/>
    <sheet name="Kapitalbedarf" sheetId="3" r:id="rId3"/>
    <sheet name="Erfolgsplanung" sheetId="4" r:id="rId4"/>
    <sheet name="Liquiditätsplan" sheetId="5" r:id="rId5"/>
    <sheet name="Annahmen" sheetId="6" r:id="rId6"/>
  </sheets>
  <definedNames>
    <definedName name="ADR_gewichtet">Annahmen!$F$56</definedName>
    <definedName name="ADR_J2">Annahmen!$E$36</definedName>
    <definedName name="ADR_J3">Annahmen!$E$37</definedName>
    <definedName name="AfA_Jahr">Kapitalbedarf!$H$21</definedName>
    <definedName name="Auslastung_J2">Annahmen!$E$34</definedName>
    <definedName name="Auslastung_J3">Annahmen!$E$35</definedName>
    <definedName name="Auslastung_Ziel_Kat">Annahmen!$G$56</definedName>
    <definedName name="BE_Auslastung">Erfolgsplanung!$D$91</definedName>
    <definedName name="Betten_gesamt">Annahmen!$E$56</definedName>
    <definedName name="CF_J1">Erfolgsplanung!$D$79</definedName>
    <definedName name="CF_J2">Erfolgsplanung!$G$79</definedName>
    <definedName name="CF_J3">Erfolgsplanung!$J$79</definedName>
    <definedName name="Deckungsgrad">Kapitalbedarf!$D$54</definedName>
    <definedName name="_xlnm.Print_Area" localSheetId="5">Annahmen!$B$1:$J$129</definedName>
    <definedName name="_xlnm.Print_Area" localSheetId="0">Cockpit!$B$1:$N$101</definedName>
    <definedName name="_xlnm.Print_Area" localSheetId="3">Erfolgsplanung!$B$1:$Q$95</definedName>
    <definedName name="_xlnm.Print_Area" localSheetId="2">Kapitalbedarf!$B$1:$K$93</definedName>
    <definedName name="_xlnm.Print_Area" localSheetId="1">Konzept!$B$1:$I$65</definedName>
    <definedName name="_xlnm.Print_Area" localSheetId="4">Liquiditätsplan!$B$1:$P$49</definedName>
    <definedName name="_xlnm.Print_Titles" localSheetId="3">Erfolgsplanung!$8:$8</definedName>
    <definedName name="EK_Quote">Kapitalbedarf!$D$57</definedName>
    <definedName name="Ergebnis_J1">Erfolgsplanung!$D$78</definedName>
    <definedName name="Eroeffnungsmonat">Annahmen!$E$18</definedName>
    <definedName name="FB_je_Zimmer">Annahmen!$E$23</definedName>
    <definedName name="Finanzierung_Gesamt">Kapitalbedarf!$D$52</definedName>
    <definedName name="Fixkosten_Katalog">Annahmen!$F$99</definedName>
    <definedName name="Fixkosten_Monat">Annahmen!$E$44</definedName>
    <definedName name="Fortschritt_BP">Konzept!$H$29</definedName>
    <definedName name="Fruehstueckspreis">Annahmen!$E$21</definedName>
    <definedName name="Fruehstuecksquote">Annahmen!$E$22</definedName>
    <definedName name="GOP_J1">Erfolgsplanung!$D$72</definedName>
    <definedName name="Invest_Gesamt">Kapitalbedarf!$D$21</definedName>
    <definedName name="Kapitalbedarf_Gesamt">Kapitalbedarf!$D$41</definedName>
    <definedName name="Kapitaldienst_J1">Kapitalbedarf!$D$80</definedName>
    <definedName name="Kostensteigerung">Annahmen!$E$38</definedName>
    <definedName name="Liqui_Ende">Liquiditätsplan!$D$44</definedName>
    <definedName name="Liqui_Tief">Liquiditätsplan!$D$41</definedName>
    <definedName name="Liqui_Unter">Liquiditätsplan!$D$46</definedName>
    <definedName name="Lohnnebenkosten">Annahmen!$E$25</definedName>
    <definedName name="Max_Auslastung">Annahmen!$E$19</definedName>
    <definedName name="Meilenstein_ueberfaellig">Konzept!$H$55</definedName>
    <definedName name="Mindestbestand">Annahmen!$E$43</definedName>
    <definedName name="OTA_Anteil">Annahmen!$E$26</definedName>
    <definedName name="OTA_Satz">Annahmen!$E$27</definedName>
    <definedName name="Pers_je_Zimmer">Annahmen!$E$20</definedName>
    <definedName name="Planjahr">Annahmen!$E$17</definedName>
    <definedName name="Puffer_Satz">Annahmen!$E$46</definedName>
    <definedName name="Reserve_Monate">Annahmen!$E$45</definedName>
    <definedName name="Sonstige_je_Zimmer">Annahmen!$E$24</definedName>
    <definedName name="Status_Liste">Annahmen!$C$103:$C$107</definedName>
    <definedName name="Steuersatz">Annahmen!$E$33</definedName>
    <definedName name="Stichtag">Annahmen!$E$47</definedName>
    <definedName name="Tagung_Jahr1">Annahmen!$H$72</definedName>
    <definedName name="Tilgung_J1">Kapitalbedarf!$D$82</definedName>
    <definedName name="Umsatz_J1">Erfolgsplanung!$D$66</definedName>
    <definedName name="Umsatz_J2">Erfolgsplanung!$G$66</definedName>
    <definedName name="Umsatz_J3">Erfolgsplanung!$J$66</definedName>
    <definedName name="USt_FB">Annahmen!$E$29</definedName>
    <definedName name="USt_Logis">Annahmen!$E$28</definedName>
    <definedName name="USt_Sonstige">Annahmen!$E$30</definedName>
    <definedName name="Vorsteuerquote">Annahmen!$E$31</definedName>
    <definedName name="Zahlungsquote">Annahmen!$E$32</definedName>
    <definedName name="Ziel_Auslastung">Annahmen!$E$39</definedName>
    <definedName name="Ziel_EK_Quote">Annahmen!$E$41</definedName>
    <definedName name="Ziel_GOP">Annahmen!$E$40</definedName>
    <definedName name="Ziel_KDD">Annahmen!$E$42</definedName>
    <definedName name="Zimmer_gesamt">Annahmen!$D$56</definedName>
    <definedName name="Zins_J1">Kapitalbedarf!$D$81</definedName>
    <definedName name="Zins_J2">Kapitalbedarf!$E$81</definedName>
    <definedName name="Zins_J3">Kapitalbedarf!$F$81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99" i="6" l="1"/>
  <c r="G91" i="6"/>
  <c r="D83" i="6"/>
  <c r="I82" i="6"/>
  <c r="H82" i="6"/>
  <c r="G82" i="6"/>
  <c r="I81" i="6"/>
  <c r="H81" i="6"/>
  <c r="G81" i="6"/>
  <c r="I80" i="6"/>
  <c r="H80" i="6"/>
  <c r="G80" i="6"/>
  <c r="I79" i="6"/>
  <c r="H79" i="6"/>
  <c r="G79" i="6"/>
  <c r="I78" i="6"/>
  <c r="H78" i="6"/>
  <c r="G78" i="6"/>
  <c r="I77" i="6"/>
  <c r="H77" i="6"/>
  <c r="G77" i="6"/>
  <c r="G83" i="6" s="1"/>
  <c r="I76" i="6"/>
  <c r="I83" i="6" s="1"/>
  <c r="H76" i="6"/>
  <c r="G76" i="6"/>
  <c r="H72" i="6"/>
  <c r="F72" i="6"/>
  <c r="E72" i="6"/>
  <c r="D71" i="6"/>
  <c r="I71" i="6" s="1"/>
  <c r="C71" i="6"/>
  <c r="I70" i="6"/>
  <c r="D70" i="6"/>
  <c r="C70" i="6"/>
  <c r="I69" i="6"/>
  <c r="D69" i="6"/>
  <c r="C69" i="6"/>
  <c r="I68" i="6"/>
  <c r="D68" i="6"/>
  <c r="C68" i="6"/>
  <c r="I67" i="6"/>
  <c r="D67" i="6"/>
  <c r="C67" i="6"/>
  <c r="D66" i="6"/>
  <c r="I66" i="6" s="1"/>
  <c r="C66" i="6"/>
  <c r="I65" i="6"/>
  <c r="D65" i="6"/>
  <c r="C65" i="6"/>
  <c r="I64" i="6"/>
  <c r="D64" i="6"/>
  <c r="C64" i="6"/>
  <c r="I63" i="6"/>
  <c r="D63" i="6"/>
  <c r="C63" i="6"/>
  <c r="I62" i="6"/>
  <c r="D62" i="6"/>
  <c r="C62" i="6"/>
  <c r="I61" i="6"/>
  <c r="G61" i="6"/>
  <c r="D61" i="6"/>
  <c r="D72" i="6" s="1"/>
  <c r="C61" i="6"/>
  <c r="I60" i="6"/>
  <c r="I72" i="6" s="1"/>
  <c r="G60" i="6"/>
  <c r="D60" i="6"/>
  <c r="C60" i="6"/>
  <c r="E56" i="6"/>
  <c r="D56" i="6"/>
  <c r="I55" i="6"/>
  <c r="H55" i="6"/>
  <c r="I54" i="6"/>
  <c r="H54" i="6"/>
  <c r="I53" i="6"/>
  <c r="H53" i="6"/>
  <c r="I52" i="6"/>
  <c r="H52" i="6"/>
  <c r="H56" i="6" s="1"/>
  <c r="G56" i="6" s="1"/>
  <c r="I51" i="6"/>
  <c r="I56" i="6" s="1"/>
  <c r="H51" i="6"/>
  <c r="E47" i="6"/>
  <c r="G27" i="2" s="1"/>
  <c r="I12" i="6"/>
  <c r="E12" i="6"/>
  <c r="I11" i="6"/>
  <c r="E11" i="6"/>
  <c r="I10" i="6"/>
  <c r="P31" i="5"/>
  <c r="O31" i="5"/>
  <c r="N31" i="5"/>
  <c r="M31" i="5"/>
  <c r="L31" i="5"/>
  <c r="K31" i="5"/>
  <c r="J31" i="5"/>
  <c r="I31" i="5"/>
  <c r="H31" i="5"/>
  <c r="G31" i="5"/>
  <c r="F31" i="5"/>
  <c r="E31" i="5"/>
  <c r="D31" i="5"/>
  <c r="O22" i="5"/>
  <c r="N22" i="5"/>
  <c r="M22" i="5"/>
  <c r="L22" i="5"/>
  <c r="K22" i="5"/>
  <c r="J22" i="5"/>
  <c r="I22" i="5"/>
  <c r="H22" i="5"/>
  <c r="G22" i="5"/>
  <c r="O21" i="5"/>
  <c r="N21" i="5"/>
  <c r="M21" i="5"/>
  <c r="L21" i="5"/>
  <c r="K21" i="5"/>
  <c r="J21" i="5"/>
  <c r="I21" i="5"/>
  <c r="H21" i="5"/>
  <c r="G21" i="5"/>
  <c r="F21" i="5"/>
  <c r="O19" i="5"/>
  <c r="J19" i="5"/>
  <c r="D19" i="5"/>
  <c r="O14" i="5"/>
  <c r="N14" i="5"/>
  <c r="M14" i="5"/>
  <c r="L14" i="5"/>
  <c r="K14" i="5"/>
  <c r="J14" i="5"/>
  <c r="I14" i="5"/>
  <c r="H14" i="5"/>
  <c r="G14" i="5"/>
  <c r="F14" i="5"/>
  <c r="P14" i="5" s="1"/>
  <c r="E14" i="5"/>
  <c r="D14" i="5"/>
  <c r="O13" i="5"/>
  <c r="N13" i="5"/>
  <c r="M13" i="5"/>
  <c r="L13" i="5"/>
  <c r="K13" i="5"/>
  <c r="J13" i="5"/>
  <c r="I13" i="5"/>
  <c r="H13" i="5"/>
  <c r="G13" i="5"/>
  <c r="F13" i="5"/>
  <c r="E13" i="5"/>
  <c r="D13" i="5"/>
  <c r="O12" i="5"/>
  <c r="N12" i="5"/>
  <c r="M12" i="5"/>
  <c r="L12" i="5"/>
  <c r="K12" i="5"/>
  <c r="J12" i="5"/>
  <c r="I12" i="5"/>
  <c r="H12" i="5"/>
  <c r="G12" i="5"/>
  <c r="F12" i="5"/>
  <c r="E12" i="5"/>
  <c r="D12" i="5"/>
  <c r="P12" i="5" s="1"/>
  <c r="P9" i="5"/>
  <c r="O8" i="5"/>
  <c r="N8" i="5"/>
  <c r="M8" i="5"/>
  <c r="L8" i="5"/>
  <c r="K8" i="5"/>
  <c r="J8" i="5"/>
  <c r="I8" i="5"/>
  <c r="H8" i="5"/>
  <c r="G8" i="5"/>
  <c r="F8" i="5"/>
  <c r="E8" i="5"/>
  <c r="D8" i="5"/>
  <c r="J70" i="4"/>
  <c r="G70" i="4"/>
  <c r="J67" i="4"/>
  <c r="G67" i="4"/>
  <c r="J65" i="4"/>
  <c r="G65" i="4"/>
  <c r="E53" i="4"/>
  <c r="D53" i="4"/>
  <c r="O48" i="4"/>
  <c r="N48" i="4"/>
  <c r="M48" i="4"/>
  <c r="L48" i="4"/>
  <c r="K48" i="4"/>
  <c r="J48" i="4"/>
  <c r="I48" i="4"/>
  <c r="H48" i="4"/>
  <c r="G48" i="4"/>
  <c r="F48" i="4"/>
  <c r="E48" i="4"/>
  <c r="P48" i="4" s="1"/>
  <c r="D48" i="4"/>
  <c r="O47" i="4"/>
  <c r="N47" i="4"/>
  <c r="M47" i="4"/>
  <c r="L47" i="4"/>
  <c r="K47" i="4"/>
  <c r="J47" i="4"/>
  <c r="I47" i="4"/>
  <c r="H47" i="4"/>
  <c r="G47" i="4"/>
  <c r="F47" i="4"/>
  <c r="E47" i="4"/>
  <c r="D47" i="4"/>
  <c r="O46" i="4"/>
  <c r="N46" i="4"/>
  <c r="M46" i="4"/>
  <c r="L46" i="4"/>
  <c r="K46" i="4"/>
  <c r="J46" i="4"/>
  <c r="I46" i="4"/>
  <c r="H46" i="4"/>
  <c r="G46" i="4"/>
  <c r="F46" i="4"/>
  <c r="E46" i="4"/>
  <c r="D46" i="4"/>
  <c r="O45" i="4"/>
  <c r="N45" i="4"/>
  <c r="M45" i="4"/>
  <c r="L45" i="4"/>
  <c r="K45" i="4"/>
  <c r="J45" i="4"/>
  <c r="I45" i="4"/>
  <c r="H45" i="4"/>
  <c r="G45" i="4"/>
  <c r="F45" i="4"/>
  <c r="E45" i="4"/>
  <c r="D45" i="4"/>
  <c r="P45" i="4" s="1"/>
  <c r="O44" i="4"/>
  <c r="N44" i="4"/>
  <c r="M44" i="4"/>
  <c r="P44" i="4" s="1"/>
  <c r="L44" i="4"/>
  <c r="K44" i="4"/>
  <c r="J44" i="4"/>
  <c r="I44" i="4"/>
  <c r="H44" i="4"/>
  <c r="G44" i="4"/>
  <c r="F44" i="4"/>
  <c r="E44" i="4"/>
  <c r="D44" i="4"/>
  <c r="O42" i="4"/>
  <c r="N42" i="4"/>
  <c r="M42" i="4"/>
  <c r="L42" i="4"/>
  <c r="K42" i="4"/>
  <c r="J42" i="4"/>
  <c r="J20" i="5" s="1"/>
  <c r="I42" i="4"/>
  <c r="H42" i="4"/>
  <c r="G42" i="4"/>
  <c r="F42" i="4"/>
  <c r="E42" i="4"/>
  <c r="D42" i="4"/>
  <c r="O38" i="4"/>
  <c r="N38" i="4"/>
  <c r="M38" i="4"/>
  <c r="L38" i="4"/>
  <c r="K38" i="4"/>
  <c r="K20" i="5" s="1"/>
  <c r="J38" i="4"/>
  <c r="I38" i="4"/>
  <c r="I20" i="5" s="1"/>
  <c r="H38" i="4"/>
  <c r="G38" i="4"/>
  <c r="F38" i="4"/>
  <c r="E38" i="4"/>
  <c r="D38" i="4"/>
  <c r="D20" i="5" s="1"/>
  <c r="O37" i="4"/>
  <c r="N37" i="4"/>
  <c r="N19" i="5" s="1"/>
  <c r="M37" i="4"/>
  <c r="M19" i="5" s="1"/>
  <c r="L37" i="4"/>
  <c r="L19" i="5" s="1"/>
  <c r="K37" i="4"/>
  <c r="K19" i="5" s="1"/>
  <c r="J37" i="4"/>
  <c r="I37" i="4"/>
  <c r="I19" i="5" s="1"/>
  <c r="H37" i="4"/>
  <c r="H19" i="5" s="1"/>
  <c r="G37" i="4"/>
  <c r="G19" i="5" s="1"/>
  <c r="F37" i="4"/>
  <c r="F19" i="5" s="1"/>
  <c r="E37" i="4"/>
  <c r="E19" i="5" s="1"/>
  <c r="D37" i="4"/>
  <c r="O27" i="4"/>
  <c r="N27" i="4"/>
  <c r="M27" i="4"/>
  <c r="P27" i="4" s="1"/>
  <c r="L27" i="4"/>
  <c r="K27" i="4"/>
  <c r="J27" i="4"/>
  <c r="I27" i="4"/>
  <c r="H27" i="4"/>
  <c r="G27" i="4"/>
  <c r="F27" i="4"/>
  <c r="E27" i="4"/>
  <c r="D27" i="4"/>
  <c r="I23" i="4"/>
  <c r="C23" i="4"/>
  <c r="O22" i="4"/>
  <c r="N22" i="4"/>
  <c r="M22" i="4"/>
  <c r="L22" i="4"/>
  <c r="K22" i="4"/>
  <c r="J22" i="4"/>
  <c r="I22" i="4"/>
  <c r="H22" i="4"/>
  <c r="G22" i="4"/>
  <c r="F22" i="4"/>
  <c r="C22" i="4"/>
  <c r="O21" i="4"/>
  <c r="N21" i="4"/>
  <c r="K21" i="4"/>
  <c r="J21" i="4"/>
  <c r="I21" i="4"/>
  <c r="H21" i="4"/>
  <c r="G21" i="4"/>
  <c r="E21" i="4"/>
  <c r="D21" i="4"/>
  <c r="P21" i="4" s="1"/>
  <c r="C21" i="4"/>
  <c r="J20" i="4"/>
  <c r="I20" i="4"/>
  <c r="E20" i="4"/>
  <c r="D20" i="4"/>
  <c r="C20" i="4"/>
  <c r="O19" i="4"/>
  <c r="N19" i="4"/>
  <c r="E19" i="4"/>
  <c r="E24" i="4" s="1"/>
  <c r="D19" i="4"/>
  <c r="C19" i="4"/>
  <c r="O15" i="4"/>
  <c r="O23" i="4" s="1"/>
  <c r="N15" i="4"/>
  <c r="N23" i="4" s="1"/>
  <c r="M15" i="4"/>
  <c r="M23" i="4" s="1"/>
  <c r="L15" i="4"/>
  <c r="L23" i="4" s="1"/>
  <c r="K15" i="4"/>
  <c r="K23" i="4" s="1"/>
  <c r="J15" i="4"/>
  <c r="J23" i="4" s="1"/>
  <c r="I15" i="4"/>
  <c r="H15" i="4"/>
  <c r="H23" i="4" s="1"/>
  <c r="G15" i="4"/>
  <c r="G23" i="4" s="1"/>
  <c r="F15" i="4"/>
  <c r="F23" i="4" s="1"/>
  <c r="E15" i="4"/>
  <c r="E23" i="4" s="1"/>
  <c r="P23" i="4" s="1"/>
  <c r="D15" i="4"/>
  <c r="D23" i="4" s="1"/>
  <c r="C15" i="4"/>
  <c r="O14" i="4"/>
  <c r="N14" i="4"/>
  <c r="M14" i="4"/>
  <c r="L14" i="4"/>
  <c r="K14" i="4"/>
  <c r="J14" i="4"/>
  <c r="I14" i="4"/>
  <c r="H14" i="4"/>
  <c r="G14" i="4"/>
  <c r="F14" i="4"/>
  <c r="E14" i="4"/>
  <c r="E22" i="4" s="1"/>
  <c r="D14" i="4"/>
  <c r="C14" i="4"/>
  <c r="O13" i="4"/>
  <c r="N13" i="4"/>
  <c r="M13" i="4"/>
  <c r="M21" i="4" s="1"/>
  <c r="L13" i="4"/>
  <c r="L21" i="4" s="1"/>
  <c r="K13" i="4"/>
  <c r="J13" i="4"/>
  <c r="I13" i="4"/>
  <c r="H13" i="4"/>
  <c r="G13" i="4"/>
  <c r="F13" i="4"/>
  <c r="F21" i="4" s="1"/>
  <c r="E13" i="4"/>
  <c r="D13" i="4"/>
  <c r="C13" i="4"/>
  <c r="O12" i="4"/>
  <c r="O20" i="4" s="1"/>
  <c r="O24" i="4" s="1"/>
  <c r="N12" i="4"/>
  <c r="N20" i="4" s="1"/>
  <c r="M12" i="4"/>
  <c r="M20" i="4" s="1"/>
  <c r="L12" i="4"/>
  <c r="L20" i="4" s="1"/>
  <c r="K12" i="4"/>
  <c r="K20" i="4" s="1"/>
  <c r="J12" i="4"/>
  <c r="I12" i="4"/>
  <c r="H12" i="4"/>
  <c r="H20" i="4" s="1"/>
  <c r="G12" i="4"/>
  <c r="G20" i="4" s="1"/>
  <c r="F12" i="4"/>
  <c r="F20" i="4" s="1"/>
  <c r="E12" i="4"/>
  <c r="D12" i="4"/>
  <c r="C12" i="4"/>
  <c r="O11" i="4"/>
  <c r="N11" i="4"/>
  <c r="M11" i="4"/>
  <c r="L11" i="4"/>
  <c r="K11" i="4"/>
  <c r="J11" i="4"/>
  <c r="I11" i="4"/>
  <c r="H11" i="4"/>
  <c r="G11" i="4"/>
  <c r="F11" i="4"/>
  <c r="E11" i="4"/>
  <c r="D11" i="4"/>
  <c r="C11" i="4"/>
  <c r="O10" i="4"/>
  <c r="N10" i="4"/>
  <c r="M10" i="4"/>
  <c r="L10" i="4"/>
  <c r="K10" i="4"/>
  <c r="J10" i="4"/>
  <c r="I10" i="4"/>
  <c r="H10" i="4"/>
  <c r="G10" i="4"/>
  <c r="F10" i="4"/>
  <c r="E10" i="4"/>
  <c r="D10" i="4"/>
  <c r="P10" i="4" s="1"/>
  <c r="O8" i="4"/>
  <c r="N8" i="4"/>
  <c r="M8" i="4"/>
  <c r="L8" i="4"/>
  <c r="K8" i="4"/>
  <c r="J8" i="4"/>
  <c r="I8" i="4"/>
  <c r="H8" i="4"/>
  <c r="G8" i="4"/>
  <c r="F8" i="4"/>
  <c r="E8" i="4"/>
  <c r="D8" i="4"/>
  <c r="G90" i="3"/>
  <c r="D79" i="3"/>
  <c r="E75" i="3" s="1"/>
  <c r="D77" i="3"/>
  <c r="D75" i="3"/>
  <c r="D76" i="3" s="1"/>
  <c r="D78" i="3" s="1"/>
  <c r="I74" i="3"/>
  <c r="E71" i="3"/>
  <c r="D71" i="3"/>
  <c r="D69" i="3"/>
  <c r="D70" i="3" s="1"/>
  <c r="D72" i="3" s="1"/>
  <c r="I68" i="3"/>
  <c r="D65" i="3"/>
  <c r="D82" i="3" s="1"/>
  <c r="D63" i="3"/>
  <c r="D64" i="3" s="1"/>
  <c r="I62" i="3"/>
  <c r="D58" i="3"/>
  <c r="D56" i="3"/>
  <c r="D52" i="3"/>
  <c r="D57" i="3" s="1"/>
  <c r="F47" i="1" s="1"/>
  <c r="E50" i="3"/>
  <c r="E49" i="3"/>
  <c r="E48" i="3"/>
  <c r="E46" i="3"/>
  <c r="E45" i="3"/>
  <c r="D38" i="3"/>
  <c r="D37" i="3"/>
  <c r="D36" i="3"/>
  <c r="D39" i="3" s="1"/>
  <c r="F32" i="3"/>
  <c r="D32" i="3"/>
  <c r="F31" i="3"/>
  <c r="F22" i="5" s="1"/>
  <c r="F30" i="3"/>
  <c r="F29" i="3"/>
  <c r="E22" i="5" s="1"/>
  <c r="F28" i="3"/>
  <c r="F27" i="3"/>
  <c r="F26" i="3"/>
  <c r="F25" i="3"/>
  <c r="D22" i="5" s="1"/>
  <c r="P22" i="5" s="1"/>
  <c r="D21" i="3"/>
  <c r="H20" i="3"/>
  <c r="F20" i="3"/>
  <c r="H19" i="3"/>
  <c r="F19" i="3"/>
  <c r="H18" i="3"/>
  <c r="F18" i="3"/>
  <c r="H17" i="3"/>
  <c r="F17" i="3"/>
  <c r="H16" i="3"/>
  <c r="F16" i="3"/>
  <c r="H15" i="3"/>
  <c r="F15" i="3"/>
  <c r="H14" i="3"/>
  <c r="F14" i="3"/>
  <c r="H13" i="3"/>
  <c r="F13" i="3"/>
  <c r="H12" i="3"/>
  <c r="F12" i="3"/>
  <c r="H11" i="3"/>
  <c r="F11" i="3"/>
  <c r="H10" i="3"/>
  <c r="F10" i="3"/>
  <c r="H9" i="3"/>
  <c r="F9" i="3"/>
  <c r="E64" i="2"/>
  <c r="H64" i="2" s="1"/>
  <c r="F55" i="2"/>
  <c r="D55" i="2"/>
  <c r="H46" i="2"/>
  <c r="H45" i="2"/>
  <c r="E45" i="2"/>
  <c r="H29" i="2"/>
  <c r="F56" i="1" s="1"/>
  <c r="J56" i="1" s="1"/>
  <c r="F29" i="2"/>
  <c r="H57" i="1"/>
  <c r="H56" i="1"/>
  <c r="H55" i="1"/>
  <c r="H54" i="1"/>
  <c r="H53" i="1"/>
  <c r="H52" i="1"/>
  <c r="H51" i="1"/>
  <c r="H50" i="1"/>
  <c r="H49" i="1"/>
  <c r="F49" i="1"/>
  <c r="J49" i="1" s="1"/>
  <c r="H48" i="1"/>
  <c r="J47" i="1"/>
  <c r="H47" i="1"/>
  <c r="H46" i="1"/>
  <c r="K14" i="1"/>
  <c r="I14" i="1"/>
  <c r="F11" i="1"/>
  <c r="L10" i="1"/>
  <c r="F10" i="1"/>
  <c r="L9" i="1"/>
  <c r="F9" i="1"/>
  <c r="L8" i="1"/>
  <c r="F8" i="1"/>
  <c r="J3" i="1"/>
  <c r="E47" i="2" l="1"/>
  <c r="H47" i="2" s="1"/>
  <c r="H55" i="2" s="1"/>
  <c r="F57" i="1" s="1"/>
  <c r="J57" i="1" s="1"/>
  <c r="E48" i="2"/>
  <c r="H48" i="2" s="1"/>
  <c r="G17" i="2"/>
  <c r="E49" i="2"/>
  <c r="H49" i="2" s="1"/>
  <c r="G18" i="2"/>
  <c r="G19" i="2"/>
  <c r="E50" i="2"/>
  <c r="H50" i="2" s="1"/>
  <c r="L11" i="1"/>
  <c r="G20" i="2"/>
  <c r="E51" i="2"/>
  <c r="H51" i="2" s="1"/>
  <c r="G21" i="2"/>
  <c r="E52" i="2"/>
  <c r="H52" i="2" s="1"/>
  <c r="G22" i="2"/>
  <c r="G23" i="2"/>
  <c r="E53" i="2"/>
  <c r="H53" i="2" s="1"/>
  <c r="G28" i="2"/>
  <c r="E46" i="2"/>
  <c r="I13" i="6"/>
  <c r="G24" i="2"/>
  <c r="E54" i="2"/>
  <c r="H54" i="2" s="1"/>
  <c r="G25" i="2"/>
  <c r="G26" i="2"/>
  <c r="P20" i="4"/>
  <c r="O32" i="4"/>
  <c r="O33" i="4"/>
  <c r="O41" i="4"/>
  <c r="E41" i="4"/>
  <c r="E33" i="4"/>
  <c r="D40" i="3"/>
  <c r="D41" i="3" s="1"/>
  <c r="P14" i="4"/>
  <c r="D22" i="4"/>
  <c r="P22" i="4" s="1"/>
  <c r="J56" i="6"/>
  <c r="F56" i="6"/>
  <c r="J52" i="6"/>
  <c r="G20" i="5"/>
  <c r="G19" i="4"/>
  <c r="G24" i="4" s="1"/>
  <c r="G16" i="4"/>
  <c r="F21" i="3"/>
  <c r="H16" i="4"/>
  <c r="H19" i="4"/>
  <c r="H24" i="4" s="1"/>
  <c r="J16" i="4"/>
  <c r="J19" i="4"/>
  <c r="J24" i="4" s="1"/>
  <c r="D73" i="3"/>
  <c r="E69" i="3" s="1"/>
  <c r="F64" i="2"/>
  <c r="E77" i="3"/>
  <c r="E79" i="3" s="1"/>
  <c r="F75" i="3" s="1"/>
  <c r="E76" i="3"/>
  <c r="E78" i="3" s="1"/>
  <c r="P11" i="4"/>
  <c r="E16" i="4"/>
  <c r="G69" i="6"/>
  <c r="G64" i="6"/>
  <c r="G68" i="6"/>
  <c r="G63" i="6"/>
  <c r="G67" i="6"/>
  <c r="G62" i="6"/>
  <c r="G72" i="6" s="1"/>
  <c r="G71" i="6"/>
  <c r="G66" i="6"/>
  <c r="G70" i="6"/>
  <c r="G65" i="6"/>
  <c r="H20" i="5"/>
  <c r="P12" i="4"/>
  <c r="P15" i="4"/>
  <c r="D16" i="4"/>
  <c r="D67" i="3"/>
  <c r="F20" i="5"/>
  <c r="K16" i="4"/>
  <c r="K19" i="4"/>
  <c r="K24" i="4" s="1"/>
  <c r="L16" i="4"/>
  <c r="P42" i="4"/>
  <c r="P38" i="4"/>
  <c r="E20" i="5"/>
  <c r="G64" i="2"/>
  <c r="D21" i="5"/>
  <c r="P21" i="5" s="1"/>
  <c r="F19" i="4"/>
  <c r="F24" i="4" s="1"/>
  <c r="F16" i="4"/>
  <c r="D81" i="3"/>
  <c r="D66" i="3"/>
  <c r="D80" i="3" s="1"/>
  <c r="D87" i="3" s="1"/>
  <c r="O24" i="5"/>
  <c r="N24" i="5"/>
  <c r="M24" i="5"/>
  <c r="L24" i="5"/>
  <c r="I24" i="5"/>
  <c r="H24" i="5"/>
  <c r="G24" i="5"/>
  <c r="F24" i="5"/>
  <c r="E24" i="5"/>
  <c r="D24" i="5"/>
  <c r="K24" i="5"/>
  <c r="J24" i="5"/>
  <c r="P19" i="5"/>
  <c r="I16" i="4"/>
  <c r="I19" i="4"/>
  <c r="I24" i="4" s="1"/>
  <c r="H21" i="3"/>
  <c r="P13" i="4"/>
  <c r="E21" i="5"/>
  <c r="M16" i="4"/>
  <c r="N16" i="4"/>
  <c r="P47" i="4"/>
  <c r="J53" i="6"/>
  <c r="O16" i="4"/>
  <c r="L19" i="4"/>
  <c r="L24" i="4" s="1"/>
  <c r="P37" i="4"/>
  <c r="L20" i="5"/>
  <c r="E47" i="3"/>
  <c r="M19" i="4"/>
  <c r="M24" i="4" s="1"/>
  <c r="M20" i="5"/>
  <c r="J54" i="6"/>
  <c r="E51" i="3"/>
  <c r="N24" i="4"/>
  <c r="N20" i="5"/>
  <c r="P13" i="5"/>
  <c r="J55" i="6"/>
  <c r="E14" i="1"/>
  <c r="E52" i="3"/>
  <c r="P46" i="4"/>
  <c r="O20" i="5"/>
  <c r="P20" i="5" s="1"/>
  <c r="G68" i="4"/>
  <c r="J68" i="4"/>
  <c r="J51" i="6"/>
  <c r="F77" i="3" l="1"/>
  <c r="F76" i="3"/>
  <c r="F78" i="3" s="1"/>
  <c r="F79" i="3"/>
  <c r="G75" i="3" s="1"/>
  <c r="E38" i="3"/>
  <c r="E41" i="3"/>
  <c r="D53" i="3"/>
  <c r="C14" i="1"/>
  <c r="D55" i="3"/>
  <c r="D54" i="3"/>
  <c r="E36" i="3"/>
  <c r="E39" i="3"/>
  <c r="E37" i="3"/>
  <c r="K34" i="5"/>
  <c r="K41" i="4"/>
  <c r="K32" i="4"/>
  <c r="K33" i="4"/>
  <c r="E40" i="4"/>
  <c r="E26" i="4"/>
  <c r="E17" i="4"/>
  <c r="E39" i="4"/>
  <c r="E25" i="4"/>
  <c r="E28" i="4"/>
  <c r="K28" i="4"/>
  <c r="K39" i="4"/>
  <c r="K25" i="4"/>
  <c r="K40" i="4"/>
  <c r="K26" i="4"/>
  <c r="K17" i="4"/>
  <c r="O23" i="5"/>
  <c r="N54" i="4"/>
  <c r="L54" i="4"/>
  <c r="N23" i="5"/>
  <c r="M54" i="4"/>
  <c r="M23" i="5"/>
  <c r="L23" i="5"/>
  <c r="K23" i="5"/>
  <c r="J23" i="5"/>
  <c r="I23" i="5"/>
  <c r="H23" i="5"/>
  <c r="G54" i="4"/>
  <c r="G23" i="5"/>
  <c r="F54" i="4"/>
  <c r="F23" i="5"/>
  <c r="E54" i="4"/>
  <c r="E23" i="5"/>
  <c r="D54" i="4"/>
  <c r="O54" i="4"/>
  <c r="I54" i="4"/>
  <c r="H54" i="4"/>
  <c r="D23" i="5"/>
  <c r="K54" i="4"/>
  <c r="D88" i="3"/>
  <c r="J54" i="4"/>
  <c r="F40" i="4"/>
  <c r="F26" i="4"/>
  <c r="F39" i="4"/>
  <c r="F17" i="4"/>
  <c r="F25" i="4"/>
  <c r="F28" i="4"/>
  <c r="I32" i="4"/>
  <c r="I41" i="4"/>
  <c r="I33" i="4"/>
  <c r="L28" i="4"/>
  <c r="L25" i="4"/>
  <c r="L39" i="4"/>
  <c r="L17" i="4"/>
  <c r="L40" i="4"/>
  <c r="L26" i="4"/>
  <c r="N25" i="4"/>
  <c r="N34" i="5" s="1"/>
  <c r="N40" i="4"/>
  <c r="N39" i="4"/>
  <c r="N28" i="4"/>
  <c r="N26" i="4"/>
  <c r="N17" i="4"/>
  <c r="M40" i="4"/>
  <c r="M25" i="4"/>
  <c r="M39" i="4"/>
  <c r="M28" i="4"/>
  <c r="M17" i="4"/>
  <c r="M26" i="4"/>
  <c r="D24" i="4"/>
  <c r="D83" i="3"/>
  <c r="D92" i="3" s="1"/>
  <c r="E63" i="3"/>
  <c r="H53" i="4"/>
  <c r="F53" i="4"/>
  <c r="G53" i="4"/>
  <c r="G74" i="4"/>
  <c r="O53" i="4"/>
  <c r="N53" i="4"/>
  <c r="L53" i="4"/>
  <c r="M53" i="4"/>
  <c r="I53" i="4"/>
  <c r="J74" i="4"/>
  <c r="K53" i="4"/>
  <c r="J53" i="4"/>
  <c r="F91" i="3"/>
  <c r="E91" i="3"/>
  <c r="D91" i="3"/>
  <c r="D26" i="4"/>
  <c r="D39" i="4"/>
  <c r="D17" i="4"/>
  <c r="D25" i="4"/>
  <c r="D40" i="4"/>
  <c r="P16" i="4"/>
  <c r="P17" i="4" s="1"/>
  <c r="D28" i="4"/>
  <c r="E70" i="3"/>
  <c r="E72" i="3" s="1"/>
  <c r="E73" i="3"/>
  <c r="F69" i="3" s="1"/>
  <c r="N41" i="4"/>
  <c r="N32" i="4"/>
  <c r="N33" i="4"/>
  <c r="F41" i="4"/>
  <c r="F32" i="4"/>
  <c r="F33" i="4"/>
  <c r="J32" i="4"/>
  <c r="J41" i="4"/>
  <c r="J33" i="4"/>
  <c r="E32" i="4"/>
  <c r="I39" i="4"/>
  <c r="I17" i="4"/>
  <c r="I25" i="4"/>
  <c r="I34" i="5" s="1"/>
  <c r="I28" i="4"/>
  <c r="I40" i="4"/>
  <c r="I26" i="4"/>
  <c r="J39" i="4"/>
  <c r="J25" i="4"/>
  <c r="J28" i="4"/>
  <c r="J40" i="4"/>
  <c r="J26" i="4"/>
  <c r="J17" i="4"/>
  <c r="H39" i="4"/>
  <c r="H40" i="4"/>
  <c r="H17" i="4"/>
  <c r="H25" i="4"/>
  <c r="H28" i="4"/>
  <c r="H26" i="4"/>
  <c r="G39" i="4"/>
  <c r="G40" i="4"/>
  <c r="G17" i="4"/>
  <c r="G25" i="4"/>
  <c r="G28" i="4"/>
  <c r="G26" i="4"/>
  <c r="P24" i="5"/>
  <c r="F39" i="1"/>
  <c r="D68" i="4"/>
  <c r="D70" i="4"/>
  <c r="L41" i="4"/>
  <c r="L33" i="4"/>
  <c r="L32" i="4"/>
  <c r="D90" i="4"/>
  <c r="J64" i="4"/>
  <c r="G64" i="4"/>
  <c r="E40" i="3"/>
  <c r="H41" i="4"/>
  <c r="H34" i="5"/>
  <c r="H32" i="4"/>
  <c r="H33" i="4"/>
  <c r="M34" i="5"/>
  <c r="M41" i="4"/>
  <c r="M33" i="4"/>
  <c r="M32" i="4"/>
  <c r="P19" i="4"/>
  <c r="G41" i="4"/>
  <c r="G32" i="4"/>
  <c r="G33" i="4"/>
  <c r="O40" i="4"/>
  <c r="O17" i="4"/>
  <c r="O39" i="4"/>
  <c r="O25" i="4"/>
  <c r="O28" i="4"/>
  <c r="O26" i="4"/>
  <c r="J36" i="4" l="1"/>
  <c r="J29" i="4"/>
  <c r="J30" i="4" s="1"/>
  <c r="P53" i="4"/>
  <c r="D29" i="4"/>
  <c r="P25" i="4"/>
  <c r="D36" i="4"/>
  <c r="K36" i="4"/>
  <c r="K29" i="4"/>
  <c r="K30" i="4" s="1"/>
  <c r="O36" i="4"/>
  <c r="O29" i="4"/>
  <c r="O30" i="4" s="1"/>
  <c r="O34" i="5"/>
  <c r="G29" i="4"/>
  <c r="G30" i="4" s="1"/>
  <c r="G36" i="4"/>
  <c r="P54" i="4"/>
  <c r="D30" i="4"/>
  <c r="D34" i="5"/>
  <c r="D32" i="4"/>
  <c r="D41" i="4"/>
  <c r="P41" i="4" s="1"/>
  <c r="P24" i="4"/>
  <c r="D33" i="4"/>
  <c r="J66" i="4"/>
  <c r="L64" i="4" s="1"/>
  <c r="E29" i="4"/>
  <c r="E30" i="4" s="1"/>
  <c r="E36" i="4"/>
  <c r="E34" i="5"/>
  <c r="H28" i="1"/>
  <c r="P28" i="4"/>
  <c r="G66" i="4"/>
  <c r="I74" i="4" s="1"/>
  <c r="G69" i="4"/>
  <c r="I64" i="4"/>
  <c r="G14" i="1"/>
  <c r="F46" i="1"/>
  <c r="J46" i="1" s="1"/>
  <c r="P23" i="5"/>
  <c r="D47" i="5" s="1"/>
  <c r="P40" i="4"/>
  <c r="P26" i="4"/>
  <c r="M36" i="4"/>
  <c r="M29" i="4"/>
  <c r="M30" i="4" s="1"/>
  <c r="F29" i="4"/>
  <c r="F30" i="4" s="1"/>
  <c r="F36" i="4"/>
  <c r="G77" i="3"/>
  <c r="G76" i="3"/>
  <c r="G78" i="3" s="1"/>
  <c r="G79" i="3"/>
  <c r="H75" i="3" s="1"/>
  <c r="L36" i="4"/>
  <c r="L29" i="4"/>
  <c r="L30" i="4" s="1"/>
  <c r="H29" i="4"/>
  <c r="H30" i="4" s="1"/>
  <c r="H36" i="4"/>
  <c r="L34" i="5"/>
  <c r="N36" i="4"/>
  <c r="N29" i="4"/>
  <c r="N30" i="4" s="1"/>
  <c r="F71" i="3"/>
  <c r="F73" i="3" s="1"/>
  <c r="G69" i="3" s="1"/>
  <c r="F70" i="3"/>
  <c r="I29" i="4"/>
  <c r="I30" i="4" s="1"/>
  <c r="I36" i="4"/>
  <c r="I19" i="1"/>
  <c r="F48" i="1"/>
  <c r="J48" i="1" s="1"/>
  <c r="E65" i="3"/>
  <c r="E82" i="3" s="1"/>
  <c r="E64" i="3"/>
  <c r="E67" i="3"/>
  <c r="P39" i="4"/>
  <c r="G34" i="5"/>
  <c r="J34" i="5"/>
  <c r="F41" i="1"/>
  <c r="F34" i="5"/>
  <c r="L74" i="4"/>
  <c r="J28" i="1"/>
  <c r="G71" i="3" l="1"/>
  <c r="G70" i="3"/>
  <c r="G72" i="3" s="1"/>
  <c r="G73" i="3"/>
  <c r="H69" i="3" s="1"/>
  <c r="D75" i="4"/>
  <c r="G49" i="4"/>
  <c r="G51" i="4" s="1"/>
  <c r="G18" i="5"/>
  <c r="G35" i="5"/>
  <c r="G36" i="5" s="1"/>
  <c r="O51" i="4"/>
  <c r="O11" i="5"/>
  <c r="O43" i="4"/>
  <c r="O34" i="4"/>
  <c r="F63" i="3"/>
  <c r="E83" i="3"/>
  <c r="E92" i="3" s="1"/>
  <c r="G11" i="5"/>
  <c r="G34" i="4"/>
  <c r="G43" i="4"/>
  <c r="H25" i="1"/>
  <c r="G72" i="4"/>
  <c r="I65" i="4"/>
  <c r="I66" i="4"/>
  <c r="I67" i="4"/>
  <c r="I70" i="4"/>
  <c r="I68" i="4"/>
  <c r="L43" i="4"/>
  <c r="L35" i="5" s="1"/>
  <c r="L36" i="5" s="1"/>
  <c r="L11" i="5"/>
  <c r="L34" i="4"/>
  <c r="H79" i="3"/>
  <c r="H77" i="3"/>
  <c r="H76" i="3"/>
  <c r="H78" i="3" s="1"/>
  <c r="K43" i="4"/>
  <c r="K18" i="5" s="1"/>
  <c r="K11" i="5"/>
  <c r="K34" i="4"/>
  <c r="K35" i="5"/>
  <c r="K36" i="5" s="1"/>
  <c r="K49" i="4"/>
  <c r="K51" i="4" s="1"/>
  <c r="E66" i="3"/>
  <c r="E80" i="3" s="1"/>
  <c r="E81" i="3"/>
  <c r="E43" i="4"/>
  <c r="E35" i="5" s="1"/>
  <c r="E36" i="5" s="1"/>
  <c r="E34" i="4"/>
  <c r="E11" i="5"/>
  <c r="J69" i="4"/>
  <c r="M43" i="4"/>
  <c r="M35" i="5" s="1"/>
  <c r="M36" i="5" s="1"/>
  <c r="M11" i="5"/>
  <c r="M34" i="4"/>
  <c r="J11" i="5"/>
  <c r="J34" i="4"/>
  <c r="J43" i="4"/>
  <c r="J18" i="5" s="1"/>
  <c r="P34" i="5"/>
  <c r="N43" i="4"/>
  <c r="N49" i="4" s="1"/>
  <c r="N51" i="4" s="1"/>
  <c r="N11" i="5"/>
  <c r="N34" i="4"/>
  <c r="D34" i="4"/>
  <c r="D43" i="4"/>
  <c r="D11" i="5"/>
  <c r="P30" i="4"/>
  <c r="Q28" i="4" s="1"/>
  <c r="I69" i="4"/>
  <c r="D85" i="4"/>
  <c r="D86" i="4" s="1"/>
  <c r="D87" i="4" s="1"/>
  <c r="G71" i="4"/>
  <c r="I71" i="4" s="1"/>
  <c r="H11" i="5"/>
  <c r="H34" i="4"/>
  <c r="H43" i="4"/>
  <c r="H18" i="5" s="1"/>
  <c r="O18" i="5"/>
  <c r="O49" i="4"/>
  <c r="O35" i="5"/>
  <c r="D74" i="4"/>
  <c r="I49" i="4"/>
  <c r="I51" i="4" s="1"/>
  <c r="I35" i="5"/>
  <c r="I36" i="5" s="1"/>
  <c r="I18" i="5"/>
  <c r="I11" i="5"/>
  <c r="I34" i="4"/>
  <c r="I43" i="4"/>
  <c r="P33" i="4"/>
  <c r="K19" i="1" s="1"/>
  <c r="D64" i="4"/>
  <c r="P32" i="4"/>
  <c r="F36" i="1"/>
  <c r="J35" i="5"/>
  <c r="J36" i="5" s="1"/>
  <c r="J49" i="4"/>
  <c r="J51" i="4" s="1"/>
  <c r="N35" i="5"/>
  <c r="N36" i="5" s="1"/>
  <c r="O36" i="5"/>
  <c r="D35" i="5"/>
  <c r="D18" i="5"/>
  <c r="P36" i="4"/>
  <c r="L66" i="4"/>
  <c r="J25" i="1"/>
  <c r="L70" i="4"/>
  <c r="L65" i="4"/>
  <c r="L67" i="4"/>
  <c r="L68" i="4"/>
  <c r="F43" i="4"/>
  <c r="F35" i="5" s="1"/>
  <c r="F36" i="5" s="1"/>
  <c r="F34" i="4"/>
  <c r="F11" i="5"/>
  <c r="P29" i="4"/>
  <c r="F72" i="3"/>
  <c r="K55" i="4" l="1"/>
  <c r="K52" i="4"/>
  <c r="K15" i="5"/>
  <c r="K16" i="5" s="1"/>
  <c r="K25" i="5"/>
  <c r="M15" i="5"/>
  <c r="M25" i="5"/>
  <c r="J55" i="4"/>
  <c r="J52" i="4"/>
  <c r="N52" i="4"/>
  <c r="N55" i="4"/>
  <c r="I52" i="4"/>
  <c r="I55" i="4"/>
  <c r="G55" i="4"/>
  <c r="G52" i="4"/>
  <c r="F15" i="5"/>
  <c r="F16" i="5" s="1"/>
  <c r="F25" i="5"/>
  <c r="G25" i="5"/>
  <c r="G15" i="5"/>
  <c r="H25" i="5"/>
  <c r="H15" i="5"/>
  <c r="H16" i="5" s="1"/>
  <c r="N25" i="5"/>
  <c r="N15" i="5"/>
  <c r="Q40" i="4"/>
  <c r="P11" i="5"/>
  <c r="D16" i="5"/>
  <c r="E18" i="5"/>
  <c r="L15" i="5"/>
  <c r="L16" i="5" s="1"/>
  <c r="L25" i="5"/>
  <c r="L18" i="5"/>
  <c r="P35" i="5"/>
  <c r="Q53" i="4"/>
  <c r="F28" i="1"/>
  <c r="I72" i="4"/>
  <c r="G73" i="4"/>
  <c r="H26" i="1"/>
  <c r="L69" i="4"/>
  <c r="J71" i="4"/>
  <c r="D65" i="4"/>
  <c r="Q29" i="4"/>
  <c r="F37" i="1"/>
  <c r="O25" i="5"/>
  <c r="O15" i="5"/>
  <c r="O16" i="5" s="1"/>
  <c r="Q25" i="4"/>
  <c r="F49" i="4"/>
  <c r="F51" i="4" s="1"/>
  <c r="M18" i="5"/>
  <c r="F29" i="1"/>
  <c r="Q41" i="4"/>
  <c r="O52" i="4"/>
  <c r="O55" i="4"/>
  <c r="P43" i="4"/>
  <c r="N18" i="5"/>
  <c r="L49" i="4"/>
  <c r="L51" i="4" s="1"/>
  <c r="H35" i="5"/>
  <c r="H36" i="5" s="1"/>
  <c r="H71" i="3"/>
  <c r="H73" i="3"/>
  <c r="H70" i="3"/>
  <c r="H72" i="3" s="1"/>
  <c r="Q30" i="4"/>
  <c r="P34" i="4"/>
  <c r="Q27" i="4"/>
  <c r="Q45" i="4"/>
  <c r="Q21" i="4"/>
  <c r="Q44" i="4"/>
  <c r="Q23" i="4"/>
  <c r="Q48" i="4"/>
  <c r="Q37" i="4"/>
  <c r="Q22" i="4"/>
  <c r="Q20" i="4"/>
  <c r="Q46" i="4"/>
  <c r="Q42" i="4"/>
  <c r="Q47" i="4"/>
  <c r="Q38" i="4"/>
  <c r="Q19" i="4"/>
  <c r="N16" i="5"/>
  <c r="E49" i="4"/>
  <c r="E51" i="4" s="1"/>
  <c r="G75" i="4"/>
  <c r="E88" i="3"/>
  <c r="E87" i="3"/>
  <c r="M14" i="1"/>
  <c r="D36" i="5"/>
  <c r="G16" i="5"/>
  <c r="Q24" i="4"/>
  <c r="M49" i="4"/>
  <c r="M51" i="4" s="1"/>
  <c r="H49" i="4"/>
  <c r="H51" i="4" s="1"/>
  <c r="Q54" i="4"/>
  <c r="Q26" i="4"/>
  <c r="M16" i="5"/>
  <c r="J25" i="5"/>
  <c r="J15" i="5"/>
  <c r="J16" i="5" s="1"/>
  <c r="F65" i="3"/>
  <c r="F82" i="3" s="1"/>
  <c r="F64" i="3"/>
  <c r="F18" i="5"/>
  <c r="Q39" i="4"/>
  <c r="D49" i="4"/>
  <c r="D67" i="4"/>
  <c r="Q36" i="4"/>
  <c r="F38" i="1"/>
  <c r="N56" i="4" l="1"/>
  <c r="N26" i="5" s="1"/>
  <c r="N27" i="5" s="1"/>
  <c r="N29" i="5" s="1"/>
  <c r="F67" i="3"/>
  <c r="E15" i="5"/>
  <c r="E25" i="5"/>
  <c r="P36" i="5"/>
  <c r="D48" i="5" s="1"/>
  <c r="D71" i="4"/>
  <c r="F71" i="4" s="1"/>
  <c r="F55" i="4"/>
  <c r="F52" i="4"/>
  <c r="F66" i="3"/>
  <c r="F80" i="3" s="1"/>
  <c r="F87" i="3" s="1"/>
  <c r="F81" i="3"/>
  <c r="E52" i="4"/>
  <c r="E55" i="4"/>
  <c r="Q43" i="4"/>
  <c r="D69" i="4"/>
  <c r="P49" i="4"/>
  <c r="Q49" i="4" s="1"/>
  <c r="D51" i="4"/>
  <c r="I75" i="4"/>
  <c r="H29" i="1"/>
  <c r="D84" i="4"/>
  <c r="D88" i="4" s="1"/>
  <c r="I25" i="5"/>
  <c r="I15" i="5"/>
  <c r="I16" i="5" s="1"/>
  <c r="G56" i="4"/>
  <c r="G26" i="5" s="1"/>
  <c r="G27" i="5" s="1"/>
  <c r="G29" i="5" s="1"/>
  <c r="G57" i="4"/>
  <c r="G59" i="4" s="1"/>
  <c r="L71" i="4"/>
  <c r="J72" i="4"/>
  <c r="J56" i="4"/>
  <c r="J26" i="5" s="1"/>
  <c r="J27" i="5" s="1"/>
  <c r="J29" i="5" s="1"/>
  <c r="O56" i="4"/>
  <c r="O26" i="5" s="1"/>
  <c r="O27" i="5" s="1"/>
  <c r="O29" i="5" s="1"/>
  <c r="M55" i="4"/>
  <c r="M52" i="4"/>
  <c r="H27" i="1"/>
  <c r="F50" i="1"/>
  <c r="J50" i="1" s="1"/>
  <c r="P18" i="5"/>
  <c r="I56" i="4"/>
  <c r="I26" i="5" s="1"/>
  <c r="D66" i="4"/>
  <c r="H37" i="1" s="1"/>
  <c r="L55" i="4"/>
  <c r="L52" i="4"/>
  <c r="H52" i="4"/>
  <c r="H55" i="4"/>
  <c r="G76" i="4"/>
  <c r="K56" i="4"/>
  <c r="K26" i="5" s="1"/>
  <c r="K27" i="5" s="1"/>
  <c r="K29" i="5" s="1"/>
  <c r="F67" i="4" l="1"/>
  <c r="I57" i="4"/>
  <c r="I59" i="4" s="1"/>
  <c r="D91" i="4"/>
  <c r="D89" i="4"/>
  <c r="G63" i="3"/>
  <c r="F83" i="3"/>
  <c r="F92" i="3" s="1"/>
  <c r="F69" i="4"/>
  <c r="F40" i="1"/>
  <c r="H40" i="1" s="1"/>
  <c r="N57" i="4"/>
  <c r="N59" i="4" s="1"/>
  <c r="M56" i="4"/>
  <c r="M26" i="5" s="1"/>
  <c r="M27" i="5" s="1"/>
  <c r="M29" i="5" s="1"/>
  <c r="M57" i="4"/>
  <c r="M59" i="4" s="1"/>
  <c r="H38" i="1"/>
  <c r="E56" i="4"/>
  <c r="E26" i="5" s="1"/>
  <c r="E27" i="5" s="1"/>
  <c r="E57" i="4"/>
  <c r="E59" i="4" s="1"/>
  <c r="O57" i="4"/>
  <c r="O59" i="4" s="1"/>
  <c r="J76" i="4"/>
  <c r="L72" i="4"/>
  <c r="J73" i="4"/>
  <c r="J27" i="1" s="1"/>
  <c r="J26" i="1"/>
  <c r="F66" i="4"/>
  <c r="D72" i="4"/>
  <c r="F25" i="1"/>
  <c r="C19" i="1"/>
  <c r="F70" i="4"/>
  <c r="F68" i="4"/>
  <c r="H39" i="1"/>
  <c r="H41" i="1"/>
  <c r="H36" i="1"/>
  <c r="F74" i="4"/>
  <c r="F75" i="4"/>
  <c r="F64" i="4"/>
  <c r="P15" i="5"/>
  <c r="E16" i="5"/>
  <c r="J57" i="4"/>
  <c r="J59" i="4" s="1"/>
  <c r="K57" i="4"/>
  <c r="K59" i="4" s="1"/>
  <c r="F65" i="4"/>
  <c r="G77" i="4"/>
  <c r="I77" i="4" s="1"/>
  <c r="I76" i="4"/>
  <c r="G78" i="4"/>
  <c r="J75" i="4"/>
  <c r="F88" i="3"/>
  <c r="H57" i="4"/>
  <c r="H59" i="4" s="1"/>
  <c r="H56" i="4"/>
  <c r="H26" i="5" s="1"/>
  <c r="H27" i="5" s="1"/>
  <c r="H29" i="5" s="1"/>
  <c r="I27" i="5"/>
  <c r="I29" i="5" s="1"/>
  <c r="P25" i="5"/>
  <c r="D55" i="4"/>
  <c r="P51" i="4"/>
  <c r="D52" i="4"/>
  <c r="L56" i="4"/>
  <c r="L26" i="5" s="1"/>
  <c r="L27" i="5" s="1"/>
  <c r="L29" i="5" s="1"/>
  <c r="F56" i="4"/>
  <c r="F26" i="5" s="1"/>
  <c r="F27" i="5" s="1"/>
  <c r="F29" i="5" s="1"/>
  <c r="F57" i="4"/>
  <c r="F59" i="4" s="1"/>
  <c r="E29" i="5" l="1"/>
  <c r="P16" i="5"/>
  <c r="H30" i="1"/>
  <c r="G79" i="4"/>
  <c r="I78" i="4"/>
  <c r="P52" i="4"/>
  <c r="Q51" i="4"/>
  <c r="D56" i="4"/>
  <c r="D57" i="4" s="1"/>
  <c r="P55" i="4"/>
  <c r="Q55" i="4" s="1"/>
  <c r="J77" i="4"/>
  <c r="L77" i="4" s="1"/>
  <c r="L76" i="4"/>
  <c r="L57" i="4"/>
  <c r="L59" i="4" s="1"/>
  <c r="G65" i="3"/>
  <c r="G82" i="3" s="1"/>
  <c r="G64" i="3"/>
  <c r="D92" i="4"/>
  <c r="F52" i="1"/>
  <c r="J52" i="1" s="1"/>
  <c r="F42" i="1"/>
  <c r="H42" i="1" s="1"/>
  <c r="D73" i="4"/>
  <c r="F72" i="4"/>
  <c r="F26" i="1"/>
  <c r="D76" i="4"/>
  <c r="L75" i="4"/>
  <c r="J29" i="1"/>
  <c r="D59" i="4" l="1"/>
  <c r="P59" i="4" s="1"/>
  <c r="Q59" i="4" s="1"/>
  <c r="D58" i="4"/>
  <c r="P57" i="4"/>
  <c r="Q57" i="4" s="1"/>
  <c r="G66" i="3"/>
  <c r="G80" i="3" s="1"/>
  <c r="G81" i="3"/>
  <c r="J78" i="4"/>
  <c r="G67" i="3"/>
  <c r="P56" i="4"/>
  <c r="Q56" i="4" s="1"/>
  <c r="D26" i="5"/>
  <c r="F76" i="4"/>
  <c r="D77" i="4"/>
  <c r="F77" i="4" s="1"/>
  <c r="I79" i="4"/>
  <c r="E89" i="3"/>
  <c r="E90" i="3" s="1"/>
  <c r="H31" i="1"/>
  <c r="E19" i="1"/>
  <c r="F27" i="1"/>
  <c r="P26" i="5" l="1"/>
  <c r="D27" i="5"/>
  <c r="L78" i="4"/>
  <c r="J79" i="4"/>
  <c r="J30" i="1"/>
  <c r="F51" i="1"/>
  <c r="J51" i="1" s="1"/>
  <c r="H90" i="3"/>
  <c r="D78" i="4"/>
  <c r="H63" i="3"/>
  <c r="G83" i="3"/>
  <c r="E58" i="4"/>
  <c r="F58" i="4" s="1"/>
  <c r="G58" i="4" s="1"/>
  <c r="H58" i="4" s="1"/>
  <c r="I58" i="4" s="1"/>
  <c r="J58" i="4" s="1"/>
  <c r="K58" i="4" s="1"/>
  <c r="L58" i="4" s="1"/>
  <c r="M58" i="4" s="1"/>
  <c r="N58" i="4" s="1"/>
  <c r="O58" i="4" s="1"/>
  <c r="P58" i="4" s="1"/>
  <c r="D94" i="4"/>
  <c r="D79" i="4" l="1"/>
  <c r="G19" i="1"/>
  <c r="F30" i="1"/>
  <c r="D80" i="4"/>
  <c r="F78" i="4"/>
  <c r="H65" i="3"/>
  <c r="H82" i="3" s="1"/>
  <c r="H64" i="3"/>
  <c r="H67" i="3"/>
  <c r="H83" i="3" s="1"/>
  <c r="L79" i="4"/>
  <c r="J31" i="1"/>
  <c r="F89" i="3"/>
  <c r="F90" i="3" s="1"/>
  <c r="P27" i="5"/>
  <c r="D29" i="5"/>
  <c r="D30" i="5" l="1"/>
  <c r="P29" i="5"/>
  <c r="H66" i="3"/>
  <c r="H80" i="3" s="1"/>
  <c r="H81" i="3"/>
  <c r="F80" i="4"/>
  <c r="F32" i="1"/>
  <c r="G80" i="4"/>
  <c r="D89" i="3"/>
  <c r="D90" i="3" s="1"/>
  <c r="F79" i="4"/>
  <c r="F31" i="1"/>
  <c r="J80" i="4" l="1"/>
  <c r="H32" i="1"/>
  <c r="I80" i="4"/>
  <c r="D32" i="5"/>
  <c r="E9" i="5"/>
  <c r="E30" i="5" s="1"/>
  <c r="E32" i="5" l="1"/>
  <c r="F9" i="5"/>
  <c r="F30" i="5" s="1"/>
  <c r="L80" i="4"/>
  <c r="D93" i="4"/>
  <c r="F55" i="1"/>
  <c r="J55" i="1" s="1"/>
  <c r="J32" i="1"/>
  <c r="F32" i="5" l="1"/>
  <c r="G9" i="5"/>
  <c r="G30" i="5" s="1"/>
  <c r="H9" i="5" l="1"/>
  <c r="H30" i="5" s="1"/>
  <c r="G32" i="5"/>
  <c r="I9" i="5" l="1"/>
  <c r="I30" i="5" s="1"/>
  <c r="H32" i="5"/>
  <c r="J9" i="5" l="1"/>
  <c r="J30" i="5" s="1"/>
  <c r="I32" i="5"/>
  <c r="J32" i="5" l="1"/>
  <c r="K9" i="5"/>
  <c r="K30" i="5" s="1"/>
  <c r="K32" i="5" l="1"/>
  <c r="L9" i="5"/>
  <c r="L30" i="5" s="1"/>
  <c r="L32" i="5" l="1"/>
  <c r="M9" i="5"/>
  <c r="M30" i="5" s="1"/>
  <c r="N9" i="5" l="1"/>
  <c r="N30" i="5" s="1"/>
  <c r="M32" i="5"/>
  <c r="O9" i="5" l="1"/>
  <c r="O30" i="5" s="1"/>
  <c r="N32" i="5"/>
  <c r="P30" i="5" l="1"/>
  <c r="D44" i="5"/>
  <c r="F54" i="1" s="1"/>
  <c r="J54" i="1" s="1"/>
  <c r="O32" i="5"/>
  <c r="P32" i="5" s="1"/>
  <c r="D43" i="5"/>
  <c r="D46" i="5"/>
  <c r="F53" i="1" s="1"/>
  <c r="J53" i="1" s="1"/>
  <c r="D45" i="5"/>
  <c r="D41" i="5"/>
  <c r="D42" i="5" l="1"/>
  <c r="M19" i="1"/>
</calcChain>
</file>

<file path=xl/sharedStrings.xml><?xml version="1.0" encoding="utf-8"?>
<sst xmlns="http://schemas.openxmlformats.org/spreadsheetml/2006/main" count="1091" uniqueCount="771">
  <si>
    <t>VORLAGE FÜR DIE HOTELGRÜNDUNG</t>
  </si>
  <si>
    <t>Cockpit – Zusammenfassung von Kapitalbedarf, Ergebnis, Liquidität und Bewertung</t>
  </si>
  <si>
    <t>1  COCKPIT</t>
  </si>
  <si>
    <t>2  KONZEPT</t>
  </si>
  <si>
    <t>3  KAPITALBEDARF</t>
  </si>
  <si>
    <t>4  ERFOLGSPLANUNG</t>
  </si>
  <si>
    <t>5  LIQUIDITÄTSPLAN</t>
  </si>
  <si>
    <t>6  ANNAHMEN</t>
  </si>
  <si>
    <t>01</t>
  </si>
  <si>
    <t>ECKDATEN DES VORHABENS</t>
  </si>
  <si>
    <t>Alle Angaben stammen aus dem Blatt Annahmen</t>
  </si>
  <si>
    <t>Betrieb</t>
  </si>
  <si>
    <t>Rechtsform</t>
  </si>
  <si>
    <t>Betriebsart</t>
  </si>
  <si>
    <t>Klassifizierung</t>
  </si>
  <si>
    <t>Standort</t>
  </si>
  <si>
    <t>Kapazität</t>
  </si>
  <si>
    <t>Geplante Betriebsaufnahme</t>
  </si>
  <si>
    <t>Stand der Planung</t>
  </si>
  <si>
    <t>KAPITALBEDARF GESAMT</t>
  </si>
  <si>
    <t>FINANZIERUNG GESAMT</t>
  </si>
  <si>
    <t>DECKUNGSGRAD</t>
  </si>
  <si>
    <t>EIGENKAPITALQUOTE</t>
  </si>
  <si>
    <t>INVESTITIONSVOLUMEN</t>
  </si>
  <si>
    <t>KAPITALDIENST JAHR 2</t>
  </si>
  <si>
    <t>einschließlich Puffer</t>
  </si>
  <si>
    <t>Mittelherkunft</t>
  </si>
  <si>
    <t>Ziel: mindestens 100 %</t>
  </si>
  <si>
    <t>Ziel laut Annahmen</t>
  </si>
  <si>
    <t>Anlagevermögen netto</t>
  </si>
  <si>
    <t>Zinsen und Tilgung</t>
  </si>
  <si>
    <t>GESAMTUMSATZ JAHR 1</t>
  </si>
  <si>
    <t>GOP-MARGE JAHR 1</t>
  </si>
  <si>
    <t>ERGEBNIS NACH STEUERN JAHR 1</t>
  </si>
  <si>
    <t>Ø AUSLASTUNG JAHR 1</t>
  </si>
  <si>
    <t>REVPAR JAHR 1</t>
  </si>
  <si>
    <t>LIQUIDITÄTSTIEFPUNKT</t>
  </si>
  <si>
    <t>Eröffnungsjahr mit Hochlauf</t>
  </si>
  <si>
    <t>Bruttobetriebsergebnis</t>
  </si>
  <si>
    <t>Anlaufverlust ist üblich</t>
  </si>
  <si>
    <t>bezogen auf die Betriebsmonate</t>
  </si>
  <si>
    <t>Erlös je verfügbarem Zimmer</t>
  </si>
  <si>
    <t>niedrigster Monatsendbestand</t>
  </si>
  <si>
    <t>02</t>
  </si>
  <si>
    <t>ERGEBNISÜBERSICHT DER JAHRE EINS BIS DREI</t>
  </si>
  <si>
    <t>Werte aus dem Blatt Erfolgsplanung</t>
  </si>
  <si>
    <t>Position</t>
  </si>
  <si>
    <t>Jahr 1</t>
  </si>
  <si>
    <t>Jahr 2</t>
  </si>
  <si>
    <t>Jahr 3</t>
  </si>
  <si>
    <t>Einordnung</t>
  </si>
  <si>
    <t>Gesamtumsatz netto</t>
  </si>
  <si>
    <t>Hochlaufjahr, danach Vollbetrieb</t>
  </si>
  <si>
    <t>Bruttobetriebsergebnis (GOP)</t>
  </si>
  <si>
    <t>vor Abschreibungen und Zinsen</t>
  </si>
  <si>
    <t>GOP-Marge</t>
  </si>
  <si>
    <t>Zielwert aus dem Blatt Annahmen</t>
  </si>
  <si>
    <t>Abschreibungen</t>
  </si>
  <si>
    <t>linear aus dem Investitionsplan</t>
  </si>
  <si>
    <t>Zinsaufwand</t>
  </si>
  <si>
    <t>sinkt mit fortschreitender Tilgung</t>
  </si>
  <si>
    <t>Ergebnis nach Steuern</t>
  </si>
  <si>
    <t>Jahresergebnis der Planung</t>
  </si>
  <si>
    <t>Cashflow</t>
  </si>
  <si>
    <t>Grundlage der Kapitaldienstdeckung</t>
  </si>
  <si>
    <t>Kumuliertes Ergebnis</t>
  </si>
  <si>
    <t>Anlaufverlust wird aufgeholt</t>
  </si>
  <si>
    <t>03</t>
  </si>
  <si>
    <t>UMSATZ- UND KOSTENSTRUKTUR IM JAHR 1</t>
  </si>
  <si>
    <t>Anteile bezogen auf den Gesamtumsatz</t>
  </si>
  <si>
    <t>Betrag Jahr 1</t>
  </si>
  <si>
    <t>Anteil am Umsatz</t>
  </si>
  <si>
    <t>Anmerkung</t>
  </si>
  <si>
    <t>Logiserlöse</t>
  </si>
  <si>
    <t>Zimmerumsatz aller Kategorien</t>
  </si>
  <si>
    <t>Gastronomie- und Nebenerlöse</t>
  </si>
  <si>
    <t>Frühstück, Restaurant, Tagungen, sonstige Erlöse</t>
  </si>
  <si>
    <t>Wareneinsatz Speisen und Getränke</t>
  </si>
  <si>
    <t>abhängig vom Gastronomieumsatz</t>
  </si>
  <si>
    <t>Personalkosten</t>
  </si>
  <si>
    <t>größter Kostenblock der Hotellerie</t>
  </si>
  <si>
    <t>Variable Betriebskosten</t>
  </si>
  <si>
    <t>Energie, Reinigung, Provisionen, Instandhaltung</t>
  </si>
  <si>
    <t>Fixe Betriebskosten</t>
  </si>
  <si>
    <t>Miete, Marketing, Verwaltung, Versicherungen</t>
  </si>
  <si>
    <t>verbleibt vor Abschreibungen und Zinsen</t>
  </si>
  <si>
    <t>04</t>
  </si>
  <si>
    <t>BEWERTUNG DES VORHABENS</t>
  </si>
  <si>
    <t>Ampeln vergleichen Ist und Ziel – vor dem Bankgespräch auf Grün bringen</t>
  </si>
  <si>
    <t>Kriterium</t>
  </si>
  <si>
    <t>Ist</t>
  </si>
  <si>
    <t>Ziel</t>
  </si>
  <si>
    <t>Status</t>
  </si>
  <si>
    <t>Hinweis</t>
  </si>
  <si>
    <t>Deckungsgrad der Finanzierung</t>
  </si>
  <si>
    <t>Der Kapitalbedarf muss vollständig gedeckt sein.</t>
  </si>
  <si>
    <t>Eigenkapitalquote</t>
  </si>
  <si>
    <t>Banken erwarten in der Hotellerie einen spürbaren Eigenanteil.</t>
  </si>
  <si>
    <t>Ø Auslastung im Jahr 1</t>
  </si>
  <si>
    <t>Im Hochlaufjahr liegt die Auslastung erfahrungsgemäß unter dem Ziel.</t>
  </si>
  <si>
    <t>Auslastung im Jahr 2</t>
  </si>
  <si>
    <t>Ab dem zweiten Jahr sollte die Zielauslastung erreicht werden.</t>
  </si>
  <si>
    <t>GOP-Marge im Jahr 2</t>
  </si>
  <si>
    <t>Kennzahl für die operative Ertragskraft.</t>
  </si>
  <si>
    <t>Kapitaldienstdeckung im Jahr 2</t>
  </si>
  <si>
    <t>Cashflow je Euro Zins und Tilgung.</t>
  </si>
  <si>
    <t>Break-even-Auslastung</t>
  </si>
  <si>
    <t>Sie sollte unter der geplanten Auslastung liegen.</t>
  </si>
  <si>
    <t>Monate mit negativer Liquidität</t>
  </si>
  <si>
    <t>Ein negativer Bestand macht eine Nachfinanzierung erforderlich.</t>
  </si>
  <si>
    <t>Liquidität zum Jahresende</t>
  </si>
  <si>
    <t>Startbestand für das zweite Planjahr.</t>
  </si>
  <si>
    <t>Kumuliertes Ergebnis nach drei Jahren</t>
  </si>
  <si>
    <t>Der Anlaufverlust sollte bis dahin aufgeholt sein.</t>
  </si>
  <si>
    <t>Fertigstellung des Businessplans</t>
  </si>
  <si>
    <t>Textteil und Anlagen gehören zur Einreichung.</t>
  </si>
  <si>
    <t>Überfällige Meilensteine</t>
  </si>
  <si>
    <t>Termine im Blatt Konzept nachziehen.</t>
  </si>
  <si>
    <t>05</t>
  </si>
  <si>
    <t>GRAFISCHE AUSWERTUNG</t>
  </si>
  <si>
    <t>Monatsverlauf des Eröffnungsjahres</t>
  </si>
  <si>
    <t>Konzept, Gliederung und Meilensteine</t>
  </si>
  <si>
    <t>QUALITATIVER TEIL DES BUSINESSPLANS</t>
  </si>
  <si>
    <t>Textteil des Businessplans, Stärken-Schwächen-Analyse und Umsetzungsplanung</t>
  </si>
  <si>
    <t>Ergänzt den Zahlenteil dieser Mappe</t>
  </si>
  <si>
    <t>ZUSAMMENFASSUNG DES VORHABENS</t>
  </si>
  <si>
    <t>Diese Felder sind der Einstieg für Bank und Förderstelle</t>
  </si>
  <si>
    <t>Geschäftsidee in drei Sätzen</t>
  </si>
  <si>
    <t>Ein Stadthotel mit 24 Zimmern, eigenem Frühstücksrestaurant und zwei Tagungsräumen wird in zentraler Lage eröffnet. Das Haus verbindet ruhiges Wohnen mit regionaler Küche und einem klar kalkulierten Serviceversprechen. Betrieben wird es von einem Team mit langjähriger Erfahrung in der gehobenen Hotellerie.</t>
  </si>
  <si>
    <t>Alleinstellungsmerkmal</t>
  </si>
  <si>
    <t>Verbindung aus zentraler Lage, eigener Gastronomie und einem hohen Anteil an Direktbuchungen über eine eigene Buchungsstrecke mit Bestpreisgarantie.</t>
  </si>
  <si>
    <t>Zielgruppe und Marktpotenzial</t>
  </si>
  <si>
    <t>Geschäftsreisende und Tagungsgäste unter der Woche, Städtereisende und Familien am Wochenende. Die Nachfrage am Standort wächst seit mehreren Jahren, die Bettenkapazität im Mittelklassesegment ist begrenzt.</t>
  </si>
  <si>
    <t>Standort und Objekt</t>
  </si>
  <si>
    <t>Bestandsgebäude in zentraler Lage, angemietet mit langfristigem Pachtvertrag und Verlängerungsoption. Umbau und Innenausbau erfolgen als Mieterausbau.</t>
  </si>
  <si>
    <t>Kapitalbedarf und Finanzierung</t>
  </si>
  <si>
    <t>Der Kapitalbedarf setzt sich aus Investitionen, Anlaufkosten, Betriebsmitteln und einem Sicherheitspuffer zusammen und wird über Eigenkapital, Beteiligung, Zuschuss sowie zwei Darlehen gedeckt. Die Zahlen stehen im Blatt Kapitalbedarf.</t>
  </si>
  <si>
    <t>Ziel der Gründung</t>
  </si>
  <si>
    <t>Aufbau eines wirtschaftlich tragfähigen Hotelbetriebs, der ab dem zweiten Geschäftsjahr einen positiven Jahresüberschuss erwirtschaftet und den Kapitaldienst dauerhaft aus dem laufenden Cashflow bedient.</t>
  </si>
  <si>
    <t>GLIEDERUNG DES BUSINESSPLANS</t>
  </si>
  <si>
    <t>Status und Fortschritt je Kapitel</t>
  </si>
  <si>
    <t>Kapitel</t>
  </si>
  <si>
    <t>Kerninhalt</t>
  </si>
  <si>
    <t>Verantwortlich</t>
  </si>
  <si>
    <t>fällig bis</t>
  </si>
  <si>
    <t>Fortschritt</t>
  </si>
  <si>
    <t>Bemerkung</t>
  </si>
  <si>
    <t>1  Zusammenfassung</t>
  </si>
  <si>
    <t>Kurzfassung von Idee, Markt, Team, Kapitalbedarf und Ergebnisaussicht</t>
  </si>
  <si>
    <t>Geschäftsführung</t>
  </si>
  <si>
    <t>in Arbeit</t>
  </si>
  <si>
    <t>2  Geschäftsidee und Konzept</t>
  </si>
  <si>
    <t>Hotelart, Ausstattung, Serviceversprechen, Preisstrategie</t>
  </si>
  <si>
    <t>abgestimmt</t>
  </si>
  <si>
    <t>3  Gründerprofil und Team</t>
  </si>
  <si>
    <t>Qualifikation, Branchenerfahrung, Aufgabenverteilung</t>
  </si>
  <si>
    <t>fertig</t>
  </si>
  <si>
    <t>4  Zielgruppen</t>
  </si>
  <si>
    <t>Segmente, Reiseanlässe, Buchungsverhalten, Aufenthaltsdauer</t>
  </si>
  <si>
    <t>Vertrieb</t>
  </si>
  <si>
    <t>5  Standort und Objekt</t>
  </si>
  <si>
    <t>Lage, Erreichbarkeit, Zustand, Miet- oder Pachtvertrag</t>
  </si>
  <si>
    <t>6  Markt und Wettbewerb</t>
  </si>
  <si>
    <t>Marktvolumen, Übernachtungszahlen, Mitbewerber, Positionierung</t>
  </si>
  <si>
    <t>7  Marketing und Vertrieb</t>
  </si>
  <si>
    <t>Direktvertrieb, Portale, Website, Bestandsgäste, Kooperationen</t>
  </si>
  <si>
    <t>8  Organisation und Abläufe</t>
  </si>
  <si>
    <t>Rechtsform, Aufbauorganisation, Dienstpläne, Digitalisierung</t>
  </si>
  <si>
    <t>Betriebsleitung</t>
  </si>
  <si>
    <t>offen</t>
  </si>
  <si>
    <t>9  Stärken und Schwächen</t>
  </si>
  <si>
    <t>Bewertung der eigenen Position und der Risiken</t>
  </si>
  <si>
    <t>10  Chancen und Risiken</t>
  </si>
  <si>
    <t>Marktentwicklung, Saisonalität, Kosten, Gegenmaßnahmen</t>
  </si>
  <si>
    <t>11  Finanzplanung</t>
  </si>
  <si>
    <t>Kapitalbedarf, Finanzierung, Erfolgs- und Liquiditätsplanung</t>
  </si>
  <si>
    <t>12  Anlagen</t>
  </si>
  <si>
    <t>Lebenslauf, Mietvertrag, Angebote, Genehmigungen, Referenzen</t>
  </si>
  <si>
    <t>Sekretariat</t>
  </si>
  <si>
    <t>FERTIGSTELLUNGSGRAD DES BUSINESSPLANS</t>
  </si>
  <si>
    <t>STÄRKEN-SCHWÄCHEN-ANALYSE</t>
  </si>
  <si>
    <t>Vier Felder mit je vier Kernaussagen</t>
  </si>
  <si>
    <t>STÄRKEN</t>
  </si>
  <si>
    <t>SCHWÄCHEN</t>
  </si>
  <si>
    <t>–  Zentrale Lage mit fußläufiger Anbindung an Bahnhof und Altstadt</t>
  </si>
  <si>
    <t>–  Hohe Anfangsinvestition und dadurch spürbarer Kapitaldienst</t>
  </si>
  <si>
    <t>–  Eigene Gastronomie mit Frühstück, Restaurant und Tagungsräumen</t>
  </si>
  <si>
    <t>–  Marke ist am Standort noch unbekannt</t>
  </si>
  <si>
    <t>–  Erfahrenes Leitungsteam aus der gehobenen Hotellerie</t>
  </si>
  <si>
    <t>–  Kein Parkhaus im eigenen Objekt</t>
  </si>
  <si>
    <t>–  Hoher Anteil an Direktbuchungen durch eigene Buchungsstrecke geplant</t>
  </si>
  <si>
    <t>–  Abhängigkeit von wenigen Schlüsselpersonen im Aufbaujahr</t>
  </si>
  <si>
    <t>CHANCEN</t>
  </si>
  <si>
    <t>RISIKEN</t>
  </si>
  <si>
    <t>–  Wachsendes Tagungs- und Veranstaltungsgeschäft in der Region</t>
  </si>
  <si>
    <t>–  Saisonale Schwankungen und wetterabhängige Nachfrage</t>
  </si>
  <si>
    <t>–  Nachfrage nach nachhaltigen Häusern mit regionaler Küche</t>
  </si>
  <si>
    <t>–  Steigende Energie-, Personal- und Wareneinsatzkosten</t>
  </si>
  <si>
    <t>–  Kooperationen mit Unternehmen, Kliniken und Veranstaltern</t>
  </si>
  <si>
    <t>–  Provisionsdruck und Preistransparenz über Buchungsportale</t>
  </si>
  <si>
    <t>–  Zusatzerlöse aus Wellness, Fahrradverleih und Stellplätzen</t>
  </si>
  <si>
    <t>–  Verzögerungen bei Umbau und Genehmigungen</t>
  </si>
  <si>
    <t>MEILENSTEINPLAN BIS ZUR ERÖFFNUNG</t>
  </si>
  <si>
    <t>Die Ampel vergleicht den Termin mit dem Stichtag</t>
  </si>
  <si>
    <t>Meilenstein</t>
  </si>
  <si>
    <t>Arbeitspaket</t>
  </si>
  <si>
    <t>Termin</t>
  </si>
  <si>
    <t>Ampel</t>
  </si>
  <si>
    <t>Miet- oder Pachtvertrag unterzeichnet</t>
  </si>
  <si>
    <t>Objektsicherung</t>
  </si>
  <si>
    <t>Finanzierungszusage der Hausbank</t>
  </si>
  <si>
    <t>Finanzierung</t>
  </si>
  <si>
    <t>Bewilligung der Fördermittel</t>
  </si>
  <si>
    <t>Baugenehmigung und Konzession</t>
  </si>
  <si>
    <t>Genehmigungen</t>
  </si>
  <si>
    <t>Beginn Umbau und Innenausbau</t>
  </si>
  <si>
    <t>Bau</t>
  </si>
  <si>
    <t>Auswahl und Einführung der Hotelsoftware</t>
  </si>
  <si>
    <t>Digitalisierung</t>
  </si>
  <si>
    <t>Einstellung der Schlüsselpositionen</t>
  </si>
  <si>
    <t>Personal</t>
  </si>
  <si>
    <t>Start des Vorverkaufs und der Kampagne</t>
  </si>
  <si>
    <t>Abnahme, Probebetrieb und Schulung</t>
  </si>
  <si>
    <t>Eröffnung des Hotels</t>
  </si>
  <si>
    <t>MEILENSTEINE GESAMT</t>
  </si>
  <si>
    <t>davon erledigt</t>
  </si>
  <si>
    <t>davon überfällig</t>
  </si>
  <si>
    <t>ZIELGRUPPEN UND MARKTSEGMENTE</t>
  </si>
  <si>
    <t>Die Anteile müssen in Summe 100 Prozent ergeben</t>
  </si>
  <si>
    <t>Segment</t>
  </si>
  <si>
    <t>Merkmale</t>
  </si>
  <si>
    <t>Anteil an den Übernachtungen</t>
  </si>
  <si>
    <t>Ø Aufenthalt (Nächte)</t>
  </si>
  <si>
    <t>Ø Zimmerpreis</t>
  </si>
  <si>
    <t>Buchungsweg</t>
  </si>
  <si>
    <t>Ansprache</t>
  </si>
  <si>
    <t>Geschäftsreisende</t>
  </si>
  <si>
    <t>Werktags, kurze Aufenthalte, Direktbuchung</t>
  </si>
  <si>
    <t>Firmenkunden und Direktbuchung</t>
  </si>
  <si>
    <t>Rahmenverträge mit Unternehmen der Region</t>
  </si>
  <si>
    <t>Städtereisende und Paare</t>
  </si>
  <si>
    <t>Wochenende, Kultur und Gastronomie</t>
  </si>
  <si>
    <t>Portale und eigene Website</t>
  </si>
  <si>
    <t>Arrangements mit Kultur- und Gastronomiepartnern</t>
  </si>
  <si>
    <t>Tagungs- und Seminargäste</t>
  </si>
  <si>
    <t>Tagungspauschalen mit Übernachtung</t>
  </si>
  <si>
    <t>Direktanfrage und Agenturen</t>
  </si>
  <si>
    <t>Aktive Ansprache von Veranstaltern und Verbänden</t>
  </si>
  <si>
    <t>Familien und Freizeitgäste</t>
  </si>
  <si>
    <t>Ferienzeiten, längere Aufenthalte</t>
  </si>
  <si>
    <t>Portale und Weiterempfehlung</t>
  </si>
  <si>
    <t>Familienzimmer, Zusatzbetten, Freizeitangebote</t>
  </si>
  <si>
    <t>Gruppen und Busreisen</t>
  </si>
  <si>
    <t>Saisonal, planbare Kontingente</t>
  </si>
  <si>
    <t>Reiseveranstalter</t>
  </si>
  <si>
    <t>Kontingentverträge außerhalb der Hauptsaison</t>
  </si>
  <si>
    <t>SUMME UND GEWICHTETER DURCHSCHNITT</t>
  </si>
  <si>
    <t>MITTELVERWENDUNG UND MITTELHERKUNFT</t>
  </si>
  <si>
    <t>Investitionen, Anlaufkosten, Finanzierungsbausteine und Kapitaldienst</t>
  </si>
  <si>
    <t>Deckungsgrad muss mindestens 100 % erreichen</t>
  </si>
  <si>
    <t>INVESTITIONSPLAN</t>
  </si>
  <si>
    <t>Nutzungsdauer steuert die Abschreibung</t>
  </si>
  <si>
    <t>Investitionsposition</t>
  </si>
  <si>
    <t>Betrag netto</t>
  </si>
  <si>
    <t>USt-Satz</t>
  </si>
  <si>
    <t>Betrag brutto</t>
  </si>
  <si>
    <t>Nutzungs-dauer (Jahre)</t>
  </si>
  <si>
    <t>Abschreibung je Jahr</t>
  </si>
  <si>
    <t>Zahlung im Monat</t>
  </si>
  <si>
    <t>Kategorie</t>
  </si>
  <si>
    <t>Umbau, Sanierung und Innenausbau</t>
  </si>
  <si>
    <t>Gebäude</t>
  </si>
  <si>
    <t>Mieterausbau nach Abstimmung mit dem Eigentümer</t>
  </si>
  <si>
    <t>Zimmereinrichtung und Möblierung</t>
  </si>
  <si>
    <t>Einrichtung</t>
  </si>
  <si>
    <t>24 Zimmer nach Ausstattungsstandard</t>
  </si>
  <si>
    <t>Betten, Matratzen und Textilien</t>
  </si>
  <si>
    <t>Betten, Bettwaren, Vorhänge, Teppiche</t>
  </si>
  <si>
    <t>Küchen- und Gastronomietechnik</t>
  </si>
  <si>
    <t>Technik</t>
  </si>
  <si>
    <t>Küche, Kühlung, Spülbereich, Bar</t>
  </si>
  <si>
    <t>Rezeption, Lobby und Gemeinschaftsflächen</t>
  </si>
  <si>
    <t>Empfang, Lobby, Frühstücksraum</t>
  </si>
  <si>
    <t>IT, Hotelsoftware, Kasse und Netzwerk</t>
  </si>
  <si>
    <t>Buchungssystem, Kasse, WLAN, Hardware</t>
  </si>
  <si>
    <t>Schließsystem und Sicherheitstechnik</t>
  </si>
  <si>
    <t>Zutrittskontrolle, Brand- und Einbruchschutz</t>
  </si>
  <si>
    <t>Wellness- und Fitnessbereich</t>
  </si>
  <si>
    <t>Sauna, Ruheraum, Geräte</t>
  </si>
  <si>
    <t>Außenanlagen, Beschilderung und Fassade</t>
  </si>
  <si>
    <t>Eingang, Beschilderung, Stellplätze</t>
  </si>
  <si>
    <t>Erstausstattung Wäsche, Geschirr und Gläser</t>
  </si>
  <si>
    <t>Bettwäsche, Frottee, Geschirr, Besteck</t>
  </si>
  <si>
    <t>Transporter (gebraucht)</t>
  </si>
  <si>
    <t>Fuhrpark</t>
  </si>
  <si>
    <t>Einkauf, Wäschelogistik, Service</t>
  </si>
  <si>
    <t>Website, Buchungsstrecke und Bildmaterial</t>
  </si>
  <si>
    <t>Marketing</t>
  </si>
  <si>
    <t>eigene Buchungsstrecke, Fotografie, Texte</t>
  </si>
  <si>
    <t>INVESTITIONEN GESAMT</t>
  </si>
  <si>
    <t>Abschreibung linear ab Betriebsaufnahme</t>
  </si>
  <si>
    <t>GRÜNDUNGS- UND ANLAUFKOSTEN</t>
  </si>
  <si>
    <t>einmalige Kosten vor und rund um die Eröffnung</t>
  </si>
  <si>
    <t>Art der Kosten</t>
  </si>
  <si>
    <t>Mietkaution (drei Monatsmieten)</t>
  </si>
  <si>
    <t>einmalig, nicht aktiviert</t>
  </si>
  <si>
    <t>Kaution</t>
  </si>
  <si>
    <t>wird bei Vertragsende erstattet</t>
  </si>
  <si>
    <t>Genehmigungen, Konzession und Gebühren</t>
  </si>
  <si>
    <t>Gebühren</t>
  </si>
  <si>
    <t>Gaststättenrecht, Bauamt, Anmeldungen</t>
  </si>
  <si>
    <t>Notar, Handelsregister und Rechtsberatung</t>
  </si>
  <si>
    <t>Beratung</t>
  </si>
  <si>
    <t>Gesellschaftsgründung und Verträge</t>
  </si>
  <si>
    <t>Gründungsberatung und Businessplan</t>
  </si>
  <si>
    <t>teilweise über Beratungsprogramme förderfähig</t>
  </si>
  <si>
    <t>Pre-Opening-Marketing und Eröffnung</t>
  </si>
  <si>
    <t>Kampagne, Eröffnungsveranstaltung, Portale</t>
  </si>
  <si>
    <t>Schulung und Einarbeitung des Teams</t>
  </si>
  <si>
    <t>Einarbeitung vor der Betriebsaufnahme</t>
  </si>
  <si>
    <t>Erstbevorratung Speisen und Getränke</t>
  </si>
  <si>
    <t>Ware</t>
  </si>
  <si>
    <t>Grundbestand für den Start</t>
  </si>
  <si>
    <t>ANLAUFKOSTEN GESAMT</t>
  </si>
  <si>
    <t>laufende Betriebskosten stehen in der Erfolgsplanung</t>
  </si>
  <si>
    <t>KAPITALBEDARF</t>
  </si>
  <si>
    <t>Mittelverwendung insgesamt</t>
  </si>
  <si>
    <t>Baustein</t>
  </si>
  <si>
    <t>Betrag</t>
  </si>
  <si>
    <t>Anteil</t>
  </si>
  <si>
    <t>Erläuterung</t>
  </si>
  <si>
    <t>Investitionen (Anlagevermögen)</t>
  </si>
  <si>
    <t>aktivierungsfähige Anschaffungen aus Abschnitt 01</t>
  </si>
  <si>
    <t>Gründungs- und Anlaufkosten</t>
  </si>
  <si>
    <t>einmalige Kosten aus Abschnitt 02</t>
  </si>
  <si>
    <t>Betriebsmittel und Liquiditätsreserve</t>
  </si>
  <si>
    <t>Reservemonate und Ø Fixkosten aus dem Blatt Annahmen</t>
  </si>
  <si>
    <t>Zwischensumme</t>
  </si>
  <si>
    <t>Summe der Positionen vor dem Puffer</t>
  </si>
  <si>
    <t>Sicherheitspuffer für Unvorhergesehenes</t>
  </si>
  <si>
    <t>Puffersatz aus dem Blatt Annahmen</t>
  </si>
  <si>
    <t>Summe, die vollständig zu finanzieren ist</t>
  </si>
  <si>
    <t>FINANZIERUNGSPLAN</t>
  </si>
  <si>
    <t>Mittelherkunft, Konditionen und Auszahlungszeitpunkt</t>
  </si>
  <si>
    <t>Finanzierungsbaustein</t>
  </si>
  <si>
    <t>Zinssatz</t>
  </si>
  <si>
    <t>Laufzeit (Jahre)</t>
  </si>
  <si>
    <t>tilgungsfreie Jahre</t>
  </si>
  <si>
    <t>Auszahlung im Monat</t>
  </si>
  <si>
    <t>Art</t>
  </si>
  <si>
    <t>Eigenkapital (Bareinlage)</t>
  </si>
  <si>
    <t>Eigenkapital</t>
  </si>
  <si>
    <t>eingebrachte Barmittel der Gesellschafter</t>
  </si>
  <si>
    <t>Sacheinlagen (Einrichtung, Fahrzeug)</t>
  </si>
  <si>
    <t>bewertete Sacheinlagen</t>
  </si>
  <si>
    <t>Beteiligungskapital (stille Beteiligung)</t>
  </si>
  <si>
    <t>Beteiligung</t>
  </si>
  <si>
    <t>ohne laufenden Kapitaldienst geplant</t>
  </si>
  <si>
    <t>Zuschuss aus der Tourismusförderung</t>
  </si>
  <si>
    <t>Zuschuss</t>
  </si>
  <si>
    <t>Bewilligung vor Vorhabensbeginn erforderlich</t>
  </si>
  <si>
    <t>Privatdarlehen aus dem Familienkreis</t>
  </si>
  <si>
    <t>Fremdkapital</t>
  </si>
  <si>
    <t>schriftlicher Darlehensvertrag empfohlen</t>
  </si>
  <si>
    <t>Förderkredit der Landesförderbank</t>
  </si>
  <si>
    <t>Antrag über die Hausbank, tilgungsfreie Anlaufjahre</t>
  </si>
  <si>
    <t>Hausbankdarlehen</t>
  </si>
  <si>
    <t>Besicherung über Inventar und Bürgschaft</t>
  </si>
  <si>
    <t>muss den Kapitalbedarf vollständig decken</t>
  </si>
  <si>
    <t>Kapitalbedarf gesamt (Abgleich)</t>
  </si>
  <si>
    <t>Zielwert: mindestens 100 Prozent</t>
  </si>
  <si>
    <t>Über- oder Unterdeckung</t>
  </si>
  <si>
    <t>positiver Wert bedeutet zusätzlichen Puffer</t>
  </si>
  <si>
    <t>Eigenkapital und Beteiligung</t>
  </si>
  <si>
    <t>Basis der Eigenkapitalquote</t>
  </si>
  <si>
    <t>Fremdkapital gesamt</t>
  </si>
  <si>
    <t>Grundlage des Kapitaldienstes</t>
  </si>
  <si>
    <t>KAPITALDIENST UND TILGUNGSPLAN</t>
  </si>
  <si>
    <t>Ratendarlehen mit gleichbleibender Tilgung</t>
  </si>
  <si>
    <t>Darlehen und Position</t>
  </si>
  <si>
    <t>Jahr 4</t>
  </si>
  <si>
    <t>Jahr 5</t>
  </si>
  <si>
    <t>Konditionen</t>
  </si>
  <si>
    <t xml:space="preserve">     Restschuld zu Jahresbeginn</t>
  </si>
  <si>
    <t xml:space="preserve">     Zinsen</t>
  </si>
  <si>
    <t xml:space="preserve">     Tilgung</t>
  </si>
  <si>
    <t xml:space="preserve">     Kapitaldienst (Zins und Tilgung)</t>
  </si>
  <si>
    <t xml:space="preserve">     Restschuld zum Jahresende</t>
  </si>
  <si>
    <t>KAPITALDIENST GESAMT</t>
  </si>
  <si>
    <t>davon Zinsen</t>
  </si>
  <si>
    <t>davon Tilgung</t>
  </si>
  <si>
    <t>Restschuld zum Jahresende</t>
  </si>
  <si>
    <t>06</t>
  </si>
  <si>
    <t>KENNZAHLEN DER FINANZIERUNG</t>
  </si>
  <si>
    <t>Tragfähigkeit des Kapitaldienstes</t>
  </si>
  <si>
    <t>Kennzahl</t>
  </si>
  <si>
    <t>Zielwert</t>
  </si>
  <si>
    <t>Bewertung</t>
  </si>
  <si>
    <t>Kapitaldienst (Zins und Tilgung)</t>
  </si>
  <si>
    <t>Summe aller Darlehen</t>
  </si>
  <si>
    <t>fließt in die Erfolgsplanung ein</t>
  </si>
  <si>
    <t>Cashflow aus dem Betrieb</t>
  </si>
  <si>
    <t>Ergebnis nach Steuern zuzüglich Abschreibungen</t>
  </si>
  <si>
    <t>Kapitaldienstdeckung</t>
  </si>
  <si>
    <t>Cashflow je Euro Kapitaldienst</t>
  </si>
  <si>
    <t>Abschreibungen je Jahr</t>
  </si>
  <si>
    <t>Erfolgsplanung</t>
  </si>
  <si>
    <t>UMSATZ-, KOSTEN- UND ERGEBNISPLANUNG</t>
  </si>
  <si>
    <t>Monatsplanung des Eröffnungsjahres, Plan-GuV für drei Jahre und Break-even-Analyse</t>
  </si>
  <si>
    <t>Alle Werte netto in Euro</t>
  </si>
  <si>
    <t>MONATSPLANUNG JAHR 1</t>
  </si>
  <si>
    <t>Belegung, Erlöse, Kosten und Ergebnis je Monat</t>
  </si>
  <si>
    <t>Jahr 1 gesamt</t>
  </si>
  <si>
    <t>% vom Umsatz</t>
  </si>
  <si>
    <t>BELEGUNG</t>
  </si>
  <si>
    <t>Verfügbare Zimmernächte</t>
  </si>
  <si>
    <t>Belegte Zimmernächte gesamt</t>
  </si>
  <si>
    <t>Auslastung</t>
  </si>
  <si>
    <t>ERLÖSE</t>
  </si>
  <si>
    <t>Logiserlöse gesamt</t>
  </si>
  <si>
    <t>Frühstückserlöse</t>
  </si>
  <si>
    <t>Restaurant, Bar und Minibar</t>
  </si>
  <si>
    <t>Tagungen und Veranstaltungen</t>
  </si>
  <si>
    <t>Sonstige Erlöse (Wellness, Parken, Shop)</t>
  </si>
  <si>
    <t>Gastronomie- und Nebenerlöse gesamt</t>
  </si>
  <si>
    <t>GESAMTUMSATZ NETTO</t>
  </si>
  <si>
    <t>KENNZAHLEN DER BEHERBERGUNG</t>
  </si>
  <si>
    <t>Ø Zimmerpreis (ADR)</t>
  </si>
  <si>
    <t>Erlös je verfügbarem Zimmer (RevPAR)</t>
  </si>
  <si>
    <t>Gesamtumsatz je belegtem Zimmer</t>
  </si>
  <si>
    <t>BETRIEBSKOSTEN</t>
  </si>
  <si>
    <t>Energie und Wasser (Grundlast)</t>
  </si>
  <si>
    <t>Energie und Wasser (verbrauchsabhängig)</t>
  </si>
  <si>
    <t>Reinigung, Wäsche und Zimmerverbrauch</t>
  </si>
  <si>
    <t>Vertriebsprovisionen Buchungsportale</t>
  </si>
  <si>
    <t>Marketing und Vertrieb</t>
  </si>
  <si>
    <t>Instandhaltung und Ersatzbeschaffung</t>
  </si>
  <si>
    <t>Verwaltung, IT und Hotelsoftware</t>
  </si>
  <si>
    <t>Versicherungen, Beiträge und Gebühren</t>
  </si>
  <si>
    <t>Miete und Pacht der Betriebsimmobilie</t>
  </si>
  <si>
    <t>Beratung, Buchhaltung und Abschluss</t>
  </si>
  <si>
    <t>Sonstige betriebliche Aufwendungen</t>
  </si>
  <si>
    <t>BETRIEBSKOSTEN GESAMT</t>
  </si>
  <si>
    <t>ERGEBNIS</t>
  </si>
  <si>
    <t>BRUTTOBETRIEBSERGEBNIS (GOP)</t>
  </si>
  <si>
    <t>ERGEBNIS VOR STEUERN</t>
  </si>
  <si>
    <t>Ertragsteuern (pauschal)</t>
  </si>
  <si>
    <t>ERGEBNIS NACH STEUERN</t>
  </si>
  <si>
    <t>Cashflow (Ergebnis und Abschreibungen)</t>
  </si>
  <si>
    <t>DREIJAHRESÜBERSICHT (PLAN-GEWINN- UND VERLUSTRECHNUNG)</t>
  </si>
  <si>
    <t>Jahr 2 und Jahr 3 im Vollbetrieb</t>
  </si>
  <si>
    <t>Zimmer × 365 × Auslastung × Ø Zimmerpreis</t>
  </si>
  <si>
    <t>Bezugsgröße aller Anteile</t>
  </si>
  <si>
    <t>Wareneinsatzquote aus dem Kostenkatalog</t>
  </si>
  <si>
    <t>Vollbesetzung ab Jahr 2 zuzüglich Kostensteigerung</t>
  </si>
  <si>
    <t>Fixbeträge aus dem Kostenkatalog</t>
  </si>
  <si>
    <t>Summe aller betrieblichen Kosten</t>
  </si>
  <si>
    <t>Ergebnis vor Abschreibungen und Zinsen</t>
  </si>
  <si>
    <t>Zielwert im Blatt Annahmen</t>
  </si>
  <si>
    <t>aus dem Tilgungsplan</t>
  </si>
  <si>
    <t>Grundlage der Steuerberechnung</t>
  </si>
  <si>
    <t>nur auf positive Ergebnisse</t>
  </si>
  <si>
    <t>Verlustvortrag des Eröffnungsjahres wird aufgeholt</t>
  </si>
  <si>
    <t>BREAK-EVEN-ANALYSE IM VOLLBETRIEB</t>
  </si>
  <si>
    <t>Rechenbasis: Jahr 2</t>
  </si>
  <si>
    <t>Wert</t>
  </si>
  <si>
    <t>Einheit</t>
  </si>
  <si>
    <t>Fixkosten je Jahr</t>
  </si>
  <si>
    <t>€</t>
  </si>
  <si>
    <t>fixe Betriebskosten, Personal, Abschreibungen und Zinsen</t>
  </si>
  <si>
    <t>Variable Kosten je Jahr</t>
  </si>
  <si>
    <t>Wareneinsatz und variable Betriebskosten</t>
  </si>
  <si>
    <t>Variable Kostenquote</t>
  </si>
  <si>
    <t>%</t>
  </si>
  <si>
    <t>variable Kosten im Verhältnis zum Umsatz</t>
  </si>
  <si>
    <t>Deckungsbeitragsquote</t>
  </si>
  <si>
    <t>Anteil des Umsatzes, der zur Deckung der Fixkosten beiträgt</t>
  </si>
  <si>
    <t>Break-even-Umsatz je Jahr</t>
  </si>
  <si>
    <t>ab diesem Umsatz trägt sich der Betrieb</t>
  </si>
  <si>
    <t>Break-even-Umsatz je Monat</t>
  </si>
  <si>
    <t>rechnerischer Monatsdurchschnitt ohne Saisonverlauf</t>
  </si>
  <si>
    <t>Umsatzpotenzial bei voller Auslastung</t>
  </si>
  <si>
    <t>alle Zimmer an 365 Tagen belegt</t>
  </si>
  <si>
    <t>erforderliche Auslastung im Vollbetrieb</t>
  </si>
  <si>
    <t>Erforderliche belegte Zimmer je Tag</t>
  </si>
  <si>
    <t>Zimmer</t>
  </si>
  <si>
    <t>Rechengröße für das tägliche Vertriebsziel</t>
  </si>
  <si>
    <t>Summe der Jahresergebnisse eins bis drei</t>
  </si>
  <si>
    <t>Gewinnschwelle im Eröffnungsjahr</t>
  </si>
  <si>
    <t>Monat</t>
  </si>
  <si>
    <t>erster Monat mit positivem kumuliertem Ergebnis</t>
  </si>
  <si>
    <t>Hilfszeile für die Diagramme</t>
  </si>
  <si>
    <t>Jan</t>
  </si>
  <si>
    <t>Feb</t>
  </si>
  <si>
    <t>Mär</t>
  </si>
  <si>
    <t>Apr</t>
  </si>
  <si>
    <t>Mai</t>
  </si>
  <si>
    <t>Jun</t>
  </si>
  <si>
    <t>Jul</t>
  </si>
  <si>
    <t>Aug</t>
  </si>
  <si>
    <t>Sep</t>
  </si>
  <si>
    <t>Okt</t>
  </si>
  <si>
    <t>Nov</t>
  </si>
  <si>
    <t>Dez</t>
  </si>
  <si>
    <t>Liquiditätsplan</t>
  </si>
  <si>
    <t>ZAHLUNGSFÄHIGKEIT IM ERÖFFNUNGSJAHR</t>
  </si>
  <si>
    <t>Ein- und Auszahlungen des Eröffnungsjahres einschließlich Umsatzsteuer</t>
  </si>
  <si>
    <t>Alle Werte brutto in Euro</t>
  </si>
  <si>
    <t>MONATLICHE ZAHLUNGSSTRÖME</t>
  </si>
  <si>
    <t>Der Endbestand darf in keinem Monat unter die Mindestliquidität fallen</t>
  </si>
  <si>
    <t>Liquide Mittel zu Monatsbeginn</t>
  </si>
  <si>
    <t>EINZAHLUNGEN</t>
  </si>
  <si>
    <t>Umsatzeinzahlungen (brutto)</t>
  </si>
  <si>
    <t>Darlehensauszahlungen</t>
  </si>
  <si>
    <t>Zuschüsse und Fördermittel</t>
  </si>
  <si>
    <t>Erstattung der Umsatzsteuer</t>
  </si>
  <si>
    <t>SUMME EINZAHLUNGEN</t>
  </si>
  <si>
    <t>AUSZAHLUNGEN</t>
  </si>
  <si>
    <t>Investitionen (brutto)</t>
  </si>
  <si>
    <t>Gründungs- und Anlaufkosten (brutto)</t>
  </si>
  <si>
    <t>Zinsen</t>
  </si>
  <si>
    <t>Tilgung</t>
  </si>
  <si>
    <t>Umsatzsteuer-Zahllast</t>
  </si>
  <si>
    <t>Ertragsteuern</t>
  </si>
  <si>
    <t>SUMME AUSZAHLUNGEN</t>
  </si>
  <si>
    <t>ERGEBNIS DER PERIODE</t>
  </si>
  <si>
    <t>Monatssaldo</t>
  </si>
  <si>
    <t>LIQUIDE MITTEL ZUM MONATSENDE</t>
  </si>
  <si>
    <t>Mindestliquidität (Sollwert)</t>
  </si>
  <si>
    <t>UMSATZSTEUER</t>
  </si>
  <si>
    <t>Umsatzsteuer auf Erlöse</t>
  </si>
  <si>
    <t>Vorsteuer aus Kosten und Investitionen</t>
  </si>
  <si>
    <t>Zahllast (positiv) oder Erstattung (negativ)</t>
  </si>
  <si>
    <t>Die Zahllast beziehungsweise Erstattung eines Monats wird jeweils im Folgemonat wirksam.</t>
  </si>
  <si>
    <t>LIQUIDITÄTSKENNZAHLEN DES ERÖFFNUNGSJAHRES</t>
  </si>
  <si>
    <t>Grundlage für das Bankgespräch</t>
  </si>
  <si>
    <t>Tiefster Monatsendbestand</t>
  </si>
  <si>
    <t>kritischster Punkt der Planung</t>
  </si>
  <si>
    <t>Monat des Tiefpunkts</t>
  </si>
  <si>
    <t>hier ist die Finanzierung am stärksten gefordert</t>
  </si>
  <si>
    <t>Höchster Monatsendbestand</t>
  </si>
  <si>
    <t>Spitze nach Auszahlung der Finanzierungsmittel</t>
  </si>
  <si>
    <t>Liquide Mittel zum Jahresende</t>
  </si>
  <si>
    <t>Startbestand für das zweite Planjahr</t>
  </si>
  <si>
    <t>Monate unter der Mindestliquidität</t>
  </si>
  <si>
    <t>Monate</t>
  </si>
  <si>
    <t>Zielwert null</t>
  </si>
  <si>
    <t>Monate mit negativem Bestand</t>
  </si>
  <si>
    <t>Zielwert null, sonst ist die Finanzierung nachzubessern</t>
  </si>
  <si>
    <t>Kapitaldienst im Jahr 1</t>
  </si>
  <si>
    <t>Zinsen und Tilgung aus dem Blatt Kapitalbedarf</t>
  </si>
  <si>
    <t>Umsatzsteuersaldo im Jahr 1</t>
  </si>
  <si>
    <t>negativer Wert bedeutet Erstattung durch das Finanzamt</t>
  </si>
  <si>
    <t>Annahmen und Stammdaten</t>
  </si>
  <si>
    <t>PLANUNGSGRUNDLAGE</t>
  </si>
  <si>
    <t>Zentrale Steuerungsdaten – alle Berechnungen der Mappe greifen auf dieses Blatt zu</t>
  </si>
  <si>
    <t>Alle Eingaben an einer Stelle</t>
  </si>
  <si>
    <t>BETRIEBS- UND VORHABENSDATEN</t>
  </si>
  <si>
    <t>Kopfdaten für alle Blätter</t>
  </si>
  <si>
    <t>Name des Betriebs</t>
  </si>
  <si>
    <t>Hotel Musterhof Betriebs GmbH</t>
  </si>
  <si>
    <t>GmbH</t>
  </si>
  <si>
    <t>Stadthotel mit Restaurant und Tagungsbereich</t>
  </si>
  <si>
    <t>Klassifizierung (angestrebt)</t>
  </si>
  <si>
    <t>4 Sterne</t>
  </si>
  <si>
    <t>Musterstadt</t>
  </si>
  <si>
    <t>Anzahl Zimmer</t>
  </si>
  <si>
    <t>Anzahl Betten</t>
  </si>
  <si>
    <t>Planungshorizont</t>
  </si>
  <si>
    <t>Planjahr</t>
  </si>
  <si>
    <t>Erstellt von</t>
  </si>
  <si>
    <t>Geschäftsführung / Gründungsteam</t>
  </si>
  <si>
    <t>PLANUNGSPARAMETER</t>
  </si>
  <si>
    <t>Blaugraue Felder sind Eingaben – Namen sind im Rechenwerk hinterlegt</t>
  </si>
  <si>
    <t>Parameter</t>
  </si>
  <si>
    <t>Verwendung und Hinweis</t>
  </si>
  <si>
    <t>Jahr</t>
  </si>
  <si>
    <t>Bezugsjahr der gesamten Planung</t>
  </si>
  <si>
    <t>Eröffnungsmonat (1 = Januar)</t>
  </si>
  <si>
    <t>Ab diesem Monat werden Erlöse geplant</t>
  </si>
  <si>
    <t>Maximale Auslastung</t>
  </si>
  <si>
    <t>Kappungsgrenze der Belegungsrechnung</t>
  </si>
  <si>
    <t>Ø Personen je belegtem Zimmer</t>
  </si>
  <si>
    <t>Personen</t>
  </si>
  <si>
    <t>Basis für Frühstücks- und Nebenerlöse</t>
  </si>
  <si>
    <t>Frühstückspreis netto je Person</t>
  </si>
  <si>
    <t>Erlös Frühstück</t>
  </si>
  <si>
    <t>Frühstücksquote</t>
  </si>
  <si>
    <t>Anteil der Gäste mit Frühstück</t>
  </si>
  <si>
    <t>F&amp;B-Umsatz je belegtem Zimmer</t>
  </si>
  <si>
    <t>Sonstige Erlöse je belegtem Zimmer</t>
  </si>
  <si>
    <t>Wellness, Parken, Shop</t>
  </si>
  <si>
    <t>Lohnnebenkostensatz</t>
  </si>
  <si>
    <t>Aufschlag auf die Bruttogehälter</t>
  </si>
  <si>
    <t>OTA-Anteil am Logisumsatz</t>
  </si>
  <si>
    <t>über Buchungsportale vermittelter Umsatz</t>
  </si>
  <si>
    <t>Provisionssatz Buchungsportale</t>
  </si>
  <si>
    <t>auf den vermittelten Umsatz</t>
  </si>
  <si>
    <t>USt-Satz Beherbergung</t>
  </si>
  <si>
    <t>ermäßigter Satz für Übernachtungen</t>
  </si>
  <si>
    <t>USt-Satz Speisen und Getränke</t>
  </si>
  <si>
    <t>Mischsatz – vor Verwendung prüfen</t>
  </si>
  <si>
    <t>USt-Satz sonstige Erlöse</t>
  </si>
  <si>
    <t>Regelsteuersatz</t>
  </si>
  <si>
    <t>Vorsteuerquote der Kosten</t>
  </si>
  <si>
    <t>Anteil vorsteuerabzugsfähiger Kosten</t>
  </si>
  <si>
    <t>Zahlungseingang im Leistungsmonat</t>
  </si>
  <si>
    <t>Rest fließt im Folgemonat zu</t>
  </si>
  <si>
    <t>Ertragsteuersatz (pauschal)</t>
  </si>
  <si>
    <t>Auslastung Jahr 2</t>
  </si>
  <si>
    <t>Planannahme im Vollbetrieb</t>
  </si>
  <si>
    <t>Auslastung Jahr 3</t>
  </si>
  <si>
    <t>Preissteigerung Zimmerpreise Jahr 2</t>
  </si>
  <si>
    <t>gegenüber Jahr 1</t>
  </si>
  <si>
    <t>Preissteigerung Zimmerpreise Jahr 3</t>
  </si>
  <si>
    <t>gegenüber Jahr 2</t>
  </si>
  <si>
    <t>Kostensteigerung je Folgejahr</t>
  </si>
  <si>
    <t>Fixkosten und Personal</t>
  </si>
  <si>
    <t>Ziel-Auslastung</t>
  </si>
  <si>
    <t>Vergleichswert für die Bewertung</t>
  </si>
  <si>
    <t>Ziel-GOP-Marge</t>
  </si>
  <si>
    <t>Bruttobetriebsergebnis vom Umsatz</t>
  </si>
  <si>
    <t>Ziel-Eigenkapitalquote</t>
  </si>
  <si>
    <t>Erwartung von Banken und Förderstellen</t>
  </si>
  <si>
    <t>Ziel-Kapitaldienstdeckung</t>
  </si>
  <si>
    <t>Faktor</t>
  </si>
  <si>
    <t>Mindestliquidität</t>
  </si>
  <si>
    <t>Sollbestand im Liquiditätsplan</t>
  </si>
  <si>
    <t>Ø Fixkosten je Monat (Schätzung)</t>
  </si>
  <si>
    <t>Basis der Liquiditätsreserve</t>
  </si>
  <si>
    <t>Liquiditätsreserve</t>
  </si>
  <si>
    <t>Betriebsmittel im Kapitalbedarf</t>
  </si>
  <si>
    <t>Sicherheitspuffer Kapitalbedarf</t>
  </si>
  <si>
    <t>Zuschlag für Unvorhergesehenes</t>
  </si>
  <si>
    <t>Stichtag der Planung</t>
  </si>
  <si>
    <t>Datum</t>
  </si>
  <si>
    <t>Bezug für Termin- und Statusprüfungen</t>
  </si>
  <si>
    <t>ZIMMERKATEGORIEN, PREISE UND BELEGUNGSZIELE</t>
  </si>
  <si>
    <t>Grundlage der gesamten Erlösplanung</t>
  </si>
  <si>
    <t>Zimmerkategorie</t>
  </si>
  <si>
    <t>Betten</t>
  </si>
  <si>
    <t>Ø Zimmerpreis netto (ADR)</t>
  </si>
  <si>
    <t>Ziel-auslastung</t>
  </si>
  <si>
    <t>Zimmernächte je Jahr</t>
  </si>
  <si>
    <t>Logisumsatz je Jahr</t>
  </si>
  <si>
    <t>Anteil am Logisumsatz</t>
  </si>
  <si>
    <t>Einzelzimmer Standard</t>
  </si>
  <si>
    <t>Doppelzimmer Standard</t>
  </si>
  <si>
    <t>Doppelzimmer Superior</t>
  </si>
  <si>
    <t>Juniorsuite</t>
  </si>
  <si>
    <t>Familienzimmer</t>
  </si>
  <si>
    <t>SUMME / GEWICHTETER DURCHSCHNITT</t>
  </si>
  <si>
    <t>SAISONALITÄT UND HOCHLAUF IM ERÖFFNUNGSJAHR</t>
  </si>
  <si>
    <t>Belegungsindex und Hochlauffaktor steuern jeden Monat</t>
  </si>
  <si>
    <t>Tage</t>
  </si>
  <si>
    <t>Belegungs-index</t>
  </si>
  <si>
    <t>Hochlauf-faktor Jahr 1</t>
  </si>
  <si>
    <t>Ø Auslastung Jahr 1</t>
  </si>
  <si>
    <t>Tagungs- und Veranstaltungserlöse</t>
  </si>
  <si>
    <t>Hinweis zur Saison</t>
  </si>
  <si>
    <t>Vorbereitungsphase, kein Betrieb</t>
  </si>
  <si>
    <t>Eröffnung, erste Buchungen</t>
  </si>
  <si>
    <t>Frühjahrsreisen und Städtetourismus</t>
  </si>
  <si>
    <t>Beginn der Hauptsaison</t>
  </si>
  <si>
    <t>Hauptsaison</t>
  </si>
  <si>
    <t>Hauptsaison, Ferienreisende</t>
  </si>
  <si>
    <t>Messen und Tagungsgeschäft</t>
  </si>
  <si>
    <t>Herbstsaison und Tagungen</t>
  </si>
  <si>
    <t>Nebensaison, Geschäftsreisende</t>
  </si>
  <si>
    <t>Feiertage und Jahresabschluss</t>
  </si>
  <si>
    <t>JAHR 1 GESAMT / DURCHSCHNITT</t>
  </si>
  <si>
    <t>Ø gewichtet nach Zimmernächten</t>
  </si>
  <si>
    <t>PERSONALPLAN</t>
  </si>
  <si>
    <t>Startmonat je Position steuert den Kostenverlauf</t>
  </si>
  <si>
    <t>Position / Funktion</t>
  </si>
  <si>
    <t>Vollzeit-äquivalente</t>
  </si>
  <si>
    <t>Bruttogehalt je Monat und VZÄ</t>
  </si>
  <si>
    <t>ab Monat</t>
  </si>
  <si>
    <t>Monatskosten inkl. Nebenkosten</t>
  </si>
  <si>
    <t>Monate im Jahr 1</t>
  </si>
  <si>
    <t>Personalkosten Jahr 1</t>
  </si>
  <si>
    <t>Bereich</t>
  </si>
  <si>
    <t>Hoteldirektion und Geschäftsführung</t>
  </si>
  <si>
    <t>Leitung</t>
  </si>
  <si>
    <t>Rezeption und Front Office</t>
  </si>
  <si>
    <t>Logis</t>
  </si>
  <si>
    <t>Housekeeping</t>
  </si>
  <si>
    <t>Küche (Frühstück und Restaurant)</t>
  </si>
  <si>
    <t>Gastronomie</t>
  </si>
  <si>
    <t>Service und Restaurant</t>
  </si>
  <si>
    <t>Technik und Haustechnik</t>
  </si>
  <si>
    <t>Aushilfen und Saisonkräfte</t>
  </si>
  <si>
    <t>PERSONAL GESAMT</t>
  </si>
  <si>
    <t>Vollbetrieb ab Monat 4</t>
  </si>
  <si>
    <t>KOSTENKATALOG</t>
  </si>
  <si>
    <t>Fixbeträge und variable Sätze steuern die Kostenplanung</t>
  </si>
  <si>
    <t>Kostenart</t>
  </si>
  <si>
    <t>Kostenblock</t>
  </si>
  <si>
    <t>Kostentyp</t>
  </si>
  <si>
    <t>Fixbetrag je Monat</t>
  </si>
  <si>
    <t>Variabler Satz</t>
  </si>
  <si>
    <t>Bezugsgröße</t>
  </si>
  <si>
    <t>Warenaufwand</t>
  </si>
  <si>
    <t>variabel</t>
  </si>
  <si>
    <t>F&amp;B-Umsatz</t>
  </si>
  <si>
    <t>Wareneinsatzquote der Gastronomie</t>
  </si>
  <si>
    <t>Planwert</t>
  </si>
  <si>
    <t>Personalplan</t>
  </si>
  <si>
    <t>wird aus Abschnitt 05 übernommen</t>
  </si>
  <si>
    <t>Energie und Wasser</t>
  </si>
  <si>
    <t>gemischt</t>
  </si>
  <si>
    <t>je belegtem Zimmer</t>
  </si>
  <si>
    <t>Grundlast plus verbrauchsabhängiger Anteil</t>
  </si>
  <si>
    <t>Wäscheservice, Reinigung, Gästeartikel</t>
  </si>
  <si>
    <t>vermittelter Logisumsatz</t>
  </si>
  <si>
    <t>Satz und Anteil in Abschnitt 02</t>
  </si>
  <si>
    <t>fix</t>
  </si>
  <si>
    <t>–</t>
  </si>
  <si>
    <t>Website, Anzeigen, Fotografie, Messen</t>
  </si>
  <si>
    <t>Gesamtumsatz</t>
  </si>
  <si>
    <t>laufende Erhaltung der Ausstattung</t>
  </si>
  <si>
    <t>Verwaltung</t>
  </si>
  <si>
    <t>Hotelsoftware, Kasse, Telefonie, Büro</t>
  </si>
  <si>
    <t>Betriebshaftpflicht, Inhalt, Kammer, GEMA</t>
  </si>
  <si>
    <t>Raum</t>
  </si>
  <si>
    <t>Pachtmodell, Kaution siehe Kapitalbedarf</t>
  </si>
  <si>
    <t>Steuerberatung und Jahresabschluss</t>
  </si>
  <si>
    <t>Reserve für nicht zugeordnete Kosten</t>
  </si>
  <si>
    <t>FIXKOSTEN JE MONAT (SUMME)</t>
  </si>
  <si>
    <t>ohne Personal und variable Anteile</t>
  </si>
  <si>
    <t>07</t>
  </si>
  <si>
    <t>AUSWAHLLISTEN</t>
  </si>
  <si>
    <t>Grundlage der Dropdowns in Konzept und Kapitalbedarf</t>
  </si>
  <si>
    <t>Priorität</t>
  </si>
  <si>
    <t>Finanzierungsart</t>
  </si>
  <si>
    <t>hoch</t>
  </si>
  <si>
    <t>mittel</t>
  </si>
  <si>
    <t>niedrig</t>
  </si>
  <si>
    <t>verschoben</t>
  </si>
  <si>
    <t>08</t>
  </si>
  <si>
    <t>ANLEITUNG IN SIEBEN SCHRITTEN</t>
  </si>
  <si>
    <t>So wird aus der Vorlage der eigene Businessplan</t>
  </si>
  <si>
    <t>Schritt 1</t>
  </si>
  <si>
    <t>Betriebsdaten in Abschnitt 01 überschreiben und den Eröffnungsmonat in Abschnitt 02 festlegen.</t>
  </si>
  <si>
    <t>Schritt 2</t>
  </si>
  <si>
    <t>Zimmerkategorien, Zimmerzahl, Zimmerpreise und Zielauslastung in Abschnitt 03 an das eigene Haus anpassen.</t>
  </si>
  <si>
    <t>Schritt 3</t>
  </si>
  <si>
    <t>Saisonalität und Hochlauffaktoren in Abschnitt 04 an den Standort und den Eröffnungstermin anpassen.</t>
  </si>
  <si>
    <t>Schritt 4</t>
  </si>
  <si>
    <t>Personalplan in Abschnitt 05 und Kostenkatalog in Abschnitt 06 mit eigenen Angeboten und Erfahrungswerten füllen.</t>
  </si>
  <si>
    <t>Schritt 5</t>
  </si>
  <si>
    <t>Blatt Kapitalbedarf ausfüllen: Investitionen, Anlaufkosten und Finanzierungsbausteine – der Deckungsgrad muss mindestens 100 Prozent erreichen.</t>
  </si>
  <si>
    <t>Schritt 6</t>
  </si>
  <si>
    <t>Blatt Erfolgsplanung und Liquiditätsplan prüfen: alle Werte berechnen sich automatisch, nur die hellen Felder sind Eingaben.</t>
  </si>
  <si>
    <t>Schritt 7</t>
  </si>
  <si>
    <t>Blatt Cockpit als Zusammenfassung für Bank, Förderstelle oder Investoren ausdrucken und die Ampeln vor dem Gespräch auf Grün bringen.</t>
  </si>
  <si>
    <t>09</t>
  </si>
  <si>
    <t>FARBLEGENDE UND HINWEISE</t>
  </si>
  <si>
    <t>Bedeutung der Farben und rechtlicher Hinweis</t>
  </si>
  <si>
    <t>Eingabefeld</t>
  </si>
  <si>
    <t>berechnetes Feld</t>
  </si>
  <si>
    <t>Ziel erreicht</t>
  </si>
  <si>
    <t>beobachten</t>
  </si>
  <si>
    <t>Handlungsbedarf</t>
  </si>
  <si>
    <t>•  Alle Namen, Zahlen und Beträge dieser Vorlage sind frei erfunden und dienen ausschließlich der Veranschaulichung.</t>
  </si>
  <si>
    <t>•  Die Vorlage ersetzt keine Steuer-, Rechts- oder Finanzierungsberatung. Steuersätze, Fördermittel und Abschreibungsdauern sind vor Verwendung zu prüfen.</t>
  </si>
  <si>
    <t>•  Abschreibungen werden linear über die eingetragene Nutzungsdauer gerechnet; nicht aktivierungsfähige Positionen erhalten die Nutzungsdauer null.</t>
  </si>
  <si>
    <t>•  Darlehen werden als Ratendarlehen mit gleichbleibender Tilgung und optionalen tilgungsfreien Jahren abgebildet.</t>
  </si>
  <si>
    <t>•  Die Umsatzsteuer wird über einen Mischsatz je Erlösart abgebildet; die Zahllast fließt jeweils im Folgemonat.</t>
  </si>
  <si>
    <t>•  Banken und Förderstellen erwarten neben den Zahlen einen ausformulierten Textteil – die Gliederung dazu steht im Blatt Konzept.</t>
  </si>
  <si>
    <t>Businessplan Hotel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</si>
</sst>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dd\.mm\.yyyy"/>
    <numFmt numFmtId="165" formatCode="#,##0&quot; €&quot;;\-#,##0&quot; €&quot;;\–"/>
    <numFmt numFmtId="166" formatCode="0.0%;\-0.0%;\–"/>
    <numFmt numFmtId="167" formatCode="#,##0.00&quot; €&quot;;\-#,##0.00&quot; €&quot;;\–"/>
    <numFmt numFmtId="168" formatCode="#,##0.00;\-#,##0.00;\–"/>
    <numFmt numFmtId="169" formatCode="#,##0;\-#,##0;\–"/>
    <numFmt numFmtId="170" formatCode="#,##0.0;\-#,##0.0;\–"/>
    <numFmt numFmtId="171" formatCode="0%;\-0%;\–"/>
    <numFmt numFmtId="172" formatCode="mmm\ yy"/>
    <numFmt numFmtId="173" formatCode="mmmm\ yyyy"/>
  </numFmts>
  <fonts count="51" x14ac:knownFonts="1">
    <font>
      <sz val="11"/>
      <color theme="1"/>
      <name val="Calibri"/>
      <family val="2"/>
      <charset val="1"/>
    </font>
    <font>
      <b/>
      <sz val="19"/>
      <color rgb="FFFFFFFF"/>
      <name val="Calibri"/>
      <charset val="1"/>
    </font>
    <font>
      <b/>
      <sz val="7.5"/>
      <color rgb="FFCDBFB2"/>
      <name val="Calibri"/>
      <charset val="1"/>
    </font>
    <font>
      <i/>
      <sz val="9.5"/>
      <color rgb="FFCDBFB2"/>
      <name val="Calibri"/>
      <charset val="1"/>
    </font>
    <font>
      <b/>
      <sz val="10.5"/>
      <color rgb="FFFFFFFF"/>
      <name val="Calibri"/>
      <charset val="1"/>
    </font>
    <font>
      <b/>
      <sz val="8"/>
      <color rgb="FFFFFFFF"/>
      <name val="Calibri"/>
      <charset val="1"/>
    </font>
    <font>
      <b/>
      <sz val="8"/>
      <color rgb="FF8A7C71"/>
      <name val="Calibri"/>
      <charset val="1"/>
    </font>
    <font>
      <b/>
      <sz val="9.5"/>
      <color rgb="FFFFFFFF"/>
      <name val="Calibri"/>
      <charset val="1"/>
    </font>
    <font>
      <i/>
      <sz val="8.5"/>
      <color rgb="FFCDBFB2"/>
      <name val="Calibri"/>
      <charset val="1"/>
    </font>
    <font>
      <b/>
      <sz val="8.5"/>
      <color rgb="FF463A32"/>
      <name val="Calibri"/>
      <charset val="1"/>
    </font>
    <font>
      <sz val="10"/>
      <color rgb="FF241C18"/>
      <name val="Calibri"/>
      <charset val="1"/>
    </font>
    <font>
      <b/>
      <sz val="13"/>
      <color rgb="FFA9642B"/>
      <name val="Calibri"/>
      <charset val="1"/>
    </font>
    <font>
      <b/>
      <sz val="15"/>
      <color rgb="FF17616E"/>
      <name val="Calibri"/>
      <charset val="1"/>
    </font>
    <font>
      <b/>
      <sz val="13"/>
      <color rgb="FF463A32"/>
      <name val="Calibri"/>
      <charset val="1"/>
    </font>
    <font>
      <b/>
      <sz val="7.5"/>
      <color rgb="FF463A32"/>
      <name val="Calibri"/>
      <charset val="1"/>
    </font>
    <font>
      <i/>
      <sz val="7.5"/>
      <color rgb="FF8A7C71"/>
      <name val="Calibri"/>
      <charset val="1"/>
    </font>
    <font>
      <b/>
      <sz val="13"/>
      <color rgb="FF8B2E3E"/>
      <name val="Calibri"/>
      <charset val="1"/>
    </font>
    <font>
      <b/>
      <sz val="13"/>
      <color rgb="FF17616E"/>
      <name val="Calibri"/>
      <charset val="1"/>
    </font>
    <font>
      <b/>
      <sz val="13"/>
      <color rgb="FF3E7A5A"/>
      <name val="Calibri"/>
      <charset val="1"/>
    </font>
    <font>
      <b/>
      <sz val="8.5"/>
      <color rgb="FFFFFFFF"/>
      <name val="Calibri"/>
      <charset val="1"/>
    </font>
    <font>
      <sz val="9.5"/>
      <color rgb="FF241C18"/>
      <name val="Calibri"/>
      <charset val="1"/>
    </font>
    <font>
      <i/>
      <sz val="8.5"/>
      <color rgb="FF8A7C71"/>
      <name val="Calibri"/>
      <charset val="1"/>
    </font>
    <font>
      <b/>
      <sz val="9.5"/>
      <color rgb="FF17616E"/>
      <name val="Calibri"/>
      <charset val="1"/>
    </font>
    <font>
      <b/>
      <sz val="10"/>
      <color rgb="FFFFFFFF"/>
      <name val="Calibri"/>
      <charset val="1"/>
    </font>
    <font>
      <b/>
      <sz val="9.5"/>
      <color rgb="FF241C18"/>
      <name val="Calibri"/>
      <charset val="1"/>
    </font>
    <font>
      <b/>
      <sz val="10"/>
      <color rgb="FF241C18"/>
      <name val="Calibri"/>
      <charset val="1"/>
    </font>
    <font>
      <sz val="9.5"/>
      <color rgb="FF8A7C71"/>
      <name val="Calibri"/>
      <charset val="1"/>
    </font>
    <font>
      <b/>
      <sz val="9"/>
      <color rgb="FF463A32"/>
      <name val="Calibri"/>
      <charset val="1"/>
    </font>
    <font>
      <sz val="9"/>
      <color rgb="FF241C18"/>
      <name val="Calibri"/>
      <charset val="1"/>
    </font>
    <font>
      <sz val="8.5"/>
      <color rgb="FF8A7C71"/>
      <name val="Calibri"/>
      <charset val="1"/>
    </font>
    <font>
      <sz val="9"/>
      <color rgb="FF7E4718"/>
      <name val="Calibri"/>
      <charset val="1"/>
    </font>
    <font>
      <b/>
      <sz val="9"/>
      <color rgb="FFFFFFFF"/>
      <name val="Calibri"/>
      <charset val="1"/>
    </font>
    <font>
      <b/>
      <sz val="11"/>
      <color rgb="FFFFFFFF"/>
      <name val="Calibri"/>
      <charset val="1"/>
    </font>
    <font>
      <sz val="9.5"/>
      <color rgb="FF7E4718"/>
      <name val="Calibri"/>
      <charset val="1"/>
    </font>
    <font>
      <b/>
      <sz val="9"/>
      <color rgb="FF241C18"/>
      <name val="Calibri"/>
      <charset val="1"/>
    </font>
    <font>
      <sz val="10"/>
      <color rgb="FF7E4718"/>
      <name val="Calibri"/>
      <charset val="1"/>
    </font>
    <font>
      <i/>
      <sz val="8"/>
      <color rgb="FFCDBFB2"/>
      <name val="Calibri"/>
      <charset val="1"/>
    </font>
    <font>
      <sz val="9"/>
      <color rgb="FFFFFFFF"/>
      <name val="Calibri"/>
      <charset val="1"/>
    </font>
    <font>
      <b/>
      <sz val="8.5"/>
      <color rgb="FF17616E"/>
      <name val="Calibri"/>
      <charset val="1"/>
    </font>
    <font>
      <b/>
      <sz val="10.5"/>
      <color rgb="FF17616E"/>
      <name val="Calibri"/>
      <charset val="1"/>
    </font>
    <font>
      <b/>
      <sz val="9"/>
      <color rgb="FF17616E"/>
      <name val="Calibri"/>
      <charset val="1"/>
    </font>
    <font>
      <sz val="9"/>
      <color rgb="FF8A7C71"/>
      <name val="Calibri"/>
      <charset val="1"/>
    </font>
    <font>
      <i/>
      <sz val="8"/>
      <color rgb="FF8A7C71"/>
      <name val="Calibri"/>
      <charset val="1"/>
    </font>
    <font>
      <sz val="8"/>
      <color rgb="FF8A7C71"/>
      <name val="Calibri"/>
      <charset val="1"/>
    </font>
    <font>
      <b/>
      <sz val="10"/>
      <color rgb="FF7E4718"/>
      <name val="Calibri"/>
      <charset val="1"/>
    </font>
    <font>
      <b/>
      <sz val="8.5"/>
      <color rgb="FF7E4718"/>
      <name val="Calibri"/>
      <charset val="1"/>
    </font>
    <font>
      <b/>
      <sz val="8"/>
      <color rgb="FF241C18"/>
      <name val="Calibri"/>
      <charset val="1"/>
    </font>
    <font>
      <b/>
      <sz val="8"/>
      <color rgb="FF3E7A5A"/>
      <name val="Calibri"/>
      <charset val="1"/>
    </font>
    <font>
      <b/>
      <sz val="8"/>
      <color rgb="FFB5871F"/>
      <name val="Calibri"/>
      <charset val="1"/>
    </font>
    <font>
      <b/>
      <sz val="8"/>
      <color rgb="FF8B2E3E"/>
      <name val="Calibri"/>
      <charset val="1"/>
    </font>
    <font>
      <b/>
      <sz val="8"/>
      <color rgb="FF17616E"/>
      <name val="Calibri"/>
      <charset val="1"/>
    </font>
  </fonts>
  <fills count="19">
    <fill>
      <patternFill patternType="none"/>
    </fill>
    <fill>
      <patternFill patternType="gray125"/>
    </fill>
    <fill>
      <patternFill patternType="solid">
        <fgColor rgb="FFA9642B"/>
        <bgColor rgb="FFB5871F"/>
      </patternFill>
    </fill>
    <fill>
      <patternFill patternType="solid">
        <fgColor rgb="FF241C18"/>
        <bgColor rgb="FF003300"/>
      </patternFill>
    </fill>
    <fill>
      <patternFill patternType="solid">
        <fgColor rgb="FFE4DACD"/>
        <bgColor rgb="FFD9D9D9"/>
      </patternFill>
    </fill>
    <fill>
      <patternFill patternType="solid">
        <fgColor rgb="FFF2ECE4"/>
        <bgColor rgb="FFEFEBE6"/>
      </patternFill>
    </fill>
    <fill>
      <patternFill patternType="solid">
        <fgColor rgb="FF463A32"/>
        <bgColor rgb="FF241C18"/>
      </patternFill>
    </fill>
    <fill>
      <patternFill patternType="solid">
        <fgColor rgb="FFFDFBF8"/>
        <bgColor rgb="FFFFFFFF"/>
      </patternFill>
    </fill>
    <fill>
      <patternFill patternType="solid">
        <fgColor rgb="FF17616E"/>
        <bgColor rgb="FF008080"/>
      </patternFill>
    </fill>
    <fill>
      <patternFill patternType="solid">
        <fgColor rgb="FF8B2E3E"/>
        <bgColor rgb="FF7E4718"/>
      </patternFill>
    </fill>
    <fill>
      <patternFill patternType="solid">
        <fgColor rgb="FF3E7A5A"/>
        <bgColor rgb="FF17616E"/>
      </patternFill>
    </fill>
    <fill>
      <patternFill patternType="solid">
        <fgColor rgb="FFDCEAEC"/>
        <bgColor rgb="FFE2EDE6"/>
      </patternFill>
    </fill>
    <fill>
      <patternFill patternType="solid">
        <fgColor rgb="FFFFF7EC"/>
        <bgColor rgb="FFFDFBF8"/>
      </patternFill>
    </fill>
    <fill>
      <patternFill patternType="solid">
        <fgColor rgb="FFEFEBE6"/>
        <bgColor rgb="FFF2ECE4"/>
      </patternFill>
    </fill>
    <fill>
      <patternFill patternType="solid">
        <fgColor rgb="FFB5871F"/>
        <bgColor rgb="FFA9642B"/>
      </patternFill>
    </fill>
    <fill>
      <patternFill patternType="solid">
        <fgColor rgb="FFF7E4D2"/>
        <bgColor rgb="FFF6DFE3"/>
      </patternFill>
    </fill>
    <fill>
      <patternFill patternType="solid">
        <fgColor rgb="FFE2EDE6"/>
        <bgColor rgb="FFDCEAEC"/>
      </patternFill>
    </fill>
    <fill>
      <patternFill patternType="solid">
        <fgColor rgb="FFFAEED2"/>
        <bgColor rgb="FFF2ECE4"/>
      </patternFill>
    </fill>
    <fill>
      <patternFill patternType="solid">
        <fgColor rgb="FFF6DFE3"/>
        <bgColor rgb="FFF7E4D2"/>
      </patternFill>
    </fill>
  </fills>
  <borders count="10">
    <border>
      <left/>
      <right/>
      <top/>
      <bottom/>
      <diagonal/>
    </border>
    <border>
      <left/>
      <right style="thin">
        <color rgb="FFFFFFFF"/>
      </right>
      <top/>
      <bottom style="medium">
        <color rgb="FF241C18"/>
      </bottom>
      <diagonal/>
    </border>
    <border>
      <left/>
      <right style="thin">
        <color rgb="FFFFFFFF"/>
      </right>
      <top/>
      <bottom style="medium">
        <color rgb="FFE4DACD"/>
      </bottom>
      <diagonal/>
    </border>
    <border>
      <left style="thin">
        <color rgb="FFD8CEC3"/>
      </left>
      <right style="thin">
        <color rgb="FFD8CEC3"/>
      </right>
      <top style="thin">
        <color rgb="FFD8CEC3"/>
      </top>
      <bottom style="thin">
        <color rgb="FFD8CEC3"/>
      </bottom>
      <diagonal/>
    </border>
    <border>
      <left style="thin">
        <color rgb="FFD8CEC3"/>
      </left>
      <right style="thin">
        <color rgb="FFD8CEC3"/>
      </right>
      <top/>
      <bottom/>
      <diagonal/>
    </border>
    <border>
      <left style="thin">
        <color rgb="FFD8CEC3"/>
      </left>
      <right style="thin">
        <color rgb="FFD8CEC3"/>
      </right>
      <top/>
      <bottom style="thin">
        <color rgb="FFD8CEC3"/>
      </bottom>
      <diagonal/>
    </border>
    <border>
      <left/>
      <right style="thin">
        <color rgb="FF463A32"/>
      </right>
      <top/>
      <bottom style="medium">
        <color rgb="FFA9642B"/>
      </bottom>
      <diagonal/>
    </border>
    <border>
      <left/>
      <right/>
      <top/>
      <bottom style="thin">
        <color rgb="FFE4DACD"/>
      </bottom>
      <diagonal/>
    </border>
    <border>
      <left/>
      <right/>
      <top/>
      <bottom style="medium">
        <color rgb="FFA9642B"/>
      </bottom>
      <diagonal/>
    </border>
    <border>
      <left/>
      <right/>
      <top/>
      <bottom style="thin">
        <color rgb="FF8A7C71"/>
      </bottom>
      <diagonal/>
    </border>
  </borders>
  <cellStyleXfs count="1">
    <xf numFmtId="0" fontId="0" fillId="0" borderId="0"/>
  </cellStyleXfs>
  <cellXfs count="196">
    <xf numFmtId="0" fontId="0" fillId="0" borderId="0" xfId="0"/>
    <xf numFmtId="165" fontId="13" fillId="7" borderId="4" xfId="0" applyNumberFormat="1" applyFont="1" applyFill="1" applyBorder="1" applyAlignment="1">
      <alignment horizontal="center" vertical="center"/>
    </xf>
    <xf numFmtId="166" fontId="12" fillId="7" borderId="4" xfId="0" applyNumberFormat="1" applyFont="1" applyFill="1" applyBorder="1" applyAlignment="1">
      <alignment horizontal="center" vertical="center"/>
    </xf>
    <xf numFmtId="165" fontId="11" fillId="7" borderId="4" xfId="0" applyNumberFormat="1" applyFont="1" applyFill="1" applyBorder="1" applyAlignment="1">
      <alignment horizontal="center" vertical="center"/>
    </xf>
    <xf numFmtId="164" fontId="10" fillId="7" borderId="3" xfId="0" applyNumberFormat="1" applyFont="1" applyFill="1" applyBorder="1" applyAlignment="1">
      <alignment horizontal="left" vertical="center" indent="1"/>
    </xf>
    <xf numFmtId="0" fontId="10" fillId="7" borderId="3" xfId="0" applyFont="1" applyFill="1" applyBorder="1" applyAlignment="1">
      <alignment horizontal="left" vertical="center" indent="1"/>
    </xf>
    <xf numFmtId="0" fontId="9" fillId="5" borderId="3" xfId="0" applyFont="1" applyFill="1" applyBorder="1" applyAlignment="1">
      <alignment horizontal="left" vertical="center" indent="1"/>
    </xf>
    <xf numFmtId="0" fontId="8" fillId="6" borderId="0" xfId="0" applyFont="1" applyFill="1" applyAlignment="1">
      <alignment horizontal="right" vertical="center" indent="1"/>
    </xf>
    <xf numFmtId="0" fontId="4" fillId="6" borderId="0" xfId="0" applyFont="1" applyFill="1" applyAlignment="1">
      <alignment horizontal="left" vertical="center" indent="1"/>
    </xf>
    <xf numFmtId="0" fontId="6" fillId="5" borderId="2" xfId="0" applyFont="1" applyFill="1" applyBorder="1" applyAlignment="1">
      <alignment horizontal="center" vertical="center"/>
    </xf>
    <xf numFmtId="0" fontId="5" fillId="2" borderId="1" xfId="0" applyFont="1" applyFill="1" applyBorder="1" applyAlignment="1">
      <alignment horizontal="center" vertical="center"/>
    </xf>
    <xf numFmtId="0" fontId="4" fillId="3" borderId="0" xfId="0" applyFont="1" applyFill="1" applyAlignment="1">
      <alignment horizontal="right" vertical="top" indent="1"/>
    </xf>
    <xf numFmtId="0" fontId="3" fillId="3" borderId="0" xfId="0" applyFont="1" applyFill="1" applyAlignment="1">
      <alignment horizontal="left" vertical="top" indent="1"/>
    </xf>
    <xf numFmtId="0" fontId="2" fillId="3" borderId="0" xfId="0" applyFont="1" applyFill="1" applyAlignment="1">
      <alignment horizontal="right" indent="1"/>
    </xf>
    <xf numFmtId="0" fontId="1" fillId="3" borderId="0" xfId="0" applyFont="1" applyFill="1" applyAlignment="1">
      <alignment horizontal="left" indent="1"/>
    </xf>
    <xf numFmtId="0" fontId="0" fillId="2" borderId="0" xfId="0" applyFill="1"/>
    <xf numFmtId="0" fontId="0" fillId="4" borderId="0" xfId="0" applyFill="1"/>
    <xf numFmtId="0" fontId="5" fillId="2" borderId="1" xfId="0" applyFont="1" applyFill="1" applyBorder="1" applyAlignment="1">
      <alignment horizontal="center" vertical="center"/>
    </xf>
    <xf numFmtId="0" fontId="6" fillId="5" borderId="2" xfId="0" applyFont="1" applyFill="1" applyBorder="1" applyAlignment="1">
      <alignment horizontal="center" vertical="center"/>
    </xf>
    <xf numFmtId="0" fontId="7" fillId="2" borderId="0" xfId="0" applyFont="1" applyFill="1" applyAlignment="1">
      <alignment horizontal="center" vertical="center"/>
    </xf>
    <xf numFmtId="0" fontId="0" fillId="8" borderId="0" xfId="0" applyFill="1"/>
    <xf numFmtId="0" fontId="0" fillId="6" borderId="0" xfId="0" applyFill="1"/>
    <xf numFmtId="0" fontId="0" fillId="9" borderId="0" xfId="0" applyFill="1"/>
    <xf numFmtId="0" fontId="0" fillId="10" borderId="0" xfId="0" applyFill="1"/>
    <xf numFmtId="0" fontId="19" fillId="3" borderId="6" xfId="0" applyFont="1" applyFill="1" applyBorder="1" applyAlignment="1">
      <alignment horizontal="left" vertical="center" wrapText="1"/>
    </xf>
    <xf numFmtId="0" fontId="19" fillId="3" borderId="6" xfId="0" applyFont="1" applyFill="1" applyBorder="1" applyAlignment="1">
      <alignment horizontal="center" vertical="center" wrapText="1"/>
    </xf>
    <xf numFmtId="0" fontId="20" fillId="7" borderId="3" xfId="0" applyFont="1" applyFill="1" applyBorder="1" applyAlignment="1">
      <alignment horizontal="left" vertical="center" indent="1"/>
    </xf>
    <xf numFmtId="165" fontId="20" fillId="7" borderId="3" xfId="0" applyNumberFormat="1" applyFont="1" applyFill="1" applyBorder="1" applyAlignment="1">
      <alignment horizontal="center" vertical="center"/>
    </xf>
    <xf numFmtId="0" fontId="21" fillId="7" borderId="3" xfId="0" applyFont="1" applyFill="1" applyBorder="1" applyAlignment="1">
      <alignment horizontal="left" vertical="center" indent="1"/>
    </xf>
    <xf numFmtId="0" fontId="23" fillId="3" borderId="3" xfId="0" applyFont="1" applyFill="1" applyBorder="1" applyAlignment="1">
      <alignment horizontal="left" vertical="center" indent="1"/>
    </xf>
    <xf numFmtId="0" fontId="24" fillId="5" borderId="3" xfId="0" applyFont="1" applyFill="1" applyBorder="1" applyAlignment="1">
      <alignment horizontal="left" vertical="center" indent="1"/>
    </xf>
    <xf numFmtId="165" fontId="24" fillId="5" borderId="3" xfId="0" applyNumberFormat="1" applyFont="1" applyFill="1" applyBorder="1" applyAlignment="1">
      <alignment horizontal="center" vertical="center"/>
    </xf>
    <xf numFmtId="166" fontId="20" fillId="7" borderId="3" xfId="0" applyNumberFormat="1" applyFont="1" applyFill="1" applyBorder="1" applyAlignment="1">
      <alignment horizontal="center" vertical="center"/>
    </xf>
    <xf numFmtId="166" fontId="24" fillId="5" borderId="3" xfId="0" applyNumberFormat="1" applyFont="1" applyFill="1" applyBorder="1" applyAlignment="1">
      <alignment horizontal="center" vertical="center"/>
    </xf>
    <xf numFmtId="168" fontId="26" fillId="7" borderId="3" xfId="0" applyNumberFormat="1" applyFont="1" applyFill="1" applyBorder="1" applyAlignment="1">
      <alignment horizontal="center" vertical="center"/>
    </xf>
    <xf numFmtId="165" fontId="26" fillId="7" borderId="3" xfId="0" applyNumberFormat="1" applyFont="1" applyFill="1" applyBorder="1" applyAlignment="1">
      <alignment horizontal="center" vertical="center"/>
    </xf>
    <xf numFmtId="0" fontId="27" fillId="5" borderId="3" xfId="0" applyFont="1" applyFill="1" applyBorder="1" applyAlignment="1">
      <alignment horizontal="left" vertical="center" indent="1"/>
    </xf>
    <xf numFmtId="0" fontId="24" fillId="7" borderId="3" xfId="0" applyFont="1" applyFill="1" applyBorder="1" applyAlignment="1">
      <alignment horizontal="left" vertical="center" indent="1"/>
    </xf>
    <xf numFmtId="0" fontId="29" fillId="7" borderId="3" xfId="0" applyFont="1" applyFill="1" applyBorder="1" applyAlignment="1">
      <alignment horizontal="left" vertical="center" wrapText="1" indent="1"/>
    </xf>
    <xf numFmtId="0" fontId="30" fillId="12" borderId="3" xfId="0" applyFont="1" applyFill="1" applyBorder="1" applyAlignment="1">
      <alignment horizontal="center" vertical="center"/>
    </xf>
    <xf numFmtId="164" fontId="28" fillId="13" borderId="3" xfId="0" applyNumberFormat="1" applyFont="1" applyFill="1" applyBorder="1" applyAlignment="1">
      <alignment horizontal="center" vertical="center"/>
    </xf>
    <xf numFmtId="166" fontId="22" fillId="12" borderId="3" xfId="0" applyNumberFormat="1" applyFont="1" applyFill="1" applyBorder="1" applyAlignment="1">
      <alignment horizontal="center" vertical="center"/>
    </xf>
    <xf numFmtId="0" fontId="28" fillId="12" borderId="3" xfId="0" applyFont="1" applyFill="1" applyBorder="1" applyAlignment="1">
      <alignment horizontal="left" vertical="center" indent="1"/>
    </xf>
    <xf numFmtId="0" fontId="31" fillId="3" borderId="3" xfId="0" applyFont="1" applyFill="1" applyBorder="1" applyAlignment="1">
      <alignment horizontal="left" vertical="center" indent="1"/>
    </xf>
    <xf numFmtId="0" fontId="31" fillId="3" borderId="3" xfId="0" applyFont="1" applyFill="1" applyBorder="1" applyAlignment="1">
      <alignment horizontal="center" vertical="center"/>
    </xf>
    <xf numFmtId="0" fontId="0" fillId="3" borderId="3" xfId="0" applyFill="1" applyBorder="1"/>
    <xf numFmtId="166" fontId="32" fillId="3" borderId="3" xfId="0" applyNumberFormat="1" applyFont="1" applyFill="1" applyBorder="1" applyAlignment="1">
      <alignment horizontal="center" vertical="center"/>
    </xf>
    <xf numFmtId="0" fontId="29" fillId="7" borderId="3" xfId="0" applyFont="1" applyFill="1" applyBorder="1" applyAlignment="1">
      <alignment horizontal="left" vertical="center" indent="1"/>
    </xf>
    <xf numFmtId="164" fontId="33" fillId="13" borderId="3" xfId="0" applyNumberFormat="1" applyFont="1" applyFill="1" applyBorder="1" applyAlignment="1">
      <alignment horizontal="center" vertical="center"/>
    </xf>
    <xf numFmtId="0" fontId="34" fillId="13" borderId="3" xfId="0" applyFont="1" applyFill="1" applyBorder="1" applyAlignment="1">
      <alignment horizontal="center" vertical="center"/>
    </xf>
    <xf numFmtId="169" fontId="23" fillId="3" borderId="3" xfId="0" applyNumberFormat="1" applyFont="1" applyFill="1" applyBorder="1" applyAlignment="1">
      <alignment horizontal="center" vertical="center"/>
    </xf>
    <xf numFmtId="0" fontId="8" fillId="3" borderId="3" xfId="0" applyFont="1" applyFill="1" applyBorder="1" applyAlignment="1">
      <alignment horizontal="right" vertical="center"/>
    </xf>
    <xf numFmtId="166" fontId="33" fillId="12" borderId="3" xfId="0" applyNumberFormat="1" applyFont="1" applyFill="1" applyBorder="1" applyAlignment="1">
      <alignment horizontal="center" vertical="center"/>
    </xf>
    <xf numFmtId="170" fontId="33" fillId="12" borderId="3" xfId="0" applyNumberFormat="1" applyFont="1" applyFill="1" applyBorder="1" applyAlignment="1">
      <alignment horizontal="center" vertical="center"/>
    </xf>
    <xf numFmtId="165" fontId="33" fillId="12" borderId="3" xfId="0" applyNumberFormat="1" applyFont="1" applyFill="1" applyBorder="1" applyAlignment="1">
      <alignment horizontal="center" vertical="center"/>
    </xf>
    <xf numFmtId="0" fontId="29" fillId="7" borderId="3" xfId="0" applyFont="1" applyFill="1" applyBorder="1" applyAlignment="1">
      <alignment horizontal="center" vertical="center" wrapText="1"/>
    </xf>
    <xf numFmtId="0" fontId="21" fillId="7" borderId="3" xfId="0" applyFont="1" applyFill="1" applyBorder="1" applyAlignment="1">
      <alignment horizontal="left" vertical="center" wrapText="1" indent="1"/>
    </xf>
    <xf numFmtId="166" fontId="23" fillId="3" borderId="3" xfId="0" applyNumberFormat="1" applyFont="1" applyFill="1" applyBorder="1" applyAlignment="1">
      <alignment horizontal="center" vertical="center"/>
    </xf>
    <xf numFmtId="170" fontId="7" fillId="3" borderId="3" xfId="0" applyNumberFormat="1" applyFont="1" applyFill="1" applyBorder="1" applyAlignment="1">
      <alignment horizontal="center" vertical="center"/>
    </xf>
    <xf numFmtId="167" fontId="7" fillId="3" borderId="3" xfId="0" applyNumberFormat="1" applyFont="1" applyFill="1" applyBorder="1" applyAlignment="1">
      <alignment horizontal="center" vertical="center"/>
    </xf>
    <xf numFmtId="165" fontId="35" fillId="12" borderId="3" xfId="0" applyNumberFormat="1" applyFont="1" applyFill="1" applyBorder="1" applyAlignment="1">
      <alignment horizontal="center" vertical="center"/>
    </xf>
    <xf numFmtId="171" fontId="33" fillId="12" borderId="3" xfId="0" applyNumberFormat="1" applyFont="1" applyFill="1" applyBorder="1" applyAlignment="1">
      <alignment horizontal="center" vertical="center"/>
    </xf>
    <xf numFmtId="165" fontId="20" fillId="13" borderId="3" xfId="0" applyNumberFormat="1" applyFont="1" applyFill="1" applyBorder="1" applyAlignment="1">
      <alignment horizontal="center" vertical="center"/>
    </xf>
    <xf numFmtId="1" fontId="35" fillId="12" borderId="3" xfId="0" applyNumberFormat="1" applyFont="1" applyFill="1" applyBorder="1" applyAlignment="1">
      <alignment horizontal="center" vertical="center"/>
    </xf>
    <xf numFmtId="0" fontId="29" fillId="7" borderId="3" xfId="0" applyFont="1" applyFill="1" applyBorder="1" applyAlignment="1">
      <alignment horizontal="center" vertical="center"/>
    </xf>
    <xf numFmtId="165" fontId="7" fillId="3" borderId="3" xfId="0" applyNumberFormat="1" applyFont="1" applyFill="1" applyBorder="1" applyAlignment="1">
      <alignment horizontal="center" vertical="center"/>
    </xf>
    <xf numFmtId="0" fontId="7" fillId="3" borderId="3" xfId="0" applyFont="1" applyFill="1" applyBorder="1" applyAlignment="1">
      <alignment horizontal="center" vertical="center"/>
    </xf>
    <xf numFmtId="0" fontId="36" fillId="3" borderId="3" xfId="0" applyFont="1" applyFill="1" applyBorder="1" applyAlignment="1">
      <alignment horizontal="left" vertical="center" indent="1"/>
    </xf>
    <xf numFmtId="0" fontId="37" fillId="3" borderId="3" xfId="0" applyFont="1" applyFill="1" applyBorder="1" applyAlignment="1">
      <alignment horizontal="center" vertical="center"/>
    </xf>
    <xf numFmtId="166" fontId="20" fillId="5" borderId="3" xfId="0" applyNumberFormat="1" applyFont="1" applyFill="1" applyBorder="1" applyAlignment="1">
      <alignment horizontal="center" vertical="center"/>
    </xf>
    <xf numFmtId="165" fontId="32" fillId="3" borderId="3" xfId="0" applyNumberFormat="1" applyFont="1" applyFill="1" applyBorder="1" applyAlignment="1">
      <alignment horizontal="center" vertical="center"/>
    </xf>
    <xf numFmtId="166" fontId="7" fillId="3" borderId="3" xfId="0" applyNumberFormat="1" applyFont="1" applyFill="1" applyBorder="1" applyAlignment="1">
      <alignment horizontal="center" vertical="center"/>
    </xf>
    <xf numFmtId="166" fontId="20" fillId="13" borderId="3" xfId="0" applyNumberFormat="1" applyFont="1" applyFill="1" applyBorder="1" applyAlignment="1">
      <alignment horizontal="center" vertical="center"/>
    </xf>
    <xf numFmtId="166" fontId="35" fillId="12" borderId="3" xfId="0" applyNumberFormat="1" applyFont="1" applyFill="1" applyBorder="1" applyAlignment="1">
      <alignment horizontal="center" vertical="center"/>
    </xf>
    <xf numFmtId="0" fontId="38" fillId="11" borderId="3" xfId="0" applyFont="1" applyFill="1" applyBorder="1" applyAlignment="1">
      <alignment horizontal="center" vertical="center"/>
    </xf>
    <xf numFmtId="165" fontId="39" fillId="7" borderId="3" xfId="0" applyNumberFormat="1" applyFont="1" applyFill="1" applyBorder="1" applyAlignment="1">
      <alignment horizontal="center" vertical="center"/>
    </xf>
    <xf numFmtId="166" fontId="39" fillId="7" borderId="3" xfId="0" applyNumberFormat="1" applyFont="1" applyFill="1" applyBorder="1" applyAlignment="1">
      <alignment horizontal="center" vertical="center"/>
    </xf>
    <xf numFmtId="0" fontId="7" fillId="6" borderId="3" xfId="0" applyFont="1" applyFill="1" applyBorder="1" applyAlignment="1">
      <alignment horizontal="left" vertical="center" indent="1"/>
    </xf>
    <xf numFmtId="0" fontId="28" fillId="7" borderId="3" xfId="0" applyFont="1" applyFill="1" applyBorder="1" applyAlignment="1">
      <alignment horizontal="left" vertical="center" indent="1"/>
    </xf>
    <xf numFmtId="165" fontId="28" fillId="13" borderId="3" xfId="0" applyNumberFormat="1" applyFont="1" applyFill="1" applyBorder="1" applyAlignment="1">
      <alignment horizontal="center" vertical="center"/>
    </xf>
    <xf numFmtId="0" fontId="34" fillId="7" borderId="3" xfId="0" applyFont="1" applyFill="1" applyBorder="1" applyAlignment="1">
      <alignment horizontal="left" vertical="center" indent="1"/>
    </xf>
    <xf numFmtId="165" fontId="40" fillId="7" borderId="3" xfId="0" applyNumberFormat="1" applyFont="1" applyFill="1" applyBorder="1" applyAlignment="1">
      <alignment horizontal="center" vertical="center"/>
    </xf>
    <xf numFmtId="0" fontId="7" fillId="3" borderId="3" xfId="0" applyFont="1" applyFill="1" applyBorder="1" applyAlignment="1">
      <alignment horizontal="left" vertical="center" indent="1"/>
    </xf>
    <xf numFmtId="168" fontId="20" fillId="7" borderId="3" xfId="0" applyNumberFormat="1" applyFont="1" applyFill="1" applyBorder="1" applyAlignment="1">
      <alignment horizontal="center" vertical="center"/>
    </xf>
    <xf numFmtId="0" fontId="19" fillId="3" borderId="6" xfId="0" applyFont="1" applyFill="1" applyBorder="1" applyAlignment="1">
      <alignment horizontal="left" vertical="center" indent="1"/>
    </xf>
    <xf numFmtId="172" fontId="19" fillId="3" borderId="6" xfId="0" applyNumberFormat="1" applyFont="1" applyFill="1" applyBorder="1" applyAlignment="1">
      <alignment horizontal="center" vertical="center"/>
    </xf>
    <xf numFmtId="0" fontId="19" fillId="3" borderId="8" xfId="0" applyFont="1" applyFill="1" applyBorder="1" applyAlignment="1">
      <alignment horizontal="center" vertical="center" wrapText="1"/>
    </xf>
    <xf numFmtId="0" fontId="9" fillId="4" borderId="9" xfId="0" applyFont="1" applyFill="1" applyBorder="1" applyAlignment="1">
      <alignment horizontal="left" vertical="center" indent="1"/>
    </xf>
    <xf numFmtId="0" fontId="0" fillId="4" borderId="9" xfId="0" applyFill="1" applyBorder="1"/>
    <xf numFmtId="169" fontId="28" fillId="13" borderId="3" xfId="0" applyNumberFormat="1" applyFont="1" applyFill="1" applyBorder="1" applyAlignment="1">
      <alignment horizontal="center" vertical="center"/>
    </xf>
    <xf numFmtId="0" fontId="28" fillId="13" borderId="3" xfId="0" applyFont="1" applyFill="1" applyBorder="1" applyAlignment="1">
      <alignment horizontal="center" vertical="center"/>
    </xf>
    <xf numFmtId="0" fontId="41" fillId="7" borderId="3" xfId="0" applyFont="1" applyFill="1" applyBorder="1" applyAlignment="1">
      <alignment horizontal="left" vertical="center" indent="2"/>
    </xf>
    <xf numFmtId="169" fontId="41" fillId="13" borderId="3" xfId="0" applyNumberFormat="1" applyFont="1" applyFill="1" applyBorder="1" applyAlignment="1">
      <alignment horizontal="center" vertical="center"/>
    </xf>
    <xf numFmtId="0" fontId="41" fillId="13" borderId="3" xfId="0" applyFont="1" applyFill="1" applyBorder="1" applyAlignment="1">
      <alignment horizontal="center" vertical="center"/>
    </xf>
    <xf numFmtId="169" fontId="24" fillId="5" borderId="3" xfId="0" applyNumberFormat="1" applyFont="1" applyFill="1" applyBorder="1" applyAlignment="1">
      <alignment horizontal="center" vertical="center"/>
    </xf>
    <xf numFmtId="0" fontId="24" fillId="5" borderId="3" xfId="0" applyFont="1" applyFill="1" applyBorder="1" applyAlignment="1">
      <alignment horizontal="center" vertical="center"/>
    </xf>
    <xf numFmtId="0" fontId="40" fillId="11" borderId="3" xfId="0" applyFont="1" applyFill="1" applyBorder="1" applyAlignment="1">
      <alignment horizontal="left" vertical="center" indent="1"/>
    </xf>
    <xf numFmtId="166" fontId="40" fillId="11" borderId="3" xfId="0" applyNumberFormat="1" applyFont="1" applyFill="1" applyBorder="1" applyAlignment="1">
      <alignment horizontal="center" vertical="center"/>
    </xf>
    <xf numFmtId="0" fontId="40" fillId="11" borderId="3" xfId="0" applyFont="1" applyFill="1" applyBorder="1" applyAlignment="1">
      <alignment horizontal="center" vertical="center"/>
    </xf>
    <xf numFmtId="165" fontId="41" fillId="13" borderId="3" xfId="0" applyNumberFormat="1" applyFont="1" applyFill="1" applyBorder="1" applyAlignment="1">
      <alignment horizontal="center" vertical="center"/>
    </xf>
    <xf numFmtId="166" fontId="41" fillId="13" borderId="3" xfId="0" applyNumberFormat="1" applyFont="1" applyFill="1" applyBorder="1" applyAlignment="1">
      <alignment horizontal="center" vertical="center"/>
    </xf>
    <xf numFmtId="166" fontId="28" fillId="13" borderId="3" xfId="0" applyNumberFormat="1" applyFont="1" applyFill="1" applyBorder="1" applyAlignment="1">
      <alignment horizontal="center" vertical="center"/>
    </xf>
    <xf numFmtId="167" fontId="40" fillId="11" borderId="3" xfId="0" applyNumberFormat="1" applyFont="1" applyFill="1" applyBorder="1" applyAlignment="1">
      <alignment horizontal="center" vertical="center"/>
    </xf>
    <xf numFmtId="165" fontId="40" fillId="11" borderId="3" xfId="0" applyNumberFormat="1" applyFont="1" applyFill="1" applyBorder="1" applyAlignment="1">
      <alignment horizontal="center" vertical="center"/>
    </xf>
    <xf numFmtId="0" fontId="42" fillId="0" borderId="0" xfId="0" applyFont="1"/>
    <xf numFmtId="0" fontId="43" fillId="0" borderId="0" xfId="0" applyFont="1"/>
    <xf numFmtId="165" fontId="24" fillId="12" borderId="3" xfId="0" applyNumberFormat="1" applyFont="1" applyFill="1" applyBorder="1" applyAlignment="1">
      <alignment horizontal="center" vertical="center"/>
    </xf>
    <xf numFmtId="0" fontId="41" fillId="7" borderId="3" xfId="0" applyFont="1" applyFill="1" applyBorder="1" applyAlignment="1">
      <alignment horizontal="left" vertical="center" indent="1"/>
    </xf>
    <xf numFmtId="1" fontId="44" fillId="12" borderId="3" xfId="0" applyNumberFormat="1" applyFont="1" applyFill="1" applyBorder="1" applyAlignment="1">
      <alignment horizontal="center" vertical="center"/>
    </xf>
    <xf numFmtId="166" fontId="44" fillId="12" borderId="3" xfId="0" applyNumberFormat="1" applyFont="1" applyFill="1" applyBorder="1" applyAlignment="1">
      <alignment horizontal="center" vertical="center"/>
    </xf>
    <xf numFmtId="170" fontId="44" fillId="12" borderId="3" xfId="0" applyNumberFormat="1" applyFont="1" applyFill="1" applyBorder="1" applyAlignment="1">
      <alignment horizontal="center" vertical="center"/>
    </xf>
    <xf numFmtId="167" fontId="44" fillId="12" borderId="3" xfId="0" applyNumberFormat="1" applyFont="1" applyFill="1" applyBorder="1" applyAlignment="1">
      <alignment horizontal="center" vertical="center"/>
    </xf>
    <xf numFmtId="168" fontId="44" fillId="12" borderId="3" xfId="0" applyNumberFormat="1" applyFont="1" applyFill="1" applyBorder="1" applyAlignment="1">
      <alignment horizontal="center" vertical="center"/>
    </xf>
    <xf numFmtId="165" fontId="44" fillId="12" borderId="3" xfId="0" applyNumberFormat="1" applyFont="1" applyFill="1" applyBorder="1" applyAlignment="1">
      <alignment horizontal="center" vertical="center"/>
    </xf>
    <xf numFmtId="164" fontId="44" fillId="12" borderId="3" xfId="0" applyNumberFormat="1" applyFont="1" applyFill="1" applyBorder="1" applyAlignment="1">
      <alignment horizontal="center" vertical="center"/>
    </xf>
    <xf numFmtId="169" fontId="35" fillId="12" borderId="3" xfId="0" applyNumberFormat="1" applyFont="1" applyFill="1" applyBorder="1" applyAlignment="1">
      <alignment horizontal="center" vertical="center"/>
    </xf>
    <xf numFmtId="167" fontId="35" fillId="12" borderId="3" xfId="0" applyNumberFormat="1" applyFont="1" applyFill="1" applyBorder="1" applyAlignment="1">
      <alignment horizontal="center" vertical="center"/>
    </xf>
    <xf numFmtId="169" fontId="20" fillId="13" borderId="3" xfId="0" applyNumberFormat="1" applyFont="1" applyFill="1" applyBorder="1" applyAlignment="1">
      <alignment horizontal="center" vertical="center"/>
    </xf>
    <xf numFmtId="169" fontId="7" fillId="3" borderId="3" xfId="0" applyNumberFormat="1" applyFont="1" applyFill="1" applyBorder="1" applyAlignment="1">
      <alignment horizontal="center" vertical="center"/>
    </xf>
    <xf numFmtId="173" fontId="24" fillId="7" borderId="3" xfId="0" applyNumberFormat="1" applyFont="1" applyFill="1" applyBorder="1" applyAlignment="1">
      <alignment horizontal="left" vertical="center" indent="1"/>
    </xf>
    <xf numFmtId="168" fontId="35" fillId="12" borderId="3" xfId="0" applyNumberFormat="1" applyFont="1" applyFill="1" applyBorder="1" applyAlignment="1">
      <alignment horizontal="center" vertical="center"/>
    </xf>
    <xf numFmtId="168" fontId="7" fillId="3" borderId="3" xfId="0" applyNumberFormat="1" applyFont="1" applyFill="1" applyBorder="1" applyAlignment="1">
      <alignment horizontal="center" vertical="center"/>
    </xf>
    <xf numFmtId="170" fontId="35" fillId="12" borderId="3" xfId="0" applyNumberFormat="1" applyFont="1" applyFill="1" applyBorder="1" applyAlignment="1">
      <alignment horizontal="center" vertical="center"/>
    </xf>
    <xf numFmtId="0" fontId="45" fillId="15" borderId="3" xfId="0" applyFont="1" applyFill="1" applyBorder="1" applyAlignment="1">
      <alignment horizontal="center" vertical="center"/>
    </xf>
    <xf numFmtId="0" fontId="14" fillId="5" borderId="5" xfId="0" applyFont="1" applyFill="1" applyBorder="1" applyAlignment="1">
      <alignment horizontal="center" vertical="center"/>
    </xf>
    <xf numFmtId="0" fontId="15" fillId="7" borderId="5" xfId="0" applyFont="1" applyFill="1" applyBorder="1" applyAlignment="1">
      <alignment horizontal="center" vertical="center"/>
    </xf>
    <xf numFmtId="165" fontId="16" fillId="7" borderId="4" xfId="0" applyNumberFormat="1" applyFont="1" applyFill="1" applyBorder="1" applyAlignment="1">
      <alignment horizontal="center" vertical="center"/>
    </xf>
    <xf numFmtId="167" fontId="17" fillId="7" borderId="4" xfId="0" applyNumberFormat="1" applyFont="1" applyFill="1" applyBorder="1" applyAlignment="1">
      <alignment horizontal="center" vertical="center"/>
    </xf>
    <xf numFmtId="165" fontId="18" fillId="7" borderId="4" xfId="0" applyNumberFormat="1" applyFont="1" applyFill="1" applyBorder="1" applyAlignment="1">
      <alignment horizontal="center" vertical="center"/>
    </xf>
    <xf numFmtId="0" fontId="19" fillId="3" borderId="6" xfId="0" applyFont="1" applyFill="1" applyBorder="1" applyAlignment="1">
      <alignment horizontal="left" vertical="center" wrapText="1"/>
    </xf>
    <xf numFmtId="0" fontId="19" fillId="3" borderId="6" xfId="0" applyFont="1" applyFill="1" applyBorder="1" applyAlignment="1">
      <alignment horizontal="center" vertical="center" wrapText="1"/>
    </xf>
    <xf numFmtId="0" fontId="20" fillId="7" borderId="3" xfId="0" applyFont="1" applyFill="1" applyBorder="1" applyAlignment="1">
      <alignment horizontal="left" vertical="center" indent="1"/>
    </xf>
    <xf numFmtId="165" fontId="20" fillId="7" borderId="3" xfId="0" applyNumberFormat="1" applyFont="1" applyFill="1" applyBorder="1" applyAlignment="1">
      <alignment horizontal="center" vertical="center"/>
    </xf>
    <xf numFmtId="0" fontId="21" fillId="7" borderId="3" xfId="0" applyFont="1" applyFill="1" applyBorder="1" applyAlignment="1">
      <alignment horizontal="left" vertical="center" indent="1"/>
    </xf>
    <xf numFmtId="0" fontId="22" fillId="11" borderId="3" xfId="0" applyFont="1" applyFill="1" applyBorder="1" applyAlignment="1">
      <alignment horizontal="left" vertical="center" indent="1"/>
    </xf>
    <xf numFmtId="166" fontId="22" fillId="11" borderId="3" xfId="0" applyNumberFormat="1" applyFont="1" applyFill="1" applyBorder="1" applyAlignment="1">
      <alignment horizontal="center" vertical="center"/>
    </xf>
    <xf numFmtId="0" fontId="21" fillId="11" borderId="3" xfId="0" applyFont="1" applyFill="1" applyBorder="1" applyAlignment="1">
      <alignment horizontal="left" vertical="center" indent="1"/>
    </xf>
    <xf numFmtId="0" fontId="23" fillId="3" borderId="3" xfId="0" applyFont="1" applyFill="1" applyBorder="1" applyAlignment="1">
      <alignment horizontal="left" vertical="center" indent="1"/>
    </xf>
    <xf numFmtId="165" fontId="23" fillId="3" borderId="3" xfId="0" applyNumberFormat="1" applyFont="1" applyFill="1" applyBorder="1" applyAlignment="1">
      <alignment horizontal="center" vertical="center"/>
    </xf>
    <xf numFmtId="0" fontId="8" fillId="3" borderId="3" xfId="0" applyFont="1" applyFill="1" applyBorder="1" applyAlignment="1">
      <alignment horizontal="left" vertical="center" indent="1"/>
    </xf>
    <xf numFmtId="165" fontId="22" fillId="11" borderId="3" xfId="0" applyNumberFormat="1" applyFont="1" applyFill="1" applyBorder="1" applyAlignment="1">
      <alignment horizontal="center" vertical="center"/>
    </xf>
    <xf numFmtId="0" fontId="24" fillId="5" borderId="3" xfId="0" applyFont="1" applyFill="1" applyBorder="1" applyAlignment="1">
      <alignment horizontal="left" vertical="center" indent="1"/>
    </xf>
    <xf numFmtId="165" fontId="24" fillId="5" borderId="3" xfId="0" applyNumberFormat="1" applyFont="1" applyFill="1" applyBorder="1" applyAlignment="1">
      <alignment horizontal="center" vertical="center"/>
    </xf>
    <xf numFmtId="0" fontId="21" fillId="5" borderId="3" xfId="0" applyFont="1" applyFill="1" applyBorder="1" applyAlignment="1">
      <alignment horizontal="left" vertical="center" indent="1"/>
    </xf>
    <xf numFmtId="166" fontId="20" fillId="7" borderId="3" xfId="0" applyNumberFormat="1" applyFont="1" applyFill="1" applyBorder="1" applyAlignment="1">
      <alignment horizontal="center" vertical="center"/>
    </xf>
    <xf numFmtId="166" fontId="24" fillId="5" borderId="3" xfId="0" applyNumberFormat="1" applyFont="1" applyFill="1" applyBorder="1" applyAlignment="1">
      <alignment horizontal="center" vertical="center"/>
    </xf>
    <xf numFmtId="166" fontId="25" fillId="7" borderId="3" xfId="0" applyNumberFormat="1" applyFont="1" applyFill="1" applyBorder="1" applyAlignment="1">
      <alignment horizontal="center" vertical="center"/>
    </xf>
    <xf numFmtId="166" fontId="26" fillId="7" borderId="3" xfId="0" applyNumberFormat="1" applyFont="1" applyFill="1" applyBorder="1" applyAlignment="1">
      <alignment horizontal="center" vertical="center"/>
    </xf>
    <xf numFmtId="0" fontId="24" fillId="7" borderId="3" xfId="0" applyFont="1" applyFill="1" applyBorder="1" applyAlignment="1">
      <alignment horizontal="center" vertical="center"/>
    </xf>
    <xf numFmtId="168" fontId="25" fillId="7" borderId="3" xfId="0" applyNumberFormat="1" applyFont="1" applyFill="1" applyBorder="1" applyAlignment="1">
      <alignment horizontal="center" vertical="center"/>
    </xf>
    <xf numFmtId="168" fontId="26" fillId="7" borderId="3" xfId="0" applyNumberFormat="1" applyFont="1" applyFill="1" applyBorder="1" applyAlignment="1">
      <alignment horizontal="center" vertical="center"/>
    </xf>
    <xf numFmtId="169" fontId="25" fillId="7" borderId="3" xfId="0" applyNumberFormat="1" applyFont="1" applyFill="1" applyBorder="1" applyAlignment="1">
      <alignment horizontal="center" vertical="center"/>
    </xf>
    <xf numFmtId="169" fontId="26" fillId="7" borderId="3" xfId="0" applyNumberFormat="1" applyFont="1" applyFill="1" applyBorder="1" applyAlignment="1">
      <alignment horizontal="center" vertical="center"/>
    </xf>
    <xf numFmtId="165" fontId="25" fillId="7" borderId="3" xfId="0" applyNumberFormat="1" applyFont="1" applyFill="1" applyBorder="1" applyAlignment="1">
      <alignment horizontal="center" vertical="center"/>
    </xf>
    <xf numFmtId="165" fontId="26" fillId="7" borderId="3" xfId="0" applyNumberFormat="1" applyFont="1" applyFill="1" applyBorder="1" applyAlignment="1">
      <alignment horizontal="center" vertical="center"/>
    </xf>
    <xf numFmtId="0" fontId="28" fillId="12" borderId="3" xfId="0" applyFont="1" applyFill="1" applyBorder="1" applyAlignment="1">
      <alignment horizontal="left" vertical="center" wrapText="1" indent="1"/>
    </xf>
    <xf numFmtId="0" fontId="31" fillId="3" borderId="3" xfId="0" applyFont="1" applyFill="1" applyBorder="1" applyAlignment="1">
      <alignment horizontal="left" vertical="center" indent="1"/>
    </xf>
    <xf numFmtId="0" fontId="31" fillId="10" borderId="3" xfId="0" applyFont="1" applyFill="1" applyBorder="1" applyAlignment="1">
      <alignment horizontal="center" vertical="center"/>
    </xf>
    <xf numFmtId="0" fontId="31" fillId="9" borderId="3" xfId="0" applyFont="1" applyFill="1" applyBorder="1" applyAlignment="1">
      <alignment horizontal="center" vertical="center"/>
    </xf>
    <xf numFmtId="0" fontId="31" fillId="8" borderId="3" xfId="0" applyFont="1" applyFill="1" applyBorder="1" applyAlignment="1">
      <alignment horizontal="center" vertical="center"/>
    </xf>
    <xf numFmtId="0" fontId="31" fillId="14" borderId="3" xfId="0" applyFont="1" applyFill="1" applyBorder="1" applyAlignment="1">
      <alignment horizontal="center" vertical="center"/>
    </xf>
    <xf numFmtId="0" fontId="8" fillId="3" borderId="3" xfId="0" applyFont="1" applyFill="1" applyBorder="1" applyAlignment="1">
      <alignment horizontal="center" vertical="center"/>
    </xf>
    <xf numFmtId="0" fontId="29" fillId="7" borderId="3" xfId="0" applyFont="1" applyFill="1" applyBorder="1" applyAlignment="1">
      <alignment horizontal="center" vertical="center"/>
    </xf>
    <xf numFmtId="0" fontId="37" fillId="3" borderId="3" xfId="0" applyFont="1" applyFill="1" applyBorder="1" applyAlignment="1">
      <alignment horizontal="center" vertical="center"/>
    </xf>
    <xf numFmtId="0" fontId="0" fillId="6" borderId="3" xfId="0" applyFill="1" applyBorder="1"/>
    <xf numFmtId="0" fontId="8" fillId="6" borderId="3" xfId="0" applyFont="1" applyFill="1" applyBorder="1" applyAlignment="1">
      <alignment horizontal="left" vertical="center" indent="1"/>
    </xf>
    <xf numFmtId="0" fontId="0" fillId="7" borderId="3" xfId="0" applyFill="1" applyBorder="1"/>
    <xf numFmtId="0" fontId="0" fillId="3" borderId="3" xfId="0" applyFill="1" applyBorder="1"/>
    <xf numFmtId="0" fontId="0" fillId="5" borderId="3" xfId="0" applyFill="1" applyBorder="1"/>
    <xf numFmtId="0" fontId="34" fillId="7" borderId="3" xfId="0" applyFont="1" applyFill="1" applyBorder="1" applyAlignment="1">
      <alignment horizontal="center" vertical="center"/>
    </xf>
    <xf numFmtId="0" fontId="0" fillId="5" borderId="7" xfId="0" applyFill="1" applyBorder="1"/>
    <xf numFmtId="165" fontId="28" fillId="13" borderId="3" xfId="0" applyNumberFormat="1" applyFont="1" applyFill="1" applyBorder="1" applyAlignment="1">
      <alignment horizontal="center" vertical="center"/>
    </xf>
    <xf numFmtId="165" fontId="7" fillId="3" borderId="3" xfId="0" applyNumberFormat="1" applyFont="1" applyFill="1" applyBorder="1" applyAlignment="1">
      <alignment horizontal="center" vertical="center"/>
    </xf>
    <xf numFmtId="166" fontId="40" fillId="11" borderId="3" xfId="0" applyNumberFormat="1" applyFont="1" applyFill="1" applyBorder="1" applyAlignment="1">
      <alignment horizontal="center" vertical="center"/>
    </xf>
    <xf numFmtId="165" fontId="40" fillId="11" borderId="3" xfId="0" applyNumberFormat="1" applyFont="1" applyFill="1" applyBorder="1" applyAlignment="1">
      <alignment horizontal="center" vertical="center"/>
    </xf>
    <xf numFmtId="165" fontId="39" fillId="7" borderId="3" xfId="0" applyNumberFormat="1" applyFont="1" applyFill="1" applyBorder="1" applyAlignment="1">
      <alignment horizontal="center" vertical="center"/>
    </xf>
    <xf numFmtId="166" fontId="39" fillId="7" borderId="3" xfId="0" applyNumberFormat="1" applyFont="1" applyFill="1" applyBorder="1" applyAlignment="1">
      <alignment horizontal="center" vertical="center"/>
    </xf>
    <xf numFmtId="170" fontId="39" fillId="7" borderId="3" xfId="0" applyNumberFormat="1" applyFont="1" applyFill="1" applyBorder="1" applyAlignment="1">
      <alignment horizontal="center" vertical="center"/>
    </xf>
    <xf numFmtId="172" fontId="39" fillId="7" borderId="3" xfId="0" applyNumberFormat="1" applyFont="1" applyFill="1" applyBorder="1" applyAlignment="1">
      <alignment horizontal="center" vertical="center"/>
    </xf>
    <xf numFmtId="169" fontId="39" fillId="7" borderId="3" xfId="0" applyNumberFormat="1" applyFont="1" applyFill="1" applyBorder="1" applyAlignment="1">
      <alignment horizontal="center" vertical="center"/>
    </xf>
    <xf numFmtId="0" fontId="10" fillId="12" borderId="3" xfId="0" applyFont="1" applyFill="1" applyBorder="1" applyAlignment="1">
      <alignment horizontal="left" vertical="center" indent="1"/>
    </xf>
    <xf numFmtId="169" fontId="10" fillId="13" borderId="3" xfId="0" applyNumberFormat="1" applyFont="1" applyFill="1" applyBorder="1" applyAlignment="1">
      <alignment horizontal="left" vertical="center" indent="1"/>
    </xf>
    <xf numFmtId="164" fontId="10" fillId="13" borderId="3" xfId="0" applyNumberFormat="1" applyFont="1" applyFill="1" applyBorder="1" applyAlignment="1">
      <alignment horizontal="left" vertical="center" indent="1"/>
    </xf>
    <xf numFmtId="0" fontId="10" fillId="13" borderId="3" xfId="0" applyFont="1" applyFill="1" applyBorder="1" applyAlignment="1">
      <alignment horizontal="left" vertical="center" indent="1"/>
    </xf>
    <xf numFmtId="1" fontId="10" fillId="13" borderId="3" xfId="0" applyNumberFormat="1" applyFont="1" applyFill="1" applyBorder="1" applyAlignment="1">
      <alignment horizontal="left" vertical="center" indent="1"/>
    </xf>
    <xf numFmtId="0" fontId="28" fillId="7" borderId="3" xfId="0" applyFont="1" applyFill="1" applyBorder="1" applyAlignment="1">
      <alignment horizontal="left" vertical="center" indent="1"/>
    </xf>
    <xf numFmtId="0" fontId="36" fillId="3" borderId="3" xfId="0" applyFont="1" applyFill="1" applyBorder="1" applyAlignment="1">
      <alignment horizontal="left" vertical="center" indent="1"/>
    </xf>
    <xf numFmtId="0" fontId="19" fillId="6" borderId="3" xfId="0" applyFont="1" applyFill="1" applyBorder="1" applyAlignment="1">
      <alignment horizontal="center" vertical="center"/>
    </xf>
    <xf numFmtId="0" fontId="28" fillId="7" borderId="3" xfId="0" applyFont="1" applyFill="1" applyBorder="1" applyAlignment="1">
      <alignment horizontal="center" vertical="center"/>
    </xf>
    <xf numFmtId="0" fontId="46" fillId="12" borderId="3" xfId="0" applyFont="1" applyFill="1" applyBorder="1" applyAlignment="1">
      <alignment horizontal="center" vertical="center"/>
    </xf>
    <xf numFmtId="0" fontId="46" fillId="13" borderId="3" xfId="0" applyFont="1" applyFill="1" applyBorder="1" applyAlignment="1">
      <alignment horizontal="center" vertical="center"/>
    </xf>
    <xf numFmtId="0" fontId="47" fillId="16" borderId="3" xfId="0" applyFont="1" applyFill="1" applyBorder="1" applyAlignment="1">
      <alignment horizontal="center" vertical="center"/>
    </xf>
    <xf numFmtId="0" fontId="48" fillId="17" borderId="3" xfId="0" applyFont="1" applyFill="1" applyBorder="1" applyAlignment="1">
      <alignment horizontal="center" vertical="center"/>
    </xf>
    <xf numFmtId="0" fontId="49" fillId="18" borderId="3" xfId="0" applyFont="1" applyFill="1" applyBorder="1" applyAlignment="1">
      <alignment horizontal="center" vertical="center"/>
    </xf>
    <xf numFmtId="0" fontId="50" fillId="11" borderId="3" xfId="0" applyFont="1" applyFill="1" applyBorder="1" applyAlignment="1">
      <alignment horizontal="center" vertical="center"/>
    </xf>
    <xf numFmtId="0" fontId="29" fillId="7" borderId="3" xfId="0" applyFont="1" applyFill="1" applyBorder="1" applyAlignment="1">
      <alignment horizontal="left" vertical="center" indent="1"/>
    </xf>
  </cellXfs>
  <cellStyles count="1">
    <cellStyle name="Standard" xfId="0" builtinId="0"/>
  </cellStyles>
  <dxfs count="33">
    <dxf>
      <font>
        <sz val="9"/>
        <color rgb="FFB5871F"/>
        <name val="Calibri"/>
        <charset val="1"/>
      </font>
      <fill>
        <patternFill>
          <bgColor rgb="FFFAEED2"/>
        </patternFill>
      </fill>
    </dxf>
    <dxf>
      <font>
        <b/>
        <sz val="9"/>
        <color rgb="FF3E7A5A"/>
        <name val="Calibri"/>
        <charset val="1"/>
      </font>
      <fill>
        <patternFill>
          <bgColor rgb="FFE2EDE6"/>
        </patternFill>
      </fill>
    </dxf>
    <dxf>
      <font>
        <b/>
        <sz val="9"/>
        <color rgb="FF3E7A5A"/>
        <name val="Calibri"/>
        <charset val="1"/>
      </font>
      <fill>
        <patternFill>
          <bgColor rgb="FFE2EDE6"/>
        </patternFill>
      </fill>
    </dxf>
    <dxf>
      <font>
        <b/>
        <sz val="9"/>
        <color rgb="FF8B2E3E"/>
        <name val="Calibri"/>
        <charset val="1"/>
      </font>
      <fill>
        <patternFill>
          <bgColor rgb="FFF6DFE3"/>
        </patternFill>
      </fill>
    </dxf>
    <dxf>
      <font>
        <b/>
        <sz val="9"/>
        <color rgb="FFB5871F"/>
        <name val="Calibri"/>
        <charset val="1"/>
      </font>
      <fill>
        <patternFill>
          <bgColor rgb="FFFAEED2"/>
        </patternFill>
      </fill>
    </dxf>
    <dxf>
      <font>
        <b/>
        <sz val="9"/>
        <color rgb="FFFFFFFF"/>
        <name val="Calibri"/>
        <charset val="1"/>
      </font>
      <fill>
        <patternFill>
          <bgColor rgb="FF8B2E3E"/>
        </patternFill>
      </fill>
    </dxf>
    <dxf>
      <font>
        <b/>
        <sz val="9"/>
        <color rgb="FF8B2E3E"/>
        <name val="Calibri"/>
        <charset val="1"/>
      </font>
    </dxf>
    <dxf>
      <font>
        <b/>
        <sz val="9"/>
        <color rgb="FF8B2E3E"/>
        <name val="Calibri"/>
        <charset val="1"/>
      </font>
    </dxf>
    <dxf>
      <font>
        <b/>
        <sz val="9"/>
        <color rgb="FF8B2E3E"/>
        <name val="Calibri"/>
        <charset val="1"/>
      </font>
    </dxf>
    <dxf>
      <font>
        <b/>
        <sz val="9"/>
        <color rgb="FF8B2E3E"/>
        <name val="Calibri"/>
        <charset val="1"/>
      </font>
      <fill>
        <patternFill>
          <bgColor rgb="FFF6DFE3"/>
        </patternFill>
      </fill>
    </dxf>
    <dxf>
      <font>
        <b/>
        <sz val="9"/>
        <color rgb="FF3E7A5A"/>
        <name val="Calibri"/>
        <charset val="1"/>
      </font>
      <fill>
        <patternFill>
          <bgColor rgb="FFE2EDE6"/>
        </patternFill>
      </fill>
    </dxf>
    <dxf>
      <font>
        <b/>
        <sz val="9"/>
        <color rgb="FFB5871F"/>
        <name val="Calibri"/>
        <charset val="1"/>
      </font>
      <fill>
        <patternFill>
          <bgColor rgb="FFFAEED2"/>
        </patternFill>
      </fill>
    </dxf>
    <dxf>
      <font>
        <b/>
        <sz val="9"/>
        <color rgb="FF3E7A5A"/>
        <name val="Calibri"/>
        <charset val="1"/>
      </font>
      <fill>
        <patternFill>
          <bgColor rgb="FFE2EDE6"/>
        </patternFill>
      </fill>
    </dxf>
    <dxf>
      <font>
        <b/>
        <sz val="9"/>
        <color rgb="FF8B2E3E"/>
        <name val="Calibri"/>
        <charset val="1"/>
      </font>
      <fill>
        <patternFill>
          <bgColor rgb="FFF6DFE3"/>
        </patternFill>
      </fill>
    </dxf>
    <dxf>
      <font>
        <b/>
        <sz val="9"/>
        <color rgb="FF3E7A5A"/>
        <name val="Calibri"/>
        <charset val="1"/>
      </font>
      <fill>
        <patternFill>
          <bgColor rgb="FFE2EDE6"/>
        </patternFill>
      </fill>
    </dxf>
    <dxf>
      <font>
        <b/>
        <sz val="10"/>
        <color rgb="FF8B2E3E"/>
        <name val="Calibri"/>
        <charset val="1"/>
      </font>
      <fill>
        <patternFill>
          <bgColor rgb="FFF6DFE3"/>
        </patternFill>
      </fill>
    </dxf>
    <dxf>
      <font>
        <b/>
        <sz val="10"/>
        <color rgb="FFB5871F"/>
        <name val="Calibri"/>
        <charset val="1"/>
      </font>
      <fill>
        <patternFill>
          <bgColor rgb="FFFAEED2"/>
        </patternFill>
      </fill>
    </dxf>
    <dxf>
      <font>
        <b/>
        <sz val="10"/>
        <color rgb="FF3E7A5A"/>
        <name val="Calibri"/>
        <charset val="1"/>
      </font>
      <fill>
        <patternFill>
          <bgColor rgb="FFE2EDE6"/>
        </patternFill>
      </fill>
    </dxf>
    <dxf>
      <font>
        <b/>
        <sz val="10"/>
        <color rgb="FF8B2E3E"/>
        <name val="Calibri"/>
        <charset val="1"/>
      </font>
      <fill>
        <patternFill>
          <bgColor rgb="FFF6DFE3"/>
        </patternFill>
      </fill>
    </dxf>
    <dxf>
      <font>
        <b/>
        <sz val="10"/>
        <color rgb="FF8B2E3E"/>
        <name val="Calibri"/>
        <charset val="1"/>
      </font>
      <fill>
        <patternFill>
          <bgColor rgb="FFF6DFE3"/>
        </patternFill>
      </fill>
    </dxf>
    <dxf>
      <font>
        <b/>
        <sz val="10"/>
        <color rgb="FF3E7A5A"/>
        <name val="Calibri"/>
        <charset val="1"/>
      </font>
      <fill>
        <patternFill>
          <bgColor rgb="FFE2EDE6"/>
        </patternFill>
      </fill>
    </dxf>
    <dxf>
      <font>
        <b/>
        <sz val="9"/>
        <color rgb="FFB5871F"/>
        <name val="Calibri"/>
        <charset val="1"/>
      </font>
      <fill>
        <patternFill>
          <bgColor rgb="FFFAEED2"/>
        </patternFill>
      </fill>
    </dxf>
    <dxf>
      <font>
        <b/>
        <sz val="9"/>
        <color rgb="FF3E7A5A"/>
        <name val="Calibri"/>
        <charset val="1"/>
      </font>
      <fill>
        <patternFill>
          <bgColor rgb="FFE2EDE6"/>
        </patternFill>
      </fill>
    </dxf>
    <dxf>
      <font>
        <b/>
        <sz val="9"/>
        <color rgb="FFFFFFFF"/>
        <name val="Calibri"/>
        <charset val="1"/>
      </font>
      <fill>
        <patternFill>
          <bgColor rgb="FF8B2E3E"/>
        </patternFill>
      </fill>
    </dxf>
    <dxf>
      <font>
        <b/>
        <sz val="9"/>
        <color rgb="FFB5871F"/>
        <name val="Calibri"/>
        <charset val="1"/>
      </font>
      <fill>
        <patternFill>
          <bgColor rgb="FFFAEED2"/>
        </patternFill>
      </fill>
    </dxf>
    <dxf>
      <font>
        <b/>
        <sz val="9"/>
        <color rgb="FF8B2E3E"/>
        <name val="Calibri"/>
        <charset val="1"/>
      </font>
      <fill>
        <patternFill>
          <bgColor rgb="FFF6DFE3"/>
        </patternFill>
      </fill>
    </dxf>
    <dxf>
      <font>
        <b/>
        <sz val="9"/>
        <color rgb="FF3E7A5A"/>
        <name val="Calibri"/>
        <charset val="1"/>
      </font>
      <fill>
        <patternFill>
          <bgColor rgb="FFE2EDE6"/>
        </patternFill>
      </fill>
    </dxf>
    <dxf>
      <font>
        <b/>
        <sz val="9"/>
        <color rgb="FFB5871F"/>
        <name val="Calibri"/>
        <charset val="1"/>
      </font>
      <fill>
        <patternFill>
          <bgColor rgb="FFFAEED2"/>
        </patternFill>
      </fill>
    </dxf>
    <dxf>
      <font>
        <b/>
        <sz val="9"/>
        <color rgb="FF8B2E3E"/>
        <name val="Calibri"/>
        <charset val="1"/>
      </font>
      <fill>
        <patternFill>
          <bgColor rgb="FFF6DFE3"/>
        </patternFill>
      </fill>
    </dxf>
    <dxf>
      <font>
        <b/>
        <sz val="9"/>
        <color rgb="FF3E7A5A"/>
        <name val="Calibri"/>
        <charset val="1"/>
      </font>
      <fill>
        <patternFill>
          <bgColor rgb="FFE2EDE6"/>
        </patternFill>
      </fill>
    </dxf>
    <dxf>
      <font>
        <b/>
        <sz val="9"/>
        <color rgb="FF8B2E3E"/>
        <name val="Calibri"/>
        <charset val="1"/>
      </font>
      <fill>
        <patternFill>
          <bgColor rgb="FFF6DFE3"/>
        </patternFill>
      </fill>
    </dxf>
    <dxf>
      <font>
        <b/>
        <sz val="9"/>
        <color rgb="FFB5871F"/>
        <name val="Calibri"/>
        <charset val="1"/>
      </font>
      <fill>
        <patternFill>
          <bgColor rgb="FFFAEED2"/>
        </patternFill>
      </fill>
    </dxf>
    <dxf>
      <font>
        <b/>
        <sz val="9"/>
        <color rgb="FF3E7A5A"/>
        <name val="Calibri"/>
        <charset val="1"/>
      </font>
      <fill>
        <patternFill>
          <bgColor rgb="FFE2EDE6"/>
        </patternFill>
      </fill>
    </dxf>
  </dxfs>
  <tableStyles count="0" defaultTableStyle="TableStyleMedium2" defaultPivotStyle="PivotStyleLight16"/>
  <colors>
    <indexedColors>
      <rgbColor rgb="FF000000"/>
      <rgbColor rgb="FFFFFFFF"/>
      <rgbColor rgb="FFFF0000"/>
      <rgbColor rgb="FF00FF00"/>
      <rgbColor rgb="FF0000FF"/>
      <rgbColor rgb="FFF2ECE4"/>
      <rgbColor rgb="FFFF00FF"/>
      <rgbColor rgb="FF00FFFF"/>
      <rgbColor rgb="FF800000"/>
      <rgbColor rgb="FF008000"/>
      <rgbColor rgb="FF000080"/>
      <rgbColor rgb="FFB5871F"/>
      <rgbColor rgb="FF800080"/>
      <rgbColor rgb="FF17616E"/>
      <rgbColor rgb="FFCDBFB2"/>
      <rgbColor rgb="FF878787"/>
      <rgbColor rgb="FF9999FF"/>
      <rgbColor rgb="FF8B2E3E"/>
      <rgbColor rgb="FFFFF7EC"/>
      <rgbColor rgb="FFDCEAEC"/>
      <rgbColor rgb="FF660066"/>
      <rgbColor rgb="FFFF8080"/>
      <rgbColor rgb="FF0066CC"/>
      <rgbColor rgb="FFD9D9D9"/>
      <rgbColor rgb="FF000080"/>
      <rgbColor rgb="FFFF00FF"/>
      <rgbColor rgb="FFFDFBF8"/>
      <rgbColor rgb="FF00FFFF"/>
      <rgbColor rgb="FF800080"/>
      <rgbColor rgb="FF800000"/>
      <rgbColor rgb="FF008080"/>
      <rgbColor rgb="FF0000FF"/>
      <rgbColor rgb="FF00CCFF"/>
      <rgbColor rgb="FFE2EDE6"/>
      <rgbColor rgb="FFEFEBE6"/>
      <rgbColor rgb="FFFAEED2"/>
      <rgbColor rgb="FFD8CEC3"/>
      <rgbColor rgb="FFF6DFE3"/>
      <rgbColor rgb="FFF7E4D2"/>
      <rgbColor rgb="FFE4DACD"/>
      <rgbColor rgb="FF3366FF"/>
      <rgbColor rgb="FF33CCCC"/>
      <rgbColor rgb="FF99CC00"/>
      <rgbColor rgb="FFFFCC00"/>
      <rgbColor rgb="FFFF9900"/>
      <rgbColor rgb="FFFF6600"/>
      <rgbColor rgb="FF666699"/>
      <rgbColor rgb="FF8A7C71"/>
      <rgbColor rgb="FF003366"/>
      <rgbColor rgb="FF3E7A5A"/>
      <rgbColor rgb="FF003300"/>
      <rgbColor rgb="FF241C18"/>
      <rgbColor rgb="FF7E4718"/>
      <rgbColor rgb="FFA9642B"/>
      <rgbColor rgb="FF333399"/>
      <rgbColor rgb="FF463A3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800" b="1" strike="noStrike" spc="-1">
                <a:solidFill>
                  <a:srgbClr val="000000"/>
                </a:solidFill>
                <a:latin typeface="Calibri"/>
              </a:defRPr>
            </a:pPr>
            <a:r>
              <a:rPr lang="de-DE" sz="1800" b="1" strike="noStrike" spc="-1">
                <a:solidFill>
                  <a:srgbClr val="000000"/>
                </a:solidFill>
                <a:latin typeface="Calibri"/>
              </a:rPr>
              <a:t>Kostenstruktur im Jahr 1</a:t>
            </a:r>
          </a:p>
        </c:rich>
      </c:tx>
      <c:overlay val="0"/>
      <c:spPr>
        <a:noFill/>
        <a:ln w="0">
          <a:noFill/>
        </a:ln>
      </c:spPr>
    </c:title>
    <c:autoTitleDeleted val="0"/>
    <c:plotArea>
      <c:layout/>
      <c:barChart>
        <c:barDir val="bar"/>
        <c:grouping val="clustered"/>
        <c:varyColors val="0"/>
        <c:ser>
          <c:idx val="0"/>
          <c:order val="0"/>
          <c:tx>
            <c:v>Kosten Jahr 1</c:v>
          </c:tx>
          <c:spPr>
            <a:solidFill>
              <a:srgbClr val="7E4718"/>
            </a:solidFill>
            <a:ln w="0">
              <a:noFill/>
            </a:ln>
          </c:spPr>
          <c:invertIfNegative val="0"/>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Cockpit!$C$38:$C$41</c:f>
              <c:strCache>
                <c:ptCount val="4"/>
                <c:pt idx="0">
                  <c:v>Wareneinsatz Speisen und Getränke</c:v>
                </c:pt>
                <c:pt idx="1">
                  <c:v>Personalkosten</c:v>
                </c:pt>
                <c:pt idx="2">
                  <c:v>Variable Betriebskosten</c:v>
                </c:pt>
                <c:pt idx="3">
                  <c:v>Fixe Betriebskosten</c:v>
                </c:pt>
              </c:strCache>
            </c:strRef>
          </c:cat>
          <c:val>
            <c:numRef>
              <c:f>Cockpit!$F$38:$F$41</c:f>
              <c:numCache>
                <c:formatCode>#,##0" €";\-#,##0" €";\–</c:formatCode>
                <c:ptCount val="4"/>
                <c:pt idx="0">
                  <c:v>63032</c:v>
                </c:pt>
                <c:pt idx="1">
                  <c:v>349692</c:v>
                </c:pt>
                <c:pt idx="2">
                  <c:v>111599</c:v>
                </c:pt>
                <c:pt idx="3">
                  <c:v>186600</c:v>
                </c:pt>
              </c:numCache>
            </c:numRef>
          </c:val>
          <c:extLst>
            <c:ext xmlns:c16="http://schemas.microsoft.com/office/drawing/2014/chart" uri="{C3380CC4-5D6E-409C-BE32-E72D297353CC}">
              <c16:uniqueId val="{00000000-E84E-4080-ABEA-F1A53AAD700F}"/>
            </c:ext>
          </c:extLst>
        </c:ser>
        <c:dLbls>
          <c:showLegendKey val="0"/>
          <c:showVal val="0"/>
          <c:showCatName val="0"/>
          <c:showSerName val="0"/>
          <c:showPercent val="0"/>
          <c:showBubbleSize val="0"/>
        </c:dLbls>
        <c:gapWidth val="150"/>
        <c:axId val="8025527"/>
        <c:axId val="82575474"/>
      </c:barChart>
      <c:catAx>
        <c:axId val="8025527"/>
        <c:scaling>
          <c:orientation val="minMax"/>
        </c:scaling>
        <c:delete val="0"/>
        <c:axPos val="l"/>
        <c:numFmt formatCode="General"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82575474"/>
        <c:crosses val="autoZero"/>
        <c:auto val="1"/>
        <c:lblAlgn val="ctr"/>
        <c:lblOffset val="100"/>
        <c:noMultiLvlLbl val="0"/>
      </c:catAx>
      <c:valAx>
        <c:axId val="82575474"/>
        <c:scaling>
          <c:orientation val="minMax"/>
        </c:scaling>
        <c:delete val="0"/>
        <c:axPos val="b"/>
        <c:majorGridlines>
          <c:spPr>
            <a:ln w="9360">
              <a:solidFill>
                <a:srgbClr val="878787"/>
              </a:solidFill>
              <a:round/>
            </a:ln>
          </c:spPr>
        </c:majorGridlines>
        <c:numFmt formatCode="#,##0&quot; €&quot;;\-#,##0&quot; €&quot;;\–"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8025527"/>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60</xdr:row>
      <xdr:rowOff>95250</xdr:rowOff>
    </xdr:from>
    <xdr:to>
      <xdr:col>14</xdr:col>
      <xdr:colOff>9525</xdr:colOff>
      <xdr:row>74</xdr:row>
      <xdr:rowOff>19950</xdr:rowOff>
    </xdr:to>
    <xdr:graphicFrame macro="">
      <xdr:nvGraphicFramePr>
        <xdr:cNvPr id="5" name="Chart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9642B"/>
    <pageSetUpPr fitToPage="1"/>
  </sheetPr>
  <dimension ref="B1:N60"/>
  <sheetViews>
    <sheetView showGridLines="0" tabSelected="1" zoomScaleNormal="100" workbookViewId="0">
      <selection activeCell="I119" sqref="I119"/>
    </sheetView>
  </sheetViews>
  <sheetFormatPr baseColWidth="10" defaultColWidth="8.7109375" defaultRowHeight="15" x14ac:dyDescent="0.25"/>
  <cols>
    <col min="1" max="1" width="1.28515625" customWidth="1"/>
    <col min="2" max="2" width="3" customWidth="1"/>
    <col min="3" max="14" width="13" customWidth="1"/>
  </cols>
  <sheetData>
    <row r="1" spans="2:14" ht="6" customHeight="1" x14ac:dyDescent="0.25">
      <c r="B1" s="15"/>
      <c r="C1" s="15"/>
      <c r="D1" s="15"/>
      <c r="E1" s="15"/>
      <c r="F1" s="15"/>
      <c r="G1" s="15"/>
      <c r="H1" s="15"/>
      <c r="I1" s="15"/>
      <c r="J1" s="15"/>
      <c r="K1" s="15"/>
      <c r="L1" s="15"/>
      <c r="M1" s="15"/>
      <c r="N1" s="15"/>
    </row>
    <row r="2" spans="2:14" ht="30" customHeight="1" x14ac:dyDescent="0.4">
      <c r="B2" s="14" t="s">
        <v>770</v>
      </c>
      <c r="C2" s="14"/>
      <c r="D2" s="14"/>
      <c r="E2" s="14"/>
      <c r="F2" s="14"/>
      <c r="G2" s="14"/>
      <c r="H2" s="14"/>
      <c r="I2" s="14"/>
      <c r="J2" s="13" t="s">
        <v>0</v>
      </c>
      <c r="K2" s="13"/>
      <c r="L2" s="13"/>
      <c r="M2" s="13"/>
      <c r="N2" s="13"/>
    </row>
    <row r="3" spans="2:14" ht="16.5" customHeight="1" x14ac:dyDescent="0.25">
      <c r="B3" s="12" t="s">
        <v>1</v>
      </c>
      <c r="C3" s="12"/>
      <c r="D3" s="12"/>
      <c r="E3" s="12"/>
      <c r="F3" s="12"/>
      <c r="G3" s="12"/>
      <c r="H3" s="12"/>
      <c r="I3" s="12"/>
      <c r="J3" s="11" t="str">
        <f>"Planjahr "&amp;Planjahr&amp;" bis "&amp;(Planjahr+2)</f>
        <v>Planjahr 2026 bis 2028</v>
      </c>
      <c r="K3" s="11"/>
      <c r="L3" s="11"/>
      <c r="M3" s="11"/>
      <c r="N3" s="11"/>
    </row>
    <row r="4" spans="2:14" ht="3.75" customHeight="1" x14ac:dyDescent="0.25">
      <c r="B4" s="16"/>
      <c r="C4" s="16"/>
      <c r="D4" s="16"/>
      <c r="E4" s="16"/>
      <c r="F4" s="16"/>
      <c r="G4" s="16"/>
      <c r="H4" s="16"/>
      <c r="I4" s="16"/>
      <c r="J4" s="16"/>
      <c r="K4" s="16"/>
      <c r="L4" s="16"/>
      <c r="M4" s="16"/>
      <c r="N4" s="16"/>
    </row>
    <row r="5" spans="2:14" ht="18.75" customHeight="1" x14ac:dyDescent="0.25">
      <c r="B5" s="10" t="s">
        <v>2</v>
      </c>
      <c r="C5" s="10"/>
      <c r="D5" s="10"/>
      <c r="E5" s="9" t="s">
        <v>3</v>
      </c>
      <c r="F5" s="9"/>
      <c r="G5" s="9" t="s">
        <v>4</v>
      </c>
      <c r="H5" s="9"/>
      <c r="I5" s="9" t="s">
        <v>5</v>
      </c>
      <c r="J5" s="9"/>
      <c r="K5" s="9" t="s">
        <v>6</v>
      </c>
      <c r="L5" s="9"/>
      <c r="M5" s="9" t="s">
        <v>7</v>
      </c>
      <c r="N5" s="9"/>
    </row>
    <row r="6" spans="2:14" ht="6.75" customHeight="1" x14ac:dyDescent="0.25"/>
    <row r="7" spans="2:14" ht="21" customHeight="1" x14ac:dyDescent="0.25">
      <c r="B7" s="19" t="s">
        <v>8</v>
      </c>
      <c r="C7" s="8" t="s">
        <v>9</v>
      </c>
      <c r="D7" s="8"/>
      <c r="E7" s="8"/>
      <c r="F7" s="8"/>
      <c r="G7" s="8"/>
      <c r="H7" s="8"/>
      <c r="I7" s="7" t="s">
        <v>10</v>
      </c>
      <c r="J7" s="7"/>
      <c r="K7" s="7"/>
      <c r="L7" s="7"/>
      <c r="M7" s="7"/>
      <c r="N7" s="7"/>
    </row>
    <row r="8" spans="2:14" ht="18.75" customHeight="1" x14ac:dyDescent="0.25">
      <c r="C8" s="6" t="s">
        <v>11</v>
      </c>
      <c r="D8" s="6"/>
      <c r="E8" s="6"/>
      <c r="F8" s="5" t="str">
        <f>Annahmen!$E$8</f>
        <v>Hotel Musterhof Betriebs GmbH</v>
      </c>
      <c r="G8" s="5"/>
      <c r="H8" s="5"/>
      <c r="I8" s="6" t="s">
        <v>12</v>
      </c>
      <c r="J8" s="6"/>
      <c r="K8" s="6"/>
      <c r="L8" s="5" t="str">
        <f>Annahmen!$I$8</f>
        <v>GmbH</v>
      </c>
      <c r="M8" s="5"/>
      <c r="N8" s="5"/>
    </row>
    <row r="9" spans="2:14" ht="18.75" customHeight="1" x14ac:dyDescent="0.25">
      <c r="C9" s="6" t="s">
        <v>13</v>
      </c>
      <c r="D9" s="6"/>
      <c r="E9" s="6"/>
      <c r="F9" s="5" t="str">
        <f>Annahmen!$E$9</f>
        <v>Stadthotel mit Restaurant und Tagungsbereich</v>
      </c>
      <c r="G9" s="5"/>
      <c r="H9" s="5"/>
      <c r="I9" s="6" t="s">
        <v>14</v>
      </c>
      <c r="J9" s="6"/>
      <c r="K9" s="6"/>
      <c r="L9" s="5" t="str">
        <f>Annahmen!$I$9</f>
        <v>4 Sterne</v>
      </c>
      <c r="M9" s="5"/>
      <c r="N9" s="5"/>
    </row>
    <row r="10" spans="2:14" ht="18.75" customHeight="1" x14ac:dyDescent="0.25">
      <c r="C10" s="6" t="s">
        <v>15</v>
      </c>
      <c r="D10" s="6"/>
      <c r="E10" s="6"/>
      <c r="F10" s="5" t="str">
        <f>Annahmen!$E$10</f>
        <v>Musterstadt</v>
      </c>
      <c r="G10" s="5"/>
      <c r="H10" s="5"/>
      <c r="I10" s="6" t="s">
        <v>16</v>
      </c>
      <c r="J10" s="6"/>
      <c r="K10" s="6"/>
      <c r="L10" s="5" t="str">
        <f>Zimmer_gesamt&amp;" Zimmer  ·  "&amp;Betten_gesamt&amp;" Betten"</f>
        <v>24 Zimmer  ·  46 Betten</v>
      </c>
      <c r="M10" s="5"/>
      <c r="N10" s="5"/>
    </row>
    <row r="11" spans="2:14" ht="18.75" customHeight="1" x14ac:dyDescent="0.25">
      <c r="C11" s="6" t="s">
        <v>17</v>
      </c>
      <c r="D11" s="6"/>
      <c r="E11" s="6"/>
      <c r="F11" s="4">
        <f>DATE(Planjahr,Eroeffnungsmonat,1)</f>
        <v>46082</v>
      </c>
      <c r="G11" s="4"/>
      <c r="H11" s="4"/>
      <c r="I11" s="6" t="s">
        <v>18</v>
      </c>
      <c r="J11" s="6"/>
      <c r="K11" s="6"/>
      <c r="L11" s="4">
        <f ca="1">Stichtag</f>
        <v>46231</v>
      </c>
      <c r="M11" s="4"/>
      <c r="N11" s="4"/>
    </row>
    <row r="13" spans="2:14" ht="3.75" customHeight="1" x14ac:dyDescent="0.25">
      <c r="C13" s="15"/>
      <c r="D13" s="15"/>
      <c r="E13" s="15"/>
      <c r="F13" s="15"/>
      <c r="G13" s="20"/>
      <c r="H13" s="20"/>
      <c r="I13" s="20"/>
      <c r="J13" s="20"/>
      <c r="K13" s="21"/>
      <c r="L13" s="21"/>
      <c r="M13" s="21"/>
      <c r="N13" s="21"/>
    </row>
    <row r="14" spans="2:14" ht="21.75" customHeight="1" x14ac:dyDescent="0.25">
      <c r="C14" s="3">
        <f>Kapitalbedarf_Gesamt</f>
        <v>1172340</v>
      </c>
      <c r="D14" s="3"/>
      <c r="E14" s="3">
        <f>Finanzierung_Gesamt</f>
        <v>1175000</v>
      </c>
      <c r="F14" s="3"/>
      <c r="G14" s="2">
        <f>Deckungsgrad</f>
        <v>1.0022689663408226</v>
      </c>
      <c r="H14" s="2"/>
      <c r="I14" s="2">
        <f>EK_Quote</f>
        <v>0.23829787234042554</v>
      </c>
      <c r="J14" s="2"/>
      <c r="K14" s="1">
        <f>Invest_Gesamt</f>
        <v>814500</v>
      </c>
      <c r="L14" s="1"/>
      <c r="M14" s="1">
        <f>Kapitalbedarf!$E$80</f>
        <v>101977</v>
      </c>
      <c r="N14" s="1"/>
    </row>
    <row r="15" spans="2:14" ht="12.75" customHeight="1" x14ac:dyDescent="0.25">
      <c r="C15" s="124" t="s">
        <v>19</v>
      </c>
      <c r="D15" s="124"/>
      <c r="E15" s="124" t="s">
        <v>20</v>
      </c>
      <c r="F15" s="124"/>
      <c r="G15" s="124" t="s">
        <v>21</v>
      </c>
      <c r="H15" s="124"/>
      <c r="I15" s="124" t="s">
        <v>22</v>
      </c>
      <c r="J15" s="124"/>
      <c r="K15" s="124" t="s">
        <v>23</v>
      </c>
      <c r="L15" s="124"/>
      <c r="M15" s="124" t="s">
        <v>24</v>
      </c>
      <c r="N15" s="124"/>
    </row>
    <row r="16" spans="2:14" ht="12" customHeight="1" x14ac:dyDescent="0.25">
      <c r="C16" s="125" t="s">
        <v>25</v>
      </c>
      <c r="D16" s="125"/>
      <c r="E16" s="125" t="s">
        <v>26</v>
      </c>
      <c r="F16" s="125"/>
      <c r="G16" s="125" t="s">
        <v>27</v>
      </c>
      <c r="H16" s="125"/>
      <c r="I16" s="125" t="s">
        <v>28</v>
      </c>
      <c r="J16" s="125"/>
      <c r="K16" s="125" t="s">
        <v>29</v>
      </c>
      <c r="L16" s="125"/>
      <c r="M16" s="125" t="s">
        <v>30</v>
      </c>
      <c r="N16" s="125"/>
    </row>
    <row r="17" spans="2:14" ht="6" customHeight="1" x14ac:dyDescent="0.25"/>
    <row r="18" spans="2:14" ht="3.75" customHeight="1" x14ac:dyDescent="0.25">
      <c r="C18" s="15"/>
      <c r="D18" s="15"/>
      <c r="E18" s="20"/>
      <c r="F18" s="20"/>
      <c r="G18" s="22"/>
      <c r="H18" s="22"/>
      <c r="I18" s="20"/>
      <c r="J18" s="20"/>
      <c r="K18" s="20"/>
      <c r="L18" s="20"/>
      <c r="M18" s="23"/>
      <c r="N18" s="23"/>
    </row>
    <row r="19" spans="2:14" ht="21.75" customHeight="1" x14ac:dyDescent="0.25">
      <c r="C19" s="3">
        <f>Umsatz_J1</f>
        <v>788619</v>
      </c>
      <c r="D19" s="3"/>
      <c r="E19" s="2">
        <f>Erfolgsplanung!$D$73</f>
        <v>9.8521592809709124E-2</v>
      </c>
      <c r="F19" s="2"/>
      <c r="G19" s="126">
        <f>Ergebnis_J1</f>
        <v>-52994</v>
      </c>
      <c r="H19" s="126"/>
      <c r="I19" s="2">
        <f>Erfolgsplanung!$P$17</f>
        <v>0.57924836601307195</v>
      </c>
      <c r="J19" s="2"/>
      <c r="K19" s="127">
        <f>Erfolgsplanung!$P$33</f>
        <v>74.123093681917211</v>
      </c>
      <c r="L19" s="127"/>
      <c r="M19" s="128">
        <f>Liqui_Tief</f>
        <v>74356</v>
      </c>
      <c r="N19" s="128"/>
    </row>
    <row r="20" spans="2:14" ht="12.75" customHeight="1" x14ac:dyDescent="0.25">
      <c r="C20" s="124" t="s">
        <v>31</v>
      </c>
      <c r="D20" s="124"/>
      <c r="E20" s="124" t="s">
        <v>32</v>
      </c>
      <c r="F20" s="124"/>
      <c r="G20" s="124" t="s">
        <v>33</v>
      </c>
      <c r="H20" s="124"/>
      <c r="I20" s="124" t="s">
        <v>34</v>
      </c>
      <c r="J20" s="124"/>
      <c r="K20" s="124" t="s">
        <v>35</v>
      </c>
      <c r="L20" s="124"/>
      <c r="M20" s="124" t="s">
        <v>36</v>
      </c>
      <c r="N20" s="124"/>
    </row>
    <row r="21" spans="2:14" ht="12" customHeight="1" x14ac:dyDescent="0.25">
      <c r="C21" s="125" t="s">
        <v>37</v>
      </c>
      <c r="D21" s="125"/>
      <c r="E21" s="125" t="s">
        <v>38</v>
      </c>
      <c r="F21" s="125"/>
      <c r="G21" s="125" t="s">
        <v>39</v>
      </c>
      <c r="H21" s="125"/>
      <c r="I21" s="125" t="s">
        <v>40</v>
      </c>
      <c r="J21" s="125"/>
      <c r="K21" s="125" t="s">
        <v>41</v>
      </c>
      <c r="L21" s="125"/>
      <c r="M21" s="125" t="s">
        <v>42</v>
      </c>
      <c r="N21" s="125"/>
    </row>
    <row r="22" spans="2:14" ht="7.5" customHeight="1" x14ac:dyDescent="0.25"/>
    <row r="23" spans="2:14" ht="21" customHeight="1" x14ac:dyDescent="0.25">
      <c r="B23" s="19" t="s">
        <v>43</v>
      </c>
      <c r="C23" s="8" t="s">
        <v>44</v>
      </c>
      <c r="D23" s="8"/>
      <c r="E23" s="8"/>
      <c r="F23" s="8"/>
      <c r="G23" s="8"/>
      <c r="H23" s="8"/>
      <c r="I23" s="7" t="s">
        <v>45</v>
      </c>
      <c r="J23" s="7"/>
      <c r="K23" s="7"/>
      <c r="L23" s="7"/>
      <c r="M23" s="7"/>
      <c r="N23" s="7"/>
    </row>
    <row r="24" spans="2:14" ht="19.5" customHeight="1" x14ac:dyDescent="0.25">
      <c r="C24" s="129" t="s">
        <v>46</v>
      </c>
      <c r="D24" s="129"/>
      <c r="E24" s="129"/>
      <c r="F24" s="130" t="s">
        <v>47</v>
      </c>
      <c r="G24" s="130"/>
      <c r="H24" s="130" t="s">
        <v>48</v>
      </c>
      <c r="I24" s="130"/>
      <c r="J24" s="130" t="s">
        <v>49</v>
      </c>
      <c r="K24" s="130"/>
      <c r="L24" s="129" t="s">
        <v>50</v>
      </c>
      <c r="M24" s="129"/>
      <c r="N24" s="129"/>
    </row>
    <row r="25" spans="2:14" ht="16.5" customHeight="1" x14ac:dyDescent="0.25">
      <c r="C25" s="131" t="s">
        <v>51</v>
      </c>
      <c r="D25" s="131"/>
      <c r="E25" s="131"/>
      <c r="F25" s="132">
        <f>Umsatz_J1</f>
        <v>788619</v>
      </c>
      <c r="G25" s="132"/>
      <c r="H25" s="132">
        <f>Umsatz_J2</f>
        <v>1131390</v>
      </c>
      <c r="I25" s="132"/>
      <c r="J25" s="132">
        <f>Umsatz_J3</f>
        <v>1219669</v>
      </c>
      <c r="K25" s="132"/>
      <c r="L25" s="133" t="s">
        <v>52</v>
      </c>
      <c r="M25" s="133"/>
      <c r="N25" s="133"/>
    </row>
    <row r="26" spans="2:14" ht="16.5" customHeight="1" x14ac:dyDescent="0.25">
      <c r="C26" s="131" t="s">
        <v>53</v>
      </c>
      <c r="D26" s="131"/>
      <c r="E26" s="131"/>
      <c r="F26" s="132">
        <f>Erfolgsplanung!$D$72</f>
        <v>77696</v>
      </c>
      <c r="G26" s="132"/>
      <c r="H26" s="132">
        <f>Erfolgsplanung!$G$72</f>
        <v>274763</v>
      </c>
      <c r="I26" s="132"/>
      <c r="J26" s="132">
        <f>Erfolgsplanung!$J$72</f>
        <v>327732</v>
      </c>
      <c r="K26" s="132"/>
      <c r="L26" s="133" t="s">
        <v>54</v>
      </c>
      <c r="M26" s="133"/>
      <c r="N26" s="133"/>
    </row>
    <row r="27" spans="2:14" ht="16.5" customHeight="1" x14ac:dyDescent="0.25">
      <c r="C27" s="134" t="s">
        <v>55</v>
      </c>
      <c r="D27" s="134"/>
      <c r="E27" s="134"/>
      <c r="F27" s="135">
        <f>Erfolgsplanung!$D$73</f>
        <v>9.8521592809709124E-2</v>
      </c>
      <c r="G27" s="135"/>
      <c r="H27" s="135">
        <f>Erfolgsplanung!$G$73</f>
        <v>0.24285436498466489</v>
      </c>
      <c r="I27" s="135"/>
      <c r="J27" s="135">
        <f>Erfolgsplanung!$J$73</f>
        <v>0.26870568982240262</v>
      </c>
      <c r="K27" s="135"/>
      <c r="L27" s="136" t="s">
        <v>56</v>
      </c>
      <c r="M27" s="136"/>
      <c r="N27" s="136"/>
    </row>
    <row r="28" spans="2:14" ht="16.5" customHeight="1" x14ac:dyDescent="0.25">
      <c r="C28" s="131" t="s">
        <v>57</v>
      </c>
      <c r="D28" s="131"/>
      <c r="E28" s="131"/>
      <c r="F28" s="132">
        <f>Erfolgsplanung!$D$74</f>
        <v>91570</v>
      </c>
      <c r="G28" s="132"/>
      <c r="H28" s="132">
        <f>Erfolgsplanung!$G$74</f>
        <v>109880</v>
      </c>
      <c r="I28" s="132"/>
      <c r="J28" s="132">
        <f>Erfolgsplanung!$J$74</f>
        <v>109880</v>
      </c>
      <c r="K28" s="132"/>
      <c r="L28" s="133" t="s">
        <v>58</v>
      </c>
      <c r="M28" s="133"/>
      <c r="N28" s="133"/>
    </row>
    <row r="29" spans="2:14" ht="16.5" customHeight="1" x14ac:dyDescent="0.25">
      <c r="C29" s="131" t="s">
        <v>59</v>
      </c>
      <c r="D29" s="131"/>
      <c r="E29" s="131"/>
      <c r="F29" s="132">
        <f>Erfolgsplanung!$D$75</f>
        <v>39120</v>
      </c>
      <c r="G29" s="132"/>
      <c r="H29" s="132">
        <f>Erfolgsplanung!$G$75</f>
        <v>39120</v>
      </c>
      <c r="I29" s="132"/>
      <c r="J29" s="132">
        <f>Erfolgsplanung!$J$75</f>
        <v>35932</v>
      </c>
      <c r="K29" s="132"/>
      <c r="L29" s="133" t="s">
        <v>60</v>
      </c>
      <c r="M29" s="133"/>
      <c r="N29" s="133"/>
    </row>
    <row r="30" spans="2:14" ht="16.5" customHeight="1" x14ac:dyDescent="0.25">
      <c r="C30" s="137" t="s">
        <v>61</v>
      </c>
      <c r="D30" s="137"/>
      <c r="E30" s="137"/>
      <c r="F30" s="138">
        <f>Erfolgsplanung!$D$78</f>
        <v>-52994</v>
      </c>
      <c r="G30" s="138"/>
      <c r="H30" s="138">
        <f>Erfolgsplanung!$G$78</f>
        <v>88034</v>
      </c>
      <c r="I30" s="138"/>
      <c r="J30" s="138">
        <f>Erfolgsplanung!$J$78</f>
        <v>127344</v>
      </c>
      <c r="K30" s="138"/>
      <c r="L30" s="139" t="s">
        <v>62</v>
      </c>
      <c r="M30" s="139"/>
      <c r="N30" s="139"/>
    </row>
    <row r="31" spans="2:14" ht="16.5" customHeight="1" x14ac:dyDescent="0.25">
      <c r="C31" s="134" t="s">
        <v>63</v>
      </c>
      <c r="D31" s="134"/>
      <c r="E31" s="134"/>
      <c r="F31" s="140">
        <f>CF_J1</f>
        <v>38576</v>
      </c>
      <c r="G31" s="140"/>
      <c r="H31" s="140">
        <f>CF_J2</f>
        <v>197914</v>
      </c>
      <c r="I31" s="140"/>
      <c r="J31" s="140">
        <f>CF_J3</f>
        <v>237224</v>
      </c>
      <c r="K31" s="140"/>
      <c r="L31" s="136" t="s">
        <v>64</v>
      </c>
      <c r="M31" s="136"/>
      <c r="N31" s="136"/>
    </row>
    <row r="32" spans="2:14" ht="16.5" customHeight="1" x14ac:dyDescent="0.25">
      <c r="C32" s="141" t="s">
        <v>65</v>
      </c>
      <c r="D32" s="141"/>
      <c r="E32" s="141"/>
      <c r="F32" s="142">
        <f>Erfolgsplanung!$D$80</f>
        <v>-52994</v>
      </c>
      <c r="G32" s="142"/>
      <c r="H32" s="142">
        <f>Erfolgsplanung!$G$80</f>
        <v>35040</v>
      </c>
      <c r="I32" s="142"/>
      <c r="J32" s="142">
        <f>Erfolgsplanung!$J$80</f>
        <v>162384</v>
      </c>
      <c r="K32" s="142"/>
      <c r="L32" s="143" t="s">
        <v>66</v>
      </c>
      <c r="M32" s="143"/>
      <c r="N32" s="143"/>
    </row>
    <row r="34" spans="2:14" ht="21" customHeight="1" x14ac:dyDescent="0.25">
      <c r="B34" s="19" t="s">
        <v>67</v>
      </c>
      <c r="C34" s="8" t="s">
        <v>68</v>
      </c>
      <c r="D34" s="8"/>
      <c r="E34" s="8"/>
      <c r="F34" s="8"/>
      <c r="G34" s="8"/>
      <c r="H34" s="8"/>
      <c r="I34" s="7" t="s">
        <v>69</v>
      </c>
      <c r="J34" s="7"/>
      <c r="K34" s="7"/>
      <c r="L34" s="7"/>
      <c r="M34" s="7"/>
      <c r="N34" s="7"/>
    </row>
    <row r="35" spans="2:14" ht="19.5" customHeight="1" x14ac:dyDescent="0.25">
      <c r="C35" s="129" t="s">
        <v>46</v>
      </c>
      <c r="D35" s="129"/>
      <c r="E35" s="129"/>
      <c r="F35" s="130" t="s">
        <v>70</v>
      </c>
      <c r="G35" s="130"/>
      <c r="H35" s="130" t="s">
        <v>71</v>
      </c>
      <c r="I35" s="130"/>
      <c r="J35" s="129" t="s">
        <v>72</v>
      </c>
      <c r="K35" s="129"/>
      <c r="L35" s="129"/>
      <c r="M35" s="129"/>
      <c r="N35" s="129"/>
    </row>
    <row r="36" spans="2:14" ht="16.5" customHeight="1" x14ac:dyDescent="0.25">
      <c r="C36" s="131" t="s">
        <v>73</v>
      </c>
      <c r="D36" s="131"/>
      <c r="E36" s="131"/>
      <c r="F36" s="132">
        <f>Erfolgsplanung!$P$24</f>
        <v>544360</v>
      </c>
      <c r="G36" s="132"/>
      <c r="H36" s="144">
        <f t="shared" ref="H36:H42" si="0">IFERROR(F36/Umsatz_J1,0)</f>
        <v>0.69026995291769533</v>
      </c>
      <c r="I36" s="144"/>
      <c r="J36" s="133" t="s">
        <v>74</v>
      </c>
      <c r="K36" s="133"/>
      <c r="L36" s="133"/>
      <c r="M36" s="133"/>
      <c r="N36" s="133"/>
    </row>
    <row r="37" spans="2:14" ht="16.5" customHeight="1" x14ac:dyDescent="0.25">
      <c r="C37" s="131" t="s">
        <v>75</v>
      </c>
      <c r="D37" s="131"/>
      <c r="E37" s="131"/>
      <c r="F37" s="132">
        <f>Erfolgsplanung!$P$29</f>
        <v>244259</v>
      </c>
      <c r="G37" s="132"/>
      <c r="H37" s="144">
        <f t="shared" si="0"/>
        <v>0.30973004708230462</v>
      </c>
      <c r="I37" s="144"/>
      <c r="J37" s="133" t="s">
        <v>76</v>
      </c>
      <c r="K37" s="133"/>
      <c r="L37" s="133"/>
      <c r="M37" s="133"/>
      <c r="N37" s="133"/>
    </row>
    <row r="38" spans="2:14" ht="16.5" customHeight="1" x14ac:dyDescent="0.25">
      <c r="C38" s="131" t="s">
        <v>77</v>
      </c>
      <c r="D38" s="131"/>
      <c r="E38" s="131"/>
      <c r="F38" s="132">
        <f>Erfolgsplanung!$P$36</f>
        <v>63032</v>
      </c>
      <c r="G38" s="132"/>
      <c r="H38" s="144">
        <f t="shared" si="0"/>
        <v>7.9927062371056234E-2</v>
      </c>
      <c r="I38" s="144"/>
      <c r="J38" s="133" t="s">
        <v>78</v>
      </c>
      <c r="K38" s="133"/>
      <c r="L38" s="133"/>
      <c r="M38" s="133"/>
      <c r="N38" s="133"/>
    </row>
    <row r="39" spans="2:14" ht="16.5" customHeight="1" x14ac:dyDescent="0.25">
      <c r="C39" s="131" t="s">
        <v>79</v>
      </c>
      <c r="D39" s="131"/>
      <c r="E39" s="131"/>
      <c r="F39" s="132">
        <f>Erfolgsplanung!$P$37</f>
        <v>349692</v>
      </c>
      <c r="G39" s="132"/>
      <c r="H39" s="144">
        <f t="shared" si="0"/>
        <v>0.44342325001046135</v>
      </c>
      <c r="I39" s="144"/>
      <c r="J39" s="133" t="s">
        <v>80</v>
      </c>
      <c r="K39" s="133"/>
      <c r="L39" s="133"/>
      <c r="M39" s="133"/>
      <c r="N39" s="133"/>
    </row>
    <row r="40" spans="2:14" ht="16.5" customHeight="1" x14ac:dyDescent="0.25">
      <c r="C40" s="131" t="s">
        <v>81</v>
      </c>
      <c r="D40" s="131"/>
      <c r="E40" s="131"/>
      <c r="F40" s="132">
        <f>Erfolgsplanung!$D$69</f>
        <v>111599</v>
      </c>
      <c r="G40" s="132"/>
      <c r="H40" s="144">
        <f t="shared" si="0"/>
        <v>0.14151193415324764</v>
      </c>
      <c r="I40" s="144"/>
      <c r="J40" s="133" t="s">
        <v>82</v>
      </c>
      <c r="K40" s="133"/>
      <c r="L40" s="133"/>
      <c r="M40" s="133"/>
      <c r="N40" s="133"/>
    </row>
    <row r="41" spans="2:14" ht="16.5" customHeight="1" x14ac:dyDescent="0.25">
      <c r="C41" s="131" t="s">
        <v>83</v>
      </c>
      <c r="D41" s="131"/>
      <c r="E41" s="131"/>
      <c r="F41" s="132">
        <f>Erfolgsplanung!$D$70</f>
        <v>186600</v>
      </c>
      <c r="G41" s="132"/>
      <c r="H41" s="144">
        <f t="shared" si="0"/>
        <v>0.23661616065552568</v>
      </c>
      <c r="I41" s="144"/>
      <c r="J41" s="133" t="s">
        <v>84</v>
      </c>
      <c r="K41" s="133"/>
      <c r="L41" s="133"/>
      <c r="M41" s="133"/>
      <c r="N41" s="133"/>
    </row>
    <row r="42" spans="2:14" ht="16.5" customHeight="1" x14ac:dyDescent="0.25">
      <c r="C42" s="141" t="s">
        <v>53</v>
      </c>
      <c r="D42" s="141"/>
      <c r="E42" s="141"/>
      <c r="F42" s="142">
        <f>Erfolgsplanung!$D$72</f>
        <v>77696</v>
      </c>
      <c r="G42" s="142"/>
      <c r="H42" s="145">
        <f t="shared" si="0"/>
        <v>9.8521592809709124E-2</v>
      </c>
      <c r="I42" s="145"/>
      <c r="J42" s="143" t="s">
        <v>85</v>
      </c>
      <c r="K42" s="143"/>
      <c r="L42" s="143"/>
      <c r="M42" s="143"/>
      <c r="N42" s="143"/>
    </row>
    <row r="44" spans="2:14" ht="21" customHeight="1" x14ac:dyDescent="0.25">
      <c r="B44" s="19" t="s">
        <v>86</v>
      </c>
      <c r="C44" s="8" t="s">
        <v>87</v>
      </c>
      <c r="D44" s="8"/>
      <c r="E44" s="8"/>
      <c r="F44" s="8"/>
      <c r="G44" s="8"/>
      <c r="H44" s="8"/>
      <c r="I44" s="7" t="s">
        <v>88</v>
      </c>
      <c r="J44" s="7"/>
      <c r="K44" s="7"/>
      <c r="L44" s="7"/>
      <c r="M44" s="7"/>
      <c r="N44" s="7"/>
    </row>
    <row r="45" spans="2:14" ht="19.5" customHeight="1" x14ac:dyDescent="0.25">
      <c r="C45" s="129" t="s">
        <v>89</v>
      </c>
      <c r="D45" s="129"/>
      <c r="E45" s="129"/>
      <c r="F45" s="130" t="s">
        <v>90</v>
      </c>
      <c r="G45" s="130"/>
      <c r="H45" s="130" t="s">
        <v>91</v>
      </c>
      <c r="I45" s="130"/>
      <c r="J45" s="130" t="s">
        <v>92</v>
      </c>
      <c r="K45" s="130"/>
      <c r="L45" s="129" t="s">
        <v>93</v>
      </c>
      <c r="M45" s="129"/>
      <c r="N45" s="129"/>
    </row>
    <row r="46" spans="2:14" ht="16.5" customHeight="1" x14ac:dyDescent="0.25">
      <c r="C46" s="131" t="s">
        <v>94</v>
      </c>
      <c r="D46" s="131"/>
      <c r="E46" s="131"/>
      <c r="F46" s="146">
        <f>Deckungsgrad</f>
        <v>1.0022689663408226</v>
      </c>
      <c r="G46" s="146"/>
      <c r="H46" s="147">
        <f>1</f>
        <v>1</v>
      </c>
      <c r="I46" s="147"/>
      <c r="J46" s="148" t="str">
        <f t="shared" ref="J46:J51" si="1">IF(F46&gt;=H46,"erfüllt",IF(F46&gt;=H46*0.9,"knapp","prüfen"))</f>
        <v>erfüllt</v>
      </c>
      <c r="K46" s="148"/>
      <c r="L46" s="133" t="s">
        <v>95</v>
      </c>
      <c r="M46" s="133"/>
      <c r="N46" s="133"/>
    </row>
    <row r="47" spans="2:14" ht="16.5" customHeight="1" x14ac:dyDescent="0.25">
      <c r="C47" s="131" t="s">
        <v>96</v>
      </c>
      <c r="D47" s="131"/>
      <c r="E47" s="131"/>
      <c r="F47" s="146">
        <f>EK_Quote</f>
        <v>0.23829787234042554</v>
      </c>
      <c r="G47" s="146"/>
      <c r="H47" s="147">
        <f>Ziel_EK_Quote</f>
        <v>0.25</v>
      </c>
      <c r="I47" s="147"/>
      <c r="J47" s="148" t="str">
        <f t="shared" si="1"/>
        <v>knapp</v>
      </c>
      <c r="K47" s="148"/>
      <c r="L47" s="133" t="s">
        <v>97</v>
      </c>
      <c r="M47" s="133"/>
      <c r="N47" s="133"/>
    </row>
    <row r="48" spans="2:14" ht="16.5" customHeight="1" x14ac:dyDescent="0.25">
      <c r="C48" s="131" t="s">
        <v>98</v>
      </c>
      <c r="D48" s="131"/>
      <c r="E48" s="131"/>
      <c r="F48" s="146">
        <f>Erfolgsplanung!$P$17</f>
        <v>0.57924836601307195</v>
      </c>
      <c r="G48" s="146"/>
      <c r="H48" s="147">
        <f>Ziel_Auslastung</f>
        <v>0.65</v>
      </c>
      <c r="I48" s="147"/>
      <c r="J48" s="148" t="str">
        <f t="shared" si="1"/>
        <v>prüfen</v>
      </c>
      <c r="K48" s="148"/>
      <c r="L48" s="133" t="s">
        <v>99</v>
      </c>
      <c r="M48" s="133"/>
      <c r="N48" s="133"/>
    </row>
    <row r="49" spans="2:14" ht="16.5" customHeight="1" x14ac:dyDescent="0.25">
      <c r="C49" s="131" t="s">
        <v>100</v>
      </c>
      <c r="D49" s="131"/>
      <c r="E49" s="131"/>
      <c r="F49" s="146">
        <f>Auslastung_J2</f>
        <v>0.68</v>
      </c>
      <c r="G49" s="146"/>
      <c r="H49" s="147">
        <f>Ziel_Auslastung</f>
        <v>0.65</v>
      </c>
      <c r="I49" s="147"/>
      <c r="J49" s="148" t="str">
        <f t="shared" si="1"/>
        <v>erfüllt</v>
      </c>
      <c r="K49" s="148"/>
      <c r="L49" s="133" t="s">
        <v>101</v>
      </c>
      <c r="M49" s="133"/>
      <c r="N49" s="133"/>
    </row>
    <row r="50" spans="2:14" ht="16.5" customHeight="1" x14ac:dyDescent="0.25">
      <c r="C50" s="131" t="s">
        <v>102</v>
      </c>
      <c r="D50" s="131"/>
      <c r="E50" s="131"/>
      <c r="F50" s="146">
        <f>Erfolgsplanung!$G$73</f>
        <v>0.24285436498466489</v>
      </c>
      <c r="G50" s="146"/>
      <c r="H50" s="147">
        <f>Ziel_GOP</f>
        <v>0.22</v>
      </c>
      <c r="I50" s="147"/>
      <c r="J50" s="148" t="str">
        <f t="shared" si="1"/>
        <v>erfüllt</v>
      </c>
      <c r="K50" s="148"/>
      <c r="L50" s="133" t="s">
        <v>103</v>
      </c>
      <c r="M50" s="133"/>
      <c r="N50" s="133"/>
    </row>
    <row r="51" spans="2:14" ht="16.5" customHeight="1" x14ac:dyDescent="0.25">
      <c r="C51" s="131" t="s">
        <v>104</v>
      </c>
      <c r="D51" s="131"/>
      <c r="E51" s="131"/>
      <c r="F51" s="149">
        <f>Kapitalbedarf!$E$90</f>
        <v>1.9407709581572314</v>
      </c>
      <c r="G51" s="149"/>
      <c r="H51" s="150">
        <f>Ziel_KDD</f>
        <v>1.2</v>
      </c>
      <c r="I51" s="150"/>
      <c r="J51" s="148" t="str">
        <f t="shared" si="1"/>
        <v>erfüllt</v>
      </c>
      <c r="K51" s="148"/>
      <c r="L51" s="133" t="s">
        <v>105</v>
      </c>
      <c r="M51" s="133"/>
      <c r="N51" s="133"/>
    </row>
    <row r="52" spans="2:14" ht="16.5" customHeight="1" x14ac:dyDescent="0.25">
      <c r="C52" s="131" t="s">
        <v>106</v>
      </c>
      <c r="D52" s="131"/>
      <c r="E52" s="131"/>
      <c r="F52" s="146">
        <f>BE_Auslastung</f>
        <v>0.6069428415251934</v>
      </c>
      <c r="G52" s="146"/>
      <c r="H52" s="147">
        <f>Ziel_Auslastung</f>
        <v>0.65</v>
      </c>
      <c r="I52" s="147"/>
      <c r="J52" s="148" t="str">
        <f>IF(F52&lt;=H52,"erfüllt",IF(F52&lt;=H52*1.1,"knapp","prüfen"))</f>
        <v>erfüllt</v>
      </c>
      <c r="K52" s="148"/>
      <c r="L52" s="133" t="s">
        <v>107</v>
      </c>
      <c r="M52" s="133"/>
      <c r="N52" s="133"/>
    </row>
    <row r="53" spans="2:14" ht="16.5" customHeight="1" x14ac:dyDescent="0.25">
      <c r="C53" s="131" t="s">
        <v>108</v>
      </c>
      <c r="D53" s="131"/>
      <c r="E53" s="131"/>
      <c r="F53" s="151">
        <f>Liquiditätsplan!$D$46</f>
        <v>0</v>
      </c>
      <c r="G53" s="151"/>
      <c r="H53" s="152">
        <f>0</f>
        <v>0</v>
      </c>
      <c r="I53" s="152"/>
      <c r="J53" s="148" t="str">
        <f>IF(F53&lt;=H53,"erfüllt",IF(F53&lt;=H53*1.1,"knapp","prüfen"))</f>
        <v>erfüllt</v>
      </c>
      <c r="K53" s="148"/>
      <c r="L53" s="133" t="s">
        <v>109</v>
      </c>
      <c r="M53" s="133"/>
      <c r="N53" s="133"/>
    </row>
    <row r="54" spans="2:14" ht="16.5" customHeight="1" x14ac:dyDescent="0.25">
      <c r="C54" s="131" t="s">
        <v>110</v>
      </c>
      <c r="D54" s="131"/>
      <c r="E54" s="131"/>
      <c r="F54" s="153">
        <f>Liqui_Ende</f>
        <v>285959</v>
      </c>
      <c r="G54" s="153"/>
      <c r="H54" s="154">
        <f>Mindestbestand</f>
        <v>40000</v>
      </c>
      <c r="I54" s="154"/>
      <c r="J54" s="148" t="str">
        <f>IF(F54&gt;=H54,"erfüllt",IF(F54&gt;=H54*0.9,"knapp","prüfen"))</f>
        <v>erfüllt</v>
      </c>
      <c r="K54" s="148"/>
      <c r="L54" s="133" t="s">
        <v>111</v>
      </c>
      <c r="M54" s="133"/>
      <c r="N54" s="133"/>
    </row>
    <row r="55" spans="2:14" ht="16.5" customHeight="1" x14ac:dyDescent="0.25">
      <c r="C55" s="131" t="s">
        <v>112</v>
      </c>
      <c r="D55" s="131"/>
      <c r="E55" s="131"/>
      <c r="F55" s="153">
        <f>Erfolgsplanung!$J$80</f>
        <v>162384</v>
      </c>
      <c r="G55" s="153"/>
      <c r="H55" s="154">
        <f>0</f>
        <v>0</v>
      </c>
      <c r="I55" s="154"/>
      <c r="J55" s="148" t="str">
        <f>IF(F55&gt;=H55,"erfüllt",IF(F55&gt;=H55*0.9,"knapp","prüfen"))</f>
        <v>erfüllt</v>
      </c>
      <c r="K55" s="148"/>
      <c r="L55" s="133" t="s">
        <v>113</v>
      </c>
      <c r="M55" s="133"/>
      <c r="N55" s="133"/>
    </row>
    <row r="56" spans="2:14" ht="16.5" customHeight="1" x14ac:dyDescent="0.25">
      <c r="C56" s="131" t="s">
        <v>114</v>
      </c>
      <c r="D56" s="131"/>
      <c r="E56" s="131"/>
      <c r="F56" s="146">
        <f>Fortschritt_BP</f>
        <v>0.64583333333333337</v>
      </c>
      <c r="G56" s="146"/>
      <c r="H56" s="147">
        <f>1</f>
        <v>1</v>
      </c>
      <c r="I56" s="147"/>
      <c r="J56" s="148" t="str">
        <f>IF(F56&gt;=H56,"erfüllt",IF(F56&gt;=H56*0.9,"knapp","prüfen"))</f>
        <v>prüfen</v>
      </c>
      <c r="K56" s="148"/>
      <c r="L56" s="133" t="s">
        <v>115</v>
      </c>
      <c r="M56" s="133"/>
      <c r="N56" s="133"/>
    </row>
    <row r="57" spans="2:14" ht="16.5" customHeight="1" x14ac:dyDescent="0.25">
      <c r="C57" s="131" t="s">
        <v>116</v>
      </c>
      <c r="D57" s="131"/>
      <c r="E57" s="131"/>
      <c r="F57" s="151">
        <f ca="1">Meilenstein_ueberfaellig</f>
        <v>0</v>
      </c>
      <c r="G57" s="151"/>
      <c r="H57" s="152">
        <f>0</f>
        <v>0</v>
      </c>
      <c r="I57" s="152"/>
      <c r="J57" s="148" t="str">
        <f ca="1">IF(F57&lt;=H57,"erfüllt",IF(F57&lt;=H57*1.1,"knapp","prüfen"))</f>
        <v>erfüllt</v>
      </c>
      <c r="K57" s="148"/>
      <c r="L57" s="133" t="s">
        <v>117</v>
      </c>
      <c r="M57" s="133"/>
      <c r="N57" s="133"/>
    </row>
    <row r="60" spans="2:14" ht="21" customHeight="1" x14ac:dyDescent="0.25">
      <c r="B60" s="19" t="s">
        <v>118</v>
      </c>
      <c r="C60" s="8" t="s">
        <v>119</v>
      </c>
      <c r="D60" s="8"/>
      <c r="E60" s="8"/>
      <c r="F60" s="8"/>
      <c r="G60" s="8"/>
      <c r="H60" s="8"/>
      <c r="I60" s="7" t="s">
        <v>120</v>
      </c>
      <c r="J60" s="7"/>
      <c r="K60" s="7"/>
      <c r="L60" s="7"/>
      <c r="M60" s="7"/>
      <c r="N60" s="7"/>
    </row>
  </sheetData>
  <mergeCells count="214">
    <mergeCell ref="C57:E57"/>
    <mergeCell ref="F57:G57"/>
    <mergeCell ref="H57:I57"/>
    <mergeCell ref="J57:K57"/>
    <mergeCell ref="L57:N57"/>
    <mergeCell ref="C60:H60"/>
    <mergeCell ref="I60:N60"/>
    <mergeCell ref="C55:E55"/>
    <mergeCell ref="F55:G55"/>
    <mergeCell ref="H55:I55"/>
    <mergeCell ref="J55:K55"/>
    <mergeCell ref="L55:N55"/>
    <mergeCell ref="C56:E56"/>
    <mergeCell ref="F56:G56"/>
    <mergeCell ref="H56:I56"/>
    <mergeCell ref="J56:K56"/>
    <mergeCell ref="L56:N56"/>
    <mergeCell ref="C53:E53"/>
    <mergeCell ref="F53:G53"/>
    <mergeCell ref="H53:I53"/>
    <mergeCell ref="J53:K53"/>
    <mergeCell ref="L53:N53"/>
    <mergeCell ref="C54:E54"/>
    <mergeCell ref="F54:G54"/>
    <mergeCell ref="H54:I54"/>
    <mergeCell ref="J54:K54"/>
    <mergeCell ref="L54:N54"/>
    <mergeCell ref="C51:E51"/>
    <mergeCell ref="F51:G51"/>
    <mergeCell ref="H51:I51"/>
    <mergeCell ref="J51:K51"/>
    <mergeCell ref="L51:N51"/>
    <mergeCell ref="C52:E52"/>
    <mergeCell ref="F52:G52"/>
    <mergeCell ref="H52:I52"/>
    <mergeCell ref="J52:K52"/>
    <mergeCell ref="L52:N52"/>
    <mergeCell ref="C49:E49"/>
    <mergeCell ref="F49:G49"/>
    <mergeCell ref="H49:I49"/>
    <mergeCell ref="J49:K49"/>
    <mergeCell ref="L49:N49"/>
    <mergeCell ref="C50:E50"/>
    <mergeCell ref="F50:G50"/>
    <mergeCell ref="H50:I50"/>
    <mergeCell ref="J50:K50"/>
    <mergeCell ref="L50:N50"/>
    <mergeCell ref="C47:E47"/>
    <mergeCell ref="F47:G47"/>
    <mergeCell ref="H47:I47"/>
    <mergeCell ref="J47:K47"/>
    <mergeCell ref="L47:N47"/>
    <mergeCell ref="C48:E48"/>
    <mergeCell ref="F48:G48"/>
    <mergeCell ref="H48:I48"/>
    <mergeCell ref="J48:K48"/>
    <mergeCell ref="L48:N48"/>
    <mergeCell ref="C44:H44"/>
    <mergeCell ref="I44:N44"/>
    <mergeCell ref="C45:E45"/>
    <mergeCell ref="F45:G45"/>
    <mergeCell ref="H45:I45"/>
    <mergeCell ref="J45:K45"/>
    <mergeCell ref="L45:N45"/>
    <mergeCell ref="C46:E46"/>
    <mergeCell ref="F46:G46"/>
    <mergeCell ref="H46:I46"/>
    <mergeCell ref="J46:K46"/>
    <mergeCell ref="L46:N46"/>
    <mergeCell ref="C40:E40"/>
    <mergeCell ref="F40:G40"/>
    <mergeCell ref="H40:I40"/>
    <mergeCell ref="J40:N40"/>
    <mergeCell ref="C41:E41"/>
    <mergeCell ref="F41:G41"/>
    <mergeCell ref="H41:I41"/>
    <mergeCell ref="J41:N41"/>
    <mergeCell ref="C42:E42"/>
    <mergeCell ref="F42:G42"/>
    <mergeCell ref="H42:I42"/>
    <mergeCell ref="J42:N42"/>
    <mergeCell ref="C37:E37"/>
    <mergeCell ref="F37:G37"/>
    <mergeCell ref="H37:I37"/>
    <mergeCell ref="J37:N37"/>
    <mergeCell ref="C38:E38"/>
    <mergeCell ref="F38:G38"/>
    <mergeCell ref="H38:I38"/>
    <mergeCell ref="J38:N38"/>
    <mergeCell ref="C39:E39"/>
    <mergeCell ref="F39:G39"/>
    <mergeCell ref="H39:I39"/>
    <mergeCell ref="J39:N39"/>
    <mergeCell ref="C34:H34"/>
    <mergeCell ref="I34:N34"/>
    <mergeCell ref="C35:E35"/>
    <mergeCell ref="F35:G35"/>
    <mergeCell ref="H35:I35"/>
    <mergeCell ref="J35:N35"/>
    <mergeCell ref="C36:E36"/>
    <mergeCell ref="F36:G36"/>
    <mergeCell ref="H36:I36"/>
    <mergeCell ref="J36:N36"/>
    <mergeCell ref="C31:E31"/>
    <mergeCell ref="F31:G31"/>
    <mergeCell ref="H31:I31"/>
    <mergeCell ref="J31:K31"/>
    <mergeCell ref="L31:N31"/>
    <mergeCell ref="C32:E32"/>
    <mergeCell ref="F32:G32"/>
    <mergeCell ref="H32:I32"/>
    <mergeCell ref="J32:K32"/>
    <mergeCell ref="L32:N32"/>
    <mergeCell ref="C29:E29"/>
    <mergeCell ref="F29:G29"/>
    <mergeCell ref="H29:I29"/>
    <mergeCell ref="J29:K29"/>
    <mergeCell ref="L29:N29"/>
    <mergeCell ref="C30:E30"/>
    <mergeCell ref="F30:G30"/>
    <mergeCell ref="H30:I30"/>
    <mergeCell ref="J30:K30"/>
    <mergeCell ref="L30:N30"/>
    <mergeCell ref="C27:E27"/>
    <mergeCell ref="F27:G27"/>
    <mergeCell ref="H27:I27"/>
    <mergeCell ref="J27:K27"/>
    <mergeCell ref="L27:N27"/>
    <mergeCell ref="C28:E28"/>
    <mergeCell ref="F28:G28"/>
    <mergeCell ref="H28:I28"/>
    <mergeCell ref="J28:K28"/>
    <mergeCell ref="L28:N28"/>
    <mergeCell ref="C25:E25"/>
    <mergeCell ref="F25:G25"/>
    <mergeCell ref="H25:I25"/>
    <mergeCell ref="J25:K25"/>
    <mergeCell ref="L25:N25"/>
    <mergeCell ref="C26:E26"/>
    <mergeCell ref="F26:G26"/>
    <mergeCell ref="H26:I26"/>
    <mergeCell ref="J26:K26"/>
    <mergeCell ref="L26:N26"/>
    <mergeCell ref="C21:D21"/>
    <mergeCell ref="E21:F21"/>
    <mergeCell ref="G21:H21"/>
    <mergeCell ref="I21:J21"/>
    <mergeCell ref="K21:L21"/>
    <mergeCell ref="M21:N21"/>
    <mergeCell ref="C23:H23"/>
    <mergeCell ref="I23:N23"/>
    <mergeCell ref="C24:E24"/>
    <mergeCell ref="F24:G24"/>
    <mergeCell ref="H24:I24"/>
    <mergeCell ref="J24:K24"/>
    <mergeCell ref="L24:N24"/>
    <mergeCell ref="C19:D19"/>
    <mergeCell ref="E19:F19"/>
    <mergeCell ref="G19:H19"/>
    <mergeCell ref="I19:J19"/>
    <mergeCell ref="K19:L19"/>
    <mergeCell ref="M19:N19"/>
    <mergeCell ref="C20:D20"/>
    <mergeCell ref="E20:F20"/>
    <mergeCell ref="G20:H20"/>
    <mergeCell ref="I20:J20"/>
    <mergeCell ref="K20:L20"/>
    <mergeCell ref="M20:N20"/>
    <mergeCell ref="C15:D15"/>
    <mergeCell ref="E15:F15"/>
    <mergeCell ref="G15:H15"/>
    <mergeCell ref="I15:J15"/>
    <mergeCell ref="K15:L15"/>
    <mergeCell ref="M15:N15"/>
    <mergeCell ref="C16:D16"/>
    <mergeCell ref="E16:F16"/>
    <mergeCell ref="G16:H16"/>
    <mergeCell ref="I16:J16"/>
    <mergeCell ref="K16:L16"/>
    <mergeCell ref="M16:N16"/>
    <mergeCell ref="C10:E10"/>
    <mergeCell ref="F10:H10"/>
    <mergeCell ref="I10:K10"/>
    <mergeCell ref="L10:N10"/>
    <mergeCell ref="C11:E11"/>
    <mergeCell ref="F11:H11"/>
    <mergeCell ref="I11:K11"/>
    <mergeCell ref="L11:N11"/>
    <mergeCell ref="C14:D14"/>
    <mergeCell ref="E14:F14"/>
    <mergeCell ref="G14:H14"/>
    <mergeCell ref="I14:J14"/>
    <mergeCell ref="K14:L14"/>
    <mergeCell ref="M14:N14"/>
    <mergeCell ref="C7:H7"/>
    <mergeCell ref="I7:N7"/>
    <mergeCell ref="C8:E8"/>
    <mergeCell ref="F8:H8"/>
    <mergeCell ref="I8:K8"/>
    <mergeCell ref="L8:N8"/>
    <mergeCell ref="C9:E9"/>
    <mergeCell ref="F9:H9"/>
    <mergeCell ref="I9:K9"/>
    <mergeCell ref="L9:N9"/>
    <mergeCell ref="B2:I2"/>
    <mergeCell ref="J2:N2"/>
    <mergeCell ref="B3:I3"/>
    <mergeCell ref="J3:N3"/>
    <mergeCell ref="B5:D5"/>
    <mergeCell ref="E5:F5"/>
    <mergeCell ref="G5:H5"/>
    <mergeCell ref="I5:J5"/>
    <mergeCell ref="K5:L5"/>
    <mergeCell ref="M5:N5"/>
  </mergeCells>
  <conditionalFormatting sqref="H36:I42">
    <cfRule type="dataBar" priority="5">
      <dataBar>
        <cfvo type="num" val="0"/>
        <cfvo type="num" val="1"/>
        <color rgb="FFF7E4D2"/>
      </dataBar>
      <extLst>
        <ext xmlns:x14="http://schemas.microsoft.com/office/spreadsheetml/2009/9/main" uri="{B025F937-C7B1-47D3-B67F-A62EFF666E3E}">
          <x14:id>{DA147B2A-B42B-4FD6-B729-6D704B6F8133}</x14:id>
        </ext>
      </extLst>
    </cfRule>
  </conditionalFormatting>
  <conditionalFormatting sqref="J46:K57">
    <cfRule type="expression" dxfId="32" priority="2">
      <formula>$J46="erfüllt"</formula>
    </cfRule>
    <cfRule type="expression" dxfId="31" priority="3">
      <formula>$J46="knapp"</formula>
    </cfRule>
    <cfRule type="expression" dxfId="30" priority="4">
      <formula>$J46="prüfen"</formula>
    </cfRule>
  </conditionalFormatting>
  <printOptions horizontalCentered="1"/>
  <pageMargins left="0.75" right="0.75" top="1" bottom="1" header="0.511811023622047" footer="0.511811023622047"/>
  <pageSetup paperSize="8" fitToHeight="2" orientation="landscape" horizontalDpi="300" verticalDpi="300"/>
  <rowBreaks count="1" manualBreakCount="1">
    <brk id="59" max="16383" man="1"/>
  </rowBreaks>
  <drawing r:id="rId1"/>
  <extLst>
    <ext xmlns:x14="http://schemas.microsoft.com/office/spreadsheetml/2009/9/main" uri="{78C0D931-6437-407d-A8EE-F0AAD7539E65}">
      <x14:conditionalFormattings>
        <x14:conditionalFormatting xmlns:xm="http://schemas.microsoft.com/office/excel/2006/main">
          <x14:cfRule type="dataBar" id="{DA147B2A-B42B-4FD6-B729-6D704B6F8133}">
            <x14:dataBar axisPosition="none">
              <x14:cfvo type="num">
                <xm:f>0</xm:f>
              </x14:cfvo>
              <x14:cfvo type="num">
                <xm:f>1</xm:f>
              </x14:cfvo>
              <x14:negativeFillColor rgb="FFF7E4D2"/>
            </x14:dataBar>
          </x14:cfRule>
          <xm:sqref>H36:I42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E4718"/>
    <pageSetUpPr fitToPage="1"/>
  </sheetPr>
  <dimension ref="B1:I64"/>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baseColWidth="10" defaultColWidth="8.7109375" defaultRowHeight="15" x14ac:dyDescent="0.25"/>
  <cols>
    <col min="2" max="2" width="3" customWidth="1"/>
    <col min="3" max="3" width="26" customWidth="1"/>
    <col min="4" max="4" width="34" customWidth="1"/>
    <col min="5" max="5" width="16" customWidth="1"/>
    <col min="6" max="7" width="14" customWidth="1"/>
    <col min="8" max="8" width="13" customWidth="1"/>
    <col min="9" max="9" width="16" customWidth="1"/>
  </cols>
  <sheetData>
    <row r="1" spans="2:9" ht="6" customHeight="1" x14ac:dyDescent="0.25">
      <c r="B1" s="15"/>
      <c r="C1" s="15"/>
      <c r="D1" s="15"/>
      <c r="E1" s="15"/>
      <c r="F1" s="15"/>
      <c r="G1" s="15"/>
      <c r="H1" s="15"/>
      <c r="I1" s="15"/>
    </row>
    <row r="2" spans="2:9" ht="30" customHeight="1" x14ac:dyDescent="0.4">
      <c r="B2" s="14" t="s">
        <v>121</v>
      </c>
      <c r="C2" s="14"/>
      <c r="D2" s="14"/>
      <c r="E2" s="14"/>
      <c r="F2" s="14"/>
      <c r="G2" s="13" t="s">
        <v>122</v>
      </c>
      <c r="H2" s="13"/>
      <c r="I2" s="13"/>
    </row>
    <row r="3" spans="2:9" ht="16.5" customHeight="1" x14ac:dyDescent="0.25">
      <c r="B3" s="12" t="s">
        <v>123</v>
      </c>
      <c r="C3" s="12"/>
      <c r="D3" s="12"/>
      <c r="E3" s="12"/>
      <c r="F3" s="12"/>
      <c r="G3" s="11" t="s">
        <v>124</v>
      </c>
      <c r="H3" s="11"/>
      <c r="I3" s="11"/>
    </row>
    <row r="4" spans="2:9" ht="3.75" customHeight="1" x14ac:dyDescent="0.25">
      <c r="B4" s="16"/>
      <c r="C4" s="16"/>
      <c r="D4" s="16"/>
      <c r="E4" s="16"/>
      <c r="F4" s="16"/>
      <c r="G4" s="16"/>
      <c r="H4" s="16"/>
      <c r="I4" s="16"/>
    </row>
    <row r="5" spans="2:9" ht="18.75" customHeight="1" x14ac:dyDescent="0.25">
      <c r="B5" s="9" t="s">
        <v>2</v>
      </c>
      <c r="C5" s="9"/>
      <c r="D5" s="17" t="s">
        <v>3</v>
      </c>
      <c r="E5" s="9" t="s">
        <v>4</v>
      </c>
      <c r="F5" s="9"/>
      <c r="G5" s="9" t="s">
        <v>5</v>
      </c>
      <c r="H5" s="9"/>
      <c r="I5" s="18" t="s">
        <v>6</v>
      </c>
    </row>
    <row r="6" spans="2:9" ht="6.75" customHeight="1" x14ac:dyDescent="0.25"/>
    <row r="7" spans="2:9" ht="21" customHeight="1" x14ac:dyDescent="0.25">
      <c r="B7" s="19" t="s">
        <v>8</v>
      </c>
      <c r="C7" s="8" t="s">
        <v>125</v>
      </c>
      <c r="D7" s="8"/>
      <c r="E7" s="8"/>
      <c r="F7" s="7" t="s">
        <v>126</v>
      </c>
      <c r="G7" s="7"/>
      <c r="H7" s="7"/>
      <c r="I7" s="7"/>
    </row>
    <row r="8" spans="2:9" ht="33.75" customHeight="1" x14ac:dyDescent="0.25">
      <c r="C8" s="36" t="s">
        <v>127</v>
      </c>
      <c r="D8" s="155" t="s">
        <v>128</v>
      </c>
      <c r="E8" s="155"/>
      <c r="F8" s="155"/>
      <c r="G8" s="155"/>
      <c r="H8" s="155"/>
      <c r="I8" s="155"/>
    </row>
    <row r="9" spans="2:9" ht="33.75" customHeight="1" x14ac:dyDescent="0.25">
      <c r="C9" s="36" t="s">
        <v>129</v>
      </c>
      <c r="D9" s="155" t="s">
        <v>130</v>
      </c>
      <c r="E9" s="155"/>
      <c r="F9" s="155"/>
      <c r="G9" s="155"/>
      <c r="H9" s="155"/>
      <c r="I9" s="155"/>
    </row>
    <row r="10" spans="2:9" ht="33.75" customHeight="1" x14ac:dyDescent="0.25">
      <c r="C10" s="36" t="s">
        <v>131</v>
      </c>
      <c r="D10" s="155" t="s">
        <v>132</v>
      </c>
      <c r="E10" s="155"/>
      <c r="F10" s="155"/>
      <c r="G10" s="155"/>
      <c r="H10" s="155"/>
      <c r="I10" s="155"/>
    </row>
    <row r="11" spans="2:9" ht="33.75" customHeight="1" x14ac:dyDescent="0.25">
      <c r="C11" s="36" t="s">
        <v>133</v>
      </c>
      <c r="D11" s="155" t="s">
        <v>134</v>
      </c>
      <c r="E11" s="155"/>
      <c r="F11" s="155"/>
      <c r="G11" s="155"/>
      <c r="H11" s="155"/>
      <c r="I11" s="155"/>
    </row>
    <row r="12" spans="2:9" ht="33.75" customHeight="1" x14ac:dyDescent="0.25">
      <c r="C12" s="36" t="s">
        <v>135</v>
      </c>
      <c r="D12" s="155" t="s">
        <v>136</v>
      </c>
      <c r="E12" s="155"/>
      <c r="F12" s="155"/>
      <c r="G12" s="155"/>
      <c r="H12" s="155"/>
      <c r="I12" s="155"/>
    </row>
    <row r="13" spans="2:9" ht="33.75" customHeight="1" x14ac:dyDescent="0.25">
      <c r="C13" s="36" t="s">
        <v>137</v>
      </c>
      <c r="D13" s="155" t="s">
        <v>138</v>
      </c>
      <c r="E13" s="155"/>
      <c r="F13" s="155"/>
      <c r="G13" s="155"/>
      <c r="H13" s="155"/>
      <c r="I13" s="155"/>
    </row>
    <row r="15" spans="2:9" ht="21" customHeight="1" x14ac:dyDescent="0.25">
      <c r="B15" s="19" t="s">
        <v>43</v>
      </c>
      <c r="C15" s="8" t="s">
        <v>139</v>
      </c>
      <c r="D15" s="8"/>
      <c r="E15" s="8"/>
      <c r="F15" s="7" t="s">
        <v>140</v>
      </c>
      <c r="G15" s="7"/>
      <c r="H15" s="7"/>
      <c r="I15" s="7"/>
    </row>
    <row r="16" spans="2:9" ht="21.75" customHeight="1" x14ac:dyDescent="0.25">
      <c r="C16" s="24" t="s">
        <v>141</v>
      </c>
      <c r="D16" s="24" t="s">
        <v>142</v>
      </c>
      <c r="E16" s="25" t="s">
        <v>143</v>
      </c>
      <c r="F16" s="25" t="s">
        <v>92</v>
      </c>
      <c r="G16" s="25" t="s">
        <v>144</v>
      </c>
      <c r="H16" s="25" t="s">
        <v>145</v>
      </c>
      <c r="I16" s="24" t="s">
        <v>146</v>
      </c>
    </row>
    <row r="17" spans="2:9" ht="16.5" customHeight="1" x14ac:dyDescent="0.25">
      <c r="C17" s="37" t="s">
        <v>147</v>
      </c>
      <c r="D17" s="38" t="s">
        <v>148</v>
      </c>
      <c r="E17" s="39" t="s">
        <v>149</v>
      </c>
      <c r="F17" s="39" t="s">
        <v>150</v>
      </c>
      <c r="G17" s="40">
        <f ca="1">Stichtag+45</f>
        <v>46276</v>
      </c>
      <c r="H17" s="41">
        <v>0.6</v>
      </c>
      <c r="I17" s="42"/>
    </row>
    <row r="18" spans="2:9" ht="16.5" customHeight="1" x14ac:dyDescent="0.25">
      <c r="C18" s="37" t="s">
        <v>151</v>
      </c>
      <c r="D18" s="38" t="s">
        <v>152</v>
      </c>
      <c r="E18" s="39" t="s">
        <v>149</v>
      </c>
      <c r="F18" s="39" t="s">
        <v>153</v>
      </c>
      <c r="G18" s="40">
        <f ca="1">Stichtag+30</f>
        <v>46261</v>
      </c>
      <c r="H18" s="41">
        <v>0.9</v>
      </c>
      <c r="I18" s="42"/>
    </row>
    <row r="19" spans="2:9" ht="16.5" customHeight="1" x14ac:dyDescent="0.25">
      <c r="C19" s="37" t="s">
        <v>154</v>
      </c>
      <c r="D19" s="38" t="s">
        <v>155</v>
      </c>
      <c r="E19" s="39" t="s">
        <v>149</v>
      </c>
      <c r="F19" s="39" t="s">
        <v>156</v>
      </c>
      <c r="G19" s="40">
        <f ca="1">Stichtag+20</f>
        <v>46251</v>
      </c>
      <c r="H19" s="41">
        <v>1</v>
      </c>
      <c r="I19" s="42"/>
    </row>
    <row r="20" spans="2:9" ht="16.5" customHeight="1" x14ac:dyDescent="0.25">
      <c r="C20" s="37" t="s">
        <v>157</v>
      </c>
      <c r="D20" s="38" t="s">
        <v>158</v>
      </c>
      <c r="E20" s="39" t="s">
        <v>159</v>
      </c>
      <c r="F20" s="39" t="s">
        <v>153</v>
      </c>
      <c r="G20" s="40">
        <f ca="1">Stichtag+35</f>
        <v>46266</v>
      </c>
      <c r="H20" s="41">
        <v>0.85</v>
      </c>
      <c r="I20" s="42"/>
    </row>
    <row r="21" spans="2:9" ht="16.5" customHeight="1" x14ac:dyDescent="0.25">
      <c r="C21" s="37" t="s">
        <v>160</v>
      </c>
      <c r="D21" s="38" t="s">
        <v>161</v>
      </c>
      <c r="E21" s="39" t="s">
        <v>149</v>
      </c>
      <c r="F21" s="39" t="s">
        <v>156</v>
      </c>
      <c r="G21" s="40">
        <f ca="1">Stichtag+15</f>
        <v>46246</v>
      </c>
      <c r="H21" s="41">
        <v>1</v>
      </c>
      <c r="I21" s="42"/>
    </row>
    <row r="22" spans="2:9" ht="16.5" customHeight="1" x14ac:dyDescent="0.25">
      <c r="C22" s="37" t="s">
        <v>162</v>
      </c>
      <c r="D22" s="38" t="s">
        <v>163</v>
      </c>
      <c r="E22" s="39" t="s">
        <v>159</v>
      </c>
      <c r="F22" s="39" t="s">
        <v>150</v>
      </c>
      <c r="G22" s="40">
        <f ca="1">Stichtag+50</f>
        <v>46281</v>
      </c>
      <c r="H22" s="41">
        <v>0.5</v>
      </c>
      <c r="I22" s="42"/>
    </row>
    <row r="23" spans="2:9" ht="16.5" customHeight="1" x14ac:dyDescent="0.25">
      <c r="C23" s="37" t="s">
        <v>164</v>
      </c>
      <c r="D23" s="38" t="s">
        <v>165</v>
      </c>
      <c r="E23" s="39" t="s">
        <v>159</v>
      </c>
      <c r="F23" s="39" t="s">
        <v>150</v>
      </c>
      <c r="G23" s="40">
        <f ca="1">Stichtag+55</f>
        <v>46286</v>
      </c>
      <c r="H23" s="41">
        <v>0.45</v>
      </c>
      <c r="I23" s="42"/>
    </row>
    <row r="24" spans="2:9" ht="16.5" customHeight="1" x14ac:dyDescent="0.25">
      <c r="C24" s="37" t="s">
        <v>166</v>
      </c>
      <c r="D24" s="38" t="s">
        <v>167</v>
      </c>
      <c r="E24" s="39" t="s">
        <v>168</v>
      </c>
      <c r="F24" s="39" t="s">
        <v>169</v>
      </c>
      <c r="G24" s="40">
        <f ca="1">Stichtag+65</f>
        <v>46296</v>
      </c>
      <c r="H24" s="41">
        <v>0.2</v>
      </c>
      <c r="I24" s="42"/>
    </row>
    <row r="25" spans="2:9" ht="16.5" customHeight="1" x14ac:dyDescent="0.25">
      <c r="C25" s="37" t="s">
        <v>170</v>
      </c>
      <c r="D25" s="38" t="s">
        <v>171</v>
      </c>
      <c r="E25" s="39" t="s">
        <v>149</v>
      </c>
      <c r="F25" s="39" t="s">
        <v>153</v>
      </c>
      <c r="G25" s="40">
        <f ca="1">Stichtag+40</f>
        <v>46271</v>
      </c>
      <c r="H25" s="41">
        <v>0.8</v>
      </c>
      <c r="I25" s="42"/>
    </row>
    <row r="26" spans="2:9" ht="16.5" customHeight="1" x14ac:dyDescent="0.25">
      <c r="C26" s="37" t="s">
        <v>172</v>
      </c>
      <c r="D26" s="38" t="s">
        <v>173</v>
      </c>
      <c r="E26" s="39" t="s">
        <v>149</v>
      </c>
      <c r="F26" s="39" t="s">
        <v>150</v>
      </c>
      <c r="G26" s="40">
        <f ca="1">Stichtag+60</f>
        <v>46291</v>
      </c>
      <c r="H26" s="41">
        <v>0.4</v>
      </c>
      <c r="I26" s="42"/>
    </row>
    <row r="27" spans="2:9" ht="16.5" customHeight="1" x14ac:dyDescent="0.25">
      <c r="C27" s="37" t="s">
        <v>174</v>
      </c>
      <c r="D27" s="38" t="s">
        <v>175</v>
      </c>
      <c r="E27" s="39" t="s">
        <v>149</v>
      </c>
      <c r="F27" s="39" t="s">
        <v>153</v>
      </c>
      <c r="G27" s="40">
        <f ca="1">Stichtag+25</f>
        <v>46256</v>
      </c>
      <c r="H27" s="41">
        <v>0.9</v>
      </c>
      <c r="I27" s="42"/>
    </row>
    <row r="28" spans="2:9" ht="16.5" customHeight="1" x14ac:dyDescent="0.25">
      <c r="C28" s="37" t="s">
        <v>176</v>
      </c>
      <c r="D28" s="38" t="s">
        <v>177</v>
      </c>
      <c r="E28" s="39" t="s">
        <v>178</v>
      </c>
      <c r="F28" s="39" t="s">
        <v>169</v>
      </c>
      <c r="G28" s="40">
        <f ca="1">Stichtag+70</f>
        <v>46301</v>
      </c>
      <c r="H28" s="41">
        <v>0.15</v>
      </c>
      <c r="I28" s="42"/>
    </row>
    <row r="29" spans="2:9" ht="18.75" customHeight="1" x14ac:dyDescent="0.25">
      <c r="C29" s="156" t="s">
        <v>179</v>
      </c>
      <c r="D29" s="156"/>
      <c r="E29" s="156"/>
      <c r="F29" s="44" t="str">
        <f>COUNTIF(F17:F28,"fertig")&amp;" von 12 fertig"</f>
        <v>2 von 12 fertig</v>
      </c>
      <c r="G29" s="45"/>
      <c r="H29" s="46">
        <f>AVERAGE(H17:H28)</f>
        <v>0.64583333333333337</v>
      </c>
      <c r="I29" s="45"/>
    </row>
    <row r="31" spans="2:9" ht="21" customHeight="1" x14ac:dyDescent="0.25">
      <c r="B31" s="19" t="s">
        <v>67</v>
      </c>
      <c r="C31" s="8" t="s">
        <v>180</v>
      </c>
      <c r="D31" s="8"/>
      <c r="E31" s="8"/>
      <c r="F31" s="7" t="s">
        <v>181</v>
      </c>
      <c r="G31" s="7"/>
      <c r="H31" s="7"/>
      <c r="I31" s="7"/>
    </row>
    <row r="32" spans="2:9" ht="18" customHeight="1" x14ac:dyDescent="0.25">
      <c r="C32" s="157" t="s">
        <v>182</v>
      </c>
      <c r="D32" s="157"/>
      <c r="E32" s="157"/>
      <c r="F32" s="158" t="s">
        <v>183</v>
      </c>
      <c r="G32" s="158"/>
      <c r="H32" s="158"/>
      <c r="I32" s="158"/>
    </row>
    <row r="33" spans="2:9" ht="16.5" customHeight="1" x14ac:dyDescent="0.25">
      <c r="C33" s="155" t="s">
        <v>184</v>
      </c>
      <c r="D33" s="155"/>
      <c r="E33" s="155"/>
      <c r="F33" s="155" t="s">
        <v>185</v>
      </c>
      <c r="G33" s="155"/>
      <c r="H33" s="155"/>
      <c r="I33" s="155"/>
    </row>
    <row r="34" spans="2:9" ht="16.5" customHeight="1" x14ac:dyDescent="0.25">
      <c r="C34" s="155" t="s">
        <v>186</v>
      </c>
      <c r="D34" s="155"/>
      <c r="E34" s="155"/>
      <c r="F34" s="155" t="s">
        <v>187</v>
      </c>
      <c r="G34" s="155"/>
      <c r="H34" s="155"/>
      <c r="I34" s="155"/>
    </row>
    <row r="35" spans="2:9" ht="16.5" customHeight="1" x14ac:dyDescent="0.25">
      <c r="C35" s="155" t="s">
        <v>188</v>
      </c>
      <c r="D35" s="155"/>
      <c r="E35" s="155"/>
      <c r="F35" s="155" t="s">
        <v>189</v>
      </c>
      <c r="G35" s="155"/>
      <c r="H35" s="155"/>
      <c r="I35" s="155"/>
    </row>
    <row r="36" spans="2:9" ht="16.5" customHeight="1" x14ac:dyDescent="0.25">
      <c r="C36" s="155" t="s">
        <v>190</v>
      </c>
      <c r="D36" s="155"/>
      <c r="E36" s="155"/>
      <c r="F36" s="155" t="s">
        <v>191</v>
      </c>
      <c r="G36" s="155"/>
      <c r="H36" s="155"/>
      <c r="I36" s="155"/>
    </row>
    <row r="37" spans="2:9" ht="18" customHeight="1" x14ac:dyDescent="0.25">
      <c r="C37" s="159" t="s">
        <v>192</v>
      </c>
      <c r="D37" s="159"/>
      <c r="E37" s="159"/>
      <c r="F37" s="160" t="s">
        <v>193</v>
      </c>
      <c r="G37" s="160"/>
      <c r="H37" s="160"/>
      <c r="I37" s="160"/>
    </row>
    <row r="38" spans="2:9" ht="16.5" customHeight="1" x14ac:dyDescent="0.25">
      <c r="C38" s="155" t="s">
        <v>194</v>
      </c>
      <c r="D38" s="155"/>
      <c r="E38" s="155"/>
      <c r="F38" s="155" t="s">
        <v>195</v>
      </c>
      <c r="G38" s="155"/>
      <c r="H38" s="155"/>
      <c r="I38" s="155"/>
    </row>
    <row r="39" spans="2:9" ht="16.5" customHeight="1" x14ac:dyDescent="0.25">
      <c r="C39" s="155" t="s">
        <v>196</v>
      </c>
      <c r="D39" s="155"/>
      <c r="E39" s="155"/>
      <c r="F39" s="155" t="s">
        <v>197</v>
      </c>
      <c r="G39" s="155"/>
      <c r="H39" s="155"/>
      <c r="I39" s="155"/>
    </row>
    <row r="40" spans="2:9" ht="16.5" customHeight="1" x14ac:dyDescent="0.25">
      <c r="C40" s="155" t="s">
        <v>198</v>
      </c>
      <c r="D40" s="155"/>
      <c r="E40" s="155"/>
      <c r="F40" s="155" t="s">
        <v>199</v>
      </c>
      <c r="G40" s="155"/>
      <c r="H40" s="155"/>
      <c r="I40" s="155"/>
    </row>
    <row r="41" spans="2:9" ht="16.5" customHeight="1" x14ac:dyDescent="0.25">
      <c r="C41" s="155" t="s">
        <v>200</v>
      </c>
      <c r="D41" s="155"/>
      <c r="E41" s="155"/>
      <c r="F41" s="155" t="s">
        <v>201</v>
      </c>
      <c r="G41" s="155"/>
      <c r="H41" s="155"/>
      <c r="I41" s="155"/>
    </row>
    <row r="43" spans="2:9" ht="21" customHeight="1" x14ac:dyDescent="0.25">
      <c r="B43" s="19" t="s">
        <v>86</v>
      </c>
      <c r="C43" s="8" t="s">
        <v>202</v>
      </c>
      <c r="D43" s="8"/>
      <c r="E43" s="8"/>
      <c r="F43" s="7" t="s">
        <v>203</v>
      </c>
      <c r="G43" s="7"/>
      <c r="H43" s="7"/>
      <c r="I43" s="7"/>
    </row>
    <row r="44" spans="2:9" ht="21.75" customHeight="1" x14ac:dyDescent="0.25">
      <c r="C44" s="24" t="s">
        <v>204</v>
      </c>
      <c r="D44" s="24" t="s">
        <v>205</v>
      </c>
      <c r="E44" s="25" t="s">
        <v>206</v>
      </c>
      <c r="F44" s="25" t="s">
        <v>143</v>
      </c>
      <c r="G44" s="25" t="s">
        <v>92</v>
      </c>
      <c r="H44" s="25" t="s">
        <v>207</v>
      </c>
      <c r="I44" s="24" t="s">
        <v>146</v>
      </c>
    </row>
    <row r="45" spans="2:9" ht="16.5" customHeight="1" x14ac:dyDescent="0.25">
      <c r="C45" s="26" t="s">
        <v>208</v>
      </c>
      <c r="D45" s="47" t="s">
        <v>209</v>
      </c>
      <c r="E45" s="48">
        <f ca="1">Stichtag+15</f>
        <v>46246</v>
      </c>
      <c r="F45" s="39" t="s">
        <v>149</v>
      </c>
      <c r="G45" s="39" t="s">
        <v>156</v>
      </c>
      <c r="H45" s="49" t="str">
        <f t="shared" ref="H45:H54" si="0">IF(G45="fertig","erledigt",IF(E45&lt;Stichtag,"überfällig",IF(E45&lt;Stichtag+30,"in Kürze","geplant")))</f>
        <v>erledigt</v>
      </c>
      <c r="I45" s="42"/>
    </row>
    <row r="46" spans="2:9" ht="16.5" customHeight="1" x14ac:dyDescent="0.25">
      <c r="C46" s="26" t="s">
        <v>210</v>
      </c>
      <c r="D46" s="47" t="s">
        <v>211</v>
      </c>
      <c r="E46" s="48">
        <f ca="1">Stichtag+40</f>
        <v>46271</v>
      </c>
      <c r="F46" s="39" t="s">
        <v>149</v>
      </c>
      <c r="G46" s="39" t="s">
        <v>156</v>
      </c>
      <c r="H46" s="49" t="str">
        <f t="shared" si="0"/>
        <v>erledigt</v>
      </c>
      <c r="I46" s="42"/>
    </row>
    <row r="47" spans="2:9" ht="16.5" customHeight="1" x14ac:dyDescent="0.25">
      <c r="C47" s="26" t="s">
        <v>212</v>
      </c>
      <c r="D47" s="47" t="s">
        <v>211</v>
      </c>
      <c r="E47" s="48">
        <f ca="1">Stichtag+55</f>
        <v>46286</v>
      </c>
      <c r="F47" s="39" t="s">
        <v>149</v>
      </c>
      <c r="G47" s="39" t="s">
        <v>150</v>
      </c>
      <c r="H47" s="49" t="str">
        <f t="shared" ca="1" si="0"/>
        <v>geplant</v>
      </c>
      <c r="I47" s="42"/>
    </row>
    <row r="48" spans="2:9" ht="16.5" customHeight="1" x14ac:dyDescent="0.25">
      <c r="C48" s="26" t="s">
        <v>213</v>
      </c>
      <c r="D48" s="47" t="s">
        <v>214</v>
      </c>
      <c r="E48" s="48">
        <f ca="1">Stichtag+50</f>
        <v>46281</v>
      </c>
      <c r="F48" s="39" t="s">
        <v>168</v>
      </c>
      <c r="G48" s="39" t="s">
        <v>150</v>
      </c>
      <c r="H48" s="49" t="str">
        <f t="shared" ca="1" si="0"/>
        <v>geplant</v>
      </c>
      <c r="I48" s="42"/>
    </row>
    <row r="49" spans="2:9" ht="16.5" customHeight="1" x14ac:dyDescent="0.25">
      <c r="C49" s="26" t="s">
        <v>215</v>
      </c>
      <c r="D49" s="47" t="s">
        <v>216</v>
      </c>
      <c r="E49" s="48">
        <f ca="1">Stichtag+60</f>
        <v>46291</v>
      </c>
      <c r="F49" s="39" t="s">
        <v>168</v>
      </c>
      <c r="G49" s="39" t="s">
        <v>169</v>
      </c>
      <c r="H49" s="49" t="str">
        <f t="shared" ca="1" si="0"/>
        <v>geplant</v>
      </c>
      <c r="I49" s="42"/>
    </row>
    <row r="50" spans="2:9" ht="16.5" customHeight="1" x14ac:dyDescent="0.25">
      <c r="C50" s="26" t="s">
        <v>217</v>
      </c>
      <c r="D50" s="47" t="s">
        <v>218</v>
      </c>
      <c r="E50" s="48">
        <f ca="1">Stichtag+75</f>
        <v>46306</v>
      </c>
      <c r="F50" s="39" t="s">
        <v>168</v>
      </c>
      <c r="G50" s="39" t="s">
        <v>169</v>
      </c>
      <c r="H50" s="49" t="str">
        <f t="shared" ca="1" si="0"/>
        <v>geplant</v>
      </c>
      <c r="I50" s="42"/>
    </row>
    <row r="51" spans="2:9" ht="16.5" customHeight="1" x14ac:dyDescent="0.25">
      <c r="C51" s="26" t="s">
        <v>219</v>
      </c>
      <c r="D51" s="47" t="s">
        <v>220</v>
      </c>
      <c r="E51" s="48">
        <f ca="1">Stichtag+85</f>
        <v>46316</v>
      </c>
      <c r="F51" s="39" t="s">
        <v>149</v>
      </c>
      <c r="G51" s="39" t="s">
        <v>169</v>
      </c>
      <c r="H51" s="49" t="str">
        <f t="shared" ca="1" si="0"/>
        <v>geplant</v>
      </c>
      <c r="I51" s="42"/>
    </row>
    <row r="52" spans="2:9" ht="16.5" customHeight="1" x14ac:dyDescent="0.25">
      <c r="C52" s="26" t="s">
        <v>221</v>
      </c>
      <c r="D52" s="47" t="s">
        <v>159</v>
      </c>
      <c r="E52" s="48">
        <f ca="1">Stichtag+95</f>
        <v>46326</v>
      </c>
      <c r="F52" s="39" t="s">
        <v>159</v>
      </c>
      <c r="G52" s="39" t="s">
        <v>169</v>
      </c>
      <c r="H52" s="49" t="str">
        <f t="shared" ca="1" si="0"/>
        <v>geplant</v>
      </c>
      <c r="I52" s="42"/>
    </row>
    <row r="53" spans="2:9" ht="16.5" customHeight="1" x14ac:dyDescent="0.25">
      <c r="C53" s="26" t="s">
        <v>222</v>
      </c>
      <c r="D53" s="47" t="s">
        <v>11</v>
      </c>
      <c r="E53" s="48">
        <f ca="1">Stichtag+110</f>
        <v>46341</v>
      </c>
      <c r="F53" s="39" t="s">
        <v>168</v>
      </c>
      <c r="G53" s="39" t="s">
        <v>169</v>
      </c>
      <c r="H53" s="49" t="str">
        <f t="shared" ca="1" si="0"/>
        <v>geplant</v>
      </c>
      <c r="I53" s="42"/>
    </row>
    <row r="54" spans="2:9" ht="16.5" customHeight="1" x14ac:dyDescent="0.25">
      <c r="C54" s="26" t="s">
        <v>223</v>
      </c>
      <c r="D54" s="47" t="s">
        <v>11</v>
      </c>
      <c r="E54" s="48">
        <f ca="1">Stichtag+125</f>
        <v>46356</v>
      </c>
      <c r="F54" s="39" t="s">
        <v>149</v>
      </c>
      <c r="G54" s="39" t="s">
        <v>169</v>
      </c>
      <c r="H54" s="49" t="str">
        <f t="shared" ca="1" si="0"/>
        <v>geplant</v>
      </c>
      <c r="I54" s="42"/>
    </row>
    <row r="55" spans="2:9" ht="18.75" customHeight="1" x14ac:dyDescent="0.25">
      <c r="C55" s="43" t="s">
        <v>224</v>
      </c>
      <c r="D55" s="50">
        <f>COUNTA(C45:C54)</f>
        <v>10</v>
      </c>
      <c r="E55" s="51" t="s">
        <v>225</v>
      </c>
      <c r="F55" s="50">
        <f>COUNTIF(G45:G54,"fertig")</f>
        <v>2</v>
      </c>
      <c r="G55" s="51" t="s">
        <v>226</v>
      </c>
      <c r="H55" s="50">
        <f ca="1">COUNTIF(H45:H54,"überfällig")</f>
        <v>0</v>
      </c>
      <c r="I55" s="45"/>
    </row>
    <row r="57" spans="2:9" ht="21" customHeight="1" x14ac:dyDescent="0.25">
      <c r="B57" s="19" t="s">
        <v>118</v>
      </c>
      <c r="C57" s="8" t="s">
        <v>227</v>
      </c>
      <c r="D57" s="8"/>
      <c r="E57" s="8"/>
      <c r="F57" s="7" t="s">
        <v>228</v>
      </c>
      <c r="G57" s="7"/>
      <c r="H57" s="7"/>
      <c r="I57" s="7"/>
    </row>
    <row r="58" spans="2:9" ht="30" customHeight="1" x14ac:dyDescent="0.25">
      <c r="C58" s="24" t="s">
        <v>229</v>
      </c>
      <c r="D58" s="24" t="s">
        <v>230</v>
      </c>
      <c r="E58" s="25" t="s">
        <v>231</v>
      </c>
      <c r="F58" s="25" t="s">
        <v>232</v>
      </c>
      <c r="G58" s="25" t="s">
        <v>233</v>
      </c>
      <c r="H58" s="25" t="s">
        <v>234</v>
      </c>
      <c r="I58" s="24" t="s">
        <v>235</v>
      </c>
    </row>
    <row r="59" spans="2:9" ht="18" customHeight="1" x14ac:dyDescent="0.25">
      <c r="C59" s="37" t="s">
        <v>236</v>
      </c>
      <c r="D59" s="38" t="s">
        <v>237</v>
      </c>
      <c r="E59" s="52">
        <v>0.32</v>
      </c>
      <c r="F59" s="53">
        <v>1.6</v>
      </c>
      <c r="G59" s="54">
        <v>126</v>
      </c>
      <c r="H59" s="55" t="s">
        <v>238</v>
      </c>
      <c r="I59" s="56" t="s">
        <v>239</v>
      </c>
    </row>
    <row r="60" spans="2:9" ht="18" customHeight="1" x14ac:dyDescent="0.25">
      <c r="C60" s="37" t="s">
        <v>240</v>
      </c>
      <c r="D60" s="38" t="s">
        <v>241</v>
      </c>
      <c r="E60" s="52">
        <v>0.26</v>
      </c>
      <c r="F60" s="53">
        <v>2.2000000000000002</v>
      </c>
      <c r="G60" s="54">
        <v>132</v>
      </c>
      <c r="H60" s="55" t="s">
        <v>242</v>
      </c>
      <c r="I60" s="56" t="s">
        <v>243</v>
      </c>
    </row>
    <row r="61" spans="2:9" ht="18" customHeight="1" x14ac:dyDescent="0.25">
      <c r="C61" s="37" t="s">
        <v>244</v>
      </c>
      <c r="D61" s="38" t="s">
        <v>245</v>
      </c>
      <c r="E61" s="52">
        <v>0.18</v>
      </c>
      <c r="F61" s="53">
        <v>1.9</v>
      </c>
      <c r="G61" s="54">
        <v>138</v>
      </c>
      <c r="H61" s="55" t="s">
        <v>246</v>
      </c>
      <c r="I61" s="56" t="s">
        <v>247</v>
      </c>
    </row>
    <row r="62" spans="2:9" ht="18" customHeight="1" x14ac:dyDescent="0.25">
      <c r="C62" s="37" t="s">
        <v>248</v>
      </c>
      <c r="D62" s="38" t="s">
        <v>249</v>
      </c>
      <c r="E62" s="52">
        <v>0.15</v>
      </c>
      <c r="F62" s="53">
        <v>3.1</v>
      </c>
      <c r="G62" s="54">
        <v>149</v>
      </c>
      <c r="H62" s="55" t="s">
        <v>250</v>
      </c>
      <c r="I62" s="56" t="s">
        <v>251</v>
      </c>
    </row>
    <row r="63" spans="2:9" ht="18" customHeight="1" x14ac:dyDescent="0.25">
      <c r="C63" s="37" t="s">
        <v>252</v>
      </c>
      <c r="D63" s="38" t="s">
        <v>253</v>
      </c>
      <c r="E63" s="52">
        <v>0.09</v>
      </c>
      <c r="F63" s="53">
        <v>1.8</v>
      </c>
      <c r="G63" s="54">
        <v>98</v>
      </c>
      <c r="H63" s="55" t="s">
        <v>254</v>
      </c>
      <c r="I63" s="56" t="s">
        <v>255</v>
      </c>
    </row>
    <row r="64" spans="2:9" ht="18.75" customHeight="1" x14ac:dyDescent="0.25">
      <c r="C64" s="156" t="s">
        <v>256</v>
      </c>
      <c r="D64" s="156"/>
      <c r="E64" s="57">
        <f>SUM(E59:E63)</f>
        <v>1</v>
      </c>
      <c r="F64" s="58">
        <f>IFERROR(SUMPRODUCT(E59:E63,F59:F63)/E64,0)</f>
        <v>2.0529999999999999</v>
      </c>
      <c r="G64" s="59">
        <f>IFERROR(SUMPRODUCT(E59:E63,G59:G63)/E64,0)</f>
        <v>130.65</v>
      </c>
      <c r="H64" s="161" t="str">
        <f>IF(ROUND(E64,4)=1,"Summe stimmt","Summe der Anteile prüfen")</f>
        <v>Summe stimmt</v>
      </c>
      <c r="I64" s="161"/>
    </row>
  </sheetData>
  <mergeCells count="46">
    <mergeCell ref="C43:E43"/>
    <mergeCell ref="F43:I43"/>
    <mergeCell ref="C57:E57"/>
    <mergeCell ref="F57:I57"/>
    <mergeCell ref="C64:D64"/>
    <mergeCell ref="H64:I64"/>
    <mergeCell ref="C39:E39"/>
    <mergeCell ref="F39:I39"/>
    <mergeCell ref="C40:E40"/>
    <mergeCell ref="F40:I40"/>
    <mergeCell ref="C41:E41"/>
    <mergeCell ref="F41:I41"/>
    <mergeCell ref="C36:E36"/>
    <mergeCell ref="F36:I36"/>
    <mergeCell ref="C37:E37"/>
    <mergeCell ref="F37:I37"/>
    <mergeCell ref="C38:E38"/>
    <mergeCell ref="F38:I38"/>
    <mergeCell ref="C33:E33"/>
    <mergeCell ref="F33:I33"/>
    <mergeCell ref="C34:E34"/>
    <mergeCell ref="F34:I34"/>
    <mergeCell ref="C35:E35"/>
    <mergeCell ref="F35:I35"/>
    <mergeCell ref="C29:E29"/>
    <mergeCell ref="C31:E31"/>
    <mergeCell ref="F31:I31"/>
    <mergeCell ref="C32:E32"/>
    <mergeCell ref="F32:I32"/>
    <mergeCell ref="D11:I11"/>
    <mergeCell ref="D12:I12"/>
    <mergeCell ref="D13:I13"/>
    <mergeCell ref="C15:E15"/>
    <mergeCell ref="F15:I15"/>
    <mergeCell ref="C7:E7"/>
    <mergeCell ref="F7:I7"/>
    <mergeCell ref="D8:I8"/>
    <mergeCell ref="D9:I9"/>
    <mergeCell ref="D10:I10"/>
    <mergeCell ref="B2:F2"/>
    <mergeCell ref="G2:I2"/>
    <mergeCell ref="B3:F3"/>
    <mergeCell ref="G3:I3"/>
    <mergeCell ref="B5:C5"/>
    <mergeCell ref="E5:F5"/>
    <mergeCell ref="G5:H5"/>
  </mergeCells>
  <conditionalFormatting sqref="E59:E63">
    <cfRule type="dataBar" priority="12">
      <dataBar>
        <cfvo type="num" val="0"/>
        <cfvo type="num" val="0.4"/>
        <color rgb="FFF7E4D2"/>
      </dataBar>
      <extLst>
        <ext xmlns:x14="http://schemas.microsoft.com/office/spreadsheetml/2009/9/main" uri="{B025F937-C7B1-47D3-B67F-A62EFF666E3E}">
          <x14:id>{526D3832-74C3-48BE-ADA8-26F0731428C5}</x14:id>
        </ext>
      </extLst>
    </cfRule>
  </conditionalFormatting>
  <conditionalFormatting sqref="F17:F28">
    <cfRule type="expression" dxfId="29" priority="2">
      <formula>F17="fertig"</formula>
    </cfRule>
    <cfRule type="expression" dxfId="28" priority="3">
      <formula>F17="offen"</formula>
    </cfRule>
    <cfRule type="expression" dxfId="27" priority="4">
      <formula>F17="in Arbeit"</formula>
    </cfRule>
  </conditionalFormatting>
  <conditionalFormatting sqref="G45:G54">
    <cfRule type="expression" dxfId="26" priority="5">
      <formula>G45="fertig"</formula>
    </cfRule>
    <cfRule type="expression" dxfId="25" priority="6">
      <formula>G45="offen"</formula>
    </cfRule>
    <cfRule type="expression" dxfId="24" priority="7">
      <formula>G45="in Arbeit"</formula>
    </cfRule>
  </conditionalFormatting>
  <conditionalFormatting sqref="H17:H28">
    <cfRule type="dataBar" priority="11">
      <dataBar>
        <cfvo type="num" val="0"/>
        <cfvo type="num" val="1"/>
        <color rgb="FFDCEAEC"/>
      </dataBar>
      <extLst>
        <ext xmlns:x14="http://schemas.microsoft.com/office/spreadsheetml/2009/9/main" uri="{B025F937-C7B1-47D3-B67F-A62EFF666E3E}">
          <x14:id>{A72CE8B9-9592-438E-A8B9-55A044C6E4A1}</x14:id>
        </ext>
      </extLst>
    </cfRule>
  </conditionalFormatting>
  <conditionalFormatting sqref="H45:H54">
    <cfRule type="expression" dxfId="23" priority="8">
      <formula>H45="überfällig"</formula>
    </cfRule>
    <cfRule type="expression" dxfId="22" priority="9">
      <formula>H45="erledigt"</formula>
    </cfRule>
    <cfRule type="expression" dxfId="21" priority="10">
      <formula>H45="in Kürze"</formula>
    </cfRule>
  </conditionalFormatting>
  <dataValidations count="1">
    <dataValidation type="list" allowBlank="1" sqref="F17:F28 G45:G54" xr:uid="{00000000-0002-0000-0100-000000000000}">
      <formula1>Status_Liste</formula1>
      <formula2>0</formula2>
    </dataValidation>
  </dataValidations>
  <printOptions horizontalCentered="1"/>
  <pageMargins left="0.75" right="0.75" top="1" bottom="1" header="0.511811023622047" footer="0.511811023622047"/>
  <pageSetup paperSize="9" fitToHeight="2" orientation="landscape" horizontalDpi="300" verticalDpi="300"/>
  <extLst>
    <ext xmlns:x14="http://schemas.microsoft.com/office/spreadsheetml/2009/9/main" uri="{78C0D931-6437-407d-A8EE-F0AAD7539E65}">
      <x14:conditionalFormattings>
        <x14:conditionalFormatting xmlns:xm="http://schemas.microsoft.com/office/excel/2006/main">
          <x14:cfRule type="dataBar" id="{526D3832-74C3-48BE-ADA8-26F0731428C5}">
            <x14:dataBar axisPosition="none">
              <x14:cfvo type="num">
                <xm:f>0</xm:f>
              </x14:cfvo>
              <x14:cfvo type="num">
                <xm:f>0.4</xm:f>
              </x14:cfvo>
              <x14:negativeFillColor rgb="FFF7E4D2"/>
            </x14:dataBar>
          </x14:cfRule>
          <xm:sqref>E59:E63</xm:sqref>
        </x14:conditionalFormatting>
        <x14:conditionalFormatting xmlns:xm="http://schemas.microsoft.com/office/excel/2006/main">
          <x14:cfRule type="dataBar" id="{A72CE8B9-9592-438E-A8B9-55A044C6E4A1}">
            <x14:dataBar axisPosition="none">
              <x14:cfvo type="num">
                <xm:f>0</xm:f>
              </x14:cfvo>
              <x14:cfvo type="num">
                <xm:f>1</xm:f>
              </x14:cfvo>
              <x14:negativeFillColor rgb="FFDCEAEC"/>
            </x14:dataBar>
          </x14:cfRule>
          <xm:sqref>H17:H28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7616E"/>
    <pageSetUpPr fitToPage="1"/>
  </sheetPr>
  <dimension ref="B1:K92"/>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baseColWidth="10" defaultColWidth="8.7109375" defaultRowHeight="15" x14ac:dyDescent="0.25"/>
  <cols>
    <col min="2" max="2" width="3" customWidth="1"/>
    <col min="3" max="3" width="38" customWidth="1"/>
    <col min="4" max="4" width="14" customWidth="1"/>
    <col min="5" max="5" width="12" customWidth="1"/>
    <col min="6" max="8" width="13" customWidth="1"/>
    <col min="9" max="9" width="12" customWidth="1"/>
    <col min="10" max="10" width="14" customWidth="1"/>
    <col min="11" max="11" width="22" customWidth="1"/>
  </cols>
  <sheetData>
    <row r="1" spans="2:11" ht="6" customHeight="1" x14ac:dyDescent="0.25">
      <c r="B1" s="15"/>
      <c r="C1" s="15"/>
      <c r="D1" s="15"/>
      <c r="E1" s="15"/>
      <c r="F1" s="15"/>
      <c r="G1" s="15"/>
      <c r="H1" s="15"/>
      <c r="I1" s="15"/>
      <c r="J1" s="15"/>
      <c r="K1" s="15"/>
    </row>
    <row r="2" spans="2:11" ht="30" customHeight="1" x14ac:dyDescent="0.4">
      <c r="B2" s="14" t="s">
        <v>135</v>
      </c>
      <c r="C2" s="14"/>
      <c r="D2" s="14"/>
      <c r="E2" s="14"/>
      <c r="F2" s="14"/>
      <c r="G2" s="14"/>
      <c r="H2" s="13" t="s">
        <v>257</v>
      </c>
      <c r="I2" s="13"/>
      <c r="J2" s="13"/>
      <c r="K2" s="13"/>
    </row>
    <row r="3" spans="2:11" ht="16.5" customHeight="1" x14ac:dyDescent="0.25">
      <c r="B3" s="12" t="s">
        <v>258</v>
      </c>
      <c r="C3" s="12"/>
      <c r="D3" s="12"/>
      <c r="E3" s="12"/>
      <c r="F3" s="12"/>
      <c r="G3" s="12"/>
      <c r="H3" s="11" t="s">
        <v>259</v>
      </c>
      <c r="I3" s="11"/>
      <c r="J3" s="11"/>
      <c r="K3" s="11"/>
    </row>
    <row r="4" spans="2:11" ht="3.75" customHeight="1" x14ac:dyDescent="0.25">
      <c r="B4" s="16"/>
      <c r="C4" s="16"/>
      <c r="D4" s="16"/>
      <c r="E4" s="16"/>
      <c r="F4" s="16"/>
      <c r="G4" s="16"/>
      <c r="H4" s="16"/>
      <c r="I4" s="16"/>
      <c r="J4" s="16"/>
      <c r="K4" s="16"/>
    </row>
    <row r="5" spans="2:11" ht="18.75" customHeight="1" x14ac:dyDescent="0.25">
      <c r="B5" s="9" t="s">
        <v>2</v>
      </c>
      <c r="C5" s="9"/>
      <c r="D5" s="9" t="s">
        <v>3</v>
      </c>
      <c r="E5" s="9"/>
      <c r="F5" s="10" t="s">
        <v>4</v>
      </c>
      <c r="G5" s="10"/>
      <c r="H5" s="9" t="s">
        <v>5</v>
      </c>
      <c r="I5" s="9"/>
      <c r="J5" s="9" t="s">
        <v>6</v>
      </c>
      <c r="K5" s="9"/>
    </row>
    <row r="6" spans="2:11" ht="6.75" customHeight="1" x14ac:dyDescent="0.25"/>
    <row r="7" spans="2:11" ht="21" customHeight="1" x14ac:dyDescent="0.25">
      <c r="B7" s="19" t="s">
        <v>8</v>
      </c>
      <c r="C7" s="8" t="s">
        <v>260</v>
      </c>
      <c r="D7" s="8"/>
      <c r="E7" s="8"/>
      <c r="F7" s="8"/>
      <c r="G7" s="7" t="s">
        <v>261</v>
      </c>
      <c r="H7" s="7"/>
      <c r="I7" s="7"/>
      <c r="J7" s="7"/>
      <c r="K7" s="7"/>
    </row>
    <row r="8" spans="2:11" ht="25.5" customHeight="1" x14ac:dyDescent="0.25">
      <c r="C8" s="24" t="s">
        <v>262</v>
      </c>
      <c r="D8" s="25" t="s">
        <v>263</v>
      </c>
      <c r="E8" s="25" t="s">
        <v>264</v>
      </c>
      <c r="F8" s="25" t="s">
        <v>265</v>
      </c>
      <c r="G8" s="25" t="s">
        <v>266</v>
      </c>
      <c r="H8" s="25" t="s">
        <v>267</v>
      </c>
      <c r="I8" s="25" t="s">
        <v>268</v>
      </c>
      <c r="J8" s="25" t="s">
        <v>269</v>
      </c>
      <c r="K8" s="24" t="s">
        <v>93</v>
      </c>
    </row>
    <row r="9" spans="2:11" ht="15.75" customHeight="1" x14ac:dyDescent="0.25">
      <c r="C9" s="26" t="s">
        <v>270</v>
      </c>
      <c r="D9" s="60">
        <v>320000</v>
      </c>
      <c r="E9" s="61">
        <v>0.19</v>
      </c>
      <c r="F9" s="62">
        <f t="shared" ref="F9:F20" si="0">ROUND(D9*(1+E9),0)</f>
        <v>380800</v>
      </c>
      <c r="G9" s="63">
        <v>10</v>
      </c>
      <c r="H9" s="62">
        <f t="shared" ref="H9:H20" si="1">IF(G9=0,0,ROUND(D9/G9,0))</f>
        <v>32000</v>
      </c>
      <c r="I9" s="63">
        <v>1</v>
      </c>
      <c r="J9" s="64" t="s">
        <v>271</v>
      </c>
      <c r="K9" s="28" t="s">
        <v>272</v>
      </c>
    </row>
    <row r="10" spans="2:11" ht="15.75" customHeight="1" x14ac:dyDescent="0.25">
      <c r="C10" s="26" t="s">
        <v>273</v>
      </c>
      <c r="D10" s="60">
        <v>168000</v>
      </c>
      <c r="E10" s="61">
        <v>0.19</v>
      </c>
      <c r="F10" s="62">
        <f t="shared" si="0"/>
        <v>199920</v>
      </c>
      <c r="G10" s="63">
        <v>8</v>
      </c>
      <c r="H10" s="62">
        <f t="shared" si="1"/>
        <v>21000</v>
      </c>
      <c r="I10" s="63">
        <v>2</v>
      </c>
      <c r="J10" s="64" t="s">
        <v>274</v>
      </c>
      <c r="K10" s="28" t="s">
        <v>275</v>
      </c>
    </row>
    <row r="11" spans="2:11" ht="15.75" customHeight="1" x14ac:dyDescent="0.25">
      <c r="C11" s="26" t="s">
        <v>276</v>
      </c>
      <c r="D11" s="60">
        <v>46000</v>
      </c>
      <c r="E11" s="61">
        <v>0.19</v>
      </c>
      <c r="F11" s="62">
        <f t="shared" si="0"/>
        <v>54740</v>
      </c>
      <c r="G11" s="63">
        <v>5</v>
      </c>
      <c r="H11" s="62">
        <f t="shared" si="1"/>
        <v>9200</v>
      </c>
      <c r="I11" s="63">
        <v>2</v>
      </c>
      <c r="J11" s="64" t="s">
        <v>274</v>
      </c>
      <c r="K11" s="28" t="s">
        <v>277</v>
      </c>
    </row>
    <row r="12" spans="2:11" ht="15.75" customHeight="1" x14ac:dyDescent="0.25">
      <c r="C12" s="26" t="s">
        <v>278</v>
      </c>
      <c r="D12" s="60">
        <v>78000</v>
      </c>
      <c r="E12" s="61">
        <v>0.19</v>
      </c>
      <c r="F12" s="62">
        <f t="shared" si="0"/>
        <v>92820</v>
      </c>
      <c r="G12" s="63">
        <v>8</v>
      </c>
      <c r="H12" s="62">
        <f t="shared" si="1"/>
        <v>9750</v>
      </c>
      <c r="I12" s="63">
        <v>2</v>
      </c>
      <c r="J12" s="64" t="s">
        <v>279</v>
      </c>
      <c r="K12" s="28" t="s">
        <v>280</v>
      </c>
    </row>
    <row r="13" spans="2:11" ht="15.75" customHeight="1" x14ac:dyDescent="0.25">
      <c r="C13" s="26" t="s">
        <v>281</v>
      </c>
      <c r="D13" s="60">
        <v>42000</v>
      </c>
      <c r="E13" s="61">
        <v>0.19</v>
      </c>
      <c r="F13" s="62">
        <f t="shared" si="0"/>
        <v>49980</v>
      </c>
      <c r="G13" s="63">
        <v>10</v>
      </c>
      <c r="H13" s="62">
        <f t="shared" si="1"/>
        <v>4200</v>
      </c>
      <c r="I13" s="63">
        <v>2</v>
      </c>
      <c r="J13" s="64" t="s">
        <v>274</v>
      </c>
      <c r="K13" s="28" t="s">
        <v>282</v>
      </c>
    </row>
    <row r="14" spans="2:11" ht="15.75" customHeight="1" x14ac:dyDescent="0.25">
      <c r="C14" s="26" t="s">
        <v>283</v>
      </c>
      <c r="D14" s="60">
        <v>34000</v>
      </c>
      <c r="E14" s="61">
        <v>0.19</v>
      </c>
      <c r="F14" s="62">
        <f t="shared" si="0"/>
        <v>40460</v>
      </c>
      <c r="G14" s="63">
        <v>4</v>
      </c>
      <c r="H14" s="62">
        <f t="shared" si="1"/>
        <v>8500</v>
      </c>
      <c r="I14" s="63">
        <v>2</v>
      </c>
      <c r="J14" s="64" t="s">
        <v>279</v>
      </c>
      <c r="K14" s="28" t="s">
        <v>284</v>
      </c>
    </row>
    <row r="15" spans="2:11" ht="15.75" customHeight="1" x14ac:dyDescent="0.25">
      <c r="C15" s="26" t="s">
        <v>285</v>
      </c>
      <c r="D15" s="60">
        <v>18500</v>
      </c>
      <c r="E15" s="61">
        <v>0.19</v>
      </c>
      <c r="F15" s="62">
        <f t="shared" si="0"/>
        <v>22015</v>
      </c>
      <c r="G15" s="63">
        <v>8</v>
      </c>
      <c r="H15" s="62">
        <f t="shared" si="1"/>
        <v>2313</v>
      </c>
      <c r="I15" s="63">
        <v>2</v>
      </c>
      <c r="J15" s="64" t="s">
        <v>279</v>
      </c>
      <c r="K15" s="28" t="s">
        <v>286</v>
      </c>
    </row>
    <row r="16" spans="2:11" ht="15.75" customHeight="1" x14ac:dyDescent="0.25">
      <c r="C16" s="26" t="s">
        <v>287</v>
      </c>
      <c r="D16" s="60">
        <v>26000</v>
      </c>
      <c r="E16" s="61">
        <v>0.19</v>
      </c>
      <c r="F16" s="62">
        <f t="shared" si="0"/>
        <v>30940</v>
      </c>
      <c r="G16" s="63">
        <v>8</v>
      </c>
      <c r="H16" s="62">
        <f t="shared" si="1"/>
        <v>3250</v>
      </c>
      <c r="I16" s="63">
        <v>2</v>
      </c>
      <c r="J16" s="64" t="s">
        <v>274</v>
      </c>
      <c r="K16" s="28" t="s">
        <v>288</v>
      </c>
    </row>
    <row r="17" spans="2:11" ht="15.75" customHeight="1" x14ac:dyDescent="0.25">
      <c r="C17" s="26" t="s">
        <v>289</v>
      </c>
      <c r="D17" s="60">
        <v>22000</v>
      </c>
      <c r="E17" s="61">
        <v>0.19</v>
      </c>
      <c r="F17" s="62">
        <f t="shared" si="0"/>
        <v>26180</v>
      </c>
      <c r="G17" s="63">
        <v>10</v>
      </c>
      <c r="H17" s="62">
        <f t="shared" si="1"/>
        <v>2200</v>
      </c>
      <c r="I17" s="63">
        <v>1</v>
      </c>
      <c r="J17" s="64" t="s">
        <v>271</v>
      </c>
      <c r="K17" s="28" t="s">
        <v>290</v>
      </c>
    </row>
    <row r="18" spans="2:11" ht="15.75" customHeight="1" x14ac:dyDescent="0.25">
      <c r="C18" s="26" t="s">
        <v>291</v>
      </c>
      <c r="D18" s="60">
        <v>24500</v>
      </c>
      <c r="E18" s="61">
        <v>0.19</v>
      </c>
      <c r="F18" s="62">
        <f t="shared" si="0"/>
        <v>29155</v>
      </c>
      <c r="G18" s="63">
        <v>3</v>
      </c>
      <c r="H18" s="62">
        <f t="shared" si="1"/>
        <v>8167</v>
      </c>
      <c r="I18" s="63">
        <v>2</v>
      </c>
      <c r="J18" s="64" t="s">
        <v>274</v>
      </c>
      <c r="K18" s="28" t="s">
        <v>292</v>
      </c>
    </row>
    <row r="19" spans="2:11" ht="15.75" customHeight="1" x14ac:dyDescent="0.25">
      <c r="C19" s="26" t="s">
        <v>293</v>
      </c>
      <c r="D19" s="60">
        <v>19000</v>
      </c>
      <c r="E19" s="61">
        <v>0.19</v>
      </c>
      <c r="F19" s="62">
        <f t="shared" si="0"/>
        <v>22610</v>
      </c>
      <c r="G19" s="63">
        <v>5</v>
      </c>
      <c r="H19" s="62">
        <f t="shared" si="1"/>
        <v>3800</v>
      </c>
      <c r="I19" s="63">
        <v>2</v>
      </c>
      <c r="J19" s="64" t="s">
        <v>294</v>
      </c>
      <c r="K19" s="28" t="s">
        <v>295</v>
      </c>
    </row>
    <row r="20" spans="2:11" ht="15.75" customHeight="1" x14ac:dyDescent="0.25">
      <c r="C20" s="26" t="s">
        <v>296</v>
      </c>
      <c r="D20" s="60">
        <v>16500</v>
      </c>
      <c r="E20" s="61">
        <v>0.19</v>
      </c>
      <c r="F20" s="62">
        <f t="shared" si="0"/>
        <v>19635</v>
      </c>
      <c r="G20" s="63">
        <v>3</v>
      </c>
      <c r="H20" s="62">
        <f t="shared" si="1"/>
        <v>5500</v>
      </c>
      <c r="I20" s="63">
        <v>2</v>
      </c>
      <c r="J20" s="64" t="s">
        <v>297</v>
      </c>
      <c r="K20" s="28" t="s">
        <v>298</v>
      </c>
    </row>
    <row r="21" spans="2:11" ht="18.75" customHeight="1" x14ac:dyDescent="0.25">
      <c r="C21" s="43" t="s">
        <v>299</v>
      </c>
      <c r="D21" s="65">
        <f>SUM(D9:D20)</f>
        <v>814500</v>
      </c>
      <c r="E21" s="66"/>
      <c r="F21" s="65">
        <f>SUM(F9:F20)</f>
        <v>969255</v>
      </c>
      <c r="G21" s="66"/>
      <c r="H21" s="65">
        <f>SUM(H9:H20)</f>
        <v>109880</v>
      </c>
      <c r="I21" s="66"/>
      <c r="J21" s="66"/>
      <c r="K21" s="67" t="s">
        <v>300</v>
      </c>
    </row>
    <row r="23" spans="2:11" ht="21" customHeight="1" x14ac:dyDescent="0.25">
      <c r="B23" s="19" t="s">
        <v>43</v>
      </c>
      <c r="C23" s="8" t="s">
        <v>301</v>
      </c>
      <c r="D23" s="8"/>
      <c r="E23" s="8"/>
      <c r="F23" s="8"/>
      <c r="G23" s="7" t="s">
        <v>302</v>
      </c>
      <c r="H23" s="7"/>
      <c r="I23" s="7"/>
      <c r="J23" s="7"/>
      <c r="K23" s="7"/>
    </row>
    <row r="24" spans="2:11" ht="25.5" customHeight="1" x14ac:dyDescent="0.25">
      <c r="C24" s="24" t="s">
        <v>46</v>
      </c>
      <c r="D24" s="25" t="s">
        <v>263</v>
      </c>
      <c r="E24" s="25" t="s">
        <v>264</v>
      </c>
      <c r="F24" s="25" t="s">
        <v>265</v>
      </c>
      <c r="G24" s="130" t="s">
        <v>303</v>
      </c>
      <c r="H24" s="130"/>
      <c r="I24" s="25" t="s">
        <v>268</v>
      </c>
      <c r="J24" s="25" t="s">
        <v>269</v>
      </c>
      <c r="K24" s="24" t="s">
        <v>93</v>
      </c>
    </row>
    <row r="25" spans="2:11" ht="15.75" customHeight="1" x14ac:dyDescent="0.25">
      <c r="C25" s="26" t="s">
        <v>304</v>
      </c>
      <c r="D25" s="60">
        <v>25500</v>
      </c>
      <c r="E25" s="61">
        <v>0</v>
      </c>
      <c r="F25" s="62">
        <f t="shared" ref="F25:F31" si="2">ROUND(D25*(1+E25),0)</f>
        <v>25500</v>
      </c>
      <c r="G25" s="162" t="s">
        <v>305</v>
      </c>
      <c r="H25" s="162"/>
      <c r="I25" s="63">
        <v>1</v>
      </c>
      <c r="J25" s="64" t="s">
        <v>306</v>
      </c>
      <c r="K25" s="28" t="s">
        <v>307</v>
      </c>
    </row>
    <row r="26" spans="2:11" ht="15.75" customHeight="1" x14ac:dyDescent="0.25">
      <c r="C26" s="26" t="s">
        <v>308</v>
      </c>
      <c r="D26" s="60">
        <v>6800</v>
      </c>
      <c r="E26" s="61">
        <v>0</v>
      </c>
      <c r="F26" s="62">
        <f t="shared" si="2"/>
        <v>6800</v>
      </c>
      <c r="G26" s="162" t="s">
        <v>305</v>
      </c>
      <c r="H26" s="162"/>
      <c r="I26" s="63">
        <v>1</v>
      </c>
      <c r="J26" s="64" t="s">
        <v>309</v>
      </c>
      <c r="K26" s="28" t="s">
        <v>310</v>
      </c>
    </row>
    <row r="27" spans="2:11" ht="15.75" customHeight="1" x14ac:dyDescent="0.25">
      <c r="C27" s="26" t="s">
        <v>311</v>
      </c>
      <c r="D27" s="60">
        <v>7200</v>
      </c>
      <c r="E27" s="61">
        <v>0.19</v>
      </c>
      <c r="F27" s="62">
        <f t="shared" si="2"/>
        <v>8568</v>
      </c>
      <c r="G27" s="162" t="s">
        <v>305</v>
      </c>
      <c r="H27" s="162"/>
      <c r="I27" s="63">
        <v>1</v>
      </c>
      <c r="J27" s="64" t="s">
        <v>312</v>
      </c>
      <c r="K27" s="28" t="s">
        <v>313</v>
      </c>
    </row>
    <row r="28" spans="2:11" ht="15.75" customHeight="1" x14ac:dyDescent="0.25">
      <c r="C28" s="26" t="s">
        <v>314</v>
      </c>
      <c r="D28" s="60">
        <v>4500</v>
      </c>
      <c r="E28" s="61">
        <v>0.19</v>
      </c>
      <c r="F28" s="62">
        <f t="shared" si="2"/>
        <v>5355</v>
      </c>
      <c r="G28" s="162" t="s">
        <v>305</v>
      </c>
      <c r="H28" s="162"/>
      <c r="I28" s="63">
        <v>1</v>
      </c>
      <c r="J28" s="64" t="s">
        <v>312</v>
      </c>
      <c r="K28" s="28" t="s">
        <v>315</v>
      </c>
    </row>
    <row r="29" spans="2:11" ht="15.75" customHeight="1" x14ac:dyDescent="0.25">
      <c r="C29" s="26" t="s">
        <v>316</v>
      </c>
      <c r="D29" s="60">
        <v>22000</v>
      </c>
      <c r="E29" s="61">
        <v>0.19</v>
      </c>
      <c r="F29" s="62">
        <f t="shared" si="2"/>
        <v>26180</v>
      </c>
      <c r="G29" s="162" t="s">
        <v>305</v>
      </c>
      <c r="H29" s="162"/>
      <c r="I29" s="63">
        <v>2</v>
      </c>
      <c r="J29" s="64" t="s">
        <v>297</v>
      </c>
      <c r="K29" s="28" t="s">
        <v>317</v>
      </c>
    </row>
    <row r="30" spans="2:11" ht="15.75" customHeight="1" x14ac:dyDescent="0.25">
      <c r="C30" s="26" t="s">
        <v>318</v>
      </c>
      <c r="D30" s="60">
        <v>9500</v>
      </c>
      <c r="E30" s="61">
        <v>0.19</v>
      </c>
      <c r="F30" s="62">
        <f t="shared" si="2"/>
        <v>11305</v>
      </c>
      <c r="G30" s="162" t="s">
        <v>305</v>
      </c>
      <c r="H30" s="162"/>
      <c r="I30" s="63">
        <v>2</v>
      </c>
      <c r="J30" s="64" t="s">
        <v>220</v>
      </c>
      <c r="K30" s="28" t="s">
        <v>319</v>
      </c>
    </row>
    <row r="31" spans="2:11" ht="15.75" customHeight="1" x14ac:dyDescent="0.25">
      <c r="C31" s="26" t="s">
        <v>320</v>
      </c>
      <c r="D31" s="60">
        <v>11500</v>
      </c>
      <c r="E31" s="61">
        <v>7.0000000000000007E-2</v>
      </c>
      <c r="F31" s="62">
        <f t="shared" si="2"/>
        <v>12305</v>
      </c>
      <c r="G31" s="162" t="s">
        <v>305</v>
      </c>
      <c r="H31" s="162"/>
      <c r="I31" s="63">
        <v>3</v>
      </c>
      <c r="J31" s="64" t="s">
        <v>321</v>
      </c>
      <c r="K31" s="28" t="s">
        <v>322</v>
      </c>
    </row>
    <row r="32" spans="2:11" ht="18.75" customHeight="1" x14ac:dyDescent="0.25">
      <c r="C32" s="43" t="s">
        <v>323</v>
      </c>
      <c r="D32" s="65">
        <f>SUM(D25:D31)</f>
        <v>87000</v>
      </c>
      <c r="E32" s="68"/>
      <c r="F32" s="65">
        <f>SUM(F25:F31)</f>
        <v>96013</v>
      </c>
      <c r="G32" s="163"/>
      <c r="H32" s="163"/>
      <c r="I32" s="163"/>
      <c r="J32" s="163"/>
      <c r="K32" s="67" t="s">
        <v>324</v>
      </c>
    </row>
    <row r="34" spans="2:11" ht="21" customHeight="1" x14ac:dyDescent="0.25">
      <c r="B34" s="19" t="s">
        <v>67</v>
      </c>
      <c r="C34" s="8" t="s">
        <v>325</v>
      </c>
      <c r="D34" s="8"/>
      <c r="E34" s="8"/>
      <c r="F34" s="8"/>
      <c r="G34" s="7" t="s">
        <v>326</v>
      </c>
      <c r="H34" s="7"/>
      <c r="I34" s="7"/>
      <c r="J34" s="7"/>
      <c r="K34" s="7"/>
    </row>
    <row r="35" spans="2:11" ht="25.5" customHeight="1" x14ac:dyDescent="0.25">
      <c r="C35" s="24" t="s">
        <v>327</v>
      </c>
      <c r="D35" s="25" t="s">
        <v>328</v>
      </c>
      <c r="E35" s="25" t="s">
        <v>329</v>
      </c>
      <c r="F35" s="129" t="s">
        <v>330</v>
      </c>
      <c r="G35" s="129"/>
      <c r="H35" s="129"/>
      <c r="I35" s="129"/>
      <c r="J35" s="129"/>
      <c r="K35" s="129"/>
    </row>
    <row r="36" spans="2:11" ht="16.5" customHeight="1" x14ac:dyDescent="0.25">
      <c r="C36" s="26" t="s">
        <v>331</v>
      </c>
      <c r="D36" s="27">
        <f>D21</f>
        <v>814500</v>
      </c>
      <c r="E36" s="32">
        <f t="shared" ref="E36:E41" si="3">IFERROR(D36/$D$41,0)</f>
        <v>0.69476431751880852</v>
      </c>
      <c r="F36" s="133" t="s">
        <v>332</v>
      </c>
      <c r="G36" s="133"/>
      <c r="H36" s="133"/>
      <c r="I36" s="133"/>
      <c r="J36" s="133"/>
      <c r="K36" s="133"/>
    </row>
    <row r="37" spans="2:11" ht="16.5" customHeight="1" x14ac:dyDescent="0.25">
      <c r="C37" s="26" t="s">
        <v>333</v>
      </c>
      <c r="D37" s="27">
        <f>D32</f>
        <v>87000</v>
      </c>
      <c r="E37" s="32">
        <f t="shared" si="3"/>
        <v>7.4210553252469419E-2</v>
      </c>
      <c r="F37" s="133" t="s">
        <v>334</v>
      </c>
      <c r="G37" s="133"/>
      <c r="H37" s="133"/>
      <c r="I37" s="133"/>
      <c r="J37" s="133"/>
      <c r="K37" s="133"/>
    </row>
    <row r="38" spans="2:11" ht="16.5" customHeight="1" x14ac:dyDescent="0.25">
      <c r="C38" s="26" t="s">
        <v>335</v>
      </c>
      <c r="D38" s="27">
        <f>ROUND(Reserve_Monate*Fixkosten_Monat,0)</f>
        <v>184000</v>
      </c>
      <c r="E38" s="32">
        <f t="shared" si="3"/>
        <v>0.15695105515464797</v>
      </c>
      <c r="F38" s="133" t="s">
        <v>336</v>
      </c>
      <c r="G38" s="133"/>
      <c r="H38" s="133"/>
      <c r="I38" s="133"/>
      <c r="J38" s="133"/>
      <c r="K38" s="133"/>
    </row>
    <row r="39" spans="2:11" ht="16.5" customHeight="1" x14ac:dyDescent="0.25">
      <c r="C39" s="30" t="s">
        <v>337</v>
      </c>
      <c r="D39" s="31">
        <f>SUM(D36:D38)</f>
        <v>1085500</v>
      </c>
      <c r="E39" s="69">
        <f t="shared" si="3"/>
        <v>0.92592592592592593</v>
      </c>
      <c r="F39" s="143" t="s">
        <v>338</v>
      </c>
      <c r="G39" s="143"/>
      <c r="H39" s="143"/>
      <c r="I39" s="143"/>
      <c r="J39" s="143"/>
      <c r="K39" s="143"/>
    </row>
    <row r="40" spans="2:11" ht="16.5" customHeight="1" x14ac:dyDescent="0.25">
      <c r="C40" s="26" t="s">
        <v>339</v>
      </c>
      <c r="D40" s="27">
        <f>ROUND(D39*Puffer_Satz,0)</f>
        <v>86840</v>
      </c>
      <c r="E40" s="32">
        <f t="shared" si="3"/>
        <v>7.407407407407407E-2</v>
      </c>
      <c r="F40" s="133" t="s">
        <v>340</v>
      </c>
      <c r="G40" s="133"/>
      <c r="H40" s="133"/>
      <c r="I40" s="133"/>
      <c r="J40" s="133"/>
      <c r="K40" s="133"/>
    </row>
    <row r="41" spans="2:11" ht="16.5" customHeight="1" x14ac:dyDescent="0.25">
      <c r="C41" s="29" t="s">
        <v>19</v>
      </c>
      <c r="D41" s="70">
        <f>D39+D40</f>
        <v>1172340</v>
      </c>
      <c r="E41" s="71">
        <f t="shared" si="3"/>
        <v>1</v>
      </c>
      <c r="F41" s="139" t="s">
        <v>341</v>
      </c>
      <c r="G41" s="139"/>
      <c r="H41" s="139"/>
      <c r="I41" s="139"/>
      <c r="J41" s="139"/>
      <c r="K41" s="139"/>
    </row>
    <row r="43" spans="2:11" ht="21" customHeight="1" x14ac:dyDescent="0.25">
      <c r="B43" s="19" t="s">
        <v>86</v>
      </c>
      <c r="C43" s="8" t="s">
        <v>342</v>
      </c>
      <c r="D43" s="8"/>
      <c r="E43" s="8"/>
      <c r="F43" s="8"/>
      <c r="G43" s="7" t="s">
        <v>343</v>
      </c>
      <c r="H43" s="7"/>
      <c r="I43" s="7"/>
      <c r="J43" s="7"/>
      <c r="K43" s="7"/>
    </row>
    <row r="44" spans="2:11" ht="25.5" customHeight="1" x14ac:dyDescent="0.25">
      <c r="C44" s="24" t="s">
        <v>344</v>
      </c>
      <c r="D44" s="25" t="s">
        <v>328</v>
      </c>
      <c r="E44" s="25" t="s">
        <v>329</v>
      </c>
      <c r="F44" s="25" t="s">
        <v>345</v>
      </c>
      <c r="G44" s="25" t="s">
        <v>346</v>
      </c>
      <c r="H44" s="25" t="s">
        <v>347</v>
      </c>
      <c r="I44" s="25" t="s">
        <v>348</v>
      </c>
      <c r="J44" s="25" t="s">
        <v>349</v>
      </c>
      <c r="K44" s="24" t="s">
        <v>93</v>
      </c>
    </row>
    <row r="45" spans="2:11" ht="15.75" customHeight="1" x14ac:dyDescent="0.25">
      <c r="C45" s="26" t="s">
        <v>350</v>
      </c>
      <c r="D45" s="60">
        <v>210000</v>
      </c>
      <c r="E45" s="72">
        <f t="shared" ref="E45:E52" si="4">IFERROR(D45/$D$52,0)</f>
        <v>0.17872340425531916</v>
      </c>
      <c r="F45" s="73">
        <v>0</v>
      </c>
      <c r="G45" s="63">
        <v>0</v>
      </c>
      <c r="H45" s="63">
        <v>0</v>
      </c>
      <c r="I45" s="63">
        <v>1</v>
      </c>
      <c r="J45" s="74" t="s">
        <v>351</v>
      </c>
      <c r="K45" s="28" t="s">
        <v>352</v>
      </c>
    </row>
    <row r="46" spans="2:11" ht="15.75" customHeight="1" x14ac:dyDescent="0.25">
      <c r="C46" s="26" t="s">
        <v>353</v>
      </c>
      <c r="D46" s="60">
        <v>25000</v>
      </c>
      <c r="E46" s="72">
        <f t="shared" si="4"/>
        <v>2.1276595744680851E-2</v>
      </c>
      <c r="F46" s="73">
        <v>0</v>
      </c>
      <c r="G46" s="63">
        <v>0</v>
      </c>
      <c r="H46" s="63">
        <v>0</v>
      </c>
      <c r="I46" s="63">
        <v>1</v>
      </c>
      <c r="J46" s="74" t="s">
        <v>351</v>
      </c>
      <c r="K46" s="28" t="s">
        <v>354</v>
      </c>
    </row>
    <row r="47" spans="2:11" ht="15.75" customHeight="1" x14ac:dyDescent="0.25">
      <c r="C47" s="26" t="s">
        <v>355</v>
      </c>
      <c r="D47" s="60">
        <v>45000</v>
      </c>
      <c r="E47" s="72">
        <f t="shared" si="4"/>
        <v>3.8297872340425532E-2</v>
      </c>
      <c r="F47" s="73">
        <v>0</v>
      </c>
      <c r="G47" s="63">
        <v>0</v>
      </c>
      <c r="H47" s="63">
        <v>0</v>
      </c>
      <c r="I47" s="63">
        <v>1</v>
      </c>
      <c r="J47" s="74" t="s">
        <v>356</v>
      </c>
      <c r="K47" s="28" t="s">
        <v>357</v>
      </c>
    </row>
    <row r="48" spans="2:11" ht="15.75" customHeight="1" x14ac:dyDescent="0.25">
      <c r="C48" s="26" t="s">
        <v>358</v>
      </c>
      <c r="D48" s="60">
        <v>55000</v>
      </c>
      <c r="E48" s="72">
        <f t="shared" si="4"/>
        <v>4.6808510638297871E-2</v>
      </c>
      <c r="F48" s="73">
        <v>0</v>
      </c>
      <c r="G48" s="63">
        <v>0</v>
      </c>
      <c r="H48" s="63">
        <v>0</v>
      </c>
      <c r="I48" s="63">
        <v>3</v>
      </c>
      <c r="J48" s="74" t="s">
        <v>359</v>
      </c>
      <c r="K48" s="28" t="s">
        <v>360</v>
      </c>
    </row>
    <row r="49" spans="2:11" ht="15.75" customHeight="1" x14ac:dyDescent="0.25">
      <c r="C49" s="26" t="s">
        <v>361</v>
      </c>
      <c r="D49" s="60">
        <v>60000</v>
      </c>
      <c r="E49" s="72">
        <f t="shared" si="4"/>
        <v>5.106382978723404E-2</v>
      </c>
      <c r="F49" s="73">
        <v>0.03</v>
      </c>
      <c r="G49" s="63">
        <v>8</v>
      </c>
      <c r="H49" s="63">
        <v>1</v>
      </c>
      <c r="I49" s="63">
        <v>1</v>
      </c>
      <c r="J49" s="74" t="s">
        <v>362</v>
      </c>
      <c r="K49" s="28" t="s">
        <v>363</v>
      </c>
    </row>
    <row r="50" spans="2:11" ht="15.75" customHeight="1" x14ac:dyDescent="0.25">
      <c r="C50" s="26" t="s">
        <v>364</v>
      </c>
      <c r="D50" s="60">
        <v>400000</v>
      </c>
      <c r="E50" s="72">
        <f t="shared" si="4"/>
        <v>0.34042553191489361</v>
      </c>
      <c r="F50" s="73">
        <v>4.2000000000000003E-2</v>
      </c>
      <c r="G50" s="63">
        <v>10</v>
      </c>
      <c r="H50" s="63">
        <v>2</v>
      </c>
      <c r="I50" s="63">
        <v>1</v>
      </c>
      <c r="J50" s="74" t="s">
        <v>362</v>
      </c>
      <c r="K50" s="28" t="s">
        <v>365</v>
      </c>
    </row>
    <row r="51" spans="2:11" ht="15.75" customHeight="1" x14ac:dyDescent="0.25">
      <c r="C51" s="26" t="s">
        <v>366</v>
      </c>
      <c r="D51" s="60">
        <v>380000</v>
      </c>
      <c r="E51" s="72">
        <f t="shared" si="4"/>
        <v>0.32340425531914896</v>
      </c>
      <c r="F51" s="73">
        <v>5.3999999999999999E-2</v>
      </c>
      <c r="G51" s="63">
        <v>8</v>
      </c>
      <c r="H51" s="63">
        <v>1</v>
      </c>
      <c r="I51" s="63">
        <v>1</v>
      </c>
      <c r="J51" s="74" t="s">
        <v>362</v>
      </c>
      <c r="K51" s="28" t="s">
        <v>367</v>
      </c>
    </row>
    <row r="52" spans="2:11" ht="18.75" customHeight="1" x14ac:dyDescent="0.25">
      <c r="C52" s="43" t="s">
        <v>20</v>
      </c>
      <c r="D52" s="70">
        <f>SUM(D45:D51)</f>
        <v>1175000</v>
      </c>
      <c r="E52" s="71">
        <f t="shared" si="4"/>
        <v>1</v>
      </c>
      <c r="F52" s="163"/>
      <c r="G52" s="163"/>
      <c r="H52" s="163"/>
      <c r="I52" s="163"/>
      <c r="J52" s="163"/>
      <c r="K52" s="67" t="s">
        <v>368</v>
      </c>
    </row>
    <row r="53" spans="2:11" ht="15.75" customHeight="1" x14ac:dyDescent="0.25">
      <c r="C53" s="30" t="s">
        <v>369</v>
      </c>
      <c r="D53" s="75">
        <f>D41</f>
        <v>1172340</v>
      </c>
      <c r="E53" s="133"/>
      <c r="F53" s="133"/>
      <c r="G53" s="133"/>
      <c r="H53" s="133"/>
      <c r="I53" s="133"/>
      <c r="J53" s="133"/>
      <c r="K53" s="133"/>
    </row>
    <row r="54" spans="2:11" ht="15.75" customHeight="1" x14ac:dyDescent="0.25">
      <c r="C54" s="30" t="s">
        <v>94</v>
      </c>
      <c r="D54" s="76">
        <f>IFERROR(D52/D41,0)</f>
        <v>1.0022689663408226</v>
      </c>
      <c r="E54" s="133" t="s">
        <v>370</v>
      </c>
      <c r="F54" s="133"/>
      <c r="G54" s="133"/>
      <c r="H54" s="133"/>
      <c r="I54" s="133"/>
      <c r="J54" s="133"/>
      <c r="K54" s="133"/>
    </row>
    <row r="55" spans="2:11" ht="15.75" customHeight="1" x14ac:dyDescent="0.25">
      <c r="C55" s="30" t="s">
        <v>371</v>
      </c>
      <c r="D55" s="75">
        <f>D52-D41</f>
        <v>2660</v>
      </c>
      <c r="E55" s="133" t="s">
        <v>372</v>
      </c>
      <c r="F55" s="133"/>
      <c r="G55" s="133"/>
      <c r="H55" s="133"/>
      <c r="I55" s="133"/>
      <c r="J55" s="133"/>
      <c r="K55" s="133"/>
    </row>
    <row r="56" spans="2:11" ht="15.75" customHeight="1" x14ac:dyDescent="0.25">
      <c r="C56" s="30" t="s">
        <v>373</v>
      </c>
      <c r="D56" s="75">
        <f>SUMIF($J$45:$J$51,"Eigenkapital",$D$45:$D$51)+SUMIF($J$45:$J$51,"Beteiligung",$D$45:$D$51)</f>
        <v>280000</v>
      </c>
      <c r="E56" s="133" t="s">
        <v>374</v>
      </c>
      <c r="F56" s="133"/>
      <c r="G56" s="133"/>
      <c r="H56" s="133"/>
      <c r="I56" s="133"/>
      <c r="J56" s="133"/>
      <c r="K56" s="133"/>
    </row>
    <row r="57" spans="2:11" ht="15.75" customHeight="1" x14ac:dyDescent="0.25">
      <c r="C57" s="30" t="s">
        <v>96</v>
      </c>
      <c r="D57" s="76">
        <f>IFERROR(D56/D52,0)</f>
        <v>0.23829787234042554</v>
      </c>
      <c r="E57" s="133" t="s">
        <v>56</v>
      </c>
      <c r="F57" s="133"/>
      <c r="G57" s="133"/>
      <c r="H57" s="133"/>
      <c r="I57" s="133"/>
      <c r="J57" s="133"/>
      <c r="K57" s="133"/>
    </row>
    <row r="58" spans="2:11" ht="15.75" customHeight="1" x14ac:dyDescent="0.25">
      <c r="C58" s="30" t="s">
        <v>375</v>
      </c>
      <c r="D58" s="75">
        <f>SUMIF($J$45:$J$51,"Fremdkapital",$D$45:$D$51)</f>
        <v>840000</v>
      </c>
      <c r="E58" s="133" t="s">
        <v>376</v>
      </c>
      <c r="F58" s="133"/>
      <c r="G58" s="133"/>
      <c r="H58" s="133"/>
      <c r="I58" s="133"/>
      <c r="J58" s="133"/>
      <c r="K58" s="133"/>
    </row>
    <row r="60" spans="2:11" ht="21" customHeight="1" x14ac:dyDescent="0.25">
      <c r="B60" s="19" t="s">
        <v>118</v>
      </c>
      <c r="C60" s="8" t="s">
        <v>377</v>
      </c>
      <c r="D60" s="8"/>
      <c r="E60" s="8"/>
      <c r="F60" s="8"/>
      <c r="G60" s="7" t="s">
        <v>378</v>
      </c>
      <c r="H60" s="7"/>
      <c r="I60" s="7"/>
      <c r="J60" s="7"/>
      <c r="K60" s="7"/>
    </row>
    <row r="61" spans="2:11" ht="19.5" customHeight="1" x14ac:dyDescent="0.25">
      <c r="C61" s="24" t="s">
        <v>379</v>
      </c>
      <c r="D61" s="25" t="s">
        <v>47</v>
      </c>
      <c r="E61" s="25" t="s">
        <v>48</v>
      </c>
      <c r="F61" s="25" t="s">
        <v>49</v>
      </c>
      <c r="G61" s="25" t="s">
        <v>380</v>
      </c>
      <c r="H61" s="25" t="s">
        <v>381</v>
      </c>
      <c r="I61" s="129" t="s">
        <v>382</v>
      </c>
      <c r="J61" s="129"/>
      <c r="K61" s="129"/>
    </row>
    <row r="62" spans="2:11" ht="16.5" customHeight="1" x14ac:dyDescent="0.25">
      <c r="C62" s="77" t="s">
        <v>361</v>
      </c>
      <c r="D62" s="164"/>
      <c r="E62" s="164"/>
      <c r="F62" s="164"/>
      <c r="G62" s="164"/>
      <c r="H62" s="164"/>
      <c r="I62" s="165" t="str">
        <f>ROUND($F$49*100,2)&amp;" % Zins  ·  "&amp;$G$49&amp;" Jahre Laufzeit  ·  "&amp;$H$49&amp;" tilgungsfreie Jahre  ·  Auszahlung im Monat "&amp;$I$49</f>
        <v>3 % Zins  ·  8 Jahre Laufzeit  ·  1 tilgungsfreie Jahre  ·  Auszahlung im Monat 1</v>
      </c>
      <c r="J62" s="165"/>
      <c r="K62" s="165"/>
    </row>
    <row r="63" spans="2:11" ht="15" customHeight="1" x14ac:dyDescent="0.25">
      <c r="C63" s="78" t="s">
        <v>383</v>
      </c>
      <c r="D63" s="79">
        <f>$D$49</f>
        <v>60000</v>
      </c>
      <c r="E63" s="79">
        <f>D67</f>
        <v>60000</v>
      </c>
      <c r="F63" s="79">
        <f>E67</f>
        <v>51429</v>
      </c>
      <c r="G63" s="79">
        <f>F67</f>
        <v>42858</v>
      </c>
      <c r="H63" s="79">
        <f>G67</f>
        <v>34287</v>
      </c>
      <c r="I63" s="166"/>
      <c r="J63" s="166"/>
      <c r="K63" s="166"/>
    </row>
    <row r="64" spans="2:11" ht="15" customHeight="1" x14ac:dyDescent="0.25">
      <c r="C64" s="78" t="s">
        <v>384</v>
      </c>
      <c r="D64" s="79">
        <f>ROUND(D63*$F$49,0)</f>
        <v>1800</v>
      </c>
      <c r="E64" s="79">
        <f>ROUND(E63*$F$49,0)</f>
        <v>1800</v>
      </c>
      <c r="F64" s="79">
        <f>ROUND(F63*$F$49,0)</f>
        <v>1543</v>
      </c>
      <c r="G64" s="79">
        <f>ROUND(G63*$F$49,0)</f>
        <v>1286</v>
      </c>
      <c r="H64" s="79">
        <f>ROUND(H63*$F$49,0)</f>
        <v>1029</v>
      </c>
      <c r="I64" s="166"/>
      <c r="J64" s="166"/>
      <c r="K64" s="166"/>
    </row>
    <row r="65" spans="3:11" ht="15" customHeight="1" x14ac:dyDescent="0.25">
      <c r="C65" s="78" t="s">
        <v>385</v>
      </c>
      <c r="D65" s="79">
        <f>IF(1&lt;=$H$49,0,MIN(D63,ROUND($D$49/MAX(1,$G$49-$H$49),0)))</f>
        <v>0</v>
      </c>
      <c r="E65" s="79">
        <f>IF(2&lt;=$H$49,0,MIN(E63,ROUND($D$49/MAX(1,$G$49-$H$49),0)))</f>
        <v>8571</v>
      </c>
      <c r="F65" s="79">
        <f>IF(3&lt;=$H$49,0,MIN(F63,ROUND($D$49/MAX(1,$G$49-$H$49),0)))</f>
        <v>8571</v>
      </c>
      <c r="G65" s="79">
        <f>IF(4&lt;=$H$49,0,MIN(G63,ROUND($D$49/MAX(1,$G$49-$H$49),0)))</f>
        <v>8571</v>
      </c>
      <c r="H65" s="79">
        <f>IF(5&lt;=$H$49,0,MIN(H63,ROUND($D$49/MAX(1,$G$49-$H$49),0)))</f>
        <v>8571</v>
      </c>
      <c r="I65" s="166"/>
      <c r="J65" s="166"/>
      <c r="K65" s="166"/>
    </row>
    <row r="66" spans="3:11" ht="15" customHeight="1" x14ac:dyDescent="0.25">
      <c r="C66" s="80" t="s">
        <v>386</v>
      </c>
      <c r="D66" s="81">
        <f>D64+D65</f>
        <v>1800</v>
      </c>
      <c r="E66" s="81">
        <f>E64+E65</f>
        <v>10371</v>
      </c>
      <c r="F66" s="81">
        <f>F64+F65</f>
        <v>10114</v>
      </c>
      <c r="G66" s="81">
        <f>G64+G65</f>
        <v>9857</v>
      </c>
      <c r="H66" s="81">
        <f>H64+H65</f>
        <v>9600</v>
      </c>
      <c r="I66" s="166"/>
      <c r="J66" s="166"/>
      <c r="K66" s="166"/>
    </row>
    <row r="67" spans="3:11" ht="15" customHeight="1" x14ac:dyDescent="0.25">
      <c r="C67" s="78" t="s">
        <v>387</v>
      </c>
      <c r="D67" s="79">
        <f>D63-D65</f>
        <v>60000</v>
      </c>
      <c r="E67" s="79">
        <f>E63-E65</f>
        <v>51429</v>
      </c>
      <c r="F67" s="79">
        <f>F63-F65</f>
        <v>42858</v>
      </c>
      <c r="G67" s="79">
        <f>G63-G65</f>
        <v>34287</v>
      </c>
      <c r="H67" s="79">
        <f>H63-H65</f>
        <v>25716</v>
      </c>
      <c r="I67" s="166"/>
      <c r="J67" s="166"/>
      <c r="K67" s="166"/>
    </row>
    <row r="68" spans="3:11" ht="16.5" customHeight="1" x14ac:dyDescent="0.25">
      <c r="C68" s="77" t="s">
        <v>364</v>
      </c>
      <c r="D68" s="164"/>
      <c r="E68" s="164"/>
      <c r="F68" s="164"/>
      <c r="G68" s="164"/>
      <c r="H68" s="164"/>
      <c r="I68" s="165" t="str">
        <f>ROUND($F$50*100,2)&amp;" % Zins  ·  "&amp;$G$50&amp;" Jahre Laufzeit  ·  "&amp;$H$50&amp;" tilgungsfreie Jahre  ·  Auszahlung im Monat "&amp;$I$50</f>
        <v>4,2 % Zins  ·  10 Jahre Laufzeit  ·  2 tilgungsfreie Jahre  ·  Auszahlung im Monat 1</v>
      </c>
      <c r="J68" s="165"/>
      <c r="K68" s="165"/>
    </row>
    <row r="69" spans="3:11" ht="15" customHeight="1" x14ac:dyDescent="0.25">
      <c r="C69" s="78" t="s">
        <v>383</v>
      </c>
      <c r="D69" s="79">
        <f>$D$50</f>
        <v>400000</v>
      </c>
      <c r="E69" s="79">
        <f>D73</f>
        <v>400000</v>
      </c>
      <c r="F69" s="79">
        <f>E73</f>
        <v>400000</v>
      </c>
      <c r="G69" s="79">
        <f>F73</f>
        <v>350000</v>
      </c>
      <c r="H69" s="79">
        <f>G73</f>
        <v>300000</v>
      </c>
      <c r="I69" s="166"/>
      <c r="J69" s="166"/>
      <c r="K69" s="166"/>
    </row>
    <row r="70" spans="3:11" ht="15" customHeight="1" x14ac:dyDescent="0.25">
      <c r="C70" s="78" t="s">
        <v>384</v>
      </c>
      <c r="D70" s="79">
        <f>ROUND(D69*$F$50,0)</f>
        <v>16800</v>
      </c>
      <c r="E70" s="79">
        <f>ROUND(E69*$F$50,0)</f>
        <v>16800</v>
      </c>
      <c r="F70" s="79">
        <f>ROUND(F69*$F$50,0)</f>
        <v>16800</v>
      </c>
      <c r="G70" s="79">
        <f>ROUND(G69*$F$50,0)</f>
        <v>14700</v>
      </c>
      <c r="H70" s="79">
        <f>ROUND(H69*$F$50,0)</f>
        <v>12600</v>
      </c>
      <c r="I70" s="166"/>
      <c r="J70" s="166"/>
      <c r="K70" s="166"/>
    </row>
    <row r="71" spans="3:11" ht="15" customHeight="1" x14ac:dyDescent="0.25">
      <c r="C71" s="78" t="s">
        <v>385</v>
      </c>
      <c r="D71" s="79">
        <f>IF(1&lt;=$H$50,0,MIN(D69,ROUND($D$50/MAX(1,$G$50-$H$50),0)))</f>
        <v>0</v>
      </c>
      <c r="E71" s="79">
        <f>IF(2&lt;=$H$50,0,MIN(E69,ROUND($D$50/MAX(1,$G$50-$H$50),0)))</f>
        <v>0</v>
      </c>
      <c r="F71" s="79">
        <f>IF(3&lt;=$H$50,0,MIN(F69,ROUND($D$50/MAX(1,$G$50-$H$50),0)))</f>
        <v>50000</v>
      </c>
      <c r="G71" s="79">
        <f>IF(4&lt;=$H$50,0,MIN(G69,ROUND($D$50/MAX(1,$G$50-$H$50),0)))</f>
        <v>50000</v>
      </c>
      <c r="H71" s="79">
        <f>IF(5&lt;=$H$50,0,MIN(H69,ROUND($D$50/MAX(1,$G$50-$H$50),0)))</f>
        <v>50000</v>
      </c>
      <c r="I71" s="166"/>
      <c r="J71" s="166"/>
      <c r="K71" s="166"/>
    </row>
    <row r="72" spans="3:11" ht="15" customHeight="1" x14ac:dyDescent="0.25">
      <c r="C72" s="80" t="s">
        <v>386</v>
      </c>
      <c r="D72" s="81">
        <f>D70+D71</f>
        <v>16800</v>
      </c>
      <c r="E72" s="81">
        <f>E70+E71</f>
        <v>16800</v>
      </c>
      <c r="F72" s="81">
        <f>F70+F71</f>
        <v>66800</v>
      </c>
      <c r="G72" s="81">
        <f>G70+G71</f>
        <v>64700</v>
      </c>
      <c r="H72" s="81">
        <f>H70+H71</f>
        <v>62600</v>
      </c>
      <c r="I72" s="166"/>
      <c r="J72" s="166"/>
      <c r="K72" s="166"/>
    </row>
    <row r="73" spans="3:11" ht="15" customHeight="1" x14ac:dyDescent="0.25">
      <c r="C73" s="78" t="s">
        <v>387</v>
      </c>
      <c r="D73" s="79">
        <f>D69-D71</f>
        <v>400000</v>
      </c>
      <c r="E73" s="79">
        <f>E69-E71</f>
        <v>400000</v>
      </c>
      <c r="F73" s="79">
        <f>F69-F71</f>
        <v>350000</v>
      </c>
      <c r="G73" s="79">
        <f>G69-G71</f>
        <v>300000</v>
      </c>
      <c r="H73" s="79">
        <f>H69-H71</f>
        <v>250000</v>
      </c>
      <c r="I73" s="166"/>
      <c r="J73" s="166"/>
      <c r="K73" s="166"/>
    </row>
    <row r="74" spans="3:11" ht="16.5" customHeight="1" x14ac:dyDescent="0.25">
      <c r="C74" s="77" t="s">
        <v>366</v>
      </c>
      <c r="D74" s="164"/>
      <c r="E74" s="164"/>
      <c r="F74" s="164"/>
      <c r="G74" s="164"/>
      <c r="H74" s="164"/>
      <c r="I74" s="165" t="str">
        <f>ROUND($F$51*100,2)&amp;" % Zins  ·  "&amp;$G$51&amp;" Jahre Laufzeit  ·  "&amp;$H$51&amp;" tilgungsfreie Jahre  ·  Auszahlung im Monat "&amp;$I$51</f>
        <v>5,4 % Zins  ·  8 Jahre Laufzeit  ·  1 tilgungsfreie Jahre  ·  Auszahlung im Monat 1</v>
      </c>
      <c r="J74" s="165"/>
      <c r="K74" s="165"/>
    </row>
    <row r="75" spans="3:11" ht="15" customHeight="1" x14ac:dyDescent="0.25">
      <c r="C75" s="78" t="s">
        <v>383</v>
      </c>
      <c r="D75" s="79">
        <f>$D$51</f>
        <v>380000</v>
      </c>
      <c r="E75" s="79">
        <f>D79</f>
        <v>380000</v>
      </c>
      <c r="F75" s="79">
        <f>E79</f>
        <v>325714</v>
      </c>
      <c r="G75" s="79">
        <f>F79</f>
        <v>271428</v>
      </c>
      <c r="H75" s="79">
        <f>G79</f>
        <v>217142</v>
      </c>
      <c r="I75" s="166"/>
      <c r="J75" s="166"/>
      <c r="K75" s="166"/>
    </row>
    <row r="76" spans="3:11" ht="15" customHeight="1" x14ac:dyDescent="0.25">
      <c r="C76" s="78" t="s">
        <v>384</v>
      </c>
      <c r="D76" s="79">
        <f>ROUND(D75*$F$51,0)</f>
        <v>20520</v>
      </c>
      <c r="E76" s="79">
        <f>ROUND(E75*$F$51,0)</f>
        <v>20520</v>
      </c>
      <c r="F76" s="79">
        <f>ROUND(F75*$F$51,0)</f>
        <v>17589</v>
      </c>
      <c r="G76" s="79">
        <f>ROUND(G75*$F$51,0)</f>
        <v>14657</v>
      </c>
      <c r="H76" s="79">
        <f>ROUND(H75*$F$51,0)</f>
        <v>11726</v>
      </c>
      <c r="I76" s="166"/>
      <c r="J76" s="166"/>
      <c r="K76" s="166"/>
    </row>
    <row r="77" spans="3:11" ht="15" customHeight="1" x14ac:dyDescent="0.25">
      <c r="C77" s="78" t="s">
        <v>385</v>
      </c>
      <c r="D77" s="79">
        <f>IF(1&lt;=$H$51,0,MIN(D75,ROUND($D$51/MAX(1,$G$51-$H$51),0)))</f>
        <v>0</v>
      </c>
      <c r="E77" s="79">
        <f>IF(2&lt;=$H$51,0,MIN(E75,ROUND($D$51/MAX(1,$G$51-$H$51),0)))</f>
        <v>54286</v>
      </c>
      <c r="F77" s="79">
        <f>IF(3&lt;=$H$51,0,MIN(F75,ROUND($D$51/MAX(1,$G$51-$H$51),0)))</f>
        <v>54286</v>
      </c>
      <c r="G77" s="79">
        <f>IF(4&lt;=$H$51,0,MIN(G75,ROUND($D$51/MAX(1,$G$51-$H$51),0)))</f>
        <v>54286</v>
      </c>
      <c r="H77" s="79">
        <f>IF(5&lt;=$H$51,0,MIN(H75,ROUND($D$51/MAX(1,$G$51-$H$51),0)))</f>
        <v>54286</v>
      </c>
      <c r="I77" s="166"/>
      <c r="J77" s="166"/>
      <c r="K77" s="166"/>
    </row>
    <row r="78" spans="3:11" ht="15" customHeight="1" x14ac:dyDescent="0.25">
      <c r="C78" s="80" t="s">
        <v>386</v>
      </c>
      <c r="D78" s="81">
        <f>D76+D77</f>
        <v>20520</v>
      </c>
      <c r="E78" s="81">
        <f>E76+E77</f>
        <v>74806</v>
      </c>
      <c r="F78" s="81">
        <f>F76+F77</f>
        <v>71875</v>
      </c>
      <c r="G78" s="81">
        <f>G76+G77</f>
        <v>68943</v>
      </c>
      <c r="H78" s="81">
        <f>H76+H77</f>
        <v>66012</v>
      </c>
      <c r="I78" s="166"/>
      <c r="J78" s="166"/>
      <c r="K78" s="166"/>
    </row>
    <row r="79" spans="3:11" ht="15" customHeight="1" x14ac:dyDescent="0.25">
      <c r="C79" s="78" t="s">
        <v>387</v>
      </c>
      <c r="D79" s="79">
        <f>D75-D77</f>
        <v>380000</v>
      </c>
      <c r="E79" s="79">
        <f>E75-E77</f>
        <v>325714</v>
      </c>
      <c r="F79" s="79">
        <f>F75-F77</f>
        <v>271428</v>
      </c>
      <c r="G79" s="79">
        <f>G75-G77</f>
        <v>217142</v>
      </c>
      <c r="H79" s="79">
        <f>H75-H77</f>
        <v>162856</v>
      </c>
      <c r="I79" s="166"/>
      <c r="J79" s="166"/>
      <c r="K79" s="166"/>
    </row>
    <row r="80" spans="3:11" ht="16.5" customHeight="1" x14ac:dyDescent="0.25">
      <c r="C80" s="82" t="s">
        <v>388</v>
      </c>
      <c r="D80" s="65">
        <f>D66+D72+D78</f>
        <v>39120</v>
      </c>
      <c r="E80" s="65">
        <f>E66+E72+E78</f>
        <v>101977</v>
      </c>
      <c r="F80" s="65">
        <f>F66+F72+F78</f>
        <v>148789</v>
      </c>
      <c r="G80" s="65">
        <f>G66+G72+G78</f>
        <v>143500</v>
      </c>
      <c r="H80" s="65">
        <f>H66+H72+H78</f>
        <v>138212</v>
      </c>
      <c r="I80" s="167"/>
      <c r="J80" s="167"/>
      <c r="K80" s="167"/>
    </row>
    <row r="81" spans="2:11" ht="16.5" customHeight="1" x14ac:dyDescent="0.25">
      <c r="C81" s="30" t="s">
        <v>389</v>
      </c>
      <c r="D81" s="31">
        <f t="shared" ref="D81:H82" si="5">D64+D70+D76</f>
        <v>39120</v>
      </c>
      <c r="E81" s="31">
        <f t="shared" si="5"/>
        <v>39120</v>
      </c>
      <c r="F81" s="31">
        <f t="shared" si="5"/>
        <v>35932</v>
      </c>
      <c r="G81" s="31">
        <f t="shared" si="5"/>
        <v>30643</v>
      </c>
      <c r="H81" s="31">
        <f t="shared" si="5"/>
        <v>25355</v>
      </c>
      <c r="I81" s="168"/>
      <c r="J81" s="168"/>
      <c r="K81" s="168"/>
    </row>
    <row r="82" spans="2:11" ht="16.5" customHeight="1" x14ac:dyDescent="0.25">
      <c r="C82" s="30" t="s">
        <v>390</v>
      </c>
      <c r="D82" s="31">
        <f t="shared" si="5"/>
        <v>0</v>
      </c>
      <c r="E82" s="31">
        <f t="shared" si="5"/>
        <v>62857</v>
      </c>
      <c r="F82" s="31">
        <f t="shared" si="5"/>
        <v>112857</v>
      </c>
      <c r="G82" s="31">
        <f t="shared" si="5"/>
        <v>112857</v>
      </c>
      <c r="H82" s="31">
        <f t="shared" si="5"/>
        <v>112857</v>
      </c>
      <c r="I82" s="168"/>
      <c r="J82" s="168"/>
      <c r="K82" s="168"/>
    </row>
    <row r="83" spans="2:11" ht="16.5" customHeight="1" x14ac:dyDescent="0.25">
      <c r="C83" s="30" t="s">
        <v>391</v>
      </c>
      <c r="D83" s="31">
        <f>D67+D73+D79</f>
        <v>840000</v>
      </c>
      <c r="E83" s="31">
        <f>E67+E73+E79</f>
        <v>777143</v>
      </c>
      <c r="F83" s="31">
        <f>F67+F73+F79</f>
        <v>664286</v>
      </c>
      <c r="G83" s="31">
        <f>G67+G73+G79</f>
        <v>551429</v>
      </c>
      <c r="H83" s="31">
        <f>H67+H73+H79</f>
        <v>438572</v>
      </c>
      <c r="I83" s="168"/>
      <c r="J83" s="168"/>
      <c r="K83" s="168"/>
    </row>
    <row r="85" spans="2:11" ht="21" customHeight="1" x14ac:dyDescent="0.25">
      <c r="B85" s="19" t="s">
        <v>392</v>
      </c>
      <c r="C85" s="8" t="s">
        <v>393</v>
      </c>
      <c r="D85" s="8"/>
      <c r="E85" s="8"/>
      <c r="F85" s="8"/>
      <c r="G85" s="7" t="s">
        <v>394</v>
      </c>
      <c r="H85" s="7"/>
      <c r="I85" s="7"/>
      <c r="J85" s="7"/>
      <c r="K85" s="7"/>
    </row>
    <row r="86" spans="2:11" ht="19.5" customHeight="1" x14ac:dyDescent="0.25">
      <c r="C86" s="24" t="s">
        <v>395</v>
      </c>
      <c r="D86" s="25" t="s">
        <v>47</v>
      </c>
      <c r="E86" s="25" t="s">
        <v>48</v>
      </c>
      <c r="F86" s="25" t="s">
        <v>49</v>
      </c>
      <c r="G86" s="25" t="s">
        <v>396</v>
      </c>
      <c r="H86" s="130" t="s">
        <v>397</v>
      </c>
      <c r="I86" s="130"/>
      <c r="J86" s="129" t="s">
        <v>93</v>
      </c>
      <c r="K86" s="129"/>
    </row>
    <row r="87" spans="2:11" ht="15.75" customHeight="1" x14ac:dyDescent="0.25">
      <c r="C87" s="30" t="s">
        <v>398</v>
      </c>
      <c r="D87" s="27">
        <f t="shared" ref="D87:F88" si="6">D80</f>
        <v>39120</v>
      </c>
      <c r="E87" s="27">
        <f t="shared" si="6"/>
        <v>101977</v>
      </c>
      <c r="F87" s="27">
        <f t="shared" si="6"/>
        <v>148789</v>
      </c>
      <c r="G87" s="35"/>
      <c r="H87" s="169"/>
      <c r="I87" s="169"/>
      <c r="J87" s="133" t="s">
        <v>399</v>
      </c>
      <c r="K87" s="133"/>
    </row>
    <row r="88" spans="2:11" ht="15.75" customHeight="1" x14ac:dyDescent="0.25">
      <c r="C88" s="30" t="s">
        <v>59</v>
      </c>
      <c r="D88" s="27">
        <f t="shared" si="6"/>
        <v>39120</v>
      </c>
      <c r="E88" s="27">
        <f t="shared" si="6"/>
        <v>39120</v>
      </c>
      <c r="F88" s="27">
        <f t="shared" si="6"/>
        <v>35932</v>
      </c>
      <c r="G88" s="35"/>
      <c r="H88" s="169"/>
      <c r="I88" s="169"/>
      <c r="J88" s="133" t="s">
        <v>400</v>
      </c>
      <c r="K88" s="133"/>
    </row>
    <row r="89" spans="2:11" ht="15.75" customHeight="1" x14ac:dyDescent="0.25">
      <c r="C89" s="30" t="s">
        <v>401</v>
      </c>
      <c r="D89" s="27">
        <f>CF_J1</f>
        <v>38576</v>
      </c>
      <c r="E89" s="27">
        <f>CF_J2</f>
        <v>197914</v>
      </c>
      <c r="F89" s="27">
        <f>CF_J3</f>
        <v>237224</v>
      </c>
      <c r="G89" s="35"/>
      <c r="H89" s="169"/>
      <c r="I89" s="169"/>
      <c r="J89" s="133" t="s">
        <v>402</v>
      </c>
      <c r="K89" s="133"/>
    </row>
    <row r="90" spans="2:11" ht="15.75" customHeight="1" x14ac:dyDescent="0.25">
      <c r="C90" s="30" t="s">
        <v>403</v>
      </c>
      <c r="D90" s="83">
        <f>IFERROR(D89/D87,0)</f>
        <v>0.9860940695296524</v>
      </c>
      <c r="E90" s="83">
        <f>IFERROR(E89/E87,0)</f>
        <v>1.9407709581572314</v>
      </c>
      <c r="F90" s="83">
        <f>IFERROR(F89/F87,0)</f>
        <v>1.5943651748449146</v>
      </c>
      <c r="G90" s="34">
        <f>Ziel_KDD</f>
        <v>1.2</v>
      </c>
      <c r="H90" s="169" t="str">
        <f>IF(E90&gt;=Ziel_KDD,"tragfähig",IF(E90&gt;=1,"knapp","nicht tragfähig"))</f>
        <v>tragfähig</v>
      </c>
      <c r="I90" s="169"/>
      <c r="J90" s="133" t="s">
        <v>404</v>
      </c>
      <c r="K90" s="133"/>
    </row>
    <row r="91" spans="2:11" ht="15.75" customHeight="1" x14ac:dyDescent="0.25">
      <c r="C91" s="30" t="s">
        <v>405</v>
      </c>
      <c r="D91" s="27">
        <f>AfA_Jahr</f>
        <v>109880</v>
      </c>
      <c r="E91" s="27">
        <f>AfA_Jahr</f>
        <v>109880</v>
      </c>
      <c r="F91" s="27">
        <f>AfA_Jahr</f>
        <v>109880</v>
      </c>
      <c r="G91" s="35"/>
      <c r="H91" s="169"/>
      <c r="I91" s="169"/>
      <c r="J91" s="133" t="s">
        <v>58</v>
      </c>
      <c r="K91" s="133"/>
    </row>
    <row r="92" spans="2:11" ht="15.75" customHeight="1" x14ac:dyDescent="0.25">
      <c r="C92" s="30" t="s">
        <v>391</v>
      </c>
      <c r="D92" s="27">
        <f>D83</f>
        <v>840000</v>
      </c>
      <c r="E92" s="27">
        <f>E83</f>
        <v>777143</v>
      </c>
      <c r="F92" s="27">
        <f>F83</f>
        <v>664286</v>
      </c>
      <c r="G92" s="35"/>
      <c r="H92" s="169"/>
      <c r="I92" s="169"/>
      <c r="J92" s="133" t="s">
        <v>399</v>
      </c>
      <c r="K92" s="133"/>
    </row>
  </sheetData>
  <mergeCells count="84">
    <mergeCell ref="H92:I92"/>
    <mergeCell ref="J92:K92"/>
    <mergeCell ref="H89:I89"/>
    <mergeCell ref="J89:K89"/>
    <mergeCell ref="H90:I90"/>
    <mergeCell ref="J90:K90"/>
    <mergeCell ref="H91:I91"/>
    <mergeCell ref="J91:K91"/>
    <mergeCell ref="H86:I86"/>
    <mergeCell ref="J86:K86"/>
    <mergeCell ref="H87:I87"/>
    <mergeCell ref="J87:K87"/>
    <mergeCell ref="H88:I88"/>
    <mergeCell ref="J88:K88"/>
    <mergeCell ref="I81:K81"/>
    <mergeCell ref="I82:K82"/>
    <mergeCell ref="I83:K83"/>
    <mergeCell ref="C85:F85"/>
    <mergeCell ref="G85:K85"/>
    <mergeCell ref="I76:K76"/>
    <mergeCell ref="I77:K77"/>
    <mergeCell ref="I78:K78"/>
    <mergeCell ref="I79:K79"/>
    <mergeCell ref="I80:K80"/>
    <mergeCell ref="I72:K72"/>
    <mergeCell ref="I73:K73"/>
    <mergeCell ref="D74:H74"/>
    <mergeCell ref="I74:K74"/>
    <mergeCell ref="I75:K75"/>
    <mergeCell ref="D68:H68"/>
    <mergeCell ref="I68:K68"/>
    <mergeCell ref="I69:K69"/>
    <mergeCell ref="I70:K70"/>
    <mergeCell ref="I71:K71"/>
    <mergeCell ref="I63:K63"/>
    <mergeCell ref="I64:K64"/>
    <mergeCell ref="I65:K65"/>
    <mergeCell ref="I66:K66"/>
    <mergeCell ref="I67:K67"/>
    <mergeCell ref="E58:K58"/>
    <mergeCell ref="C60:F60"/>
    <mergeCell ref="G60:K60"/>
    <mergeCell ref="I61:K61"/>
    <mergeCell ref="D62:H62"/>
    <mergeCell ref="I62:K62"/>
    <mergeCell ref="E53:K53"/>
    <mergeCell ref="E54:K54"/>
    <mergeCell ref="E55:K55"/>
    <mergeCell ref="E56:K56"/>
    <mergeCell ref="E57:K57"/>
    <mergeCell ref="F40:K40"/>
    <mergeCell ref="F41:K41"/>
    <mergeCell ref="C43:F43"/>
    <mergeCell ref="G43:K43"/>
    <mergeCell ref="F52:J52"/>
    <mergeCell ref="F35:K35"/>
    <mergeCell ref="F36:K36"/>
    <mergeCell ref="F37:K37"/>
    <mergeCell ref="F38:K38"/>
    <mergeCell ref="F39:K39"/>
    <mergeCell ref="G30:H30"/>
    <mergeCell ref="G31:H31"/>
    <mergeCell ref="G32:J32"/>
    <mergeCell ref="C34:F34"/>
    <mergeCell ref="G34:K34"/>
    <mergeCell ref="G25:H25"/>
    <mergeCell ref="G26:H26"/>
    <mergeCell ref="G27:H27"/>
    <mergeCell ref="G28:H28"/>
    <mergeCell ref="G29:H29"/>
    <mergeCell ref="C7:F7"/>
    <mergeCell ref="G7:K7"/>
    <mergeCell ref="C23:F23"/>
    <mergeCell ref="G23:K23"/>
    <mergeCell ref="G24:H24"/>
    <mergeCell ref="B2:G2"/>
    <mergeCell ref="H2:K2"/>
    <mergeCell ref="B3:G3"/>
    <mergeCell ref="H3:K3"/>
    <mergeCell ref="B5:C5"/>
    <mergeCell ref="D5:E5"/>
    <mergeCell ref="F5:G5"/>
    <mergeCell ref="H5:I5"/>
    <mergeCell ref="J5:K5"/>
  </mergeCells>
  <conditionalFormatting sqref="D9:D20">
    <cfRule type="dataBar" priority="10">
      <dataBar>
        <cfvo type="min"/>
        <cfvo type="max"/>
        <color rgb="FFF7E4D2"/>
      </dataBar>
      <extLst>
        <ext xmlns:x14="http://schemas.microsoft.com/office/spreadsheetml/2009/9/main" uri="{B025F937-C7B1-47D3-B67F-A62EFF666E3E}">
          <x14:id>{282BD0DC-501D-49D2-AE24-358E8D70E0F7}</x14:id>
        </ext>
      </extLst>
    </cfRule>
  </conditionalFormatting>
  <conditionalFormatting sqref="D54">
    <cfRule type="expression" dxfId="20" priority="2">
      <formula>D54&gt;=1</formula>
    </cfRule>
    <cfRule type="expression" dxfId="19" priority="3">
      <formula>D54&lt;1</formula>
    </cfRule>
  </conditionalFormatting>
  <conditionalFormatting sqref="D55">
    <cfRule type="expression" dxfId="18" priority="7">
      <formula>D55&lt;0</formula>
    </cfRule>
  </conditionalFormatting>
  <conditionalFormatting sqref="D57">
    <cfRule type="expression" dxfId="17" priority="4">
      <formula>D57&gt;=Ziel_EK_Quote</formula>
    </cfRule>
    <cfRule type="expression" dxfId="16" priority="5">
      <formula>D57&gt;=Ziel_EK_Quote*0.8</formula>
    </cfRule>
    <cfRule type="expression" dxfId="15" priority="6">
      <formula>D57&lt;Ziel_EK_Quote*0.8</formula>
    </cfRule>
  </conditionalFormatting>
  <conditionalFormatting sqref="D90:F90">
    <cfRule type="expression" dxfId="14" priority="8">
      <formula>D90&gt;=Ziel_KDD</formula>
    </cfRule>
    <cfRule type="expression" dxfId="13" priority="9">
      <formula>AND(D90&gt;0,D90&lt;Ziel_KDD)</formula>
    </cfRule>
  </conditionalFormatting>
  <dataValidations count="1">
    <dataValidation type="list" allowBlank="1" sqref="J45:J51" xr:uid="{00000000-0002-0000-0200-000000000000}">
      <formula1>"Eigenkapital,Fremdkapital,Zuschuss,Beteiligung"</formula1>
      <formula2>0</formula2>
    </dataValidation>
  </dataValidations>
  <printOptions horizontalCentered="1"/>
  <pageMargins left="0.75" right="0.75" top="1" bottom="1" header="0.511811023622047" footer="0.511811023622047"/>
  <pageSetup paperSize="9" fitToHeight="2" orientation="landscape" horizontalDpi="300" verticalDpi="300"/>
  <rowBreaks count="1" manualBreakCount="1">
    <brk id="59" max="16383" man="1"/>
  </rowBreaks>
  <extLst>
    <ext xmlns:x14="http://schemas.microsoft.com/office/spreadsheetml/2009/9/main" uri="{78C0D931-6437-407d-A8EE-F0AAD7539E65}">
      <x14:conditionalFormattings>
        <x14:conditionalFormatting xmlns:xm="http://schemas.microsoft.com/office/excel/2006/main">
          <x14:cfRule type="dataBar" id="{282BD0DC-501D-49D2-AE24-358E8D70E0F7}">
            <x14:dataBar axisPosition="none">
              <x14:cfvo type="min"/>
              <x14:cfvo type="max"/>
              <x14:negativeFillColor rgb="FFF7E4D2"/>
            </x14:dataBar>
          </x14:cfRule>
          <xm:sqref>D9:D20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41C18"/>
    <pageSetUpPr fitToPage="1"/>
  </sheetPr>
  <dimension ref="B1:Q96"/>
  <sheetViews>
    <sheetView showGridLines="0" zoomScaleNormal="100" workbookViewId="0">
      <pane xSplit="3" ySplit="8" topLeftCell="D9" activePane="bottomRight" state="frozen"/>
      <selection pane="topRight" activeCell="D1" sqref="D1"/>
      <selection pane="bottomLeft" activeCell="A9" sqref="A9"/>
      <selection pane="bottomRight"/>
    </sheetView>
  </sheetViews>
  <sheetFormatPr baseColWidth="10" defaultColWidth="8.7109375" defaultRowHeight="15" x14ac:dyDescent="0.25"/>
  <cols>
    <col min="2" max="2" width="3" customWidth="1"/>
    <col min="3" max="3" width="36" customWidth="1"/>
    <col min="4" max="15" width="10" customWidth="1"/>
    <col min="16" max="16" width="13" customWidth="1"/>
    <col min="17" max="17" width="11" customWidth="1"/>
  </cols>
  <sheetData>
    <row r="1" spans="2:17" ht="6" customHeight="1" x14ac:dyDescent="0.25">
      <c r="B1" s="15"/>
      <c r="C1" s="15"/>
      <c r="D1" s="15"/>
      <c r="E1" s="15"/>
      <c r="F1" s="15"/>
      <c r="G1" s="15"/>
      <c r="H1" s="15"/>
      <c r="I1" s="15"/>
      <c r="J1" s="15"/>
      <c r="K1" s="15"/>
      <c r="L1" s="15"/>
      <c r="M1" s="15"/>
      <c r="N1" s="15"/>
      <c r="O1" s="15"/>
      <c r="P1" s="15"/>
      <c r="Q1" s="15"/>
    </row>
    <row r="2" spans="2:17" ht="30" customHeight="1" x14ac:dyDescent="0.4">
      <c r="B2" s="14" t="s">
        <v>406</v>
      </c>
      <c r="C2" s="14"/>
      <c r="D2" s="14"/>
      <c r="E2" s="14"/>
      <c r="F2" s="14"/>
      <c r="G2" s="14"/>
      <c r="H2" s="14"/>
      <c r="I2" s="14"/>
      <c r="J2" s="14"/>
      <c r="K2" s="14"/>
      <c r="L2" s="13" t="s">
        <v>407</v>
      </c>
      <c r="M2" s="13"/>
      <c r="N2" s="13"/>
      <c r="O2" s="13"/>
      <c r="P2" s="13"/>
      <c r="Q2" s="13"/>
    </row>
    <row r="3" spans="2:17" ht="16.5" customHeight="1" x14ac:dyDescent="0.25">
      <c r="B3" s="12" t="s">
        <v>408</v>
      </c>
      <c r="C3" s="12"/>
      <c r="D3" s="12"/>
      <c r="E3" s="12"/>
      <c r="F3" s="12"/>
      <c r="G3" s="12"/>
      <c r="H3" s="12"/>
      <c r="I3" s="12"/>
      <c r="J3" s="12"/>
      <c r="K3" s="12"/>
      <c r="L3" s="11" t="s">
        <v>409</v>
      </c>
      <c r="M3" s="11"/>
      <c r="N3" s="11"/>
      <c r="O3" s="11"/>
      <c r="P3" s="11"/>
      <c r="Q3" s="11"/>
    </row>
    <row r="4" spans="2:17" ht="3.75" customHeight="1" x14ac:dyDescent="0.25">
      <c r="B4" s="16"/>
      <c r="C4" s="16"/>
      <c r="D4" s="16"/>
      <c r="E4" s="16"/>
      <c r="F4" s="16"/>
      <c r="G4" s="16"/>
      <c r="H4" s="16"/>
      <c r="I4" s="16"/>
      <c r="J4" s="16"/>
      <c r="K4" s="16"/>
      <c r="L4" s="16"/>
      <c r="M4" s="16"/>
      <c r="N4" s="16"/>
      <c r="O4" s="16"/>
      <c r="P4" s="16"/>
      <c r="Q4" s="16"/>
    </row>
    <row r="5" spans="2:17" ht="18.75" customHeight="1" x14ac:dyDescent="0.25">
      <c r="B5" s="9" t="s">
        <v>2</v>
      </c>
      <c r="C5" s="9"/>
      <c r="D5" s="9" t="s">
        <v>3</v>
      </c>
      <c r="E5" s="9"/>
      <c r="F5" s="9" t="s">
        <v>4</v>
      </c>
      <c r="G5" s="9"/>
      <c r="H5" s="10" t="s">
        <v>5</v>
      </c>
      <c r="I5" s="10"/>
      <c r="J5" s="9" t="s">
        <v>6</v>
      </c>
      <c r="K5" s="9"/>
      <c r="L5" s="9" t="s">
        <v>7</v>
      </c>
      <c r="M5" s="9"/>
      <c r="N5" s="170"/>
      <c r="O5" s="170"/>
      <c r="P5" s="170"/>
      <c r="Q5" s="170"/>
    </row>
    <row r="6" spans="2:17" ht="6.75" customHeight="1" x14ac:dyDescent="0.25"/>
    <row r="7" spans="2:17" ht="21" customHeight="1" x14ac:dyDescent="0.25">
      <c r="B7" s="19" t="s">
        <v>8</v>
      </c>
      <c r="C7" s="8" t="s">
        <v>410</v>
      </c>
      <c r="D7" s="8"/>
      <c r="E7" s="8"/>
      <c r="F7" s="8"/>
      <c r="G7" s="8"/>
      <c r="H7" s="8"/>
      <c r="I7" s="8"/>
      <c r="J7" s="8"/>
      <c r="K7" s="7" t="s">
        <v>411</v>
      </c>
      <c r="L7" s="7"/>
      <c r="M7" s="7"/>
      <c r="N7" s="7"/>
      <c r="O7" s="7"/>
      <c r="P7" s="7"/>
      <c r="Q7" s="7"/>
    </row>
    <row r="8" spans="2:17" ht="24" customHeight="1" x14ac:dyDescent="0.25">
      <c r="C8" s="84" t="s">
        <v>46</v>
      </c>
      <c r="D8" s="85">
        <f>DATE(Planjahr,1,1)</f>
        <v>46023</v>
      </c>
      <c r="E8" s="85">
        <f>DATE(Planjahr,2,1)</f>
        <v>46054</v>
      </c>
      <c r="F8" s="85">
        <f>DATE(Planjahr,3,1)</f>
        <v>46082</v>
      </c>
      <c r="G8" s="85">
        <f>DATE(Planjahr,4,1)</f>
        <v>46113</v>
      </c>
      <c r="H8" s="85">
        <f>DATE(Planjahr,5,1)</f>
        <v>46143</v>
      </c>
      <c r="I8" s="85">
        <f>DATE(Planjahr,6,1)</f>
        <v>46174</v>
      </c>
      <c r="J8" s="85">
        <f>DATE(Planjahr,7,1)</f>
        <v>46204</v>
      </c>
      <c r="K8" s="85">
        <f>DATE(Planjahr,8,1)</f>
        <v>46235</v>
      </c>
      <c r="L8" s="85">
        <f>DATE(Planjahr,9,1)</f>
        <v>46266</v>
      </c>
      <c r="M8" s="85">
        <f>DATE(Planjahr,10,1)</f>
        <v>46296</v>
      </c>
      <c r="N8" s="85">
        <f>DATE(Planjahr,11,1)</f>
        <v>46327</v>
      </c>
      <c r="O8" s="85">
        <f>DATE(Planjahr,12,1)</f>
        <v>46357</v>
      </c>
      <c r="P8" s="25" t="s">
        <v>412</v>
      </c>
      <c r="Q8" s="86" t="s">
        <v>413</v>
      </c>
    </row>
    <row r="9" spans="2:17" ht="18" customHeight="1" x14ac:dyDescent="0.25">
      <c r="B9" s="16"/>
      <c r="C9" s="87" t="s">
        <v>414</v>
      </c>
      <c r="D9" s="88"/>
      <c r="E9" s="88"/>
      <c r="F9" s="88"/>
      <c r="G9" s="88"/>
      <c r="H9" s="88"/>
      <c r="I9" s="88"/>
      <c r="J9" s="88"/>
      <c r="K9" s="88"/>
      <c r="L9" s="88"/>
      <c r="M9" s="88"/>
      <c r="N9" s="88"/>
      <c r="O9" s="88"/>
      <c r="P9" s="88"/>
      <c r="Q9" s="88"/>
    </row>
    <row r="10" spans="2:17" ht="13.5" customHeight="1" x14ac:dyDescent="0.25">
      <c r="C10" s="78" t="s">
        <v>415</v>
      </c>
      <c r="D10" s="89">
        <f>Annahmen!$I$60</f>
        <v>0</v>
      </c>
      <c r="E10" s="89">
        <f>Annahmen!$I$61</f>
        <v>0</v>
      </c>
      <c r="F10" s="89">
        <f>Annahmen!$I$62</f>
        <v>744</v>
      </c>
      <c r="G10" s="89">
        <f>Annahmen!$I$63</f>
        <v>720</v>
      </c>
      <c r="H10" s="89">
        <f>Annahmen!$I$64</f>
        <v>744</v>
      </c>
      <c r="I10" s="89">
        <f>Annahmen!$I$65</f>
        <v>720</v>
      </c>
      <c r="J10" s="89">
        <f>Annahmen!$I$66</f>
        <v>744</v>
      </c>
      <c r="K10" s="89">
        <f>Annahmen!$I$67</f>
        <v>744</v>
      </c>
      <c r="L10" s="89">
        <f>Annahmen!$I$68</f>
        <v>720</v>
      </c>
      <c r="M10" s="89">
        <f>Annahmen!$I$69</f>
        <v>744</v>
      </c>
      <c r="N10" s="89">
        <f>Annahmen!$I$70</f>
        <v>720</v>
      </c>
      <c r="O10" s="89">
        <f>Annahmen!$I$71</f>
        <v>744</v>
      </c>
      <c r="P10" s="89">
        <f t="shared" ref="P10:P16" si="0">SUM(D10:O10)</f>
        <v>7344</v>
      </c>
      <c r="Q10" s="90"/>
    </row>
    <row r="11" spans="2:17" ht="13.5" customHeight="1" x14ac:dyDescent="0.25">
      <c r="C11" s="91" t="str">
        <f>"Belegte Zimmernächte – "&amp;Annahmen!$C$51</f>
        <v>Belegte Zimmernächte – Einzelzimmer Standard</v>
      </c>
      <c r="D11" s="92">
        <f>IF(1&lt;Eroeffnungsmonat,0,ROUND(Annahmen!$D$51*Annahmen!$D$60*MIN(Max_Auslastung,Annahmen!$G$51*Annahmen!$E$60*Annahmen!$F$60),0))</f>
        <v>0</v>
      </c>
      <c r="E11" s="92">
        <f>IF(2&lt;Eroeffnungsmonat,0,ROUND(Annahmen!$D$51*Annahmen!$D$61*MIN(Max_Auslastung,Annahmen!$G$51*Annahmen!$E$61*Annahmen!$F$61),0))</f>
        <v>0</v>
      </c>
      <c r="F11" s="92">
        <f>IF(3&lt;Eroeffnungsmonat,0,ROUND(Annahmen!$D$51*Annahmen!$D$62*MIN(Max_Auslastung,Annahmen!$G$51*Annahmen!$E$62*Annahmen!$F$62),0))</f>
        <v>36</v>
      </c>
      <c r="G11" s="92">
        <f>IF(4&lt;Eroeffnungsmonat,0,ROUND(Annahmen!$D$51*Annahmen!$D$63*MIN(Max_Auslastung,Annahmen!$G$51*Annahmen!$E$63*Annahmen!$F$63),0))</f>
        <v>46</v>
      </c>
      <c r="H11" s="92">
        <f>IF(5&lt;Eroeffnungsmonat,0,ROUND(Annahmen!$D$51*Annahmen!$D$64*MIN(Max_Auslastung,Annahmen!$G$51*Annahmen!$E$64*Annahmen!$F$64),0))</f>
        <v>61</v>
      </c>
      <c r="I11" s="92">
        <f>IF(6&lt;Eroeffnungsmonat,0,ROUND(Annahmen!$D$51*Annahmen!$D$65*MIN(Max_Auslastung,Annahmen!$G$51*Annahmen!$E$65*Annahmen!$F$65),0))</f>
        <v>73</v>
      </c>
      <c r="J11" s="92">
        <f>IF(7&lt;Eroeffnungsmonat,0,ROUND(Annahmen!$D$51*Annahmen!$D$66*MIN(Max_Auslastung,Annahmen!$G$51*Annahmen!$E$66*Annahmen!$F$66),0))</f>
        <v>83</v>
      </c>
      <c r="K11" s="92">
        <f>IF(8&lt;Eroeffnungsmonat,0,ROUND(Annahmen!$D$51*Annahmen!$D$67*MIN(Max_Auslastung,Annahmen!$G$51*Annahmen!$E$67*Annahmen!$F$67),0))</f>
        <v>88</v>
      </c>
      <c r="L11" s="92">
        <f>IF(9&lt;Eroeffnungsmonat,0,ROUND(Annahmen!$D$51*Annahmen!$D$68*MIN(Max_Auslastung,Annahmen!$G$51*Annahmen!$E$68*Annahmen!$F$68),0))</f>
        <v>86</v>
      </c>
      <c r="M11" s="92">
        <f>IF(10&lt;Eroeffnungsmonat,0,ROUND(Annahmen!$D$51*Annahmen!$D$69*MIN(Max_Auslastung,Annahmen!$G$51*Annahmen!$E$69*Annahmen!$F$69),0))</f>
        <v>81</v>
      </c>
      <c r="N11" s="92">
        <f>IF(11&lt;Eroeffnungsmonat,0,ROUND(Annahmen!$D$51*Annahmen!$D$70*MIN(Max_Auslastung,Annahmen!$G$51*Annahmen!$E$70*Annahmen!$F$70),0))</f>
        <v>63</v>
      </c>
      <c r="O11" s="92">
        <f>IF(12&lt;Eroeffnungsmonat,0,ROUND(Annahmen!$D$51*Annahmen!$D$71*MIN(Max_Auslastung,Annahmen!$G$51*Annahmen!$E$71*Annahmen!$F$71),0))</f>
        <v>62</v>
      </c>
      <c r="P11" s="92">
        <f t="shared" si="0"/>
        <v>679</v>
      </c>
      <c r="Q11" s="93"/>
    </row>
    <row r="12" spans="2:17" ht="13.5" customHeight="1" x14ac:dyDescent="0.25">
      <c r="C12" s="91" t="str">
        <f>"Belegte Zimmernächte – "&amp;Annahmen!$C$52</f>
        <v>Belegte Zimmernächte – Doppelzimmer Standard</v>
      </c>
      <c r="D12" s="92">
        <f>IF(1&lt;Eroeffnungsmonat,0,ROUND(Annahmen!$D$52*Annahmen!$D$60*MIN(Max_Auslastung,Annahmen!$G$52*Annahmen!$E$60*Annahmen!$F$60),0))</f>
        <v>0</v>
      </c>
      <c r="E12" s="92">
        <f>IF(2&lt;Eroeffnungsmonat,0,ROUND(Annahmen!$D$52*Annahmen!$D$61*MIN(Max_Auslastung,Annahmen!$G$52*Annahmen!$E$61*Annahmen!$F$61),0))</f>
        <v>0</v>
      </c>
      <c r="F12" s="92">
        <f>IF(3&lt;Eroeffnungsmonat,0,ROUND(Annahmen!$D$52*Annahmen!$D$62*MIN(Max_Auslastung,Annahmen!$G$52*Annahmen!$E$62*Annahmen!$F$62),0))</f>
        <v>99</v>
      </c>
      <c r="G12" s="92">
        <f>IF(4&lt;Eroeffnungsmonat,0,ROUND(Annahmen!$D$52*Annahmen!$D$63*MIN(Max_Auslastung,Annahmen!$G$52*Annahmen!$E$63*Annahmen!$F$63),0))</f>
        <v>126</v>
      </c>
      <c r="H12" s="92">
        <f>IF(5&lt;Eroeffnungsmonat,0,ROUND(Annahmen!$D$52*Annahmen!$D$64*MIN(Max_Auslastung,Annahmen!$G$52*Annahmen!$E$64*Annahmen!$F$64),0))</f>
        <v>166</v>
      </c>
      <c r="I12" s="92">
        <f>IF(6&lt;Eroeffnungsmonat,0,ROUND(Annahmen!$D$52*Annahmen!$D$65*MIN(Max_Auslastung,Annahmen!$G$52*Annahmen!$E$65*Annahmen!$F$65),0))</f>
        <v>199</v>
      </c>
      <c r="J12" s="92">
        <f>IF(7&lt;Eroeffnungsmonat,0,ROUND(Annahmen!$D$52*Annahmen!$D$66*MIN(Max_Auslastung,Annahmen!$G$52*Annahmen!$E$66*Annahmen!$F$66),0))</f>
        <v>228</v>
      </c>
      <c r="K12" s="92">
        <f>IF(8&lt;Eroeffnungsmonat,0,ROUND(Annahmen!$D$52*Annahmen!$D$67*MIN(Max_Auslastung,Annahmen!$G$52*Annahmen!$E$67*Annahmen!$F$67),0))</f>
        <v>240</v>
      </c>
      <c r="L12" s="92">
        <f>IF(9&lt;Eroeffnungsmonat,0,ROUND(Annahmen!$D$52*Annahmen!$D$68*MIN(Max_Auslastung,Annahmen!$G$52*Annahmen!$E$68*Annahmen!$F$68),0))</f>
        <v>235</v>
      </c>
      <c r="M12" s="92">
        <f>IF(10&lt;Eroeffnungsmonat,0,ROUND(Annahmen!$D$52*Annahmen!$D$69*MIN(Max_Auslastung,Annahmen!$G$52*Annahmen!$E$69*Annahmen!$F$69),0))</f>
        <v>221</v>
      </c>
      <c r="N12" s="92">
        <f>IF(11&lt;Eroeffnungsmonat,0,ROUND(Annahmen!$D$52*Annahmen!$D$70*MIN(Max_Auslastung,Annahmen!$G$52*Annahmen!$E$70*Annahmen!$F$70),0))</f>
        <v>173</v>
      </c>
      <c r="O12" s="92">
        <f>IF(12&lt;Eroeffnungsmonat,0,ROUND(Annahmen!$D$52*Annahmen!$D$71*MIN(Max_Auslastung,Annahmen!$G$52*Annahmen!$E$71*Annahmen!$F$71),0))</f>
        <v>169</v>
      </c>
      <c r="P12" s="92">
        <f t="shared" si="0"/>
        <v>1856</v>
      </c>
      <c r="Q12" s="93"/>
    </row>
    <row r="13" spans="2:17" ht="13.5" customHeight="1" x14ac:dyDescent="0.25">
      <c r="C13" s="91" t="str">
        <f>"Belegte Zimmernächte – "&amp;Annahmen!$C$53</f>
        <v>Belegte Zimmernächte – Doppelzimmer Superior</v>
      </c>
      <c r="D13" s="92">
        <f>IF(1&lt;Eroeffnungsmonat,0,ROUND(Annahmen!$D$53*Annahmen!$D$60*MIN(Max_Auslastung,Annahmen!$G$53*Annahmen!$E$60*Annahmen!$F$60),0))</f>
        <v>0</v>
      </c>
      <c r="E13" s="92">
        <f>IF(2&lt;Eroeffnungsmonat,0,ROUND(Annahmen!$D$53*Annahmen!$D$61*MIN(Max_Auslastung,Annahmen!$G$53*Annahmen!$E$61*Annahmen!$F$61),0))</f>
        <v>0</v>
      </c>
      <c r="F13" s="92">
        <f>IF(3&lt;Eroeffnungsmonat,0,ROUND(Annahmen!$D$53*Annahmen!$D$62*MIN(Max_Auslastung,Annahmen!$G$53*Annahmen!$E$62*Annahmen!$F$62),0))</f>
        <v>57</v>
      </c>
      <c r="G13" s="92">
        <f>IF(4&lt;Eroeffnungsmonat,0,ROUND(Annahmen!$D$53*Annahmen!$D$63*MIN(Max_Auslastung,Annahmen!$G$53*Annahmen!$E$63*Annahmen!$F$63),0))</f>
        <v>73</v>
      </c>
      <c r="H13" s="92">
        <f>IF(5&lt;Eroeffnungsmonat,0,ROUND(Annahmen!$D$53*Annahmen!$D$64*MIN(Max_Auslastung,Annahmen!$G$53*Annahmen!$E$64*Annahmen!$F$64),0))</f>
        <v>97</v>
      </c>
      <c r="I13" s="92">
        <f>IF(6&lt;Eroeffnungsmonat,0,ROUND(Annahmen!$D$53*Annahmen!$D$65*MIN(Max_Auslastung,Annahmen!$G$53*Annahmen!$E$65*Annahmen!$F$65),0))</f>
        <v>116</v>
      </c>
      <c r="J13" s="92">
        <f>IF(7&lt;Eroeffnungsmonat,0,ROUND(Annahmen!$D$53*Annahmen!$D$66*MIN(Max_Auslastung,Annahmen!$G$53*Annahmen!$E$66*Annahmen!$F$66),0))</f>
        <v>133</v>
      </c>
      <c r="K13" s="92">
        <f>IF(8&lt;Eroeffnungsmonat,0,ROUND(Annahmen!$D$53*Annahmen!$D$67*MIN(Max_Auslastung,Annahmen!$G$53*Annahmen!$E$67*Annahmen!$F$67),0))</f>
        <v>140</v>
      </c>
      <c r="L13" s="92">
        <f>IF(9&lt;Eroeffnungsmonat,0,ROUND(Annahmen!$D$53*Annahmen!$D$68*MIN(Max_Auslastung,Annahmen!$G$53*Annahmen!$E$68*Annahmen!$F$68),0))</f>
        <v>137</v>
      </c>
      <c r="M13" s="92">
        <f>IF(10&lt;Eroeffnungsmonat,0,ROUND(Annahmen!$D$53*Annahmen!$D$69*MIN(Max_Auslastung,Annahmen!$G$53*Annahmen!$E$69*Annahmen!$F$69),0))</f>
        <v>129</v>
      </c>
      <c r="N13" s="92">
        <f>IF(11&lt;Eroeffnungsmonat,0,ROUND(Annahmen!$D$53*Annahmen!$D$70*MIN(Max_Auslastung,Annahmen!$G$53*Annahmen!$E$70*Annahmen!$F$70),0))</f>
        <v>101</v>
      </c>
      <c r="O13" s="92">
        <f>IF(12&lt;Eroeffnungsmonat,0,ROUND(Annahmen!$D$53*Annahmen!$D$71*MIN(Max_Auslastung,Annahmen!$G$53*Annahmen!$E$71*Annahmen!$F$71),0))</f>
        <v>98</v>
      </c>
      <c r="P13" s="92">
        <f t="shared" si="0"/>
        <v>1081</v>
      </c>
      <c r="Q13" s="93"/>
    </row>
    <row r="14" spans="2:17" ht="13.5" customHeight="1" x14ac:dyDescent="0.25">
      <c r="C14" s="91" t="str">
        <f>"Belegte Zimmernächte – "&amp;Annahmen!$C$54</f>
        <v>Belegte Zimmernächte – Juniorsuite</v>
      </c>
      <c r="D14" s="92">
        <f>IF(1&lt;Eroeffnungsmonat,0,ROUND(Annahmen!$D$54*Annahmen!$D$60*MIN(Max_Auslastung,Annahmen!$G$54*Annahmen!$E$60*Annahmen!$F$60),0))</f>
        <v>0</v>
      </c>
      <c r="E14" s="92">
        <f>IF(2&lt;Eroeffnungsmonat,0,ROUND(Annahmen!$D$54*Annahmen!$D$61*MIN(Max_Auslastung,Annahmen!$G$54*Annahmen!$E$61*Annahmen!$F$61),0))</f>
        <v>0</v>
      </c>
      <c r="F14" s="92">
        <f>IF(3&lt;Eroeffnungsmonat,0,ROUND(Annahmen!$D$54*Annahmen!$D$62*MIN(Max_Auslastung,Annahmen!$G$54*Annahmen!$E$62*Annahmen!$F$62),0))</f>
        <v>25</v>
      </c>
      <c r="G14" s="92">
        <f>IF(4&lt;Eroeffnungsmonat,0,ROUND(Annahmen!$D$54*Annahmen!$D$63*MIN(Max_Auslastung,Annahmen!$G$54*Annahmen!$E$63*Annahmen!$F$63),0))</f>
        <v>32</v>
      </c>
      <c r="H14" s="92">
        <f>IF(5&lt;Eroeffnungsmonat,0,ROUND(Annahmen!$D$54*Annahmen!$D$64*MIN(Max_Auslastung,Annahmen!$G$54*Annahmen!$E$64*Annahmen!$F$64),0))</f>
        <v>42</v>
      </c>
      <c r="I14" s="92">
        <f>IF(6&lt;Eroeffnungsmonat,0,ROUND(Annahmen!$D$54*Annahmen!$D$65*MIN(Max_Auslastung,Annahmen!$G$54*Annahmen!$E$65*Annahmen!$F$65),0))</f>
        <v>51</v>
      </c>
      <c r="J14" s="92">
        <f>IF(7&lt;Eroeffnungsmonat,0,ROUND(Annahmen!$D$54*Annahmen!$D$66*MIN(Max_Auslastung,Annahmen!$G$54*Annahmen!$E$66*Annahmen!$F$66),0))</f>
        <v>58</v>
      </c>
      <c r="K14" s="92">
        <f>IF(8&lt;Eroeffnungsmonat,0,ROUND(Annahmen!$D$54*Annahmen!$D$67*MIN(Max_Auslastung,Annahmen!$G$54*Annahmen!$E$67*Annahmen!$F$67),0))</f>
        <v>61</v>
      </c>
      <c r="L14" s="92">
        <f>IF(9&lt;Eroeffnungsmonat,0,ROUND(Annahmen!$D$54*Annahmen!$D$68*MIN(Max_Auslastung,Annahmen!$G$54*Annahmen!$E$68*Annahmen!$F$68),0))</f>
        <v>60</v>
      </c>
      <c r="M14" s="92">
        <f>IF(10&lt;Eroeffnungsmonat,0,ROUND(Annahmen!$D$54*Annahmen!$D$69*MIN(Max_Auslastung,Annahmen!$G$54*Annahmen!$E$69*Annahmen!$F$69),0))</f>
        <v>57</v>
      </c>
      <c r="N14" s="92">
        <f>IF(11&lt;Eroeffnungsmonat,0,ROUND(Annahmen!$D$54*Annahmen!$D$70*MIN(Max_Auslastung,Annahmen!$G$54*Annahmen!$E$70*Annahmen!$F$70),0))</f>
        <v>44</v>
      </c>
      <c r="O14" s="92">
        <f>IF(12&lt;Eroeffnungsmonat,0,ROUND(Annahmen!$D$54*Annahmen!$D$71*MIN(Max_Auslastung,Annahmen!$G$54*Annahmen!$E$71*Annahmen!$F$71),0))</f>
        <v>43</v>
      </c>
      <c r="P14" s="92">
        <f t="shared" si="0"/>
        <v>473</v>
      </c>
      <c r="Q14" s="93"/>
    </row>
    <row r="15" spans="2:17" ht="13.5" customHeight="1" x14ac:dyDescent="0.25">
      <c r="C15" s="91" t="str">
        <f>"Belegte Zimmernächte – "&amp;Annahmen!$C$55</f>
        <v>Belegte Zimmernächte – Familienzimmer</v>
      </c>
      <c r="D15" s="92">
        <f>IF(1&lt;Eroeffnungsmonat,0,ROUND(Annahmen!$D$55*Annahmen!$D$60*MIN(Max_Auslastung,Annahmen!$G$55*Annahmen!$E$60*Annahmen!$F$60),0))</f>
        <v>0</v>
      </c>
      <c r="E15" s="92">
        <f>IF(2&lt;Eroeffnungsmonat,0,ROUND(Annahmen!$D$55*Annahmen!$D$61*MIN(Max_Auslastung,Annahmen!$G$55*Annahmen!$E$61*Annahmen!$F$61),0))</f>
        <v>0</v>
      </c>
      <c r="F15" s="92">
        <f>IF(3&lt;Eroeffnungsmonat,0,ROUND(Annahmen!$D$55*Annahmen!$D$62*MIN(Max_Auslastung,Annahmen!$G$55*Annahmen!$E$62*Annahmen!$F$62),0))</f>
        <v>9</v>
      </c>
      <c r="G15" s="92">
        <f>IF(4&lt;Eroeffnungsmonat,0,ROUND(Annahmen!$D$55*Annahmen!$D$63*MIN(Max_Auslastung,Annahmen!$G$55*Annahmen!$E$63*Annahmen!$F$63),0))</f>
        <v>11</v>
      </c>
      <c r="H15" s="92">
        <f>IF(5&lt;Eroeffnungsmonat,0,ROUND(Annahmen!$D$55*Annahmen!$D$64*MIN(Max_Auslastung,Annahmen!$G$55*Annahmen!$E$64*Annahmen!$F$64),0))</f>
        <v>15</v>
      </c>
      <c r="I15" s="92">
        <f>IF(6&lt;Eroeffnungsmonat,0,ROUND(Annahmen!$D$55*Annahmen!$D$65*MIN(Max_Auslastung,Annahmen!$G$55*Annahmen!$E$65*Annahmen!$F$65),0))</f>
        <v>18</v>
      </c>
      <c r="J15" s="92">
        <f>IF(7&lt;Eroeffnungsmonat,0,ROUND(Annahmen!$D$55*Annahmen!$D$66*MIN(Max_Auslastung,Annahmen!$G$55*Annahmen!$E$66*Annahmen!$F$66),0))</f>
        <v>20</v>
      </c>
      <c r="K15" s="92">
        <f>IF(8&lt;Eroeffnungsmonat,0,ROUND(Annahmen!$D$55*Annahmen!$D$67*MIN(Max_Auslastung,Annahmen!$G$55*Annahmen!$E$67*Annahmen!$F$67),0))</f>
        <v>21</v>
      </c>
      <c r="L15" s="92">
        <f>IF(9&lt;Eroeffnungsmonat,0,ROUND(Annahmen!$D$55*Annahmen!$D$68*MIN(Max_Auslastung,Annahmen!$G$55*Annahmen!$E$68*Annahmen!$F$68),0))</f>
        <v>21</v>
      </c>
      <c r="M15" s="92">
        <f>IF(10&lt;Eroeffnungsmonat,0,ROUND(Annahmen!$D$55*Annahmen!$D$69*MIN(Max_Auslastung,Annahmen!$G$55*Annahmen!$E$69*Annahmen!$F$69),0))</f>
        <v>20</v>
      </c>
      <c r="N15" s="92">
        <f>IF(11&lt;Eroeffnungsmonat,0,ROUND(Annahmen!$D$55*Annahmen!$D$70*MIN(Max_Auslastung,Annahmen!$G$55*Annahmen!$E$70*Annahmen!$F$70),0))</f>
        <v>15</v>
      </c>
      <c r="O15" s="92">
        <f>IF(12&lt;Eroeffnungsmonat,0,ROUND(Annahmen!$D$55*Annahmen!$D$71*MIN(Max_Auslastung,Annahmen!$G$55*Annahmen!$E$71*Annahmen!$F$71),0))</f>
        <v>15</v>
      </c>
      <c r="P15" s="92">
        <f t="shared" si="0"/>
        <v>165</v>
      </c>
      <c r="Q15" s="93"/>
    </row>
    <row r="16" spans="2:17" ht="16.5" customHeight="1" x14ac:dyDescent="0.25">
      <c r="C16" s="30" t="s">
        <v>416</v>
      </c>
      <c r="D16" s="94">
        <f t="shared" ref="D16:O16" si="1">SUM(D11:D15)</f>
        <v>0</v>
      </c>
      <c r="E16" s="94">
        <f t="shared" si="1"/>
        <v>0</v>
      </c>
      <c r="F16" s="94">
        <f t="shared" si="1"/>
        <v>226</v>
      </c>
      <c r="G16" s="94">
        <f t="shared" si="1"/>
        <v>288</v>
      </c>
      <c r="H16" s="94">
        <f t="shared" si="1"/>
        <v>381</v>
      </c>
      <c r="I16" s="94">
        <f t="shared" si="1"/>
        <v>457</v>
      </c>
      <c r="J16" s="94">
        <f t="shared" si="1"/>
        <v>522</v>
      </c>
      <c r="K16" s="94">
        <f t="shared" si="1"/>
        <v>550</v>
      </c>
      <c r="L16" s="94">
        <f t="shared" si="1"/>
        <v>539</v>
      </c>
      <c r="M16" s="94">
        <f t="shared" si="1"/>
        <v>508</v>
      </c>
      <c r="N16" s="94">
        <f t="shared" si="1"/>
        <v>396</v>
      </c>
      <c r="O16" s="94">
        <f t="shared" si="1"/>
        <v>387</v>
      </c>
      <c r="P16" s="94">
        <f t="shared" si="0"/>
        <v>4254</v>
      </c>
      <c r="Q16" s="95"/>
    </row>
    <row r="17" spans="2:17" ht="13.5" customHeight="1" x14ac:dyDescent="0.25">
      <c r="C17" s="96" t="s">
        <v>417</v>
      </c>
      <c r="D17" s="97">
        <f t="shared" ref="D17:P17" si="2">IFERROR(D16/D10,0)</f>
        <v>0</v>
      </c>
      <c r="E17" s="97">
        <f t="shared" si="2"/>
        <v>0</v>
      </c>
      <c r="F17" s="97">
        <f t="shared" si="2"/>
        <v>0.30376344086021506</v>
      </c>
      <c r="G17" s="97">
        <f t="shared" si="2"/>
        <v>0.4</v>
      </c>
      <c r="H17" s="97">
        <f t="shared" si="2"/>
        <v>0.51209677419354838</v>
      </c>
      <c r="I17" s="97">
        <f t="shared" si="2"/>
        <v>0.63472222222222219</v>
      </c>
      <c r="J17" s="97">
        <f t="shared" si="2"/>
        <v>0.70161290322580649</v>
      </c>
      <c r="K17" s="97">
        <f t="shared" si="2"/>
        <v>0.739247311827957</v>
      </c>
      <c r="L17" s="97">
        <f t="shared" si="2"/>
        <v>0.74861111111111112</v>
      </c>
      <c r="M17" s="97">
        <f t="shared" si="2"/>
        <v>0.68279569892473113</v>
      </c>
      <c r="N17" s="97">
        <f t="shared" si="2"/>
        <v>0.55000000000000004</v>
      </c>
      <c r="O17" s="97">
        <f t="shared" si="2"/>
        <v>0.52016129032258063</v>
      </c>
      <c r="P17" s="97">
        <f t="shared" si="2"/>
        <v>0.57924836601307195</v>
      </c>
      <c r="Q17" s="98"/>
    </row>
    <row r="18" spans="2:17" ht="18" customHeight="1" x14ac:dyDescent="0.25">
      <c r="B18" s="16"/>
      <c r="C18" s="87" t="s">
        <v>418</v>
      </c>
      <c r="D18" s="88"/>
      <c r="E18" s="88"/>
      <c r="F18" s="88"/>
      <c r="G18" s="88"/>
      <c r="H18" s="88"/>
      <c r="I18" s="88"/>
      <c r="J18" s="88"/>
      <c r="K18" s="88"/>
      <c r="L18" s="88"/>
      <c r="M18" s="88"/>
      <c r="N18" s="88"/>
      <c r="O18" s="88"/>
      <c r="P18" s="88"/>
      <c r="Q18" s="88"/>
    </row>
    <row r="19" spans="2:17" ht="13.5" customHeight="1" x14ac:dyDescent="0.25">
      <c r="C19" s="91" t="str">
        <f>"Logiserlöse – "&amp;Annahmen!$C$51</f>
        <v>Logiserlöse – Einzelzimmer Standard</v>
      </c>
      <c r="D19" s="99">
        <f>ROUND(D11*Annahmen!$F$51,0)</f>
        <v>0</v>
      </c>
      <c r="E19" s="99">
        <f>ROUND(E11*Annahmen!$F$51,0)</f>
        <v>0</v>
      </c>
      <c r="F19" s="99">
        <f>ROUND(F11*Annahmen!$F$51,0)</f>
        <v>3204</v>
      </c>
      <c r="G19" s="99">
        <f>ROUND(G11*Annahmen!$F$51,0)</f>
        <v>4094</v>
      </c>
      <c r="H19" s="99">
        <f>ROUND(H11*Annahmen!$F$51,0)</f>
        <v>5429</v>
      </c>
      <c r="I19" s="99">
        <f>ROUND(I11*Annahmen!$F$51,0)</f>
        <v>6497</v>
      </c>
      <c r="J19" s="99">
        <f>ROUND(J11*Annahmen!$F$51,0)</f>
        <v>7387</v>
      </c>
      <c r="K19" s="99">
        <f>ROUND(K11*Annahmen!$F$51,0)</f>
        <v>7832</v>
      </c>
      <c r="L19" s="99">
        <f>ROUND(L11*Annahmen!$F$51,0)</f>
        <v>7654</v>
      </c>
      <c r="M19" s="99">
        <f>ROUND(M11*Annahmen!$F$51,0)</f>
        <v>7209</v>
      </c>
      <c r="N19" s="99">
        <f>ROUND(N11*Annahmen!$F$51,0)</f>
        <v>5607</v>
      </c>
      <c r="O19" s="99">
        <f>ROUND(O11*Annahmen!$F$51,0)</f>
        <v>5518</v>
      </c>
      <c r="P19" s="99">
        <f t="shared" ref="P19:P30" si="3">SUM(D19:O19)</f>
        <v>60431</v>
      </c>
      <c r="Q19" s="100">
        <f t="shared" ref="Q19:Q30" si="4">IFERROR(P19/$P$30,0)</f>
        <v>7.6628891771565233E-2</v>
      </c>
    </row>
    <row r="20" spans="2:17" ht="13.5" customHeight="1" x14ac:dyDescent="0.25">
      <c r="C20" s="91" t="str">
        <f>"Logiserlöse – "&amp;Annahmen!$C$52</f>
        <v>Logiserlöse – Doppelzimmer Standard</v>
      </c>
      <c r="D20" s="99">
        <f>ROUND(D12*Annahmen!$F$52,0)</f>
        <v>0</v>
      </c>
      <c r="E20" s="99">
        <f>ROUND(E12*Annahmen!$F$52,0)</f>
        <v>0</v>
      </c>
      <c r="F20" s="99">
        <f>ROUND(F12*Annahmen!$F$52,0)</f>
        <v>11682</v>
      </c>
      <c r="G20" s="99">
        <f>ROUND(G12*Annahmen!$F$52,0)</f>
        <v>14868</v>
      </c>
      <c r="H20" s="99">
        <f>ROUND(H12*Annahmen!$F$52,0)</f>
        <v>19588</v>
      </c>
      <c r="I20" s="99">
        <f>ROUND(I12*Annahmen!$F$52,0)</f>
        <v>23482</v>
      </c>
      <c r="J20" s="99">
        <f>ROUND(J12*Annahmen!$F$52,0)</f>
        <v>26904</v>
      </c>
      <c r="K20" s="99">
        <f>ROUND(K12*Annahmen!$F$52,0)</f>
        <v>28320</v>
      </c>
      <c r="L20" s="99">
        <f>ROUND(L12*Annahmen!$F$52,0)</f>
        <v>27730</v>
      </c>
      <c r="M20" s="99">
        <f>ROUND(M12*Annahmen!$F$52,0)</f>
        <v>26078</v>
      </c>
      <c r="N20" s="99">
        <f>ROUND(N12*Annahmen!$F$52,0)</f>
        <v>20414</v>
      </c>
      <c r="O20" s="99">
        <f>ROUND(O12*Annahmen!$F$52,0)</f>
        <v>19942</v>
      </c>
      <c r="P20" s="99">
        <f t="shared" si="3"/>
        <v>219008</v>
      </c>
      <c r="Q20" s="100">
        <f t="shared" si="4"/>
        <v>0.27771078302703839</v>
      </c>
    </row>
    <row r="21" spans="2:17" ht="13.5" customHeight="1" x14ac:dyDescent="0.25">
      <c r="C21" s="91" t="str">
        <f>"Logiserlöse – "&amp;Annahmen!$C$53</f>
        <v>Logiserlöse – Doppelzimmer Superior</v>
      </c>
      <c r="D21" s="99">
        <f>ROUND(D13*Annahmen!$F$53,0)</f>
        <v>0</v>
      </c>
      <c r="E21" s="99">
        <f>ROUND(E13*Annahmen!$F$53,0)</f>
        <v>0</v>
      </c>
      <c r="F21" s="99">
        <f>ROUND(F13*Annahmen!$F$53,0)</f>
        <v>8094</v>
      </c>
      <c r="G21" s="99">
        <f>ROUND(G13*Annahmen!$F$53,0)</f>
        <v>10366</v>
      </c>
      <c r="H21" s="99">
        <f>ROUND(H13*Annahmen!$F$53,0)</f>
        <v>13774</v>
      </c>
      <c r="I21" s="99">
        <f>ROUND(I13*Annahmen!$F$53,0)</f>
        <v>16472</v>
      </c>
      <c r="J21" s="99">
        <f>ROUND(J13*Annahmen!$F$53,0)</f>
        <v>18886</v>
      </c>
      <c r="K21" s="99">
        <f>ROUND(K13*Annahmen!$F$53,0)</f>
        <v>19880</v>
      </c>
      <c r="L21" s="99">
        <f>ROUND(L13*Annahmen!$F$53,0)</f>
        <v>19454</v>
      </c>
      <c r="M21" s="99">
        <f>ROUND(M13*Annahmen!$F$53,0)</f>
        <v>18318</v>
      </c>
      <c r="N21" s="99">
        <f>ROUND(N13*Annahmen!$F$53,0)</f>
        <v>14342</v>
      </c>
      <c r="O21" s="99">
        <f>ROUND(O13*Annahmen!$F$53,0)</f>
        <v>13916</v>
      </c>
      <c r="P21" s="99">
        <f t="shared" si="3"/>
        <v>153502</v>
      </c>
      <c r="Q21" s="100">
        <f t="shared" si="4"/>
        <v>0.19464659106615489</v>
      </c>
    </row>
    <row r="22" spans="2:17" ht="13.5" customHeight="1" x14ac:dyDescent="0.25">
      <c r="C22" s="91" t="str">
        <f>"Logiserlöse – "&amp;Annahmen!$C$54</f>
        <v>Logiserlöse – Juniorsuite</v>
      </c>
      <c r="D22" s="99">
        <f>ROUND(D14*Annahmen!$F$54,0)</f>
        <v>0</v>
      </c>
      <c r="E22" s="99">
        <f>ROUND(E14*Annahmen!$F$54,0)</f>
        <v>0</v>
      </c>
      <c r="F22" s="99">
        <f>ROUND(F14*Annahmen!$F$54,0)</f>
        <v>4450</v>
      </c>
      <c r="G22" s="99">
        <f>ROUND(G14*Annahmen!$F$54,0)</f>
        <v>5696</v>
      </c>
      <c r="H22" s="99">
        <f>ROUND(H14*Annahmen!$F$54,0)</f>
        <v>7476</v>
      </c>
      <c r="I22" s="99">
        <f>ROUND(I14*Annahmen!$F$54,0)</f>
        <v>9078</v>
      </c>
      <c r="J22" s="99">
        <f>ROUND(J14*Annahmen!$F$54,0)</f>
        <v>10324</v>
      </c>
      <c r="K22" s="99">
        <f>ROUND(K14*Annahmen!$F$54,0)</f>
        <v>10858</v>
      </c>
      <c r="L22" s="99">
        <f>ROUND(L14*Annahmen!$F$54,0)</f>
        <v>10680</v>
      </c>
      <c r="M22" s="99">
        <f>ROUND(M14*Annahmen!$F$54,0)</f>
        <v>10146</v>
      </c>
      <c r="N22" s="99">
        <f>ROUND(N14*Annahmen!$F$54,0)</f>
        <v>7832</v>
      </c>
      <c r="O22" s="99">
        <f>ROUND(O14*Annahmen!$F$54,0)</f>
        <v>7654</v>
      </c>
      <c r="P22" s="99">
        <f t="shared" si="3"/>
        <v>84194</v>
      </c>
      <c r="Q22" s="100">
        <f t="shared" si="4"/>
        <v>0.10676131313092888</v>
      </c>
    </row>
    <row r="23" spans="2:17" ht="13.5" customHeight="1" x14ac:dyDescent="0.25">
      <c r="C23" s="91" t="str">
        <f>"Logiserlöse – "&amp;Annahmen!$C$55</f>
        <v>Logiserlöse – Familienzimmer</v>
      </c>
      <c r="D23" s="99">
        <f>ROUND(D15*Annahmen!$F$55,0)</f>
        <v>0</v>
      </c>
      <c r="E23" s="99">
        <f>ROUND(E15*Annahmen!$F$55,0)</f>
        <v>0</v>
      </c>
      <c r="F23" s="99">
        <f>ROUND(F15*Annahmen!$F$55,0)</f>
        <v>1485</v>
      </c>
      <c r="G23" s="99">
        <f>ROUND(G15*Annahmen!$F$55,0)</f>
        <v>1815</v>
      </c>
      <c r="H23" s="99">
        <f>ROUND(H15*Annahmen!$F$55,0)</f>
        <v>2475</v>
      </c>
      <c r="I23" s="99">
        <f>ROUND(I15*Annahmen!$F$55,0)</f>
        <v>2970</v>
      </c>
      <c r="J23" s="99">
        <f>ROUND(J15*Annahmen!$F$55,0)</f>
        <v>3300</v>
      </c>
      <c r="K23" s="99">
        <f>ROUND(K15*Annahmen!$F$55,0)</f>
        <v>3465</v>
      </c>
      <c r="L23" s="99">
        <f>ROUND(L15*Annahmen!$F$55,0)</f>
        <v>3465</v>
      </c>
      <c r="M23" s="99">
        <f>ROUND(M15*Annahmen!$F$55,0)</f>
        <v>3300</v>
      </c>
      <c r="N23" s="99">
        <f>ROUND(N15*Annahmen!$F$55,0)</f>
        <v>2475</v>
      </c>
      <c r="O23" s="99">
        <f>ROUND(O15*Annahmen!$F$55,0)</f>
        <v>2475</v>
      </c>
      <c r="P23" s="99">
        <f t="shared" si="3"/>
        <v>27225</v>
      </c>
      <c r="Q23" s="100">
        <f t="shared" si="4"/>
        <v>3.4522373922007965E-2</v>
      </c>
    </row>
    <row r="24" spans="2:17" ht="16.5" customHeight="1" x14ac:dyDescent="0.25">
      <c r="C24" s="30" t="s">
        <v>419</v>
      </c>
      <c r="D24" s="31">
        <f t="shared" ref="D24:O24" si="5">SUM(D19:D23)</f>
        <v>0</v>
      </c>
      <c r="E24" s="31">
        <f t="shared" si="5"/>
        <v>0</v>
      </c>
      <c r="F24" s="31">
        <f t="shared" si="5"/>
        <v>28915</v>
      </c>
      <c r="G24" s="31">
        <f t="shared" si="5"/>
        <v>36839</v>
      </c>
      <c r="H24" s="31">
        <f t="shared" si="5"/>
        <v>48742</v>
      </c>
      <c r="I24" s="31">
        <f t="shared" si="5"/>
        <v>58499</v>
      </c>
      <c r="J24" s="31">
        <f t="shared" si="5"/>
        <v>66801</v>
      </c>
      <c r="K24" s="31">
        <f t="shared" si="5"/>
        <v>70355</v>
      </c>
      <c r="L24" s="31">
        <f t="shared" si="5"/>
        <v>68983</v>
      </c>
      <c r="M24" s="31">
        <f t="shared" si="5"/>
        <v>65051</v>
      </c>
      <c r="N24" s="31">
        <f t="shared" si="5"/>
        <v>50670</v>
      </c>
      <c r="O24" s="31">
        <f t="shared" si="5"/>
        <v>49505</v>
      </c>
      <c r="P24" s="31">
        <f t="shared" si="3"/>
        <v>544360</v>
      </c>
      <c r="Q24" s="33">
        <f t="shared" si="4"/>
        <v>0.69026995291769533</v>
      </c>
    </row>
    <row r="25" spans="2:17" ht="13.5" customHeight="1" x14ac:dyDescent="0.25">
      <c r="C25" s="78" t="s">
        <v>420</v>
      </c>
      <c r="D25" s="79">
        <f t="shared" ref="D25:O25" si="6">ROUND(D16*Pers_je_Zimmer*Fruehstuecksquote*Fruehstueckspreis,0)</f>
        <v>0</v>
      </c>
      <c r="E25" s="79">
        <f t="shared" si="6"/>
        <v>0</v>
      </c>
      <c r="F25" s="79">
        <f t="shared" si="6"/>
        <v>5388</v>
      </c>
      <c r="G25" s="79">
        <f t="shared" si="6"/>
        <v>6867</v>
      </c>
      <c r="H25" s="79">
        <f t="shared" si="6"/>
        <v>9084</v>
      </c>
      <c r="I25" s="79">
        <f t="shared" si="6"/>
        <v>10896</v>
      </c>
      <c r="J25" s="79">
        <f t="shared" si="6"/>
        <v>12446</v>
      </c>
      <c r="K25" s="79">
        <f t="shared" si="6"/>
        <v>13113</v>
      </c>
      <c r="L25" s="79">
        <f t="shared" si="6"/>
        <v>12851</v>
      </c>
      <c r="M25" s="79">
        <f t="shared" si="6"/>
        <v>12112</v>
      </c>
      <c r="N25" s="79">
        <f t="shared" si="6"/>
        <v>9442</v>
      </c>
      <c r="O25" s="79">
        <f t="shared" si="6"/>
        <v>9227</v>
      </c>
      <c r="P25" s="79">
        <f t="shared" si="3"/>
        <v>101426</v>
      </c>
      <c r="Q25" s="101">
        <f t="shared" si="4"/>
        <v>0.12861216886734914</v>
      </c>
    </row>
    <row r="26" spans="2:17" ht="13.5" customHeight="1" x14ac:dyDescent="0.25">
      <c r="C26" s="78" t="s">
        <v>421</v>
      </c>
      <c r="D26" s="79">
        <f t="shared" ref="D26:O26" si="7">ROUND(D16*FB_je_Zimmer,0)</f>
        <v>0</v>
      </c>
      <c r="E26" s="79">
        <f t="shared" si="7"/>
        <v>0</v>
      </c>
      <c r="F26" s="79">
        <f t="shared" si="7"/>
        <v>4972</v>
      </c>
      <c r="G26" s="79">
        <f t="shared" si="7"/>
        <v>6336</v>
      </c>
      <c r="H26" s="79">
        <f t="shared" si="7"/>
        <v>8382</v>
      </c>
      <c r="I26" s="79">
        <f t="shared" si="7"/>
        <v>10054</v>
      </c>
      <c r="J26" s="79">
        <f t="shared" si="7"/>
        <v>11484</v>
      </c>
      <c r="K26" s="79">
        <f t="shared" si="7"/>
        <v>12100</v>
      </c>
      <c r="L26" s="79">
        <f t="shared" si="7"/>
        <v>11858</v>
      </c>
      <c r="M26" s="79">
        <f t="shared" si="7"/>
        <v>11176</v>
      </c>
      <c r="N26" s="79">
        <f t="shared" si="7"/>
        <v>8712</v>
      </c>
      <c r="O26" s="79">
        <f t="shared" si="7"/>
        <v>8514</v>
      </c>
      <c r="P26" s="79">
        <f t="shared" si="3"/>
        <v>93588</v>
      </c>
      <c r="Q26" s="101">
        <f t="shared" si="4"/>
        <v>0.11867327568826011</v>
      </c>
    </row>
    <row r="27" spans="2:17" ht="13.5" customHeight="1" x14ac:dyDescent="0.25">
      <c r="C27" s="78" t="s">
        <v>422</v>
      </c>
      <c r="D27" s="79">
        <f>IF(1&lt;Eroeffnungsmonat,0,Annahmen!$H$60)</f>
        <v>0</v>
      </c>
      <c r="E27" s="79">
        <f>IF(2&lt;Eroeffnungsmonat,0,Annahmen!$H$61)</f>
        <v>0</v>
      </c>
      <c r="F27" s="79">
        <f>IF(3&lt;Eroeffnungsmonat,0,Annahmen!$H$62)</f>
        <v>1800</v>
      </c>
      <c r="G27" s="79">
        <f>IF(4&lt;Eroeffnungsmonat,0,Annahmen!$H$63)</f>
        <v>2600</v>
      </c>
      <c r="H27" s="79">
        <f>IF(5&lt;Eroeffnungsmonat,0,Annahmen!$H$64)</f>
        <v>3400</v>
      </c>
      <c r="I27" s="79">
        <f>IF(6&lt;Eroeffnungsmonat,0,Annahmen!$H$65)</f>
        <v>3800</v>
      </c>
      <c r="J27" s="79">
        <f>IF(7&lt;Eroeffnungsmonat,0,Annahmen!$H$66)</f>
        <v>2200</v>
      </c>
      <c r="K27" s="79">
        <f>IF(8&lt;Eroeffnungsmonat,0,Annahmen!$H$67)</f>
        <v>1900</v>
      </c>
      <c r="L27" s="79">
        <f>IF(9&lt;Eroeffnungsmonat,0,Annahmen!$H$68)</f>
        <v>4500</v>
      </c>
      <c r="M27" s="79">
        <f>IF(10&lt;Eroeffnungsmonat,0,Annahmen!$H$69)</f>
        <v>4200</v>
      </c>
      <c r="N27" s="79">
        <f>IF(11&lt;Eroeffnungsmonat,0,Annahmen!$H$70)</f>
        <v>3100</v>
      </c>
      <c r="O27" s="79">
        <f>IF(12&lt;Eroeffnungsmonat,0,Annahmen!$H$71)</f>
        <v>2600</v>
      </c>
      <c r="P27" s="79">
        <f t="shared" si="3"/>
        <v>30100</v>
      </c>
      <c r="Q27" s="101">
        <f t="shared" si="4"/>
        <v>3.8167987329749853E-2</v>
      </c>
    </row>
    <row r="28" spans="2:17" ht="13.5" customHeight="1" x14ac:dyDescent="0.25">
      <c r="C28" s="78" t="s">
        <v>423</v>
      </c>
      <c r="D28" s="79">
        <f t="shared" ref="D28:O28" si="8">ROUND(D16*Sonstige_je_Zimmer,0)</f>
        <v>0</v>
      </c>
      <c r="E28" s="79">
        <f t="shared" si="8"/>
        <v>0</v>
      </c>
      <c r="F28" s="79">
        <f t="shared" si="8"/>
        <v>1017</v>
      </c>
      <c r="G28" s="79">
        <f t="shared" si="8"/>
        <v>1296</v>
      </c>
      <c r="H28" s="79">
        <f t="shared" si="8"/>
        <v>1715</v>
      </c>
      <c r="I28" s="79">
        <f t="shared" si="8"/>
        <v>2057</v>
      </c>
      <c r="J28" s="79">
        <f t="shared" si="8"/>
        <v>2349</v>
      </c>
      <c r="K28" s="79">
        <f t="shared" si="8"/>
        <v>2475</v>
      </c>
      <c r="L28" s="79">
        <f t="shared" si="8"/>
        <v>2426</v>
      </c>
      <c r="M28" s="79">
        <f t="shared" si="8"/>
        <v>2286</v>
      </c>
      <c r="N28" s="79">
        <f t="shared" si="8"/>
        <v>1782</v>
      </c>
      <c r="O28" s="79">
        <f t="shared" si="8"/>
        <v>1742</v>
      </c>
      <c r="P28" s="79">
        <f t="shared" si="3"/>
        <v>19145</v>
      </c>
      <c r="Q28" s="101">
        <f t="shared" si="4"/>
        <v>2.4276615196945548E-2</v>
      </c>
    </row>
    <row r="29" spans="2:17" ht="16.5" customHeight="1" x14ac:dyDescent="0.25">
      <c r="C29" s="30" t="s">
        <v>424</v>
      </c>
      <c r="D29" s="31">
        <f t="shared" ref="D29:O29" si="9">SUM(D25:D28)</f>
        <v>0</v>
      </c>
      <c r="E29" s="31">
        <f t="shared" si="9"/>
        <v>0</v>
      </c>
      <c r="F29" s="31">
        <f t="shared" si="9"/>
        <v>13177</v>
      </c>
      <c r="G29" s="31">
        <f t="shared" si="9"/>
        <v>17099</v>
      </c>
      <c r="H29" s="31">
        <f t="shared" si="9"/>
        <v>22581</v>
      </c>
      <c r="I29" s="31">
        <f t="shared" si="9"/>
        <v>26807</v>
      </c>
      <c r="J29" s="31">
        <f t="shared" si="9"/>
        <v>28479</v>
      </c>
      <c r="K29" s="31">
        <f t="shared" si="9"/>
        <v>29588</v>
      </c>
      <c r="L29" s="31">
        <f t="shared" si="9"/>
        <v>31635</v>
      </c>
      <c r="M29" s="31">
        <f t="shared" si="9"/>
        <v>29774</v>
      </c>
      <c r="N29" s="31">
        <f t="shared" si="9"/>
        <v>23036</v>
      </c>
      <c r="O29" s="31">
        <f t="shared" si="9"/>
        <v>22083</v>
      </c>
      <c r="P29" s="31">
        <f t="shared" si="3"/>
        <v>244259</v>
      </c>
      <c r="Q29" s="33">
        <f t="shared" si="4"/>
        <v>0.30973004708230462</v>
      </c>
    </row>
    <row r="30" spans="2:17" ht="18.75" customHeight="1" x14ac:dyDescent="0.25">
      <c r="C30" s="29" t="s">
        <v>425</v>
      </c>
      <c r="D30" s="65">
        <f t="shared" ref="D30:O30" si="10">D24+D29</f>
        <v>0</v>
      </c>
      <c r="E30" s="65">
        <f t="shared" si="10"/>
        <v>0</v>
      </c>
      <c r="F30" s="65">
        <f t="shared" si="10"/>
        <v>42092</v>
      </c>
      <c r="G30" s="65">
        <f t="shared" si="10"/>
        <v>53938</v>
      </c>
      <c r="H30" s="65">
        <f t="shared" si="10"/>
        <v>71323</v>
      </c>
      <c r="I30" s="65">
        <f t="shared" si="10"/>
        <v>85306</v>
      </c>
      <c r="J30" s="65">
        <f t="shared" si="10"/>
        <v>95280</v>
      </c>
      <c r="K30" s="65">
        <f t="shared" si="10"/>
        <v>99943</v>
      </c>
      <c r="L30" s="65">
        <f t="shared" si="10"/>
        <v>100618</v>
      </c>
      <c r="M30" s="65">
        <f t="shared" si="10"/>
        <v>94825</v>
      </c>
      <c r="N30" s="65">
        <f t="shared" si="10"/>
        <v>73706</v>
      </c>
      <c r="O30" s="65">
        <f t="shared" si="10"/>
        <v>71588</v>
      </c>
      <c r="P30" s="65">
        <f t="shared" si="3"/>
        <v>788619</v>
      </c>
      <c r="Q30" s="71">
        <f t="shared" si="4"/>
        <v>1</v>
      </c>
    </row>
    <row r="31" spans="2:17" ht="18" customHeight="1" x14ac:dyDescent="0.25">
      <c r="B31" s="16"/>
      <c r="C31" s="87" t="s">
        <v>426</v>
      </c>
      <c r="D31" s="88"/>
      <c r="E31" s="88"/>
      <c r="F31" s="88"/>
      <c r="G31" s="88"/>
      <c r="H31" s="88"/>
      <c r="I31" s="88"/>
      <c r="J31" s="88"/>
      <c r="K31" s="88"/>
      <c r="L31" s="88"/>
      <c r="M31" s="88"/>
      <c r="N31" s="88"/>
      <c r="O31" s="88"/>
      <c r="P31" s="88"/>
      <c r="Q31" s="88"/>
    </row>
    <row r="32" spans="2:17" ht="13.5" customHeight="1" x14ac:dyDescent="0.25">
      <c r="C32" s="96" t="s">
        <v>427</v>
      </c>
      <c r="D32" s="102">
        <f t="shared" ref="D32:P32" si="11">IFERROR(D24/D16,0)</f>
        <v>0</v>
      </c>
      <c r="E32" s="102">
        <f t="shared" si="11"/>
        <v>0</v>
      </c>
      <c r="F32" s="102">
        <f t="shared" si="11"/>
        <v>127.9424778761062</v>
      </c>
      <c r="G32" s="102">
        <f t="shared" si="11"/>
        <v>127.91319444444444</v>
      </c>
      <c r="H32" s="102">
        <f t="shared" si="11"/>
        <v>127.93175853018373</v>
      </c>
      <c r="I32" s="102">
        <f t="shared" si="11"/>
        <v>128.00656455142231</v>
      </c>
      <c r="J32" s="102">
        <f t="shared" si="11"/>
        <v>127.97126436781609</v>
      </c>
      <c r="K32" s="102">
        <f t="shared" si="11"/>
        <v>127.91818181818182</v>
      </c>
      <c r="L32" s="102">
        <f t="shared" si="11"/>
        <v>127.98330241187384</v>
      </c>
      <c r="M32" s="102">
        <f t="shared" si="11"/>
        <v>128.0531496062992</v>
      </c>
      <c r="N32" s="102">
        <f t="shared" si="11"/>
        <v>127.95454545454545</v>
      </c>
      <c r="O32" s="102">
        <f t="shared" si="11"/>
        <v>127.91989664082688</v>
      </c>
      <c r="P32" s="102">
        <f t="shared" si="11"/>
        <v>127.96426892336625</v>
      </c>
      <c r="Q32" s="98"/>
    </row>
    <row r="33" spans="2:17" ht="13.5" customHeight="1" x14ac:dyDescent="0.25">
      <c r="C33" s="96" t="s">
        <v>428</v>
      </c>
      <c r="D33" s="102">
        <f t="shared" ref="D33:P33" si="12">IFERROR(D24/D10,0)</f>
        <v>0</v>
      </c>
      <c r="E33" s="102">
        <f t="shared" si="12"/>
        <v>0</v>
      </c>
      <c r="F33" s="102">
        <f t="shared" si="12"/>
        <v>38.86424731182796</v>
      </c>
      <c r="G33" s="102">
        <f t="shared" si="12"/>
        <v>51.165277777777774</v>
      </c>
      <c r="H33" s="102">
        <f t="shared" si="12"/>
        <v>65.513440860215056</v>
      </c>
      <c r="I33" s="102">
        <f t="shared" si="12"/>
        <v>81.248611111111117</v>
      </c>
      <c r="J33" s="102">
        <f t="shared" si="12"/>
        <v>89.786290322580641</v>
      </c>
      <c r="K33" s="102">
        <f t="shared" si="12"/>
        <v>94.563172043010752</v>
      </c>
      <c r="L33" s="102">
        <f t="shared" si="12"/>
        <v>95.80972222222222</v>
      </c>
      <c r="M33" s="102">
        <f t="shared" si="12"/>
        <v>87.43413978494624</v>
      </c>
      <c r="N33" s="102">
        <f t="shared" si="12"/>
        <v>70.375</v>
      </c>
      <c r="O33" s="102">
        <f t="shared" si="12"/>
        <v>66.538978494623649</v>
      </c>
      <c r="P33" s="102">
        <f t="shared" si="12"/>
        <v>74.123093681917211</v>
      </c>
      <c r="Q33" s="98"/>
    </row>
    <row r="34" spans="2:17" ht="13.5" customHeight="1" x14ac:dyDescent="0.25">
      <c r="C34" s="96" t="s">
        <v>429</v>
      </c>
      <c r="D34" s="102">
        <f t="shared" ref="D34:P34" si="13">IFERROR(D30/D16,0)</f>
        <v>0</v>
      </c>
      <c r="E34" s="102">
        <f t="shared" si="13"/>
        <v>0</v>
      </c>
      <c r="F34" s="102">
        <f t="shared" si="13"/>
        <v>186.24778761061947</v>
      </c>
      <c r="G34" s="102">
        <f t="shared" si="13"/>
        <v>187.28472222222223</v>
      </c>
      <c r="H34" s="102">
        <f t="shared" si="13"/>
        <v>187.19947506561681</v>
      </c>
      <c r="I34" s="102">
        <f t="shared" si="13"/>
        <v>186.66520787746171</v>
      </c>
      <c r="J34" s="102">
        <f t="shared" si="13"/>
        <v>182.5287356321839</v>
      </c>
      <c r="K34" s="102">
        <f t="shared" si="13"/>
        <v>181.71454545454546</v>
      </c>
      <c r="L34" s="102">
        <f t="shared" si="13"/>
        <v>186.67532467532467</v>
      </c>
      <c r="M34" s="102">
        <f t="shared" si="13"/>
        <v>186.66338582677164</v>
      </c>
      <c r="N34" s="102">
        <f t="shared" si="13"/>
        <v>186.12626262626262</v>
      </c>
      <c r="O34" s="102">
        <f t="shared" si="13"/>
        <v>184.98191214470285</v>
      </c>
      <c r="P34" s="102">
        <f t="shared" si="13"/>
        <v>185.38293370944993</v>
      </c>
      <c r="Q34" s="98"/>
    </row>
    <row r="35" spans="2:17" ht="18" customHeight="1" x14ac:dyDescent="0.25">
      <c r="B35" s="16"/>
      <c r="C35" s="87" t="s">
        <v>430</v>
      </c>
      <c r="D35" s="88"/>
      <c r="E35" s="88"/>
      <c r="F35" s="88"/>
      <c r="G35" s="88"/>
      <c r="H35" s="88"/>
      <c r="I35" s="88"/>
      <c r="J35" s="88"/>
      <c r="K35" s="88"/>
      <c r="L35" s="88"/>
      <c r="M35" s="88"/>
      <c r="N35" s="88"/>
      <c r="O35" s="88"/>
      <c r="P35" s="88"/>
      <c r="Q35" s="88"/>
    </row>
    <row r="36" spans="2:17" ht="13.5" customHeight="1" x14ac:dyDescent="0.25">
      <c r="C36" s="78" t="s">
        <v>77</v>
      </c>
      <c r="D36" s="79">
        <f>ROUND(Annahmen!$G$87*(D25+D26+D27),0)</f>
        <v>0</v>
      </c>
      <c r="E36" s="79">
        <f>ROUND(Annahmen!$G$87*(E25+E26+E27),0)</f>
        <v>0</v>
      </c>
      <c r="F36" s="79">
        <f>ROUND(Annahmen!$G$87*(F25+F26+F27),0)</f>
        <v>3405</v>
      </c>
      <c r="G36" s="79">
        <f>ROUND(Annahmen!$G$87*(G25+G26+G27),0)</f>
        <v>4425</v>
      </c>
      <c r="H36" s="79">
        <f>ROUND(Annahmen!$G$87*(H25+H26+H27),0)</f>
        <v>5842</v>
      </c>
      <c r="I36" s="79">
        <f>ROUND(Annahmen!$G$87*(I25+I26+I27),0)</f>
        <v>6930</v>
      </c>
      <c r="J36" s="79">
        <f>ROUND(Annahmen!$G$87*(J25+J26+J27),0)</f>
        <v>7316</v>
      </c>
      <c r="K36" s="79">
        <f>ROUND(Annahmen!$G$87*(K25+K26+K27),0)</f>
        <v>7592</v>
      </c>
      <c r="L36" s="79">
        <f>ROUND(Annahmen!$G$87*(L25+L26+L27),0)</f>
        <v>8179</v>
      </c>
      <c r="M36" s="79">
        <f>ROUND(Annahmen!$G$87*(M25+M26+M27),0)</f>
        <v>7697</v>
      </c>
      <c r="N36" s="79">
        <f>ROUND(Annahmen!$G$87*(N25+N26+N27),0)</f>
        <v>5951</v>
      </c>
      <c r="O36" s="79">
        <f>ROUND(Annahmen!$G$87*(O25+O26+O27),0)</f>
        <v>5695</v>
      </c>
      <c r="P36" s="79">
        <f t="shared" ref="P36:P49" si="14">SUM(D36:O36)</f>
        <v>63032</v>
      </c>
      <c r="Q36" s="101">
        <f t="shared" ref="Q36:Q49" si="15">IFERROR(P36/$P$30,0)</f>
        <v>7.9927062371056234E-2</v>
      </c>
    </row>
    <row r="37" spans="2:17" ht="13.5" customHeight="1" x14ac:dyDescent="0.25">
      <c r="C37" s="78" t="s">
        <v>79</v>
      </c>
      <c r="D37" s="79">
        <f>ROUND(SUMPRODUCT((Annahmen!$F$76:$F$82&lt;=1)*Annahmen!$G$76:$G$82),0)</f>
        <v>5566</v>
      </c>
      <c r="E37" s="79">
        <f>ROUND(SUMPRODUCT((Annahmen!$F$76:$F$82&lt;=2)*Annahmen!$G$76:$G$82),0)</f>
        <v>14187</v>
      </c>
      <c r="F37" s="79">
        <f>ROUND(SUMPRODUCT((Annahmen!$F$76:$F$82&lt;=3)*Annahmen!$G$76:$G$82),0)</f>
        <v>31382</v>
      </c>
      <c r="G37" s="79">
        <f>ROUND(SUMPRODUCT((Annahmen!$F$76:$F$82&lt;=4)*Annahmen!$G$76:$G$82),0)</f>
        <v>33173</v>
      </c>
      <c r="H37" s="79">
        <f>ROUND(SUMPRODUCT((Annahmen!$F$76:$F$82&lt;=5)*Annahmen!$G$76:$G$82),0)</f>
        <v>33173</v>
      </c>
      <c r="I37" s="79">
        <f>ROUND(SUMPRODUCT((Annahmen!$F$76:$F$82&lt;=6)*Annahmen!$G$76:$G$82),0)</f>
        <v>33173</v>
      </c>
      <c r="J37" s="79">
        <f>ROUND(SUMPRODUCT((Annahmen!$F$76:$F$82&lt;=7)*Annahmen!$G$76:$G$82),0)</f>
        <v>33173</v>
      </c>
      <c r="K37" s="79">
        <f>ROUND(SUMPRODUCT((Annahmen!$F$76:$F$82&lt;=8)*Annahmen!$G$76:$G$82),0)</f>
        <v>33173</v>
      </c>
      <c r="L37" s="79">
        <f>ROUND(SUMPRODUCT((Annahmen!$F$76:$F$82&lt;=9)*Annahmen!$G$76:$G$82),0)</f>
        <v>33173</v>
      </c>
      <c r="M37" s="79">
        <f>ROUND(SUMPRODUCT((Annahmen!$F$76:$F$82&lt;=10)*Annahmen!$G$76:$G$82),0)</f>
        <v>33173</v>
      </c>
      <c r="N37" s="79">
        <f>ROUND(SUMPRODUCT((Annahmen!$F$76:$F$82&lt;=11)*Annahmen!$G$76:$G$82),0)</f>
        <v>33173</v>
      </c>
      <c r="O37" s="79">
        <f>ROUND(SUMPRODUCT((Annahmen!$F$76:$F$82&lt;=12)*Annahmen!$G$76:$G$82),0)</f>
        <v>33173</v>
      </c>
      <c r="P37" s="79">
        <f t="shared" si="14"/>
        <v>349692</v>
      </c>
      <c r="Q37" s="101">
        <f t="shared" si="15"/>
        <v>0.44342325001046135</v>
      </c>
    </row>
    <row r="38" spans="2:17" ht="13.5" customHeight="1" x14ac:dyDescent="0.25">
      <c r="C38" s="78" t="s">
        <v>431</v>
      </c>
      <c r="D38" s="79">
        <f>Annahmen!$F$89</f>
        <v>2400</v>
      </c>
      <c r="E38" s="79">
        <f>Annahmen!$F$89</f>
        <v>2400</v>
      </c>
      <c r="F38" s="79">
        <f>Annahmen!$F$89</f>
        <v>2400</v>
      </c>
      <c r="G38" s="79">
        <f>Annahmen!$F$89</f>
        <v>2400</v>
      </c>
      <c r="H38" s="79">
        <f>Annahmen!$F$89</f>
        <v>2400</v>
      </c>
      <c r="I38" s="79">
        <f>Annahmen!$F$89</f>
        <v>2400</v>
      </c>
      <c r="J38" s="79">
        <f>Annahmen!$F$89</f>
        <v>2400</v>
      </c>
      <c r="K38" s="79">
        <f>Annahmen!$F$89</f>
        <v>2400</v>
      </c>
      <c r="L38" s="79">
        <f>Annahmen!$F$89</f>
        <v>2400</v>
      </c>
      <c r="M38" s="79">
        <f>Annahmen!$F$89</f>
        <v>2400</v>
      </c>
      <c r="N38" s="79">
        <f>Annahmen!$F$89</f>
        <v>2400</v>
      </c>
      <c r="O38" s="79">
        <f>Annahmen!$F$89</f>
        <v>2400</v>
      </c>
      <c r="P38" s="79">
        <f t="shared" si="14"/>
        <v>28800</v>
      </c>
      <c r="Q38" s="101">
        <f t="shared" si="15"/>
        <v>3.6519536049727436E-2</v>
      </c>
    </row>
    <row r="39" spans="2:17" ht="13.5" customHeight="1" x14ac:dyDescent="0.25">
      <c r="C39" s="78" t="s">
        <v>432</v>
      </c>
      <c r="D39" s="79">
        <f>ROUND(Annahmen!$G$89*D16,0)</f>
        <v>0</v>
      </c>
      <c r="E39" s="79">
        <f>ROUND(Annahmen!$G$89*E16,0)</f>
        <v>0</v>
      </c>
      <c r="F39" s="79">
        <f>ROUND(Annahmen!$G$89*F16,0)</f>
        <v>723</v>
      </c>
      <c r="G39" s="79">
        <f>ROUND(Annahmen!$G$89*G16,0)</f>
        <v>922</v>
      </c>
      <c r="H39" s="79">
        <f>ROUND(Annahmen!$G$89*H16,0)</f>
        <v>1219</v>
      </c>
      <c r="I39" s="79">
        <f>ROUND(Annahmen!$G$89*I16,0)</f>
        <v>1462</v>
      </c>
      <c r="J39" s="79">
        <f>ROUND(Annahmen!$G$89*J16,0)</f>
        <v>1670</v>
      </c>
      <c r="K39" s="79">
        <f>ROUND(Annahmen!$G$89*K16,0)</f>
        <v>1760</v>
      </c>
      <c r="L39" s="79">
        <f>ROUND(Annahmen!$G$89*L16,0)</f>
        <v>1725</v>
      </c>
      <c r="M39" s="79">
        <f>ROUND(Annahmen!$G$89*M16,0)</f>
        <v>1626</v>
      </c>
      <c r="N39" s="79">
        <f>ROUND(Annahmen!$G$89*N16,0)</f>
        <v>1267</v>
      </c>
      <c r="O39" s="79">
        <f>ROUND(Annahmen!$G$89*O16,0)</f>
        <v>1238</v>
      </c>
      <c r="P39" s="79">
        <f t="shared" si="14"/>
        <v>13612</v>
      </c>
      <c r="Q39" s="101">
        <f t="shared" si="15"/>
        <v>1.7260552941280899E-2</v>
      </c>
    </row>
    <row r="40" spans="2:17" ht="13.5" customHeight="1" x14ac:dyDescent="0.25">
      <c r="C40" s="78" t="s">
        <v>433</v>
      </c>
      <c r="D40" s="79">
        <f>ROUND(Annahmen!$G$90*D16,0)</f>
        <v>0</v>
      </c>
      <c r="E40" s="79">
        <f>ROUND(Annahmen!$G$90*E16,0)</f>
        <v>0</v>
      </c>
      <c r="F40" s="79">
        <f>ROUND(Annahmen!$G$90*F16,0)</f>
        <v>2215</v>
      </c>
      <c r="G40" s="79">
        <f>ROUND(Annahmen!$G$90*G16,0)</f>
        <v>2822</v>
      </c>
      <c r="H40" s="79">
        <f>ROUND(Annahmen!$G$90*H16,0)</f>
        <v>3734</v>
      </c>
      <c r="I40" s="79">
        <f>ROUND(Annahmen!$G$90*I16,0)</f>
        <v>4479</v>
      </c>
      <c r="J40" s="79">
        <f>ROUND(Annahmen!$G$90*J16,0)</f>
        <v>5116</v>
      </c>
      <c r="K40" s="79">
        <f>ROUND(Annahmen!$G$90*K16,0)</f>
        <v>5390</v>
      </c>
      <c r="L40" s="79">
        <f>ROUND(Annahmen!$G$90*L16,0)</f>
        <v>5282</v>
      </c>
      <c r="M40" s="79">
        <f>ROUND(Annahmen!$G$90*M16,0)</f>
        <v>4978</v>
      </c>
      <c r="N40" s="79">
        <f>ROUND(Annahmen!$G$90*N16,0)</f>
        <v>3881</v>
      </c>
      <c r="O40" s="79">
        <f>ROUND(Annahmen!$G$90*O16,0)</f>
        <v>3793</v>
      </c>
      <c r="P40" s="79">
        <f t="shared" si="14"/>
        <v>41690</v>
      </c>
      <c r="Q40" s="101">
        <f t="shared" si="15"/>
        <v>5.2864564510872805E-2</v>
      </c>
    </row>
    <row r="41" spans="2:17" ht="13.5" customHeight="1" x14ac:dyDescent="0.25">
      <c r="C41" s="78" t="s">
        <v>434</v>
      </c>
      <c r="D41" s="79">
        <f>ROUND(D24*OTA_Anteil*Annahmen!$G$91,0)</f>
        <v>0</v>
      </c>
      <c r="E41" s="79">
        <f>ROUND(E24*OTA_Anteil*Annahmen!$G$91,0)</f>
        <v>0</v>
      </c>
      <c r="F41" s="79">
        <f>ROUND(F24*OTA_Anteil*Annahmen!$G$91,0)</f>
        <v>1943</v>
      </c>
      <c r="G41" s="79">
        <f>ROUND(G24*OTA_Anteil*Annahmen!$G$91,0)</f>
        <v>2476</v>
      </c>
      <c r="H41" s="79">
        <f>ROUND(H24*OTA_Anteil*Annahmen!$G$91,0)</f>
        <v>3275</v>
      </c>
      <c r="I41" s="79">
        <f>ROUND(I24*OTA_Anteil*Annahmen!$G$91,0)</f>
        <v>3931</v>
      </c>
      <c r="J41" s="79">
        <f>ROUND(J24*OTA_Anteil*Annahmen!$G$91,0)</f>
        <v>4489</v>
      </c>
      <c r="K41" s="79">
        <f>ROUND(K24*OTA_Anteil*Annahmen!$G$91,0)</f>
        <v>4728</v>
      </c>
      <c r="L41" s="79">
        <f>ROUND(L24*OTA_Anteil*Annahmen!$G$91,0)</f>
        <v>4636</v>
      </c>
      <c r="M41" s="79">
        <f>ROUND(M24*OTA_Anteil*Annahmen!$G$91,0)</f>
        <v>4371</v>
      </c>
      <c r="N41" s="79">
        <f>ROUND(N24*OTA_Anteil*Annahmen!$G$91,0)</f>
        <v>3405</v>
      </c>
      <c r="O41" s="79">
        <f>ROUND(O24*OTA_Anteil*Annahmen!$G$91,0)</f>
        <v>3327</v>
      </c>
      <c r="P41" s="79">
        <f t="shared" si="14"/>
        <v>36581</v>
      </c>
      <c r="Q41" s="101">
        <f t="shared" si="15"/>
        <v>4.6386150980384698E-2</v>
      </c>
    </row>
    <row r="42" spans="2:17" ht="13.5" customHeight="1" x14ac:dyDescent="0.25">
      <c r="C42" s="78" t="s">
        <v>435</v>
      </c>
      <c r="D42" s="79">
        <f>Annahmen!$F$92</f>
        <v>1600</v>
      </c>
      <c r="E42" s="79">
        <f>Annahmen!$F$92</f>
        <v>1600</v>
      </c>
      <c r="F42" s="79">
        <f>Annahmen!$F$92</f>
        <v>1600</v>
      </c>
      <c r="G42" s="79">
        <f>Annahmen!$F$92</f>
        <v>1600</v>
      </c>
      <c r="H42" s="79">
        <f>Annahmen!$F$92</f>
        <v>1600</v>
      </c>
      <c r="I42" s="79">
        <f>Annahmen!$F$92</f>
        <v>1600</v>
      </c>
      <c r="J42" s="79">
        <f>Annahmen!$F$92</f>
        <v>1600</v>
      </c>
      <c r="K42" s="79">
        <f>Annahmen!$F$92</f>
        <v>1600</v>
      </c>
      <c r="L42" s="79">
        <f>Annahmen!$F$92</f>
        <v>1600</v>
      </c>
      <c r="M42" s="79">
        <f>Annahmen!$F$92</f>
        <v>1600</v>
      </c>
      <c r="N42" s="79">
        <f>Annahmen!$F$92</f>
        <v>1600</v>
      </c>
      <c r="O42" s="79">
        <f>Annahmen!$F$92</f>
        <v>1600</v>
      </c>
      <c r="P42" s="79">
        <f t="shared" si="14"/>
        <v>19200</v>
      </c>
      <c r="Q42" s="101">
        <f t="shared" si="15"/>
        <v>2.4346357366484956E-2</v>
      </c>
    </row>
    <row r="43" spans="2:17" ht="13.5" customHeight="1" x14ac:dyDescent="0.25">
      <c r="C43" s="78" t="s">
        <v>436</v>
      </c>
      <c r="D43" s="79">
        <f>ROUND(Annahmen!$G$93*D30,0)</f>
        <v>0</v>
      </c>
      <c r="E43" s="79">
        <f>ROUND(Annahmen!$G$93*E30,0)</f>
        <v>0</v>
      </c>
      <c r="F43" s="79">
        <f>ROUND(Annahmen!$G$93*F30,0)</f>
        <v>1052</v>
      </c>
      <c r="G43" s="79">
        <f>ROUND(Annahmen!$G$93*G30,0)</f>
        <v>1348</v>
      </c>
      <c r="H43" s="79">
        <f>ROUND(Annahmen!$G$93*H30,0)</f>
        <v>1783</v>
      </c>
      <c r="I43" s="79">
        <f>ROUND(Annahmen!$G$93*I30,0)</f>
        <v>2133</v>
      </c>
      <c r="J43" s="79">
        <f>ROUND(Annahmen!$G$93*J30,0)</f>
        <v>2382</v>
      </c>
      <c r="K43" s="79">
        <f>ROUND(Annahmen!$G$93*K30,0)</f>
        <v>2499</v>
      </c>
      <c r="L43" s="79">
        <f>ROUND(Annahmen!$G$93*L30,0)</f>
        <v>2515</v>
      </c>
      <c r="M43" s="79">
        <f>ROUND(Annahmen!$G$93*M30,0)</f>
        <v>2371</v>
      </c>
      <c r="N43" s="79">
        <f>ROUND(Annahmen!$G$93*N30,0)</f>
        <v>1843</v>
      </c>
      <c r="O43" s="79">
        <f>ROUND(Annahmen!$G$93*O30,0)</f>
        <v>1790</v>
      </c>
      <c r="P43" s="79">
        <f t="shared" si="14"/>
        <v>19716</v>
      </c>
      <c r="Q43" s="101">
        <f t="shared" si="15"/>
        <v>2.5000665720709241E-2</v>
      </c>
    </row>
    <row r="44" spans="2:17" ht="13.5" customHeight="1" x14ac:dyDescent="0.25">
      <c r="C44" s="78" t="s">
        <v>437</v>
      </c>
      <c r="D44" s="79">
        <f>Annahmen!$F$94</f>
        <v>950</v>
      </c>
      <c r="E44" s="79">
        <f>Annahmen!$F$94</f>
        <v>950</v>
      </c>
      <c r="F44" s="79">
        <f>Annahmen!$F$94</f>
        <v>950</v>
      </c>
      <c r="G44" s="79">
        <f>Annahmen!$F$94</f>
        <v>950</v>
      </c>
      <c r="H44" s="79">
        <f>Annahmen!$F$94</f>
        <v>950</v>
      </c>
      <c r="I44" s="79">
        <f>Annahmen!$F$94</f>
        <v>950</v>
      </c>
      <c r="J44" s="79">
        <f>Annahmen!$F$94</f>
        <v>950</v>
      </c>
      <c r="K44" s="79">
        <f>Annahmen!$F$94</f>
        <v>950</v>
      </c>
      <c r="L44" s="79">
        <f>Annahmen!$F$94</f>
        <v>950</v>
      </c>
      <c r="M44" s="79">
        <f>Annahmen!$F$94</f>
        <v>950</v>
      </c>
      <c r="N44" s="79">
        <f>Annahmen!$F$94</f>
        <v>950</v>
      </c>
      <c r="O44" s="79">
        <f>Annahmen!$F$94</f>
        <v>950</v>
      </c>
      <c r="P44" s="79">
        <f t="shared" si="14"/>
        <v>11400</v>
      </c>
      <c r="Q44" s="101">
        <f t="shared" si="15"/>
        <v>1.4455649686350443E-2</v>
      </c>
    </row>
    <row r="45" spans="2:17" ht="13.5" customHeight="1" x14ac:dyDescent="0.25">
      <c r="C45" s="78" t="s">
        <v>438</v>
      </c>
      <c r="D45" s="79">
        <f>Annahmen!$F$95</f>
        <v>620</v>
      </c>
      <c r="E45" s="79">
        <f>Annahmen!$F$95</f>
        <v>620</v>
      </c>
      <c r="F45" s="79">
        <f>Annahmen!$F$95</f>
        <v>620</v>
      </c>
      <c r="G45" s="79">
        <f>Annahmen!$F$95</f>
        <v>620</v>
      </c>
      <c r="H45" s="79">
        <f>Annahmen!$F$95</f>
        <v>620</v>
      </c>
      <c r="I45" s="79">
        <f>Annahmen!$F$95</f>
        <v>620</v>
      </c>
      <c r="J45" s="79">
        <f>Annahmen!$F$95</f>
        <v>620</v>
      </c>
      <c r="K45" s="79">
        <f>Annahmen!$F$95</f>
        <v>620</v>
      </c>
      <c r="L45" s="79">
        <f>Annahmen!$F$95</f>
        <v>620</v>
      </c>
      <c r="M45" s="79">
        <f>Annahmen!$F$95</f>
        <v>620</v>
      </c>
      <c r="N45" s="79">
        <f>Annahmen!$F$95</f>
        <v>620</v>
      </c>
      <c r="O45" s="79">
        <f>Annahmen!$F$95</f>
        <v>620</v>
      </c>
      <c r="P45" s="79">
        <f t="shared" si="14"/>
        <v>7440</v>
      </c>
      <c r="Q45" s="101">
        <f t="shared" si="15"/>
        <v>9.434213479512921E-3</v>
      </c>
    </row>
    <row r="46" spans="2:17" ht="13.5" customHeight="1" x14ac:dyDescent="0.25">
      <c r="C46" s="78" t="s">
        <v>439</v>
      </c>
      <c r="D46" s="79">
        <f>Annahmen!$F$96</f>
        <v>8500</v>
      </c>
      <c r="E46" s="79">
        <f>Annahmen!$F$96</f>
        <v>8500</v>
      </c>
      <c r="F46" s="79">
        <f>Annahmen!$F$96</f>
        <v>8500</v>
      </c>
      <c r="G46" s="79">
        <f>Annahmen!$F$96</f>
        <v>8500</v>
      </c>
      <c r="H46" s="79">
        <f>Annahmen!$F$96</f>
        <v>8500</v>
      </c>
      <c r="I46" s="79">
        <f>Annahmen!$F$96</f>
        <v>8500</v>
      </c>
      <c r="J46" s="79">
        <f>Annahmen!$F$96</f>
        <v>8500</v>
      </c>
      <c r="K46" s="79">
        <f>Annahmen!$F$96</f>
        <v>8500</v>
      </c>
      <c r="L46" s="79">
        <f>Annahmen!$F$96</f>
        <v>8500</v>
      </c>
      <c r="M46" s="79">
        <f>Annahmen!$F$96</f>
        <v>8500</v>
      </c>
      <c r="N46" s="79">
        <f>Annahmen!$F$96</f>
        <v>8500</v>
      </c>
      <c r="O46" s="79">
        <f>Annahmen!$F$96</f>
        <v>8500</v>
      </c>
      <c r="P46" s="79">
        <f t="shared" si="14"/>
        <v>102000</v>
      </c>
      <c r="Q46" s="101">
        <f t="shared" si="15"/>
        <v>0.12934002350945134</v>
      </c>
    </row>
    <row r="47" spans="2:17" ht="13.5" customHeight="1" x14ac:dyDescent="0.25">
      <c r="C47" s="78" t="s">
        <v>440</v>
      </c>
      <c r="D47" s="79">
        <f>Annahmen!$F$97</f>
        <v>780</v>
      </c>
      <c r="E47" s="79">
        <f>Annahmen!$F$97</f>
        <v>780</v>
      </c>
      <c r="F47" s="79">
        <f>Annahmen!$F$97</f>
        <v>780</v>
      </c>
      <c r="G47" s="79">
        <f>Annahmen!$F$97</f>
        <v>780</v>
      </c>
      <c r="H47" s="79">
        <f>Annahmen!$F$97</f>
        <v>780</v>
      </c>
      <c r="I47" s="79">
        <f>Annahmen!$F$97</f>
        <v>780</v>
      </c>
      <c r="J47" s="79">
        <f>Annahmen!$F$97</f>
        <v>780</v>
      </c>
      <c r="K47" s="79">
        <f>Annahmen!$F$97</f>
        <v>780</v>
      </c>
      <c r="L47" s="79">
        <f>Annahmen!$F$97</f>
        <v>780</v>
      </c>
      <c r="M47" s="79">
        <f>Annahmen!$F$97</f>
        <v>780</v>
      </c>
      <c r="N47" s="79">
        <f>Annahmen!$F$97</f>
        <v>780</v>
      </c>
      <c r="O47" s="79">
        <f>Annahmen!$F$97</f>
        <v>780</v>
      </c>
      <c r="P47" s="79">
        <f t="shared" si="14"/>
        <v>9360</v>
      </c>
      <c r="Q47" s="101">
        <f t="shared" si="15"/>
        <v>1.1868849216161416E-2</v>
      </c>
    </row>
    <row r="48" spans="2:17" ht="13.5" customHeight="1" x14ac:dyDescent="0.25">
      <c r="C48" s="78" t="s">
        <v>441</v>
      </c>
      <c r="D48" s="79">
        <f>Annahmen!$F$98</f>
        <v>700</v>
      </c>
      <c r="E48" s="79">
        <f>Annahmen!$F$98</f>
        <v>700</v>
      </c>
      <c r="F48" s="79">
        <f>Annahmen!$F$98</f>
        <v>700</v>
      </c>
      <c r="G48" s="79">
        <f>Annahmen!$F$98</f>
        <v>700</v>
      </c>
      <c r="H48" s="79">
        <f>Annahmen!$F$98</f>
        <v>700</v>
      </c>
      <c r="I48" s="79">
        <f>Annahmen!$F$98</f>
        <v>700</v>
      </c>
      <c r="J48" s="79">
        <f>Annahmen!$F$98</f>
        <v>700</v>
      </c>
      <c r="K48" s="79">
        <f>Annahmen!$F$98</f>
        <v>700</v>
      </c>
      <c r="L48" s="79">
        <f>Annahmen!$F$98</f>
        <v>700</v>
      </c>
      <c r="M48" s="79">
        <f>Annahmen!$F$98</f>
        <v>700</v>
      </c>
      <c r="N48" s="79">
        <f>Annahmen!$F$98</f>
        <v>700</v>
      </c>
      <c r="O48" s="79">
        <f>Annahmen!$F$98</f>
        <v>700</v>
      </c>
      <c r="P48" s="79">
        <f t="shared" si="14"/>
        <v>8400</v>
      </c>
      <c r="Q48" s="101">
        <f t="shared" si="15"/>
        <v>1.0651531347837169E-2</v>
      </c>
    </row>
    <row r="49" spans="2:17" ht="18.75" customHeight="1" x14ac:dyDescent="0.25">
      <c r="C49" s="29" t="s">
        <v>442</v>
      </c>
      <c r="D49" s="65">
        <f t="shared" ref="D49:O49" si="16">SUM(D36:D48)</f>
        <v>21116</v>
      </c>
      <c r="E49" s="65">
        <f t="shared" si="16"/>
        <v>29737</v>
      </c>
      <c r="F49" s="65">
        <f t="shared" si="16"/>
        <v>56270</v>
      </c>
      <c r="G49" s="65">
        <f t="shared" si="16"/>
        <v>60716</v>
      </c>
      <c r="H49" s="65">
        <f t="shared" si="16"/>
        <v>64576</v>
      </c>
      <c r="I49" s="65">
        <f t="shared" si="16"/>
        <v>67658</v>
      </c>
      <c r="J49" s="65">
        <f t="shared" si="16"/>
        <v>69696</v>
      </c>
      <c r="K49" s="65">
        <f t="shared" si="16"/>
        <v>70692</v>
      </c>
      <c r="L49" s="65">
        <f t="shared" si="16"/>
        <v>71060</v>
      </c>
      <c r="M49" s="65">
        <f t="shared" si="16"/>
        <v>69766</v>
      </c>
      <c r="N49" s="65">
        <f t="shared" si="16"/>
        <v>65070</v>
      </c>
      <c r="O49" s="65">
        <f t="shared" si="16"/>
        <v>64566</v>
      </c>
      <c r="P49" s="65">
        <f t="shared" si="14"/>
        <v>710923</v>
      </c>
      <c r="Q49" s="71">
        <f t="shared" si="15"/>
        <v>0.90147840719029082</v>
      </c>
    </row>
    <row r="50" spans="2:17" ht="18" customHeight="1" x14ac:dyDescent="0.25">
      <c r="B50" s="16"/>
      <c r="C50" s="87" t="s">
        <v>443</v>
      </c>
      <c r="D50" s="88"/>
      <c r="E50" s="88"/>
      <c r="F50" s="88"/>
      <c r="G50" s="88"/>
      <c r="H50" s="88"/>
      <c r="I50" s="88"/>
      <c r="J50" s="88"/>
      <c r="K50" s="88"/>
      <c r="L50" s="88"/>
      <c r="M50" s="88"/>
      <c r="N50" s="88"/>
      <c r="O50" s="88"/>
      <c r="P50" s="88"/>
      <c r="Q50" s="88"/>
    </row>
    <row r="51" spans="2:17" ht="18.75" customHeight="1" x14ac:dyDescent="0.25">
      <c r="C51" s="29" t="s">
        <v>444</v>
      </c>
      <c r="D51" s="65">
        <f t="shared" ref="D51:O51" si="17">D30-D49</f>
        <v>-21116</v>
      </c>
      <c r="E51" s="65">
        <f t="shared" si="17"/>
        <v>-29737</v>
      </c>
      <c r="F51" s="65">
        <f t="shared" si="17"/>
        <v>-14178</v>
      </c>
      <c r="G51" s="65">
        <f t="shared" si="17"/>
        <v>-6778</v>
      </c>
      <c r="H51" s="65">
        <f t="shared" si="17"/>
        <v>6747</v>
      </c>
      <c r="I51" s="65">
        <f t="shared" si="17"/>
        <v>17648</v>
      </c>
      <c r="J51" s="65">
        <f t="shared" si="17"/>
        <v>25584</v>
      </c>
      <c r="K51" s="65">
        <f t="shared" si="17"/>
        <v>29251</v>
      </c>
      <c r="L51" s="65">
        <f t="shared" si="17"/>
        <v>29558</v>
      </c>
      <c r="M51" s="65">
        <f t="shared" si="17"/>
        <v>25059</v>
      </c>
      <c r="N51" s="65">
        <f t="shared" si="17"/>
        <v>8636</v>
      </c>
      <c r="O51" s="65">
        <f t="shared" si="17"/>
        <v>7022</v>
      </c>
      <c r="P51" s="65">
        <f>SUM(D51:O51)</f>
        <v>77696</v>
      </c>
      <c r="Q51" s="71">
        <f>IFERROR(P51/$P$30,0)</f>
        <v>9.8521592809709124E-2</v>
      </c>
    </row>
    <row r="52" spans="2:17" ht="13.5" customHeight="1" x14ac:dyDescent="0.25">
      <c r="C52" s="96" t="s">
        <v>55</v>
      </c>
      <c r="D52" s="97">
        <f t="shared" ref="D52:P52" si="18">IFERROR(D51/D30,0)</f>
        <v>0</v>
      </c>
      <c r="E52" s="97">
        <f t="shared" si="18"/>
        <v>0</v>
      </c>
      <c r="F52" s="97">
        <f t="shared" si="18"/>
        <v>-0.33683360258481421</v>
      </c>
      <c r="G52" s="97">
        <f t="shared" si="18"/>
        <v>-0.12566279802736474</v>
      </c>
      <c r="H52" s="97">
        <f t="shared" si="18"/>
        <v>9.4597815571414556E-2</v>
      </c>
      <c r="I52" s="97">
        <f t="shared" si="18"/>
        <v>0.20687876585468784</v>
      </c>
      <c r="J52" s="97">
        <f t="shared" si="18"/>
        <v>0.26851385390428212</v>
      </c>
      <c r="K52" s="97">
        <f t="shared" si="18"/>
        <v>0.2926768257907007</v>
      </c>
      <c r="L52" s="97">
        <f t="shared" si="18"/>
        <v>0.29376453517263312</v>
      </c>
      <c r="M52" s="97">
        <f t="shared" si="18"/>
        <v>0.26426575270234642</v>
      </c>
      <c r="N52" s="97">
        <f t="shared" si="18"/>
        <v>0.11716820882967466</v>
      </c>
      <c r="O52" s="97">
        <f t="shared" si="18"/>
        <v>9.8089065206459186E-2</v>
      </c>
      <c r="P52" s="97">
        <f t="shared" si="18"/>
        <v>9.8521592809709124E-2</v>
      </c>
      <c r="Q52" s="98"/>
    </row>
    <row r="53" spans="2:17" ht="13.5" customHeight="1" x14ac:dyDescent="0.25">
      <c r="C53" s="78" t="s">
        <v>57</v>
      </c>
      <c r="D53" s="79">
        <f>IF(1&lt;Eroeffnungsmonat,0,ROUND(AfA_Jahr/12,0))</f>
        <v>0</v>
      </c>
      <c r="E53" s="79">
        <f>IF(2&lt;Eroeffnungsmonat,0,ROUND(AfA_Jahr/12,0))</f>
        <v>0</v>
      </c>
      <c r="F53" s="79">
        <f>IF(3&lt;Eroeffnungsmonat,0,ROUND(AfA_Jahr/12,0))</f>
        <v>9157</v>
      </c>
      <c r="G53" s="79">
        <f>IF(4&lt;Eroeffnungsmonat,0,ROUND(AfA_Jahr/12,0))</f>
        <v>9157</v>
      </c>
      <c r="H53" s="79">
        <f>IF(5&lt;Eroeffnungsmonat,0,ROUND(AfA_Jahr/12,0))</f>
        <v>9157</v>
      </c>
      <c r="I53" s="79">
        <f>IF(6&lt;Eroeffnungsmonat,0,ROUND(AfA_Jahr/12,0))</f>
        <v>9157</v>
      </c>
      <c r="J53" s="79">
        <f>IF(7&lt;Eroeffnungsmonat,0,ROUND(AfA_Jahr/12,0))</f>
        <v>9157</v>
      </c>
      <c r="K53" s="79">
        <f>IF(8&lt;Eroeffnungsmonat,0,ROUND(AfA_Jahr/12,0))</f>
        <v>9157</v>
      </c>
      <c r="L53" s="79">
        <f>IF(9&lt;Eroeffnungsmonat,0,ROUND(AfA_Jahr/12,0))</f>
        <v>9157</v>
      </c>
      <c r="M53" s="79">
        <f>IF(10&lt;Eroeffnungsmonat,0,ROUND(AfA_Jahr/12,0))</f>
        <v>9157</v>
      </c>
      <c r="N53" s="79">
        <f>IF(11&lt;Eroeffnungsmonat,0,ROUND(AfA_Jahr/12,0))</f>
        <v>9157</v>
      </c>
      <c r="O53" s="79">
        <f>IF(12&lt;Eroeffnungsmonat,0,ROUND(AfA_Jahr/12,0))</f>
        <v>9157</v>
      </c>
      <c r="P53" s="79">
        <f>SUM(D53:O53)</f>
        <v>91570</v>
      </c>
      <c r="Q53" s="101">
        <f>IFERROR(P53/$P$30,0)</f>
        <v>0.11611437208588685</v>
      </c>
    </row>
    <row r="54" spans="2:17" ht="13.5" customHeight="1" x14ac:dyDescent="0.25">
      <c r="C54" s="78" t="s">
        <v>59</v>
      </c>
      <c r="D54" s="79">
        <f t="shared" ref="D54:O54" si="19">ROUND(Zins_J1/12,0)</f>
        <v>3260</v>
      </c>
      <c r="E54" s="79">
        <f t="shared" si="19"/>
        <v>3260</v>
      </c>
      <c r="F54" s="79">
        <f t="shared" si="19"/>
        <v>3260</v>
      </c>
      <c r="G54" s="79">
        <f t="shared" si="19"/>
        <v>3260</v>
      </c>
      <c r="H54" s="79">
        <f t="shared" si="19"/>
        <v>3260</v>
      </c>
      <c r="I54" s="79">
        <f t="shared" si="19"/>
        <v>3260</v>
      </c>
      <c r="J54" s="79">
        <f t="shared" si="19"/>
        <v>3260</v>
      </c>
      <c r="K54" s="79">
        <f t="shared" si="19"/>
        <v>3260</v>
      </c>
      <c r="L54" s="79">
        <f t="shared" si="19"/>
        <v>3260</v>
      </c>
      <c r="M54" s="79">
        <f t="shared" si="19"/>
        <v>3260</v>
      </c>
      <c r="N54" s="79">
        <f t="shared" si="19"/>
        <v>3260</v>
      </c>
      <c r="O54" s="79">
        <f t="shared" si="19"/>
        <v>3260</v>
      </c>
      <c r="P54" s="79">
        <f>SUM(D54:O54)</f>
        <v>39120</v>
      </c>
      <c r="Q54" s="101">
        <f>IFERROR(P54/$P$30,0)</f>
        <v>4.96057031342131E-2</v>
      </c>
    </row>
    <row r="55" spans="2:17" ht="16.5" customHeight="1" x14ac:dyDescent="0.25">
      <c r="C55" s="30" t="s">
        <v>445</v>
      </c>
      <c r="D55" s="31">
        <f t="shared" ref="D55:O55" si="20">D51-D53-D54</f>
        <v>-24376</v>
      </c>
      <c r="E55" s="31">
        <f t="shared" si="20"/>
        <v>-32997</v>
      </c>
      <c r="F55" s="31">
        <f t="shared" si="20"/>
        <v>-26595</v>
      </c>
      <c r="G55" s="31">
        <f t="shared" si="20"/>
        <v>-19195</v>
      </c>
      <c r="H55" s="31">
        <f t="shared" si="20"/>
        <v>-5670</v>
      </c>
      <c r="I55" s="31">
        <f t="shared" si="20"/>
        <v>5231</v>
      </c>
      <c r="J55" s="31">
        <f t="shared" si="20"/>
        <v>13167</v>
      </c>
      <c r="K55" s="31">
        <f t="shared" si="20"/>
        <v>16834</v>
      </c>
      <c r="L55" s="31">
        <f t="shared" si="20"/>
        <v>17141</v>
      </c>
      <c r="M55" s="31">
        <f t="shared" si="20"/>
        <v>12642</v>
      </c>
      <c r="N55" s="31">
        <f t="shared" si="20"/>
        <v>-3781</v>
      </c>
      <c r="O55" s="31">
        <f t="shared" si="20"/>
        <v>-5395</v>
      </c>
      <c r="P55" s="31">
        <f>SUM(D55:O55)</f>
        <v>-52994</v>
      </c>
      <c r="Q55" s="33">
        <f>IFERROR(P55/$P$30,0)</f>
        <v>-6.7198482410390822E-2</v>
      </c>
    </row>
    <row r="56" spans="2:17" ht="13.5" customHeight="1" x14ac:dyDescent="0.25">
      <c r="C56" s="78" t="s">
        <v>446</v>
      </c>
      <c r="D56" s="79">
        <f t="shared" ref="D56:O56" si="21">ROUND(MAX(0,D55)*Steuersatz,0)</f>
        <v>0</v>
      </c>
      <c r="E56" s="79">
        <f t="shared" si="21"/>
        <v>0</v>
      </c>
      <c r="F56" s="79">
        <f t="shared" si="21"/>
        <v>0</v>
      </c>
      <c r="G56" s="79">
        <f t="shared" si="21"/>
        <v>0</v>
      </c>
      <c r="H56" s="79">
        <f t="shared" si="21"/>
        <v>0</v>
      </c>
      <c r="I56" s="79">
        <f t="shared" si="21"/>
        <v>1569</v>
      </c>
      <c r="J56" s="79">
        <f t="shared" si="21"/>
        <v>3950</v>
      </c>
      <c r="K56" s="79">
        <f t="shared" si="21"/>
        <v>5050</v>
      </c>
      <c r="L56" s="79">
        <f t="shared" si="21"/>
        <v>5142</v>
      </c>
      <c r="M56" s="79">
        <f t="shared" si="21"/>
        <v>3793</v>
      </c>
      <c r="N56" s="79">
        <f t="shared" si="21"/>
        <v>0</v>
      </c>
      <c r="O56" s="79">
        <f t="shared" si="21"/>
        <v>0</v>
      </c>
      <c r="P56" s="79">
        <f>SUM(D56:O56)</f>
        <v>19504</v>
      </c>
      <c r="Q56" s="101">
        <f>IFERROR(P56/$P$30,0)</f>
        <v>2.4731841358120968E-2</v>
      </c>
    </row>
    <row r="57" spans="2:17" ht="18.75" customHeight="1" x14ac:dyDescent="0.25">
      <c r="C57" s="29" t="s">
        <v>447</v>
      </c>
      <c r="D57" s="65">
        <f t="shared" ref="D57:O57" si="22">D55-D56</f>
        <v>-24376</v>
      </c>
      <c r="E57" s="65">
        <f t="shared" si="22"/>
        <v>-32997</v>
      </c>
      <c r="F57" s="65">
        <f t="shared" si="22"/>
        <v>-26595</v>
      </c>
      <c r="G57" s="65">
        <f t="shared" si="22"/>
        <v>-19195</v>
      </c>
      <c r="H57" s="65">
        <f t="shared" si="22"/>
        <v>-5670</v>
      </c>
      <c r="I57" s="65">
        <f t="shared" si="22"/>
        <v>3662</v>
      </c>
      <c r="J57" s="65">
        <f t="shared" si="22"/>
        <v>9217</v>
      </c>
      <c r="K57" s="65">
        <f t="shared" si="22"/>
        <v>11784</v>
      </c>
      <c r="L57" s="65">
        <f t="shared" si="22"/>
        <v>11999</v>
      </c>
      <c r="M57" s="65">
        <f t="shared" si="22"/>
        <v>8849</v>
      </c>
      <c r="N57" s="65">
        <f t="shared" si="22"/>
        <v>-3781</v>
      </c>
      <c r="O57" s="65">
        <f t="shared" si="22"/>
        <v>-5395</v>
      </c>
      <c r="P57" s="65">
        <f>SUM(D57:O57)</f>
        <v>-72498</v>
      </c>
      <c r="Q57" s="71">
        <f>IFERROR(P57/$P$30,0)</f>
        <v>-9.193032376851179E-2</v>
      </c>
    </row>
    <row r="58" spans="2:17" ht="16.5" customHeight="1" x14ac:dyDescent="0.25">
      <c r="C58" s="30" t="s">
        <v>65</v>
      </c>
      <c r="D58" s="31">
        <f>D57</f>
        <v>-24376</v>
      </c>
      <c r="E58" s="31">
        <f t="shared" ref="E58:O58" si="23">D58+E57</f>
        <v>-57373</v>
      </c>
      <c r="F58" s="31">
        <f t="shared" si="23"/>
        <v>-83968</v>
      </c>
      <c r="G58" s="31">
        <f t="shared" si="23"/>
        <v>-103163</v>
      </c>
      <c r="H58" s="31">
        <f t="shared" si="23"/>
        <v>-108833</v>
      </c>
      <c r="I58" s="31">
        <f t="shared" si="23"/>
        <v>-105171</v>
      </c>
      <c r="J58" s="31">
        <f t="shared" si="23"/>
        <v>-95954</v>
      </c>
      <c r="K58" s="31">
        <f t="shared" si="23"/>
        <v>-84170</v>
      </c>
      <c r="L58" s="31">
        <f t="shared" si="23"/>
        <v>-72171</v>
      </c>
      <c r="M58" s="31">
        <f t="shared" si="23"/>
        <v>-63322</v>
      </c>
      <c r="N58" s="31">
        <f t="shared" si="23"/>
        <v>-67103</v>
      </c>
      <c r="O58" s="31">
        <f t="shared" si="23"/>
        <v>-72498</v>
      </c>
      <c r="P58" s="31">
        <f>O58</f>
        <v>-72498</v>
      </c>
      <c r="Q58" s="95"/>
    </row>
    <row r="59" spans="2:17" ht="13.5" customHeight="1" x14ac:dyDescent="0.25">
      <c r="C59" s="96" t="s">
        <v>448</v>
      </c>
      <c r="D59" s="103">
        <f t="shared" ref="D59:O59" si="24">D57+D53</f>
        <v>-24376</v>
      </c>
      <c r="E59" s="103">
        <f t="shared" si="24"/>
        <v>-32997</v>
      </c>
      <c r="F59" s="103">
        <f t="shared" si="24"/>
        <v>-17438</v>
      </c>
      <c r="G59" s="103">
        <f t="shared" si="24"/>
        <v>-10038</v>
      </c>
      <c r="H59" s="103">
        <f t="shared" si="24"/>
        <v>3487</v>
      </c>
      <c r="I59" s="103">
        <f t="shared" si="24"/>
        <v>12819</v>
      </c>
      <c r="J59" s="103">
        <f t="shared" si="24"/>
        <v>18374</v>
      </c>
      <c r="K59" s="103">
        <f t="shared" si="24"/>
        <v>20941</v>
      </c>
      <c r="L59" s="103">
        <f t="shared" si="24"/>
        <v>21156</v>
      </c>
      <c r="M59" s="103">
        <f t="shared" si="24"/>
        <v>18006</v>
      </c>
      <c r="N59" s="103">
        <f t="shared" si="24"/>
        <v>5376</v>
      </c>
      <c r="O59" s="103">
        <f t="shared" si="24"/>
        <v>3762</v>
      </c>
      <c r="P59" s="103">
        <f>SUM(D59:O59)</f>
        <v>19072</v>
      </c>
      <c r="Q59" s="97">
        <f>IFERROR(P59/$P$30,0)</f>
        <v>2.4184048317375056E-2</v>
      </c>
    </row>
    <row r="62" spans="2:17" ht="21" customHeight="1" x14ac:dyDescent="0.25">
      <c r="B62" s="19" t="s">
        <v>43</v>
      </c>
      <c r="C62" s="8" t="s">
        <v>449</v>
      </c>
      <c r="D62" s="8"/>
      <c r="E62" s="8"/>
      <c r="F62" s="8"/>
      <c r="G62" s="8"/>
      <c r="H62" s="8"/>
      <c r="I62" s="8"/>
      <c r="J62" s="8"/>
      <c r="K62" s="7" t="s">
        <v>450</v>
      </c>
      <c r="L62" s="7"/>
      <c r="M62" s="7"/>
      <c r="N62" s="7"/>
      <c r="O62" s="7"/>
      <c r="P62" s="7"/>
      <c r="Q62" s="7"/>
    </row>
    <row r="63" spans="2:17" ht="19.5" customHeight="1" x14ac:dyDescent="0.25">
      <c r="C63" s="24" t="s">
        <v>46</v>
      </c>
      <c r="D63" s="130" t="s">
        <v>47</v>
      </c>
      <c r="E63" s="130"/>
      <c r="F63" s="25" t="s">
        <v>329</v>
      </c>
      <c r="G63" s="130" t="s">
        <v>48</v>
      </c>
      <c r="H63" s="130"/>
      <c r="I63" s="25" t="s">
        <v>329</v>
      </c>
      <c r="J63" s="130" t="s">
        <v>49</v>
      </c>
      <c r="K63" s="130"/>
      <c r="L63" s="25" t="s">
        <v>329</v>
      </c>
      <c r="M63" s="129" t="s">
        <v>330</v>
      </c>
      <c r="N63" s="129"/>
      <c r="O63" s="129"/>
      <c r="P63" s="129"/>
      <c r="Q63" s="129"/>
    </row>
    <row r="64" spans="2:17" ht="13.5" customHeight="1" x14ac:dyDescent="0.25">
      <c r="C64" s="78" t="s">
        <v>73</v>
      </c>
      <c r="D64" s="171">
        <f>P24</f>
        <v>544360</v>
      </c>
      <c r="E64" s="171"/>
      <c r="F64" s="101">
        <f t="shared" ref="F64:F72" si="25">IFERROR(D64/D$66,0)</f>
        <v>0.69026995291769533</v>
      </c>
      <c r="G64" s="171">
        <f>ROUND(Zimmer_gesamt*365*Auslastung_J2*ADR_gewichtet*(1+ADR_J2),0)</f>
        <v>785310</v>
      </c>
      <c r="H64" s="171"/>
      <c r="I64" s="101">
        <f t="shared" ref="I64:I72" si="26">IFERROR(G64/G$66,0)</f>
        <v>0.69411078407976035</v>
      </c>
      <c r="J64" s="171">
        <f>ROUND(Zimmer_gesamt*365*Auslastung_J3*ADR_gewichtet*(1+ADR_J2)*(1+ADR_J3),0)</f>
        <v>848135</v>
      </c>
      <c r="K64" s="171"/>
      <c r="L64" s="101">
        <f t="shared" ref="L64:L72" si="27">IFERROR(J64/J$66,0)</f>
        <v>0.69538128787400511</v>
      </c>
      <c r="M64" s="133" t="s">
        <v>451</v>
      </c>
      <c r="N64" s="133"/>
      <c r="O64" s="133"/>
      <c r="P64" s="133"/>
      <c r="Q64" s="133"/>
    </row>
    <row r="65" spans="3:17" ht="13.5" customHeight="1" x14ac:dyDescent="0.25">
      <c r="C65" s="78" t="s">
        <v>75</v>
      </c>
      <c r="D65" s="171">
        <f>P29</f>
        <v>244259</v>
      </c>
      <c r="E65" s="171"/>
      <c r="F65" s="101">
        <f t="shared" si="25"/>
        <v>0.30973004708230462</v>
      </c>
      <c r="G65" s="171">
        <f>ROUND(Zimmer_gesamt*365*Auslastung_J2*(Pers_je_Zimmer*Fruehstuecksquote*Fruehstueckspreis+FB_je_Zimmer+Sonstige_je_Zimmer)*(1+ADR_J2)+Annahmen!$H$72*12/(13-Eroeffnungsmonat)*(1+ADR_J2),0)</f>
        <v>346080</v>
      </c>
      <c r="H65" s="171"/>
      <c r="I65" s="101">
        <f t="shared" si="26"/>
        <v>0.30588921592023971</v>
      </c>
      <c r="J65" s="171">
        <f>ROUND(Zimmer_gesamt*365*Auslastung_J3*(Pers_je_Zimmer*Fruehstuecksquote*Fruehstueckspreis+FB_je_Zimmer+Sonstige_je_Zimmer)*(1+ADR_J2)*(1+ADR_J3)+Annahmen!$H$72*12/(13-Eroeffnungsmonat)*(1+ADR_J2)*(1+ADR_J3),0)</f>
        <v>371534</v>
      </c>
      <c r="K65" s="171"/>
      <c r="L65" s="101">
        <f t="shared" si="27"/>
        <v>0.30461871212599484</v>
      </c>
      <c r="M65" s="133" t="s">
        <v>76</v>
      </c>
      <c r="N65" s="133"/>
      <c r="O65" s="133"/>
      <c r="P65" s="133"/>
      <c r="Q65" s="133"/>
    </row>
    <row r="66" spans="3:17" ht="18.75" customHeight="1" x14ac:dyDescent="0.25">
      <c r="C66" s="29" t="s">
        <v>425</v>
      </c>
      <c r="D66" s="172">
        <f>D64+D65</f>
        <v>788619</v>
      </c>
      <c r="E66" s="172"/>
      <c r="F66" s="71">
        <f t="shared" si="25"/>
        <v>1</v>
      </c>
      <c r="G66" s="172">
        <f>G64+G65</f>
        <v>1131390</v>
      </c>
      <c r="H66" s="172"/>
      <c r="I66" s="71">
        <f t="shared" si="26"/>
        <v>1</v>
      </c>
      <c r="J66" s="172">
        <f>J64+J65</f>
        <v>1219669</v>
      </c>
      <c r="K66" s="172"/>
      <c r="L66" s="71">
        <f t="shared" si="27"/>
        <v>1</v>
      </c>
      <c r="M66" s="139" t="s">
        <v>452</v>
      </c>
      <c r="N66" s="139"/>
      <c r="O66" s="139"/>
      <c r="P66" s="139"/>
      <c r="Q66" s="139"/>
    </row>
    <row r="67" spans="3:17" ht="13.5" customHeight="1" x14ac:dyDescent="0.25">
      <c r="C67" s="78" t="s">
        <v>77</v>
      </c>
      <c r="D67" s="171">
        <f>P36</f>
        <v>63032</v>
      </c>
      <c r="E67" s="171"/>
      <c r="F67" s="101">
        <f t="shared" si="25"/>
        <v>7.9927062371056234E-2</v>
      </c>
      <c r="G67" s="171">
        <f>ROUND(Annahmen!$G$87*G65,0)</f>
        <v>96902</v>
      </c>
      <c r="H67" s="171"/>
      <c r="I67" s="101">
        <f t="shared" si="26"/>
        <v>8.5648626910260831E-2</v>
      </c>
      <c r="J67" s="171">
        <f>ROUND(Annahmen!$G$87*J65,0)</f>
        <v>104030</v>
      </c>
      <c r="K67" s="171"/>
      <c r="L67" s="101">
        <f t="shared" si="27"/>
        <v>8.5293632944675971E-2</v>
      </c>
      <c r="M67" s="133" t="s">
        <v>453</v>
      </c>
      <c r="N67" s="133"/>
      <c r="O67" s="133"/>
      <c r="P67" s="133"/>
      <c r="Q67" s="133"/>
    </row>
    <row r="68" spans="3:17" ht="13.5" customHeight="1" x14ac:dyDescent="0.25">
      <c r="C68" s="78" t="s">
        <v>79</v>
      </c>
      <c r="D68" s="171">
        <f>P37</f>
        <v>349692</v>
      </c>
      <c r="E68" s="171"/>
      <c r="F68" s="101">
        <f t="shared" si="25"/>
        <v>0.44342325001046135</v>
      </c>
      <c r="G68" s="171">
        <f>ROUND(Annahmen!$G$83*12*(1+Kostensteigerung),0)</f>
        <v>408028</v>
      </c>
      <c r="H68" s="171"/>
      <c r="I68" s="101">
        <f t="shared" si="26"/>
        <v>0.36064310273203759</v>
      </c>
      <c r="J68" s="171">
        <f>ROUND(Annahmen!$G$83*12*(1+Kostensteigerung)^2,0)</f>
        <v>418229</v>
      </c>
      <c r="K68" s="171"/>
      <c r="L68" s="101">
        <f t="shared" si="27"/>
        <v>0.34290368944361133</v>
      </c>
      <c r="M68" s="133" t="s">
        <v>454</v>
      </c>
      <c r="N68" s="133"/>
      <c r="O68" s="133"/>
      <c r="P68" s="133"/>
      <c r="Q68" s="133"/>
    </row>
    <row r="69" spans="3:17" ht="13.5" customHeight="1" x14ac:dyDescent="0.25">
      <c r="C69" s="78" t="s">
        <v>81</v>
      </c>
      <c r="D69" s="171">
        <f>P39+P40+P41+P43</f>
        <v>111599</v>
      </c>
      <c r="E69" s="171"/>
      <c r="F69" s="101">
        <f t="shared" si="25"/>
        <v>0.14151193415324764</v>
      </c>
      <c r="G69" s="171">
        <f>ROUND((Annahmen!$G$89+Annahmen!$G$90)*Zimmer_gesamt*365*Auslastung_J2*(1+Kostensteigerung)+G64*OTA_Anteil*Annahmen!$G$91+G66*Annahmen!$G$93,0)</f>
        <v>160432</v>
      </c>
      <c r="H69" s="171"/>
      <c r="I69" s="101">
        <f t="shared" si="26"/>
        <v>0.14180079371392712</v>
      </c>
      <c r="J69" s="171">
        <f>ROUND((Annahmen!$G$89+Annahmen!$G$90)*Zimmer_gesamt*365*Auslastung_J3*(1+Kostensteigerung)^2+J64*OTA_Anteil*Annahmen!$G$91+J66*Annahmen!$G$93,0)</f>
        <v>173631</v>
      </c>
      <c r="K69" s="171"/>
      <c r="L69" s="101">
        <f t="shared" si="27"/>
        <v>0.14235911546493352</v>
      </c>
      <c r="M69" s="133" t="s">
        <v>82</v>
      </c>
      <c r="N69" s="133"/>
      <c r="O69" s="133"/>
      <c r="P69" s="133"/>
      <c r="Q69" s="133"/>
    </row>
    <row r="70" spans="3:17" ht="13.5" customHeight="1" x14ac:dyDescent="0.25">
      <c r="C70" s="78" t="s">
        <v>83</v>
      </c>
      <c r="D70" s="171">
        <f>P38+P42+P44+P45+P46+P47+P48</f>
        <v>186600</v>
      </c>
      <c r="E70" s="171"/>
      <c r="F70" s="101">
        <f t="shared" si="25"/>
        <v>0.23661616065552568</v>
      </c>
      <c r="G70" s="171">
        <f>ROUND(Annahmen!$F$99*12*(1+Kostensteigerung),0)</f>
        <v>191265</v>
      </c>
      <c r="H70" s="171"/>
      <c r="I70" s="101">
        <f t="shared" si="26"/>
        <v>0.16905311165910958</v>
      </c>
      <c r="J70" s="171">
        <f>ROUND(Annahmen!$F$99*12*(1+Kostensteigerung)^2,0)</f>
        <v>196047</v>
      </c>
      <c r="K70" s="171"/>
      <c r="L70" s="101">
        <f t="shared" si="27"/>
        <v>0.16073787232437653</v>
      </c>
      <c r="M70" s="133" t="s">
        <v>455</v>
      </c>
      <c r="N70" s="133"/>
      <c r="O70" s="133"/>
      <c r="P70" s="133"/>
      <c r="Q70" s="133"/>
    </row>
    <row r="71" spans="3:17" ht="16.5" customHeight="1" x14ac:dyDescent="0.25">
      <c r="C71" s="30" t="s">
        <v>442</v>
      </c>
      <c r="D71" s="142">
        <f>D67+D68+D69+D70</f>
        <v>710923</v>
      </c>
      <c r="E71" s="142"/>
      <c r="F71" s="33">
        <f t="shared" si="25"/>
        <v>0.90147840719029082</v>
      </c>
      <c r="G71" s="142">
        <f>G67+G68+G69+G70</f>
        <v>856627</v>
      </c>
      <c r="H71" s="142"/>
      <c r="I71" s="33">
        <f t="shared" si="26"/>
        <v>0.75714563501533516</v>
      </c>
      <c r="J71" s="142">
        <f>J67+J68+J69+J70</f>
        <v>891937</v>
      </c>
      <c r="K71" s="142"/>
      <c r="L71" s="33">
        <f t="shared" si="27"/>
        <v>0.73129431017759738</v>
      </c>
      <c r="M71" s="143" t="s">
        <v>456</v>
      </c>
      <c r="N71" s="143"/>
      <c r="O71" s="143"/>
      <c r="P71" s="143"/>
      <c r="Q71" s="143"/>
    </row>
    <row r="72" spans="3:17" ht="18.75" customHeight="1" x14ac:dyDescent="0.25">
      <c r="C72" s="29" t="s">
        <v>444</v>
      </c>
      <c r="D72" s="172">
        <f>D66-D71</f>
        <v>77696</v>
      </c>
      <c r="E72" s="172"/>
      <c r="F72" s="71">
        <f t="shared" si="25"/>
        <v>9.8521592809709124E-2</v>
      </c>
      <c r="G72" s="172">
        <f>G66-G71</f>
        <v>274763</v>
      </c>
      <c r="H72" s="172"/>
      <c r="I72" s="71">
        <f t="shared" si="26"/>
        <v>0.24285436498466489</v>
      </c>
      <c r="J72" s="172">
        <f>J66-J71</f>
        <v>327732</v>
      </c>
      <c r="K72" s="172"/>
      <c r="L72" s="71">
        <f t="shared" si="27"/>
        <v>0.26870568982240262</v>
      </c>
      <c r="M72" s="139" t="s">
        <v>457</v>
      </c>
      <c r="N72" s="139"/>
      <c r="O72" s="139"/>
      <c r="P72" s="139"/>
      <c r="Q72" s="139"/>
    </row>
    <row r="73" spans="3:17" ht="13.5" customHeight="1" x14ac:dyDescent="0.25">
      <c r="C73" s="96" t="s">
        <v>55</v>
      </c>
      <c r="D73" s="173">
        <f>IFERROR(D72/D66,0)</f>
        <v>9.8521592809709124E-2</v>
      </c>
      <c r="E73" s="173"/>
      <c r="F73" s="97"/>
      <c r="G73" s="173">
        <f>IFERROR(G72/G66,0)</f>
        <v>0.24285436498466489</v>
      </c>
      <c r="H73" s="173"/>
      <c r="I73" s="97"/>
      <c r="J73" s="173">
        <f>IFERROR(J72/J66,0)</f>
        <v>0.26870568982240262</v>
      </c>
      <c r="K73" s="173"/>
      <c r="L73" s="97"/>
      <c r="M73" s="136" t="s">
        <v>458</v>
      </c>
      <c r="N73" s="136"/>
      <c r="O73" s="136"/>
      <c r="P73" s="136"/>
      <c r="Q73" s="136"/>
    </row>
    <row r="74" spans="3:17" ht="13.5" customHeight="1" x14ac:dyDescent="0.25">
      <c r="C74" s="78" t="s">
        <v>57</v>
      </c>
      <c r="D74" s="171">
        <f>P53</f>
        <v>91570</v>
      </c>
      <c r="E74" s="171"/>
      <c r="F74" s="101">
        <f t="shared" ref="F74:F80" si="28">IFERROR(D74/D$66,0)</f>
        <v>0.11611437208588685</v>
      </c>
      <c r="G74" s="171">
        <f>AfA_Jahr</f>
        <v>109880</v>
      </c>
      <c r="H74" s="171"/>
      <c r="I74" s="101">
        <f t="shared" ref="I74:I80" si="29">IFERROR(G74/G$66,0)</f>
        <v>9.7119472507269822E-2</v>
      </c>
      <c r="J74" s="171">
        <f>AfA_Jahr</f>
        <v>109880</v>
      </c>
      <c r="K74" s="171"/>
      <c r="L74" s="101">
        <f t="shared" ref="L74:L80" si="30">IFERROR(J74/J$66,0)</f>
        <v>9.0090016225713693E-2</v>
      </c>
      <c r="M74" s="133" t="s">
        <v>58</v>
      </c>
      <c r="N74" s="133"/>
      <c r="O74" s="133"/>
      <c r="P74" s="133"/>
      <c r="Q74" s="133"/>
    </row>
    <row r="75" spans="3:17" ht="13.5" customHeight="1" x14ac:dyDescent="0.25">
      <c r="C75" s="78" t="s">
        <v>59</v>
      </c>
      <c r="D75" s="171">
        <f>P54</f>
        <v>39120</v>
      </c>
      <c r="E75" s="171"/>
      <c r="F75" s="101">
        <f t="shared" si="28"/>
        <v>4.96057031342131E-2</v>
      </c>
      <c r="G75" s="171">
        <f>Zins_J2</f>
        <v>39120</v>
      </c>
      <c r="H75" s="171"/>
      <c r="I75" s="101">
        <f t="shared" si="29"/>
        <v>3.4576936334950813E-2</v>
      </c>
      <c r="J75" s="171">
        <f>Zins_J3</f>
        <v>35932</v>
      </c>
      <c r="K75" s="171"/>
      <c r="L75" s="101">
        <f t="shared" si="30"/>
        <v>2.9460451975085043E-2</v>
      </c>
      <c r="M75" s="133" t="s">
        <v>459</v>
      </c>
      <c r="N75" s="133"/>
      <c r="O75" s="133"/>
      <c r="P75" s="133"/>
      <c r="Q75" s="133"/>
    </row>
    <row r="76" spans="3:17" ht="16.5" customHeight="1" x14ac:dyDescent="0.25">
      <c r="C76" s="30" t="s">
        <v>445</v>
      </c>
      <c r="D76" s="142">
        <f>D72-D74-D75</f>
        <v>-52994</v>
      </c>
      <c r="E76" s="142"/>
      <c r="F76" s="33">
        <f t="shared" si="28"/>
        <v>-6.7198482410390822E-2</v>
      </c>
      <c r="G76" s="142">
        <f>G72-G74-G75</f>
        <v>125763</v>
      </c>
      <c r="H76" s="142"/>
      <c r="I76" s="33">
        <f t="shared" si="29"/>
        <v>0.11115795614244425</v>
      </c>
      <c r="J76" s="142">
        <f>J72-J74-J75</f>
        <v>181920</v>
      </c>
      <c r="K76" s="142"/>
      <c r="L76" s="33">
        <f t="shared" si="30"/>
        <v>0.14915522162160388</v>
      </c>
      <c r="M76" s="143" t="s">
        <v>460</v>
      </c>
      <c r="N76" s="143"/>
      <c r="O76" s="143"/>
      <c r="P76" s="143"/>
      <c r="Q76" s="143"/>
    </row>
    <row r="77" spans="3:17" ht="13.5" customHeight="1" x14ac:dyDescent="0.25">
      <c r="C77" s="78" t="s">
        <v>446</v>
      </c>
      <c r="D77" s="171">
        <f>ROUND(MAX(0,D76)*Steuersatz,0)</f>
        <v>0</v>
      </c>
      <c r="E77" s="171"/>
      <c r="F77" s="101">
        <f t="shared" si="28"/>
        <v>0</v>
      </c>
      <c r="G77" s="171">
        <f>ROUND(MAX(0,G76)*Steuersatz,0)</f>
        <v>37729</v>
      </c>
      <c r="H77" s="171"/>
      <c r="I77" s="101">
        <f t="shared" si="29"/>
        <v>3.3347475229584846E-2</v>
      </c>
      <c r="J77" s="171">
        <f>ROUND(MAX(0,J76)*Steuersatz,0)</f>
        <v>54576</v>
      </c>
      <c r="K77" s="171"/>
      <c r="L77" s="101">
        <f t="shared" si="30"/>
        <v>4.4746566486481169E-2</v>
      </c>
      <c r="M77" s="133" t="s">
        <v>461</v>
      </c>
      <c r="N77" s="133"/>
      <c r="O77" s="133"/>
      <c r="P77" s="133"/>
      <c r="Q77" s="133"/>
    </row>
    <row r="78" spans="3:17" ht="18.75" customHeight="1" x14ac:dyDescent="0.25">
      <c r="C78" s="29" t="s">
        <v>447</v>
      </c>
      <c r="D78" s="172">
        <f>D76-D77</f>
        <v>-52994</v>
      </c>
      <c r="E78" s="172"/>
      <c r="F78" s="71">
        <f t="shared" si="28"/>
        <v>-6.7198482410390822E-2</v>
      </c>
      <c r="G78" s="172">
        <f>G76-G77</f>
        <v>88034</v>
      </c>
      <c r="H78" s="172"/>
      <c r="I78" s="71">
        <f t="shared" si="29"/>
        <v>7.78104809128594E-2</v>
      </c>
      <c r="J78" s="172">
        <f>J76-J77</f>
        <v>127344</v>
      </c>
      <c r="K78" s="172"/>
      <c r="L78" s="71">
        <f t="shared" si="30"/>
        <v>0.10440865513512272</v>
      </c>
      <c r="M78" s="139" t="s">
        <v>62</v>
      </c>
      <c r="N78" s="139"/>
      <c r="O78" s="139"/>
      <c r="P78" s="139"/>
      <c r="Q78" s="139"/>
    </row>
    <row r="79" spans="3:17" ht="13.5" customHeight="1" x14ac:dyDescent="0.25">
      <c r="C79" s="96" t="s">
        <v>448</v>
      </c>
      <c r="D79" s="174">
        <f>D78+D74</f>
        <v>38576</v>
      </c>
      <c r="E79" s="174"/>
      <c r="F79" s="97">
        <f t="shared" si="28"/>
        <v>4.8915889675496024E-2</v>
      </c>
      <c r="G79" s="174">
        <f>G78+G74</f>
        <v>197914</v>
      </c>
      <c r="H79" s="174"/>
      <c r="I79" s="97">
        <f t="shared" si="29"/>
        <v>0.17492995342012921</v>
      </c>
      <c r="J79" s="174">
        <f>J78+J74</f>
        <v>237224</v>
      </c>
      <c r="K79" s="174"/>
      <c r="L79" s="97">
        <f t="shared" si="30"/>
        <v>0.19449867136083643</v>
      </c>
      <c r="M79" s="136" t="s">
        <v>64</v>
      </c>
      <c r="N79" s="136"/>
      <c r="O79" s="136"/>
      <c r="P79" s="136"/>
      <c r="Q79" s="136"/>
    </row>
    <row r="80" spans="3:17" ht="16.5" customHeight="1" x14ac:dyDescent="0.25">
      <c r="C80" s="30" t="s">
        <v>65</v>
      </c>
      <c r="D80" s="142">
        <f>D78</f>
        <v>-52994</v>
      </c>
      <c r="E80" s="142"/>
      <c r="F80" s="33">
        <f t="shared" si="28"/>
        <v>-6.7198482410390822E-2</v>
      </c>
      <c r="G80" s="142">
        <f>D80+G78</f>
        <v>35040</v>
      </c>
      <c r="H80" s="142"/>
      <c r="I80" s="33">
        <f t="shared" si="29"/>
        <v>3.0970752790814838E-2</v>
      </c>
      <c r="J80" s="142">
        <f>G80+J78</f>
        <v>162384</v>
      </c>
      <c r="K80" s="142"/>
      <c r="L80" s="33">
        <f t="shared" si="30"/>
        <v>0.13313776114667175</v>
      </c>
      <c r="M80" s="143" t="s">
        <v>462</v>
      </c>
      <c r="N80" s="143"/>
      <c r="O80" s="143"/>
      <c r="P80" s="143"/>
      <c r="Q80" s="143"/>
    </row>
    <row r="82" spans="2:17" ht="21" customHeight="1" x14ac:dyDescent="0.25">
      <c r="B82" s="19" t="s">
        <v>67</v>
      </c>
      <c r="C82" s="8" t="s">
        <v>463</v>
      </c>
      <c r="D82" s="8"/>
      <c r="E82" s="8"/>
      <c r="F82" s="8"/>
      <c r="G82" s="8"/>
      <c r="H82" s="8"/>
      <c r="I82" s="8"/>
      <c r="J82" s="8"/>
      <c r="K82" s="7" t="s">
        <v>464</v>
      </c>
      <c r="L82" s="7"/>
      <c r="M82" s="7"/>
      <c r="N82" s="7"/>
      <c r="O82" s="7"/>
      <c r="P82" s="7"/>
      <c r="Q82" s="7"/>
    </row>
    <row r="83" spans="2:17" ht="19.5" customHeight="1" x14ac:dyDescent="0.25">
      <c r="C83" s="24" t="s">
        <v>395</v>
      </c>
      <c r="D83" s="130" t="s">
        <v>465</v>
      </c>
      <c r="E83" s="130"/>
      <c r="F83" s="25" t="s">
        <v>466</v>
      </c>
      <c r="G83" s="129" t="s">
        <v>330</v>
      </c>
      <c r="H83" s="129"/>
      <c r="I83" s="129"/>
      <c r="J83" s="129"/>
      <c r="K83" s="129"/>
      <c r="L83" s="129"/>
      <c r="M83" s="129"/>
      <c r="N83" s="129"/>
      <c r="O83" s="129"/>
      <c r="P83" s="129"/>
      <c r="Q83" s="129"/>
    </row>
    <row r="84" spans="2:17" ht="15.75" customHeight="1" x14ac:dyDescent="0.25">
      <c r="C84" s="30" t="s">
        <v>467</v>
      </c>
      <c r="D84" s="175">
        <f>G70+G68+G74+G75</f>
        <v>748293</v>
      </c>
      <c r="E84" s="175"/>
      <c r="F84" s="64" t="s">
        <v>468</v>
      </c>
      <c r="G84" s="133" t="s">
        <v>469</v>
      </c>
      <c r="H84" s="133"/>
      <c r="I84" s="133"/>
      <c r="J84" s="133"/>
      <c r="K84" s="133"/>
      <c r="L84" s="133"/>
      <c r="M84" s="133"/>
      <c r="N84" s="133"/>
      <c r="O84" s="133"/>
      <c r="P84" s="133"/>
      <c r="Q84" s="133"/>
    </row>
    <row r="85" spans="2:17" ht="15.75" customHeight="1" x14ac:dyDescent="0.25">
      <c r="C85" s="30" t="s">
        <v>470</v>
      </c>
      <c r="D85" s="175">
        <f>G67+G69</f>
        <v>257334</v>
      </c>
      <c r="E85" s="175"/>
      <c r="F85" s="64" t="s">
        <v>468</v>
      </c>
      <c r="G85" s="133" t="s">
        <v>471</v>
      </c>
      <c r="H85" s="133"/>
      <c r="I85" s="133"/>
      <c r="J85" s="133"/>
      <c r="K85" s="133"/>
      <c r="L85" s="133"/>
      <c r="M85" s="133"/>
      <c r="N85" s="133"/>
      <c r="O85" s="133"/>
      <c r="P85" s="133"/>
      <c r="Q85" s="133"/>
    </row>
    <row r="86" spans="2:17" ht="15.75" customHeight="1" x14ac:dyDescent="0.25">
      <c r="C86" s="30" t="s">
        <v>472</v>
      </c>
      <c r="D86" s="176">
        <f>IFERROR(D85/G66,0)</f>
        <v>0.22744942062418794</v>
      </c>
      <c r="E86" s="176"/>
      <c r="F86" s="64" t="s">
        <v>473</v>
      </c>
      <c r="G86" s="133" t="s">
        <v>474</v>
      </c>
      <c r="H86" s="133"/>
      <c r="I86" s="133"/>
      <c r="J86" s="133"/>
      <c r="K86" s="133"/>
      <c r="L86" s="133"/>
      <c r="M86" s="133"/>
      <c r="N86" s="133"/>
      <c r="O86" s="133"/>
      <c r="P86" s="133"/>
      <c r="Q86" s="133"/>
    </row>
    <row r="87" spans="2:17" ht="15.75" customHeight="1" x14ac:dyDescent="0.25">
      <c r="C87" s="30" t="s">
        <v>475</v>
      </c>
      <c r="D87" s="176">
        <f>1-D86</f>
        <v>0.77255057937581206</v>
      </c>
      <c r="E87" s="176"/>
      <c r="F87" s="64" t="s">
        <v>473</v>
      </c>
      <c r="G87" s="133" t="s">
        <v>476</v>
      </c>
      <c r="H87" s="133"/>
      <c r="I87" s="133"/>
      <c r="J87" s="133"/>
      <c r="K87" s="133"/>
      <c r="L87" s="133"/>
      <c r="M87" s="133"/>
      <c r="N87" s="133"/>
      <c r="O87" s="133"/>
      <c r="P87" s="133"/>
      <c r="Q87" s="133"/>
    </row>
    <row r="88" spans="2:17" ht="15.75" customHeight="1" x14ac:dyDescent="0.25">
      <c r="C88" s="30" t="s">
        <v>477</v>
      </c>
      <c r="D88" s="175">
        <f>IFERROR(D84/D87,0)</f>
        <v>968600.65861912735</v>
      </c>
      <c r="E88" s="175"/>
      <c r="F88" s="64" t="s">
        <v>468</v>
      </c>
      <c r="G88" s="133" t="s">
        <v>478</v>
      </c>
      <c r="H88" s="133"/>
      <c r="I88" s="133"/>
      <c r="J88" s="133"/>
      <c r="K88" s="133"/>
      <c r="L88" s="133"/>
      <c r="M88" s="133"/>
      <c r="N88" s="133"/>
      <c r="O88" s="133"/>
      <c r="P88" s="133"/>
      <c r="Q88" s="133"/>
    </row>
    <row r="89" spans="2:17" ht="15.75" customHeight="1" x14ac:dyDescent="0.25">
      <c r="C89" s="30" t="s">
        <v>479</v>
      </c>
      <c r="D89" s="175">
        <f>D88/12</f>
        <v>80716.721551593946</v>
      </c>
      <c r="E89" s="175"/>
      <c r="F89" s="64" t="s">
        <v>468</v>
      </c>
      <c r="G89" s="133" t="s">
        <v>480</v>
      </c>
      <c r="H89" s="133"/>
      <c r="I89" s="133"/>
      <c r="J89" s="133"/>
      <c r="K89" s="133"/>
      <c r="L89" s="133"/>
      <c r="M89" s="133"/>
      <c r="N89" s="133"/>
      <c r="O89" s="133"/>
      <c r="P89" s="133"/>
      <c r="Q89" s="133"/>
    </row>
    <row r="90" spans="2:17" ht="15.75" customHeight="1" x14ac:dyDescent="0.25">
      <c r="C90" s="30" t="s">
        <v>481</v>
      </c>
      <c r="D90" s="175">
        <f>ROUND(Zimmer_gesamt*365*(ADR_gewichtet*(1+ADR_J2)+(Pers_je_Zimmer*Fruehstuecksquote*Fruehstueckspreis+FB_je_Zimmer+Sonstige_je_Zimmer)),0)</f>
        <v>1595868</v>
      </c>
      <c r="E90" s="175"/>
      <c r="F90" s="64" t="s">
        <v>468</v>
      </c>
      <c r="G90" s="133" t="s">
        <v>482</v>
      </c>
      <c r="H90" s="133"/>
      <c r="I90" s="133"/>
      <c r="J90" s="133"/>
      <c r="K90" s="133"/>
      <c r="L90" s="133"/>
      <c r="M90" s="133"/>
      <c r="N90" s="133"/>
      <c r="O90" s="133"/>
      <c r="P90" s="133"/>
      <c r="Q90" s="133"/>
    </row>
    <row r="91" spans="2:17" ht="15.75" customHeight="1" x14ac:dyDescent="0.25">
      <c r="C91" s="30" t="s">
        <v>106</v>
      </c>
      <c r="D91" s="176">
        <f>IFERROR(D88/D90,0)</f>
        <v>0.6069428415251934</v>
      </c>
      <c r="E91" s="176"/>
      <c r="F91" s="64" t="s">
        <v>473</v>
      </c>
      <c r="G91" s="133" t="s">
        <v>483</v>
      </c>
      <c r="H91" s="133"/>
      <c r="I91" s="133"/>
      <c r="J91" s="133"/>
      <c r="K91" s="133"/>
      <c r="L91" s="133"/>
      <c r="M91" s="133"/>
      <c r="N91" s="133"/>
      <c r="O91" s="133"/>
      <c r="P91" s="133"/>
      <c r="Q91" s="133"/>
    </row>
    <row r="92" spans="2:17" ht="15.75" customHeight="1" x14ac:dyDescent="0.25">
      <c r="C92" s="30" t="s">
        <v>484</v>
      </c>
      <c r="D92" s="177">
        <f>ROUND(D91*Zimmer_gesamt,1)</f>
        <v>14.6</v>
      </c>
      <c r="E92" s="177"/>
      <c r="F92" s="64" t="s">
        <v>485</v>
      </c>
      <c r="G92" s="133" t="s">
        <v>486</v>
      </c>
      <c r="H92" s="133"/>
      <c r="I92" s="133"/>
      <c r="J92" s="133"/>
      <c r="K92" s="133"/>
      <c r="L92" s="133"/>
      <c r="M92" s="133"/>
      <c r="N92" s="133"/>
      <c r="O92" s="133"/>
      <c r="P92" s="133"/>
      <c r="Q92" s="133"/>
    </row>
    <row r="93" spans="2:17" ht="15.75" customHeight="1" x14ac:dyDescent="0.25">
      <c r="C93" s="30" t="s">
        <v>112</v>
      </c>
      <c r="D93" s="175">
        <f>J80</f>
        <v>162384</v>
      </c>
      <c r="E93" s="175"/>
      <c r="F93" s="64" t="s">
        <v>468</v>
      </c>
      <c r="G93" s="133" t="s">
        <v>487</v>
      </c>
      <c r="H93" s="133"/>
      <c r="I93" s="133"/>
      <c r="J93" s="133"/>
      <c r="K93" s="133"/>
      <c r="L93" s="133"/>
      <c r="M93" s="133"/>
      <c r="N93" s="133"/>
      <c r="O93" s="133"/>
      <c r="P93" s="133"/>
      <c r="Q93" s="133"/>
    </row>
    <row r="94" spans="2:17" ht="15.75" customHeight="1" x14ac:dyDescent="0.25">
      <c r="C94" s="30" t="s">
        <v>488</v>
      </c>
      <c r="D94" s="178" t="str">
        <f>IF(COUNTIF($D$58:$O$58,"&lt;0")&gt;11,"erst nach dem Eröffnungsjahr",INDEX($D$8:$O$8,COUNTIF($D$58:$O$58,"&lt;0")+1))</f>
        <v>erst nach dem Eröffnungsjahr</v>
      </c>
      <c r="E94" s="178"/>
      <c r="F94" s="64" t="s">
        <v>489</v>
      </c>
      <c r="G94" s="133" t="s">
        <v>490</v>
      </c>
      <c r="H94" s="133"/>
      <c r="I94" s="133"/>
      <c r="J94" s="133"/>
      <c r="K94" s="133"/>
      <c r="L94" s="133"/>
      <c r="M94" s="133"/>
      <c r="N94" s="133"/>
      <c r="O94" s="133"/>
      <c r="P94" s="133"/>
      <c r="Q94" s="133"/>
    </row>
    <row r="96" spans="2:17" hidden="1" x14ac:dyDescent="0.25">
      <c r="C96" s="104" t="s">
        <v>491</v>
      </c>
      <c r="D96" s="105" t="s">
        <v>492</v>
      </c>
      <c r="E96" s="105" t="s">
        <v>493</v>
      </c>
      <c r="F96" s="105" t="s">
        <v>494</v>
      </c>
      <c r="G96" s="105" t="s">
        <v>495</v>
      </c>
      <c r="H96" s="105" t="s">
        <v>496</v>
      </c>
      <c r="I96" s="105" t="s">
        <v>497</v>
      </c>
      <c r="J96" s="105" t="s">
        <v>498</v>
      </c>
      <c r="K96" s="105" t="s">
        <v>499</v>
      </c>
      <c r="L96" s="105" t="s">
        <v>500</v>
      </c>
      <c r="M96" s="105" t="s">
        <v>501</v>
      </c>
      <c r="N96" s="105" t="s">
        <v>502</v>
      </c>
      <c r="O96" s="105" t="s">
        <v>503</v>
      </c>
    </row>
  </sheetData>
  <mergeCells count="113">
    <mergeCell ref="D90:E90"/>
    <mergeCell ref="G90:Q90"/>
    <mergeCell ref="D91:E91"/>
    <mergeCell ref="G91:Q91"/>
    <mergeCell ref="D92:E92"/>
    <mergeCell ref="G92:Q92"/>
    <mergeCell ref="D93:E93"/>
    <mergeCell ref="G93:Q93"/>
    <mergeCell ref="D94:E94"/>
    <mergeCell ref="G94:Q94"/>
    <mergeCell ref="D85:E85"/>
    <mergeCell ref="G85:Q85"/>
    <mergeCell ref="D86:E86"/>
    <mergeCell ref="G86:Q86"/>
    <mergeCell ref="D87:E87"/>
    <mergeCell ref="G87:Q87"/>
    <mergeCell ref="D88:E88"/>
    <mergeCell ref="G88:Q88"/>
    <mergeCell ref="D89:E89"/>
    <mergeCell ref="G89:Q89"/>
    <mergeCell ref="D80:E80"/>
    <mergeCell ref="G80:H80"/>
    <mergeCell ref="J80:K80"/>
    <mergeCell ref="M80:Q80"/>
    <mergeCell ref="C82:J82"/>
    <mergeCell ref="K82:Q82"/>
    <mergeCell ref="D83:E83"/>
    <mergeCell ref="G83:Q83"/>
    <mergeCell ref="D84:E84"/>
    <mergeCell ref="G84:Q84"/>
    <mergeCell ref="D77:E77"/>
    <mergeCell ref="G77:H77"/>
    <mergeCell ref="J77:K77"/>
    <mergeCell ref="M77:Q77"/>
    <mergeCell ref="D78:E78"/>
    <mergeCell ref="G78:H78"/>
    <mergeCell ref="J78:K78"/>
    <mergeCell ref="M78:Q78"/>
    <mergeCell ref="D79:E79"/>
    <mergeCell ref="G79:H79"/>
    <mergeCell ref="J79:K79"/>
    <mergeCell ref="M79:Q79"/>
    <mergeCell ref="D74:E74"/>
    <mergeCell ref="G74:H74"/>
    <mergeCell ref="J74:K74"/>
    <mergeCell ref="M74:Q74"/>
    <mergeCell ref="D75:E75"/>
    <mergeCell ref="G75:H75"/>
    <mergeCell ref="J75:K75"/>
    <mergeCell ref="M75:Q75"/>
    <mergeCell ref="D76:E76"/>
    <mergeCell ref="G76:H76"/>
    <mergeCell ref="J76:K76"/>
    <mergeCell ref="M76:Q76"/>
    <mergeCell ref="D71:E71"/>
    <mergeCell ref="G71:H71"/>
    <mergeCell ref="J71:K71"/>
    <mergeCell ref="M71:Q71"/>
    <mergeCell ref="D72:E72"/>
    <mergeCell ref="G72:H72"/>
    <mergeCell ref="J72:K72"/>
    <mergeCell ref="M72:Q72"/>
    <mergeCell ref="D73:E73"/>
    <mergeCell ref="G73:H73"/>
    <mergeCell ref="J73:K73"/>
    <mergeCell ref="M73:Q73"/>
    <mergeCell ref="D68:E68"/>
    <mergeCell ref="G68:H68"/>
    <mergeCell ref="J68:K68"/>
    <mergeCell ref="M68:Q68"/>
    <mergeCell ref="D69:E69"/>
    <mergeCell ref="G69:H69"/>
    <mergeCell ref="J69:K69"/>
    <mergeCell ref="M69:Q69"/>
    <mergeCell ref="D70:E70"/>
    <mergeCell ref="G70:H70"/>
    <mergeCell ref="J70:K70"/>
    <mergeCell ref="M70:Q70"/>
    <mergeCell ref="D65:E65"/>
    <mergeCell ref="G65:H65"/>
    <mergeCell ref="J65:K65"/>
    <mergeCell ref="M65:Q65"/>
    <mergeCell ref="D66:E66"/>
    <mergeCell ref="G66:H66"/>
    <mergeCell ref="J66:K66"/>
    <mergeCell ref="M66:Q66"/>
    <mergeCell ref="D67:E67"/>
    <mergeCell ref="G67:H67"/>
    <mergeCell ref="J67:K67"/>
    <mergeCell ref="M67:Q67"/>
    <mergeCell ref="C7:J7"/>
    <mergeCell ref="K7:Q7"/>
    <mergeCell ref="C62:J62"/>
    <mergeCell ref="K62:Q62"/>
    <mergeCell ref="D63:E63"/>
    <mergeCell ref="G63:H63"/>
    <mergeCell ref="J63:K63"/>
    <mergeCell ref="M63:Q63"/>
    <mergeCell ref="D64:E64"/>
    <mergeCell ref="G64:H64"/>
    <mergeCell ref="J64:K64"/>
    <mergeCell ref="M64:Q64"/>
    <mergeCell ref="B2:K2"/>
    <mergeCell ref="L2:Q2"/>
    <mergeCell ref="B3:K3"/>
    <mergeCell ref="L3:Q3"/>
    <mergeCell ref="B5:C5"/>
    <mergeCell ref="D5:E5"/>
    <mergeCell ref="F5:G5"/>
    <mergeCell ref="H5:I5"/>
    <mergeCell ref="J5:K5"/>
    <mergeCell ref="L5:M5"/>
    <mergeCell ref="N5:Q5"/>
  </mergeCells>
  <conditionalFormatting sqref="D17:O17">
    <cfRule type="expression" dxfId="12" priority="2">
      <formula>AND(D17&gt;0,D17&gt;=Ziel_Auslastung)</formula>
    </cfRule>
    <cfRule type="expression" dxfId="11" priority="3">
      <formula>AND(D17&gt;0,D17&lt;Ziel_Auslastung)</formula>
    </cfRule>
  </conditionalFormatting>
  <conditionalFormatting sqref="D52:P52">
    <cfRule type="expression" dxfId="10" priority="4">
      <formula>D52&gt;=Ziel_GOP</formula>
    </cfRule>
    <cfRule type="expression" dxfId="9" priority="5">
      <formula>D52&lt;0</formula>
    </cfRule>
  </conditionalFormatting>
  <conditionalFormatting sqref="D55:P55">
    <cfRule type="expression" dxfId="8" priority="6">
      <formula>D55&lt;0</formula>
    </cfRule>
  </conditionalFormatting>
  <conditionalFormatting sqref="D57:P58">
    <cfRule type="expression" dxfId="7" priority="7">
      <formula>D57&lt;0</formula>
    </cfRule>
  </conditionalFormatting>
  <conditionalFormatting sqref="Q36:Q49">
    <cfRule type="dataBar" priority="9">
      <dataBar>
        <cfvo type="num" val="0"/>
        <cfvo type="num" val="0.5"/>
        <color rgb="FFF7E4D2"/>
      </dataBar>
      <extLst>
        <ext xmlns:x14="http://schemas.microsoft.com/office/spreadsheetml/2009/9/main" uri="{B025F937-C7B1-47D3-B67F-A62EFF666E3E}">
          <x14:id>{1AFC9FCB-3AD0-4B87-8D88-832F7580FF37}</x14:id>
        </ext>
      </extLst>
    </cfRule>
  </conditionalFormatting>
  <printOptions horizontalCentered="1"/>
  <pageMargins left="0.75" right="0.75" top="1" bottom="1" header="0.511811023622047" footer="0.511811023622047"/>
  <pageSetup paperSize="8" fitToHeight="2" orientation="landscape" horizontalDpi="300" verticalDpi="300"/>
  <rowBreaks count="1" manualBreakCount="1">
    <brk id="61" max="16383" man="1"/>
  </rowBreaks>
  <extLst>
    <ext xmlns:x14="http://schemas.microsoft.com/office/spreadsheetml/2009/9/main" uri="{78C0D931-6437-407d-A8EE-F0AAD7539E65}">
      <x14:conditionalFormattings>
        <x14:conditionalFormatting xmlns:xm="http://schemas.microsoft.com/office/excel/2006/main">
          <x14:cfRule type="dataBar" id="{1AFC9FCB-3AD0-4B87-8D88-832F7580FF37}">
            <x14:dataBar axisPosition="none">
              <x14:cfvo type="num">
                <xm:f>0</xm:f>
              </x14:cfvo>
              <x14:cfvo type="num">
                <xm:f>0.5</xm:f>
              </x14:cfvo>
              <x14:negativeFillColor rgb="FFF7E4D2"/>
            </x14:dataBar>
          </x14:cfRule>
          <xm:sqref>Q36:Q49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463A32"/>
    <pageSetUpPr fitToPage="1"/>
  </sheetPr>
  <dimension ref="B1:P48"/>
  <sheetViews>
    <sheetView showGridLines="0" zoomScaleNormal="100" workbookViewId="0">
      <pane xSplit="3" ySplit="8" topLeftCell="D9" activePane="bottomRight" state="frozen"/>
      <selection pane="topRight" activeCell="D1" sqref="D1"/>
      <selection pane="bottomLeft" activeCell="A9" sqref="A9"/>
      <selection pane="bottomRight"/>
    </sheetView>
  </sheetViews>
  <sheetFormatPr baseColWidth="10" defaultColWidth="8.7109375" defaultRowHeight="15" x14ac:dyDescent="0.25"/>
  <cols>
    <col min="2" max="2" width="3" customWidth="1"/>
    <col min="3" max="3" width="36" customWidth="1"/>
    <col min="4" max="15" width="10" customWidth="1"/>
    <col min="16" max="16" width="14" customWidth="1"/>
  </cols>
  <sheetData>
    <row r="1" spans="2:16" ht="6" customHeight="1" x14ac:dyDescent="0.25">
      <c r="B1" s="15"/>
      <c r="C1" s="15"/>
      <c r="D1" s="15"/>
      <c r="E1" s="15"/>
      <c r="F1" s="15"/>
      <c r="G1" s="15"/>
      <c r="H1" s="15"/>
      <c r="I1" s="15"/>
      <c r="J1" s="15"/>
      <c r="K1" s="15"/>
      <c r="L1" s="15"/>
      <c r="M1" s="15"/>
      <c r="N1" s="15"/>
      <c r="O1" s="15"/>
      <c r="P1" s="15"/>
    </row>
    <row r="2" spans="2:16" ht="30" customHeight="1" x14ac:dyDescent="0.4">
      <c r="B2" s="14" t="s">
        <v>504</v>
      </c>
      <c r="C2" s="14"/>
      <c r="D2" s="14"/>
      <c r="E2" s="14"/>
      <c r="F2" s="14"/>
      <c r="G2" s="14"/>
      <c r="H2" s="14"/>
      <c r="I2" s="14"/>
      <c r="J2" s="14"/>
      <c r="K2" s="13" t="s">
        <v>505</v>
      </c>
      <c r="L2" s="13"/>
      <c r="M2" s="13"/>
      <c r="N2" s="13"/>
      <c r="O2" s="13"/>
      <c r="P2" s="13"/>
    </row>
    <row r="3" spans="2:16" ht="16.5" customHeight="1" x14ac:dyDescent="0.25">
      <c r="B3" s="12" t="s">
        <v>506</v>
      </c>
      <c r="C3" s="12"/>
      <c r="D3" s="12"/>
      <c r="E3" s="12"/>
      <c r="F3" s="12"/>
      <c r="G3" s="12"/>
      <c r="H3" s="12"/>
      <c r="I3" s="12"/>
      <c r="J3" s="12"/>
      <c r="K3" s="11" t="s">
        <v>507</v>
      </c>
      <c r="L3" s="11"/>
      <c r="M3" s="11"/>
      <c r="N3" s="11"/>
      <c r="O3" s="11"/>
      <c r="P3" s="11"/>
    </row>
    <row r="4" spans="2:16" ht="3.75" customHeight="1" x14ac:dyDescent="0.25">
      <c r="B4" s="16"/>
      <c r="C4" s="16"/>
      <c r="D4" s="16"/>
      <c r="E4" s="16"/>
      <c r="F4" s="16"/>
      <c r="G4" s="16"/>
      <c r="H4" s="16"/>
      <c r="I4" s="16"/>
      <c r="J4" s="16"/>
      <c r="K4" s="16"/>
      <c r="L4" s="16"/>
      <c r="M4" s="16"/>
      <c r="N4" s="16"/>
      <c r="O4" s="16"/>
      <c r="P4" s="16"/>
    </row>
    <row r="5" spans="2:16" ht="18.75" customHeight="1" x14ac:dyDescent="0.25">
      <c r="B5" s="9" t="s">
        <v>2</v>
      </c>
      <c r="C5" s="9"/>
      <c r="D5" s="9" t="s">
        <v>3</v>
      </c>
      <c r="E5" s="9"/>
      <c r="F5" s="9" t="s">
        <v>4</v>
      </c>
      <c r="G5" s="9"/>
      <c r="H5" s="9" t="s">
        <v>5</v>
      </c>
      <c r="I5" s="9"/>
      <c r="J5" s="10" t="s">
        <v>6</v>
      </c>
      <c r="K5" s="10"/>
      <c r="L5" s="9" t="s">
        <v>7</v>
      </c>
      <c r="M5" s="9"/>
      <c r="N5" s="170"/>
      <c r="O5" s="170"/>
      <c r="P5" s="170"/>
    </row>
    <row r="6" spans="2:16" ht="6.75" customHeight="1" x14ac:dyDescent="0.25"/>
    <row r="7" spans="2:16" ht="21" customHeight="1" x14ac:dyDescent="0.25">
      <c r="B7" s="19" t="s">
        <v>8</v>
      </c>
      <c r="C7" s="8" t="s">
        <v>508</v>
      </c>
      <c r="D7" s="8"/>
      <c r="E7" s="8"/>
      <c r="F7" s="8"/>
      <c r="G7" s="8"/>
      <c r="H7" s="8"/>
      <c r="I7" s="8"/>
      <c r="J7" s="7" t="s">
        <v>509</v>
      </c>
      <c r="K7" s="7"/>
      <c r="L7" s="7"/>
      <c r="M7" s="7"/>
      <c r="N7" s="7"/>
      <c r="O7" s="7"/>
      <c r="P7" s="7"/>
    </row>
    <row r="8" spans="2:16" ht="24" customHeight="1" x14ac:dyDescent="0.25">
      <c r="C8" s="84" t="s">
        <v>46</v>
      </c>
      <c r="D8" s="85">
        <f>DATE(Planjahr,1,1)</f>
        <v>46023</v>
      </c>
      <c r="E8" s="85">
        <f>DATE(Planjahr,2,1)</f>
        <v>46054</v>
      </c>
      <c r="F8" s="85">
        <f>DATE(Planjahr,3,1)</f>
        <v>46082</v>
      </c>
      <c r="G8" s="85">
        <f>DATE(Planjahr,4,1)</f>
        <v>46113</v>
      </c>
      <c r="H8" s="85">
        <f>DATE(Planjahr,5,1)</f>
        <v>46143</v>
      </c>
      <c r="I8" s="85">
        <f>DATE(Planjahr,6,1)</f>
        <v>46174</v>
      </c>
      <c r="J8" s="85">
        <f>DATE(Planjahr,7,1)</f>
        <v>46204</v>
      </c>
      <c r="K8" s="85">
        <f>DATE(Planjahr,8,1)</f>
        <v>46235</v>
      </c>
      <c r="L8" s="85">
        <f>DATE(Planjahr,9,1)</f>
        <v>46266</v>
      </c>
      <c r="M8" s="85">
        <f>DATE(Planjahr,10,1)</f>
        <v>46296</v>
      </c>
      <c r="N8" s="85">
        <f>DATE(Planjahr,11,1)</f>
        <v>46327</v>
      </c>
      <c r="O8" s="85">
        <f>DATE(Planjahr,12,1)</f>
        <v>46357</v>
      </c>
      <c r="P8" s="86" t="s">
        <v>412</v>
      </c>
    </row>
    <row r="9" spans="2:16" ht="16.5" customHeight="1" x14ac:dyDescent="0.25">
      <c r="C9" s="30" t="s">
        <v>510</v>
      </c>
      <c r="D9" s="106">
        <v>0</v>
      </c>
      <c r="E9" s="31">
        <f t="shared" ref="E9:O9" si="0">D30</f>
        <v>639910</v>
      </c>
      <c r="F9" s="31">
        <f t="shared" si="0"/>
        <v>74356</v>
      </c>
      <c r="G9" s="31">
        <f t="shared" si="0"/>
        <v>192964</v>
      </c>
      <c r="H9" s="31">
        <f t="shared" si="0"/>
        <v>183058</v>
      </c>
      <c r="I9" s="31">
        <f t="shared" si="0"/>
        <v>185552</v>
      </c>
      <c r="J9" s="31">
        <f t="shared" si="0"/>
        <v>197568</v>
      </c>
      <c r="K9" s="31">
        <f t="shared" si="0"/>
        <v>215337</v>
      </c>
      <c r="L9" s="31">
        <f t="shared" si="0"/>
        <v>236003</v>
      </c>
      <c r="M9" s="31">
        <f t="shared" si="0"/>
        <v>257164</v>
      </c>
      <c r="N9" s="31">
        <f t="shared" si="0"/>
        <v>275501</v>
      </c>
      <c r="O9" s="31">
        <f t="shared" si="0"/>
        <v>282083</v>
      </c>
      <c r="P9" s="31">
        <f>D9</f>
        <v>0</v>
      </c>
    </row>
    <row r="10" spans="2:16" ht="18" customHeight="1" x14ac:dyDescent="0.25">
      <c r="B10" s="16"/>
      <c r="C10" s="87" t="s">
        <v>511</v>
      </c>
      <c r="D10" s="88"/>
      <c r="E10" s="88"/>
      <c r="F10" s="88"/>
      <c r="G10" s="88"/>
      <c r="H10" s="88"/>
      <c r="I10" s="88"/>
      <c r="J10" s="88"/>
      <c r="K10" s="88"/>
      <c r="L10" s="88"/>
      <c r="M10" s="88"/>
      <c r="N10" s="88"/>
      <c r="O10" s="88"/>
      <c r="P10" s="88"/>
    </row>
    <row r="11" spans="2:16" ht="13.5" customHeight="1" x14ac:dyDescent="0.25">
      <c r="C11" s="78" t="s">
        <v>512</v>
      </c>
      <c r="D11" s="79">
        <f>ROUND(Zahlungsquote*(Erfolgsplanung!D30+D34),0)</f>
        <v>0</v>
      </c>
      <c r="E11" s="79">
        <f>ROUND(Zahlungsquote*(Erfolgsplanung!E30+E34)+(1-Zahlungsquote)*(Erfolgsplanung!D30+D34),0)</f>
        <v>0</v>
      </c>
      <c r="F11" s="79">
        <f>ROUND(Zahlungsquote*(Erfolgsplanung!F30+F34)+(1-Zahlungsquote)*(Erfolgsplanung!E30+E34),0)</f>
        <v>41191</v>
      </c>
      <c r="G11" s="79">
        <f>ROUND(Zahlungsquote*(Erfolgsplanung!G30+G34)+(1-Zahlungsquote)*(Erfolgsplanung!F30+F34),0)</f>
        <v>57370</v>
      </c>
      <c r="H11" s="79">
        <f>ROUND(Zahlungsquote*(Erfolgsplanung!H30+H34)+(1-Zahlungsquote)*(Erfolgsplanung!G30+G34),0)</f>
        <v>75674</v>
      </c>
      <c r="I11" s="79">
        <f>ROUND(Zahlungsquote*(Erfolgsplanung!I30+I34)+(1-Zahlungsquote)*(Erfolgsplanung!H30+H34),0)</f>
        <v>91242</v>
      </c>
      <c r="J11" s="79">
        <f>ROUND(Zahlungsquote*(Erfolgsplanung!J30+J34)+(1-Zahlungsquote)*(Erfolgsplanung!I30+I34),0)</f>
        <v>102460</v>
      </c>
      <c r="K11" s="79">
        <f>ROUND(Zahlungsquote*(Erfolgsplanung!K30+K34)+(1-Zahlungsquote)*(Erfolgsplanung!J30+J34),0)</f>
        <v>108087</v>
      </c>
      <c r="L11" s="79">
        <f>ROUND(Zahlungsquote*(Erfolgsplanung!L30+L34)+(1-Zahlungsquote)*(Erfolgsplanung!K30+K34),0)</f>
        <v>109331</v>
      </c>
      <c r="M11" s="79">
        <f>ROUND(Zahlungsquote*(Erfolgsplanung!M30+M34)+(1-Zahlungsquote)*(Erfolgsplanung!L30+L34),0)</f>
        <v>103741</v>
      </c>
      <c r="N11" s="79">
        <f>ROUND(Zahlungsquote*(Erfolgsplanung!N30+N34)+(1-Zahlungsquote)*(Erfolgsplanung!M30+M34),0)</f>
        <v>82439</v>
      </c>
      <c r="O11" s="79">
        <f>ROUND(Zahlungsquote*(Erfolgsplanung!O30+O34)+(1-Zahlungsquote)*(Erfolgsplanung!N30+N34),0)</f>
        <v>78057</v>
      </c>
      <c r="P11" s="79">
        <f t="shared" ref="P11:P16" si="1">SUM(D11:O11)</f>
        <v>849592</v>
      </c>
    </row>
    <row r="12" spans="2:16" ht="13.5" customHeight="1" x14ac:dyDescent="0.25">
      <c r="C12" s="78" t="s">
        <v>373</v>
      </c>
      <c r="D12" s="79">
        <f>SUMIFS(Kapitalbedarf!$D$45:$D$51,Kapitalbedarf!$I$45:$I$51,1,Kapitalbedarf!$J$45:$J$51,"Eigenkapital")+SUMIFS(Kapitalbedarf!$D$45:$D$51,Kapitalbedarf!$I$45:$I$51,1,Kapitalbedarf!$J$45:$J$51,"Beteiligung")</f>
        <v>280000</v>
      </c>
      <c r="E12" s="79">
        <f>SUMIFS(Kapitalbedarf!$D$45:$D$51,Kapitalbedarf!$I$45:$I$51,2,Kapitalbedarf!$J$45:$J$51,"Eigenkapital")+SUMIFS(Kapitalbedarf!$D$45:$D$51,Kapitalbedarf!$I$45:$I$51,2,Kapitalbedarf!$J$45:$J$51,"Beteiligung")</f>
        <v>0</v>
      </c>
      <c r="F12" s="79">
        <f>SUMIFS(Kapitalbedarf!$D$45:$D$51,Kapitalbedarf!$I$45:$I$51,3,Kapitalbedarf!$J$45:$J$51,"Eigenkapital")+SUMIFS(Kapitalbedarf!$D$45:$D$51,Kapitalbedarf!$I$45:$I$51,3,Kapitalbedarf!$J$45:$J$51,"Beteiligung")</f>
        <v>0</v>
      </c>
      <c r="G12" s="79">
        <f>SUMIFS(Kapitalbedarf!$D$45:$D$51,Kapitalbedarf!$I$45:$I$51,4,Kapitalbedarf!$J$45:$J$51,"Eigenkapital")+SUMIFS(Kapitalbedarf!$D$45:$D$51,Kapitalbedarf!$I$45:$I$51,4,Kapitalbedarf!$J$45:$J$51,"Beteiligung")</f>
        <v>0</v>
      </c>
      <c r="H12" s="79">
        <f>SUMIFS(Kapitalbedarf!$D$45:$D$51,Kapitalbedarf!$I$45:$I$51,5,Kapitalbedarf!$J$45:$J$51,"Eigenkapital")+SUMIFS(Kapitalbedarf!$D$45:$D$51,Kapitalbedarf!$I$45:$I$51,5,Kapitalbedarf!$J$45:$J$51,"Beteiligung")</f>
        <v>0</v>
      </c>
      <c r="I12" s="79">
        <f>SUMIFS(Kapitalbedarf!$D$45:$D$51,Kapitalbedarf!$I$45:$I$51,6,Kapitalbedarf!$J$45:$J$51,"Eigenkapital")+SUMIFS(Kapitalbedarf!$D$45:$D$51,Kapitalbedarf!$I$45:$I$51,6,Kapitalbedarf!$J$45:$J$51,"Beteiligung")</f>
        <v>0</v>
      </c>
      <c r="J12" s="79">
        <f>SUMIFS(Kapitalbedarf!$D$45:$D$51,Kapitalbedarf!$I$45:$I$51,7,Kapitalbedarf!$J$45:$J$51,"Eigenkapital")+SUMIFS(Kapitalbedarf!$D$45:$D$51,Kapitalbedarf!$I$45:$I$51,7,Kapitalbedarf!$J$45:$J$51,"Beteiligung")</f>
        <v>0</v>
      </c>
      <c r="K12" s="79">
        <f>SUMIFS(Kapitalbedarf!$D$45:$D$51,Kapitalbedarf!$I$45:$I$51,8,Kapitalbedarf!$J$45:$J$51,"Eigenkapital")+SUMIFS(Kapitalbedarf!$D$45:$D$51,Kapitalbedarf!$I$45:$I$51,8,Kapitalbedarf!$J$45:$J$51,"Beteiligung")</f>
        <v>0</v>
      </c>
      <c r="L12" s="79">
        <f>SUMIFS(Kapitalbedarf!$D$45:$D$51,Kapitalbedarf!$I$45:$I$51,9,Kapitalbedarf!$J$45:$J$51,"Eigenkapital")+SUMIFS(Kapitalbedarf!$D$45:$D$51,Kapitalbedarf!$I$45:$I$51,9,Kapitalbedarf!$J$45:$J$51,"Beteiligung")</f>
        <v>0</v>
      </c>
      <c r="M12" s="79">
        <f>SUMIFS(Kapitalbedarf!$D$45:$D$51,Kapitalbedarf!$I$45:$I$51,10,Kapitalbedarf!$J$45:$J$51,"Eigenkapital")+SUMIFS(Kapitalbedarf!$D$45:$D$51,Kapitalbedarf!$I$45:$I$51,10,Kapitalbedarf!$J$45:$J$51,"Beteiligung")</f>
        <v>0</v>
      </c>
      <c r="N12" s="79">
        <f>SUMIFS(Kapitalbedarf!$D$45:$D$51,Kapitalbedarf!$I$45:$I$51,11,Kapitalbedarf!$J$45:$J$51,"Eigenkapital")+SUMIFS(Kapitalbedarf!$D$45:$D$51,Kapitalbedarf!$I$45:$I$51,11,Kapitalbedarf!$J$45:$J$51,"Beteiligung")</f>
        <v>0</v>
      </c>
      <c r="O12" s="79">
        <f>SUMIFS(Kapitalbedarf!$D$45:$D$51,Kapitalbedarf!$I$45:$I$51,12,Kapitalbedarf!$J$45:$J$51,"Eigenkapital")+SUMIFS(Kapitalbedarf!$D$45:$D$51,Kapitalbedarf!$I$45:$I$51,12,Kapitalbedarf!$J$45:$J$51,"Beteiligung")</f>
        <v>0</v>
      </c>
      <c r="P12" s="79">
        <f t="shared" si="1"/>
        <v>280000</v>
      </c>
    </row>
    <row r="13" spans="2:16" ht="13.5" customHeight="1" x14ac:dyDescent="0.25">
      <c r="C13" s="78" t="s">
        <v>513</v>
      </c>
      <c r="D13" s="79">
        <f>SUMIFS(Kapitalbedarf!$D$45:$D$51,Kapitalbedarf!$I$45:$I$51,1,Kapitalbedarf!$J$45:$J$51,"Fremdkapital")</f>
        <v>840000</v>
      </c>
      <c r="E13" s="79">
        <f>SUMIFS(Kapitalbedarf!$D$45:$D$51,Kapitalbedarf!$I$45:$I$51,2,Kapitalbedarf!$J$45:$J$51,"Fremdkapital")</f>
        <v>0</v>
      </c>
      <c r="F13" s="79">
        <f>SUMIFS(Kapitalbedarf!$D$45:$D$51,Kapitalbedarf!$I$45:$I$51,3,Kapitalbedarf!$J$45:$J$51,"Fremdkapital")</f>
        <v>0</v>
      </c>
      <c r="G13" s="79">
        <f>SUMIFS(Kapitalbedarf!$D$45:$D$51,Kapitalbedarf!$I$45:$I$51,4,Kapitalbedarf!$J$45:$J$51,"Fremdkapital")</f>
        <v>0</v>
      </c>
      <c r="H13" s="79">
        <f>SUMIFS(Kapitalbedarf!$D$45:$D$51,Kapitalbedarf!$I$45:$I$51,5,Kapitalbedarf!$J$45:$J$51,"Fremdkapital")</f>
        <v>0</v>
      </c>
      <c r="I13" s="79">
        <f>SUMIFS(Kapitalbedarf!$D$45:$D$51,Kapitalbedarf!$I$45:$I$51,6,Kapitalbedarf!$J$45:$J$51,"Fremdkapital")</f>
        <v>0</v>
      </c>
      <c r="J13" s="79">
        <f>SUMIFS(Kapitalbedarf!$D$45:$D$51,Kapitalbedarf!$I$45:$I$51,7,Kapitalbedarf!$J$45:$J$51,"Fremdkapital")</f>
        <v>0</v>
      </c>
      <c r="K13" s="79">
        <f>SUMIFS(Kapitalbedarf!$D$45:$D$51,Kapitalbedarf!$I$45:$I$51,8,Kapitalbedarf!$J$45:$J$51,"Fremdkapital")</f>
        <v>0</v>
      </c>
      <c r="L13" s="79">
        <f>SUMIFS(Kapitalbedarf!$D$45:$D$51,Kapitalbedarf!$I$45:$I$51,9,Kapitalbedarf!$J$45:$J$51,"Fremdkapital")</f>
        <v>0</v>
      </c>
      <c r="M13" s="79">
        <f>SUMIFS(Kapitalbedarf!$D$45:$D$51,Kapitalbedarf!$I$45:$I$51,10,Kapitalbedarf!$J$45:$J$51,"Fremdkapital")</f>
        <v>0</v>
      </c>
      <c r="N13" s="79">
        <f>SUMIFS(Kapitalbedarf!$D$45:$D$51,Kapitalbedarf!$I$45:$I$51,11,Kapitalbedarf!$J$45:$J$51,"Fremdkapital")</f>
        <v>0</v>
      </c>
      <c r="O13" s="79">
        <f>SUMIFS(Kapitalbedarf!$D$45:$D$51,Kapitalbedarf!$I$45:$I$51,12,Kapitalbedarf!$J$45:$J$51,"Fremdkapital")</f>
        <v>0</v>
      </c>
      <c r="P13" s="79">
        <f t="shared" si="1"/>
        <v>840000</v>
      </c>
    </row>
    <row r="14" spans="2:16" ht="13.5" customHeight="1" x14ac:dyDescent="0.25">
      <c r="C14" s="78" t="s">
        <v>514</v>
      </c>
      <c r="D14" s="79">
        <f>SUMIFS(Kapitalbedarf!$D$45:$D$51,Kapitalbedarf!$I$45:$I$51,1,Kapitalbedarf!$J$45:$J$51,"Zuschuss")</f>
        <v>0</v>
      </c>
      <c r="E14" s="79">
        <f>SUMIFS(Kapitalbedarf!$D$45:$D$51,Kapitalbedarf!$I$45:$I$51,2,Kapitalbedarf!$J$45:$J$51,"Zuschuss")</f>
        <v>0</v>
      </c>
      <c r="F14" s="79">
        <f>SUMIFS(Kapitalbedarf!$D$45:$D$51,Kapitalbedarf!$I$45:$I$51,3,Kapitalbedarf!$J$45:$J$51,"Zuschuss")</f>
        <v>55000</v>
      </c>
      <c r="G14" s="79">
        <f>SUMIFS(Kapitalbedarf!$D$45:$D$51,Kapitalbedarf!$I$45:$I$51,4,Kapitalbedarf!$J$45:$J$51,"Zuschuss")</f>
        <v>0</v>
      </c>
      <c r="H14" s="79">
        <f>SUMIFS(Kapitalbedarf!$D$45:$D$51,Kapitalbedarf!$I$45:$I$51,5,Kapitalbedarf!$J$45:$J$51,"Zuschuss")</f>
        <v>0</v>
      </c>
      <c r="I14" s="79">
        <f>SUMIFS(Kapitalbedarf!$D$45:$D$51,Kapitalbedarf!$I$45:$I$51,6,Kapitalbedarf!$J$45:$J$51,"Zuschuss")</f>
        <v>0</v>
      </c>
      <c r="J14" s="79">
        <f>SUMIFS(Kapitalbedarf!$D$45:$D$51,Kapitalbedarf!$I$45:$I$51,7,Kapitalbedarf!$J$45:$J$51,"Zuschuss")</f>
        <v>0</v>
      </c>
      <c r="K14" s="79">
        <f>SUMIFS(Kapitalbedarf!$D$45:$D$51,Kapitalbedarf!$I$45:$I$51,8,Kapitalbedarf!$J$45:$J$51,"Zuschuss")</f>
        <v>0</v>
      </c>
      <c r="L14" s="79">
        <f>SUMIFS(Kapitalbedarf!$D$45:$D$51,Kapitalbedarf!$I$45:$I$51,9,Kapitalbedarf!$J$45:$J$51,"Zuschuss")</f>
        <v>0</v>
      </c>
      <c r="M14" s="79">
        <f>SUMIFS(Kapitalbedarf!$D$45:$D$51,Kapitalbedarf!$I$45:$I$51,10,Kapitalbedarf!$J$45:$J$51,"Zuschuss")</f>
        <v>0</v>
      </c>
      <c r="N14" s="79">
        <f>SUMIFS(Kapitalbedarf!$D$45:$D$51,Kapitalbedarf!$I$45:$I$51,11,Kapitalbedarf!$J$45:$J$51,"Zuschuss")</f>
        <v>0</v>
      </c>
      <c r="O14" s="79">
        <f>SUMIFS(Kapitalbedarf!$D$45:$D$51,Kapitalbedarf!$I$45:$I$51,12,Kapitalbedarf!$J$45:$J$51,"Zuschuss")</f>
        <v>0</v>
      </c>
      <c r="P14" s="79">
        <f t="shared" si="1"/>
        <v>55000</v>
      </c>
    </row>
    <row r="15" spans="2:16" ht="13.5" customHeight="1" x14ac:dyDescent="0.25">
      <c r="C15" s="78" t="s">
        <v>515</v>
      </c>
      <c r="D15" s="79">
        <v>0</v>
      </c>
      <c r="E15" s="79">
        <f t="shared" ref="E15:O15" si="2">IF(D36&lt;0,-D36,0)</f>
        <v>69714</v>
      </c>
      <c r="F15" s="79">
        <f t="shared" si="2"/>
        <v>98271</v>
      </c>
      <c r="G15" s="79">
        <f t="shared" si="2"/>
        <v>1148</v>
      </c>
      <c r="H15" s="79">
        <f t="shared" si="2"/>
        <v>0</v>
      </c>
      <c r="I15" s="79">
        <f t="shared" si="2"/>
        <v>0</v>
      </c>
      <c r="J15" s="79">
        <f t="shared" si="2"/>
        <v>0</v>
      </c>
      <c r="K15" s="79">
        <f t="shared" si="2"/>
        <v>0</v>
      </c>
      <c r="L15" s="79">
        <f t="shared" si="2"/>
        <v>0</v>
      </c>
      <c r="M15" s="79">
        <f t="shared" si="2"/>
        <v>0</v>
      </c>
      <c r="N15" s="79">
        <f t="shared" si="2"/>
        <v>0</v>
      </c>
      <c r="O15" s="79">
        <f t="shared" si="2"/>
        <v>0</v>
      </c>
      <c r="P15" s="79">
        <f t="shared" si="1"/>
        <v>169133</v>
      </c>
    </row>
    <row r="16" spans="2:16" ht="16.5" customHeight="1" x14ac:dyDescent="0.25">
      <c r="C16" s="30" t="s">
        <v>516</v>
      </c>
      <c r="D16" s="31">
        <f t="shared" ref="D16:O16" si="3">SUM(D11:D15)</f>
        <v>1120000</v>
      </c>
      <c r="E16" s="31">
        <f t="shared" si="3"/>
        <v>69714</v>
      </c>
      <c r="F16" s="31">
        <f t="shared" si="3"/>
        <v>194462</v>
      </c>
      <c r="G16" s="31">
        <f t="shared" si="3"/>
        <v>58518</v>
      </c>
      <c r="H16" s="31">
        <f t="shared" si="3"/>
        <v>75674</v>
      </c>
      <c r="I16" s="31">
        <f t="shared" si="3"/>
        <v>91242</v>
      </c>
      <c r="J16" s="31">
        <f t="shared" si="3"/>
        <v>102460</v>
      </c>
      <c r="K16" s="31">
        <f t="shared" si="3"/>
        <v>108087</v>
      </c>
      <c r="L16" s="31">
        <f t="shared" si="3"/>
        <v>109331</v>
      </c>
      <c r="M16" s="31">
        <f t="shared" si="3"/>
        <v>103741</v>
      </c>
      <c r="N16" s="31">
        <f t="shared" si="3"/>
        <v>82439</v>
      </c>
      <c r="O16" s="31">
        <f t="shared" si="3"/>
        <v>78057</v>
      </c>
      <c r="P16" s="31">
        <f t="shared" si="1"/>
        <v>2193725</v>
      </c>
    </row>
    <row r="17" spans="2:16" ht="18" customHeight="1" x14ac:dyDescent="0.25">
      <c r="B17" s="16"/>
      <c r="C17" s="87" t="s">
        <v>517</v>
      </c>
      <c r="D17" s="88"/>
      <c r="E17" s="88"/>
      <c r="F17" s="88"/>
      <c r="G17" s="88"/>
      <c r="H17" s="88"/>
      <c r="I17" s="88"/>
      <c r="J17" s="88"/>
      <c r="K17" s="88"/>
      <c r="L17" s="88"/>
      <c r="M17" s="88"/>
      <c r="N17" s="88"/>
      <c r="O17" s="88"/>
      <c r="P17" s="88"/>
    </row>
    <row r="18" spans="2:16" ht="13.5" customHeight="1" x14ac:dyDescent="0.25">
      <c r="C18" s="78" t="s">
        <v>471</v>
      </c>
      <c r="D18" s="79">
        <f>ROUND((Erfolgsplanung!D36+Erfolgsplanung!D39+Erfolgsplanung!D40+Erfolgsplanung!D41+Erfolgsplanung!D43)*(1+Vorsteuerquote*USt_Sonstige),0)</f>
        <v>0</v>
      </c>
      <c r="E18" s="79">
        <f>ROUND((Erfolgsplanung!E36+Erfolgsplanung!E39+Erfolgsplanung!E40+Erfolgsplanung!E41+Erfolgsplanung!E43)*(1+Vorsteuerquote*USt_Sonstige),0)</f>
        <v>0</v>
      </c>
      <c r="F18" s="79">
        <f>ROUND((Erfolgsplanung!F36+Erfolgsplanung!F39+Erfolgsplanung!F40+Erfolgsplanung!F41+Erfolgsplanung!F43)*(1+Vorsteuerquote*USt_Sonstige),0)</f>
        <v>10846</v>
      </c>
      <c r="G18" s="79">
        <f>ROUND((Erfolgsplanung!G36+Erfolgsplanung!G39+Erfolgsplanung!G40+Erfolgsplanung!G41+Erfolgsplanung!G43)*(1+Vorsteuerquote*USt_Sonstige),0)</f>
        <v>13930</v>
      </c>
      <c r="H18" s="79">
        <f>ROUND((Erfolgsplanung!H36+Erfolgsplanung!H39+Erfolgsplanung!H40+Erfolgsplanung!H41+Erfolgsplanung!H43)*(1+Vorsteuerquote*USt_Sonstige),0)</f>
        <v>18413</v>
      </c>
      <c r="I18" s="79">
        <f>ROUND((Erfolgsplanung!I36+Erfolgsplanung!I39+Erfolgsplanung!I40+Erfolgsplanung!I41+Erfolgsplanung!I43)*(1+Vorsteuerquote*USt_Sonstige),0)</f>
        <v>21993</v>
      </c>
      <c r="J18" s="79">
        <f>ROUND((Erfolgsplanung!J36+Erfolgsplanung!J39+Erfolgsplanung!J40+Erfolgsplanung!J41+Erfolgsplanung!J43)*(1+Vorsteuerquote*USt_Sonstige),0)</f>
        <v>24360</v>
      </c>
      <c r="K18" s="79">
        <f>ROUND((Erfolgsplanung!K36+Erfolgsplanung!K39+Erfolgsplanung!K40+Erfolgsplanung!K41+Erfolgsplanung!K43)*(1+Vorsteuerquote*USt_Sonstige),0)</f>
        <v>25517</v>
      </c>
      <c r="L18" s="79">
        <f>ROUND((Erfolgsplanung!L36+Erfolgsplanung!L39+Erfolgsplanung!L40+Erfolgsplanung!L41+Erfolgsplanung!L43)*(1+Vorsteuerquote*USt_Sonstige),0)</f>
        <v>25944</v>
      </c>
      <c r="M18" s="79">
        <f>ROUND((Erfolgsplanung!M36+Erfolgsplanung!M39+Erfolgsplanung!M40+Erfolgsplanung!M41+Erfolgsplanung!M43)*(1+Vorsteuerquote*USt_Sonstige),0)</f>
        <v>24441</v>
      </c>
      <c r="N18" s="79">
        <f>ROUND((Erfolgsplanung!N36+Erfolgsplanung!N39+Erfolgsplanung!N40+Erfolgsplanung!N41+Erfolgsplanung!N43)*(1+Vorsteuerquote*USt_Sonstige),0)</f>
        <v>18987</v>
      </c>
      <c r="O18" s="79">
        <f>ROUND((Erfolgsplanung!O36+Erfolgsplanung!O39+Erfolgsplanung!O40+Erfolgsplanung!O41+Erfolgsplanung!O43)*(1+Vorsteuerquote*USt_Sonstige),0)</f>
        <v>18402</v>
      </c>
      <c r="P18" s="79">
        <f t="shared" ref="P18:P27" si="4">SUM(D18:O18)</f>
        <v>202833</v>
      </c>
    </row>
    <row r="19" spans="2:16" ht="13.5" customHeight="1" x14ac:dyDescent="0.25">
      <c r="C19" s="78" t="s">
        <v>79</v>
      </c>
      <c r="D19" s="79">
        <f>Erfolgsplanung!D37</f>
        <v>5566</v>
      </c>
      <c r="E19" s="79">
        <f>Erfolgsplanung!E37</f>
        <v>14187</v>
      </c>
      <c r="F19" s="79">
        <f>Erfolgsplanung!F37</f>
        <v>31382</v>
      </c>
      <c r="G19" s="79">
        <f>Erfolgsplanung!G37</f>
        <v>33173</v>
      </c>
      <c r="H19" s="79">
        <f>Erfolgsplanung!H37</f>
        <v>33173</v>
      </c>
      <c r="I19" s="79">
        <f>Erfolgsplanung!I37</f>
        <v>33173</v>
      </c>
      <c r="J19" s="79">
        <f>Erfolgsplanung!J37</f>
        <v>33173</v>
      </c>
      <c r="K19" s="79">
        <f>Erfolgsplanung!K37</f>
        <v>33173</v>
      </c>
      <c r="L19" s="79">
        <f>Erfolgsplanung!L37</f>
        <v>33173</v>
      </c>
      <c r="M19" s="79">
        <f>Erfolgsplanung!M37</f>
        <v>33173</v>
      </c>
      <c r="N19" s="79">
        <f>Erfolgsplanung!N37</f>
        <v>33173</v>
      </c>
      <c r="O19" s="79">
        <f>Erfolgsplanung!O37</f>
        <v>33173</v>
      </c>
      <c r="P19" s="79">
        <f t="shared" si="4"/>
        <v>349692</v>
      </c>
    </row>
    <row r="20" spans="2:16" ht="13.5" customHeight="1" x14ac:dyDescent="0.25">
      <c r="C20" s="78" t="s">
        <v>83</v>
      </c>
      <c r="D20" s="79">
        <f>ROUND((Erfolgsplanung!D38+Erfolgsplanung!D42+Erfolgsplanung!D44+Erfolgsplanung!D45+Erfolgsplanung!D46+Erfolgsplanung!D47+Erfolgsplanung!D48)*(1+Vorsteuerquote*USt_Sonstige),0)</f>
        <v>18061</v>
      </c>
      <c r="E20" s="79">
        <f>ROUND((Erfolgsplanung!E38+Erfolgsplanung!E42+Erfolgsplanung!E44+Erfolgsplanung!E45+Erfolgsplanung!E46+Erfolgsplanung!E47+Erfolgsplanung!E48)*(1+Vorsteuerquote*USt_Sonstige),0)</f>
        <v>18061</v>
      </c>
      <c r="F20" s="79">
        <f>ROUND((Erfolgsplanung!F38+Erfolgsplanung!F42+Erfolgsplanung!F44+Erfolgsplanung!F45+Erfolgsplanung!F46+Erfolgsplanung!F47+Erfolgsplanung!F48)*(1+Vorsteuerquote*USt_Sonstige),0)</f>
        <v>18061</v>
      </c>
      <c r="G20" s="79">
        <f>ROUND((Erfolgsplanung!G38+Erfolgsplanung!G42+Erfolgsplanung!G44+Erfolgsplanung!G45+Erfolgsplanung!G46+Erfolgsplanung!G47+Erfolgsplanung!G48)*(1+Vorsteuerquote*USt_Sonstige),0)</f>
        <v>18061</v>
      </c>
      <c r="H20" s="79">
        <f>ROUND((Erfolgsplanung!H38+Erfolgsplanung!H42+Erfolgsplanung!H44+Erfolgsplanung!H45+Erfolgsplanung!H46+Erfolgsplanung!H47+Erfolgsplanung!H48)*(1+Vorsteuerquote*USt_Sonstige),0)</f>
        <v>18061</v>
      </c>
      <c r="I20" s="79">
        <f>ROUND((Erfolgsplanung!I38+Erfolgsplanung!I42+Erfolgsplanung!I44+Erfolgsplanung!I45+Erfolgsplanung!I46+Erfolgsplanung!I47+Erfolgsplanung!I48)*(1+Vorsteuerquote*USt_Sonstige),0)</f>
        <v>18061</v>
      </c>
      <c r="J20" s="79">
        <f>ROUND((Erfolgsplanung!J38+Erfolgsplanung!J42+Erfolgsplanung!J44+Erfolgsplanung!J45+Erfolgsplanung!J46+Erfolgsplanung!J47+Erfolgsplanung!J48)*(1+Vorsteuerquote*USt_Sonstige),0)</f>
        <v>18061</v>
      </c>
      <c r="K20" s="79">
        <f>ROUND((Erfolgsplanung!K38+Erfolgsplanung!K42+Erfolgsplanung!K44+Erfolgsplanung!K45+Erfolgsplanung!K46+Erfolgsplanung!K47+Erfolgsplanung!K48)*(1+Vorsteuerquote*USt_Sonstige),0)</f>
        <v>18061</v>
      </c>
      <c r="L20" s="79">
        <f>ROUND((Erfolgsplanung!L38+Erfolgsplanung!L42+Erfolgsplanung!L44+Erfolgsplanung!L45+Erfolgsplanung!L46+Erfolgsplanung!L47+Erfolgsplanung!L48)*(1+Vorsteuerquote*USt_Sonstige),0)</f>
        <v>18061</v>
      </c>
      <c r="M20" s="79">
        <f>ROUND((Erfolgsplanung!M38+Erfolgsplanung!M42+Erfolgsplanung!M44+Erfolgsplanung!M45+Erfolgsplanung!M46+Erfolgsplanung!M47+Erfolgsplanung!M48)*(1+Vorsteuerquote*USt_Sonstige),0)</f>
        <v>18061</v>
      </c>
      <c r="N20" s="79">
        <f>ROUND((Erfolgsplanung!N38+Erfolgsplanung!N42+Erfolgsplanung!N44+Erfolgsplanung!N45+Erfolgsplanung!N46+Erfolgsplanung!N47+Erfolgsplanung!N48)*(1+Vorsteuerquote*USt_Sonstige),0)</f>
        <v>18061</v>
      </c>
      <c r="O20" s="79">
        <f>ROUND((Erfolgsplanung!O38+Erfolgsplanung!O42+Erfolgsplanung!O44+Erfolgsplanung!O45+Erfolgsplanung!O46+Erfolgsplanung!O47+Erfolgsplanung!O48)*(1+Vorsteuerquote*USt_Sonstige),0)</f>
        <v>18061</v>
      </c>
      <c r="P20" s="79">
        <f t="shared" si="4"/>
        <v>216732</v>
      </c>
    </row>
    <row r="21" spans="2:16" ht="13.5" customHeight="1" x14ac:dyDescent="0.25">
      <c r="C21" s="78" t="s">
        <v>518</v>
      </c>
      <c r="D21" s="79">
        <f>SUMIF(Kapitalbedarf!$I$9:$I$20,1,Kapitalbedarf!$F$9:$F$20)</f>
        <v>406980</v>
      </c>
      <c r="E21" s="79">
        <f>SUMIF(Kapitalbedarf!$I$9:$I$20,2,Kapitalbedarf!$F$9:$F$20)</f>
        <v>562275</v>
      </c>
      <c r="F21" s="79">
        <f>SUMIF(Kapitalbedarf!$I$9:$I$20,3,Kapitalbedarf!$F$9:$F$20)</f>
        <v>0</v>
      </c>
      <c r="G21" s="79">
        <f>SUMIF(Kapitalbedarf!$I$9:$I$20,4,Kapitalbedarf!$F$9:$F$20)</f>
        <v>0</v>
      </c>
      <c r="H21" s="79">
        <f>SUMIF(Kapitalbedarf!$I$9:$I$20,5,Kapitalbedarf!$F$9:$F$20)</f>
        <v>0</v>
      </c>
      <c r="I21" s="79">
        <f>SUMIF(Kapitalbedarf!$I$9:$I$20,6,Kapitalbedarf!$F$9:$F$20)</f>
        <v>0</v>
      </c>
      <c r="J21" s="79">
        <f>SUMIF(Kapitalbedarf!$I$9:$I$20,7,Kapitalbedarf!$F$9:$F$20)</f>
        <v>0</v>
      </c>
      <c r="K21" s="79">
        <f>SUMIF(Kapitalbedarf!$I$9:$I$20,8,Kapitalbedarf!$F$9:$F$20)</f>
        <v>0</v>
      </c>
      <c r="L21" s="79">
        <f>SUMIF(Kapitalbedarf!$I$9:$I$20,9,Kapitalbedarf!$F$9:$F$20)</f>
        <v>0</v>
      </c>
      <c r="M21" s="79">
        <f>SUMIF(Kapitalbedarf!$I$9:$I$20,10,Kapitalbedarf!$F$9:$F$20)</f>
        <v>0</v>
      </c>
      <c r="N21" s="79">
        <f>SUMIF(Kapitalbedarf!$I$9:$I$20,11,Kapitalbedarf!$F$9:$F$20)</f>
        <v>0</v>
      </c>
      <c r="O21" s="79">
        <f>SUMIF(Kapitalbedarf!$I$9:$I$20,12,Kapitalbedarf!$F$9:$F$20)</f>
        <v>0</v>
      </c>
      <c r="P21" s="79">
        <f t="shared" si="4"/>
        <v>969255</v>
      </c>
    </row>
    <row r="22" spans="2:16" ht="13.5" customHeight="1" x14ac:dyDescent="0.25">
      <c r="C22" s="78" t="s">
        <v>519</v>
      </c>
      <c r="D22" s="79">
        <f>SUMIF(Kapitalbedarf!$I$25:$I$31,1,Kapitalbedarf!$F$25:$F$31)</f>
        <v>46223</v>
      </c>
      <c r="E22" s="79">
        <f>SUMIF(Kapitalbedarf!$I$25:$I$31,2,Kapitalbedarf!$F$25:$F$31)</f>
        <v>37485</v>
      </c>
      <c r="F22" s="79">
        <f>SUMIF(Kapitalbedarf!$I$25:$I$31,3,Kapitalbedarf!$F$25:$F$31)</f>
        <v>12305</v>
      </c>
      <c r="G22" s="79">
        <f>SUMIF(Kapitalbedarf!$I$25:$I$31,4,Kapitalbedarf!$F$25:$F$31)</f>
        <v>0</v>
      </c>
      <c r="H22" s="79">
        <f>SUMIF(Kapitalbedarf!$I$25:$I$31,5,Kapitalbedarf!$F$25:$F$31)</f>
        <v>0</v>
      </c>
      <c r="I22" s="79">
        <f>SUMIF(Kapitalbedarf!$I$25:$I$31,6,Kapitalbedarf!$F$25:$F$31)</f>
        <v>0</v>
      </c>
      <c r="J22" s="79">
        <f>SUMIF(Kapitalbedarf!$I$25:$I$31,7,Kapitalbedarf!$F$25:$F$31)</f>
        <v>0</v>
      </c>
      <c r="K22" s="79">
        <f>SUMIF(Kapitalbedarf!$I$25:$I$31,8,Kapitalbedarf!$F$25:$F$31)</f>
        <v>0</v>
      </c>
      <c r="L22" s="79">
        <f>SUMIF(Kapitalbedarf!$I$25:$I$31,9,Kapitalbedarf!$F$25:$F$31)</f>
        <v>0</v>
      </c>
      <c r="M22" s="79">
        <f>SUMIF(Kapitalbedarf!$I$25:$I$31,10,Kapitalbedarf!$F$25:$F$31)</f>
        <v>0</v>
      </c>
      <c r="N22" s="79">
        <f>SUMIF(Kapitalbedarf!$I$25:$I$31,11,Kapitalbedarf!$F$25:$F$31)</f>
        <v>0</v>
      </c>
      <c r="O22" s="79">
        <f>SUMIF(Kapitalbedarf!$I$25:$I$31,12,Kapitalbedarf!$F$25:$F$31)</f>
        <v>0</v>
      </c>
      <c r="P22" s="79">
        <f t="shared" si="4"/>
        <v>96013</v>
      </c>
    </row>
    <row r="23" spans="2:16" ht="13.5" customHeight="1" x14ac:dyDescent="0.25">
      <c r="C23" s="78" t="s">
        <v>520</v>
      </c>
      <c r="D23" s="79">
        <f t="shared" ref="D23:O23" si="5">ROUND(Zins_J1/12,0)</f>
        <v>3260</v>
      </c>
      <c r="E23" s="79">
        <f t="shared" si="5"/>
        <v>3260</v>
      </c>
      <c r="F23" s="79">
        <f t="shared" si="5"/>
        <v>3260</v>
      </c>
      <c r="G23" s="79">
        <f t="shared" si="5"/>
        <v>3260</v>
      </c>
      <c r="H23" s="79">
        <f t="shared" si="5"/>
        <v>3260</v>
      </c>
      <c r="I23" s="79">
        <f t="shared" si="5"/>
        <v>3260</v>
      </c>
      <c r="J23" s="79">
        <f t="shared" si="5"/>
        <v>3260</v>
      </c>
      <c r="K23" s="79">
        <f t="shared" si="5"/>
        <v>3260</v>
      </c>
      <c r="L23" s="79">
        <f t="shared" si="5"/>
        <v>3260</v>
      </c>
      <c r="M23" s="79">
        <f t="shared" si="5"/>
        <v>3260</v>
      </c>
      <c r="N23" s="79">
        <f t="shared" si="5"/>
        <v>3260</v>
      </c>
      <c r="O23" s="79">
        <f t="shared" si="5"/>
        <v>3260</v>
      </c>
      <c r="P23" s="79">
        <f t="shared" si="4"/>
        <v>39120</v>
      </c>
    </row>
    <row r="24" spans="2:16" ht="13.5" customHeight="1" x14ac:dyDescent="0.25">
      <c r="C24" s="78" t="s">
        <v>521</v>
      </c>
      <c r="D24" s="79">
        <f t="shared" ref="D24:O24" si="6">ROUND(Tilgung_J1/12,0)</f>
        <v>0</v>
      </c>
      <c r="E24" s="79">
        <f t="shared" si="6"/>
        <v>0</v>
      </c>
      <c r="F24" s="79">
        <f t="shared" si="6"/>
        <v>0</v>
      </c>
      <c r="G24" s="79">
        <f t="shared" si="6"/>
        <v>0</v>
      </c>
      <c r="H24" s="79">
        <f t="shared" si="6"/>
        <v>0</v>
      </c>
      <c r="I24" s="79">
        <f t="shared" si="6"/>
        <v>0</v>
      </c>
      <c r="J24" s="79">
        <f t="shared" si="6"/>
        <v>0</v>
      </c>
      <c r="K24" s="79">
        <f t="shared" si="6"/>
        <v>0</v>
      </c>
      <c r="L24" s="79">
        <f t="shared" si="6"/>
        <v>0</v>
      </c>
      <c r="M24" s="79">
        <f t="shared" si="6"/>
        <v>0</v>
      </c>
      <c r="N24" s="79">
        <f t="shared" si="6"/>
        <v>0</v>
      </c>
      <c r="O24" s="79">
        <f t="shared" si="6"/>
        <v>0</v>
      </c>
      <c r="P24" s="79">
        <f t="shared" si="4"/>
        <v>0</v>
      </c>
    </row>
    <row r="25" spans="2:16" ht="13.5" customHeight="1" x14ac:dyDescent="0.25">
      <c r="C25" s="78" t="s">
        <v>522</v>
      </c>
      <c r="D25" s="79">
        <v>0</v>
      </c>
      <c r="E25" s="79">
        <f t="shared" ref="E25:O25" si="7">IF(D36&gt;0,D36,0)</f>
        <v>0</v>
      </c>
      <c r="F25" s="79">
        <f t="shared" si="7"/>
        <v>0</v>
      </c>
      <c r="G25" s="79">
        <f t="shared" si="7"/>
        <v>0</v>
      </c>
      <c r="H25" s="79">
        <f t="shared" si="7"/>
        <v>273</v>
      </c>
      <c r="I25" s="79">
        <f t="shared" si="7"/>
        <v>1170</v>
      </c>
      <c r="J25" s="79">
        <f t="shared" si="7"/>
        <v>1887</v>
      </c>
      <c r="K25" s="79">
        <f t="shared" si="7"/>
        <v>2360</v>
      </c>
      <c r="L25" s="79">
        <f t="shared" si="7"/>
        <v>2590</v>
      </c>
      <c r="M25" s="79">
        <f t="shared" si="7"/>
        <v>2676</v>
      </c>
      <c r="N25" s="79">
        <f t="shared" si="7"/>
        <v>2376</v>
      </c>
      <c r="O25" s="79">
        <f t="shared" si="7"/>
        <v>1285</v>
      </c>
      <c r="P25" s="79">
        <f t="shared" si="4"/>
        <v>14617</v>
      </c>
    </row>
    <row r="26" spans="2:16" ht="13.5" customHeight="1" x14ac:dyDescent="0.25">
      <c r="C26" s="78" t="s">
        <v>523</v>
      </c>
      <c r="D26" s="79">
        <f>Erfolgsplanung!D56</f>
        <v>0</v>
      </c>
      <c r="E26" s="79">
        <f>Erfolgsplanung!E56</f>
        <v>0</v>
      </c>
      <c r="F26" s="79">
        <f>Erfolgsplanung!F56</f>
        <v>0</v>
      </c>
      <c r="G26" s="79">
        <f>Erfolgsplanung!G56</f>
        <v>0</v>
      </c>
      <c r="H26" s="79">
        <f>Erfolgsplanung!H56</f>
        <v>0</v>
      </c>
      <c r="I26" s="79">
        <f>Erfolgsplanung!I56</f>
        <v>1569</v>
      </c>
      <c r="J26" s="79">
        <f>Erfolgsplanung!J56</f>
        <v>3950</v>
      </c>
      <c r="K26" s="79">
        <f>Erfolgsplanung!K56</f>
        <v>5050</v>
      </c>
      <c r="L26" s="79">
        <f>Erfolgsplanung!L56</f>
        <v>5142</v>
      </c>
      <c r="M26" s="79">
        <f>Erfolgsplanung!M56</f>
        <v>3793</v>
      </c>
      <c r="N26" s="79">
        <f>Erfolgsplanung!N56</f>
        <v>0</v>
      </c>
      <c r="O26" s="79">
        <f>Erfolgsplanung!O56</f>
        <v>0</v>
      </c>
      <c r="P26" s="79">
        <f t="shared" si="4"/>
        <v>19504</v>
      </c>
    </row>
    <row r="27" spans="2:16" ht="16.5" customHeight="1" x14ac:dyDescent="0.25">
      <c r="C27" s="30" t="s">
        <v>524</v>
      </c>
      <c r="D27" s="31">
        <f t="shared" ref="D27:O27" si="8">SUM(D18:D26)</f>
        <v>480090</v>
      </c>
      <c r="E27" s="31">
        <f t="shared" si="8"/>
        <v>635268</v>
      </c>
      <c r="F27" s="31">
        <f t="shared" si="8"/>
        <v>75854</v>
      </c>
      <c r="G27" s="31">
        <f t="shared" si="8"/>
        <v>68424</v>
      </c>
      <c r="H27" s="31">
        <f t="shared" si="8"/>
        <v>73180</v>
      </c>
      <c r="I27" s="31">
        <f t="shared" si="8"/>
        <v>79226</v>
      </c>
      <c r="J27" s="31">
        <f t="shared" si="8"/>
        <v>84691</v>
      </c>
      <c r="K27" s="31">
        <f t="shared" si="8"/>
        <v>87421</v>
      </c>
      <c r="L27" s="31">
        <f t="shared" si="8"/>
        <v>88170</v>
      </c>
      <c r="M27" s="31">
        <f t="shared" si="8"/>
        <v>85404</v>
      </c>
      <c r="N27" s="31">
        <f t="shared" si="8"/>
        <v>75857</v>
      </c>
      <c r="O27" s="31">
        <f t="shared" si="8"/>
        <v>74181</v>
      </c>
      <c r="P27" s="31">
        <f t="shared" si="4"/>
        <v>1907766</v>
      </c>
    </row>
    <row r="28" spans="2:16" ht="18" customHeight="1" x14ac:dyDescent="0.25">
      <c r="B28" s="16"/>
      <c r="C28" s="87" t="s">
        <v>525</v>
      </c>
      <c r="D28" s="88"/>
      <c r="E28" s="88"/>
      <c r="F28" s="88"/>
      <c r="G28" s="88"/>
      <c r="H28" s="88"/>
      <c r="I28" s="88"/>
      <c r="J28" s="88"/>
      <c r="K28" s="88"/>
      <c r="L28" s="88"/>
      <c r="M28" s="88"/>
      <c r="N28" s="88"/>
      <c r="O28" s="88"/>
      <c r="P28" s="88"/>
    </row>
    <row r="29" spans="2:16" ht="16.5" customHeight="1" x14ac:dyDescent="0.25">
      <c r="C29" s="30" t="s">
        <v>526</v>
      </c>
      <c r="D29" s="31">
        <f t="shared" ref="D29:O29" si="9">D16-D27</f>
        <v>639910</v>
      </c>
      <c r="E29" s="31">
        <f t="shared" si="9"/>
        <v>-565554</v>
      </c>
      <c r="F29" s="31">
        <f t="shared" si="9"/>
        <v>118608</v>
      </c>
      <c r="G29" s="31">
        <f t="shared" si="9"/>
        <v>-9906</v>
      </c>
      <c r="H29" s="31">
        <f t="shared" si="9"/>
        <v>2494</v>
      </c>
      <c r="I29" s="31">
        <f t="shared" si="9"/>
        <v>12016</v>
      </c>
      <c r="J29" s="31">
        <f t="shared" si="9"/>
        <v>17769</v>
      </c>
      <c r="K29" s="31">
        <f t="shared" si="9"/>
        <v>20666</v>
      </c>
      <c r="L29" s="31">
        <f t="shared" si="9"/>
        <v>21161</v>
      </c>
      <c r="M29" s="31">
        <f t="shared" si="9"/>
        <v>18337</v>
      </c>
      <c r="N29" s="31">
        <f t="shared" si="9"/>
        <v>6582</v>
      </c>
      <c r="O29" s="31">
        <f t="shared" si="9"/>
        <v>3876</v>
      </c>
      <c r="P29" s="31">
        <f>SUM(D29:O29)</f>
        <v>285959</v>
      </c>
    </row>
    <row r="30" spans="2:16" ht="18.75" customHeight="1" x14ac:dyDescent="0.25">
      <c r="C30" s="29" t="s">
        <v>527</v>
      </c>
      <c r="D30" s="65">
        <f t="shared" ref="D30:O30" si="10">D9+D29</f>
        <v>639910</v>
      </c>
      <c r="E30" s="65">
        <f t="shared" si="10"/>
        <v>74356</v>
      </c>
      <c r="F30" s="65">
        <f t="shared" si="10"/>
        <v>192964</v>
      </c>
      <c r="G30" s="65">
        <f t="shared" si="10"/>
        <v>183058</v>
      </c>
      <c r="H30" s="65">
        <f t="shared" si="10"/>
        <v>185552</v>
      </c>
      <c r="I30" s="65">
        <f t="shared" si="10"/>
        <v>197568</v>
      </c>
      <c r="J30" s="65">
        <f t="shared" si="10"/>
        <v>215337</v>
      </c>
      <c r="K30" s="65">
        <f t="shared" si="10"/>
        <v>236003</v>
      </c>
      <c r="L30" s="65">
        <f t="shared" si="10"/>
        <v>257164</v>
      </c>
      <c r="M30" s="65">
        <f t="shared" si="10"/>
        <v>275501</v>
      </c>
      <c r="N30" s="65">
        <f t="shared" si="10"/>
        <v>282083</v>
      </c>
      <c r="O30" s="65">
        <f t="shared" si="10"/>
        <v>285959</v>
      </c>
      <c r="P30" s="65">
        <f>O30</f>
        <v>285959</v>
      </c>
    </row>
    <row r="31" spans="2:16" ht="13.5" customHeight="1" x14ac:dyDescent="0.25">
      <c r="C31" s="107" t="s">
        <v>528</v>
      </c>
      <c r="D31" s="99">
        <f t="shared" ref="D31:P31" si="11">Mindestbestand</f>
        <v>40000</v>
      </c>
      <c r="E31" s="99">
        <f t="shared" si="11"/>
        <v>40000</v>
      </c>
      <c r="F31" s="99">
        <f t="shared" si="11"/>
        <v>40000</v>
      </c>
      <c r="G31" s="99">
        <f t="shared" si="11"/>
        <v>40000</v>
      </c>
      <c r="H31" s="99">
        <f t="shared" si="11"/>
        <v>40000</v>
      </c>
      <c r="I31" s="99">
        <f t="shared" si="11"/>
        <v>40000</v>
      </c>
      <c r="J31" s="99">
        <f t="shared" si="11"/>
        <v>40000</v>
      </c>
      <c r="K31" s="99">
        <f t="shared" si="11"/>
        <v>40000</v>
      </c>
      <c r="L31" s="99">
        <f t="shared" si="11"/>
        <v>40000</v>
      </c>
      <c r="M31" s="99">
        <f t="shared" si="11"/>
        <v>40000</v>
      </c>
      <c r="N31" s="99">
        <f t="shared" si="11"/>
        <v>40000</v>
      </c>
      <c r="O31" s="99">
        <f t="shared" si="11"/>
        <v>40000</v>
      </c>
      <c r="P31" s="99">
        <f t="shared" si="11"/>
        <v>40000</v>
      </c>
    </row>
    <row r="32" spans="2:16" ht="13.5" customHeight="1" x14ac:dyDescent="0.25">
      <c r="C32" s="96" t="s">
        <v>371</v>
      </c>
      <c r="D32" s="103">
        <f t="shared" ref="D32:O32" si="12">D30-D31</f>
        <v>599910</v>
      </c>
      <c r="E32" s="103">
        <f t="shared" si="12"/>
        <v>34356</v>
      </c>
      <c r="F32" s="103">
        <f t="shared" si="12"/>
        <v>152964</v>
      </c>
      <c r="G32" s="103">
        <f t="shared" si="12"/>
        <v>143058</v>
      </c>
      <c r="H32" s="103">
        <f t="shared" si="12"/>
        <v>145552</v>
      </c>
      <c r="I32" s="103">
        <f t="shared" si="12"/>
        <v>157568</v>
      </c>
      <c r="J32" s="103">
        <f t="shared" si="12"/>
        <v>175337</v>
      </c>
      <c r="K32" s="103">
        <f t="shared" si="12"/>
        <v>196003</v>
      </c>
      <c r="L32" s="103">
        <f t="shared" si="12"/>
        <v>217164</v>
      </c>
      <c r="M32" s="103">
        <f t="shared" si="12"/>
        <v>235501</v>
      </c>
      <c r="N32" s="103">
        <f t="shared" si="12"/>
        <v>242083</v>
      </c>
      <c r="O32" s="103">
        <f t="shared" si="12"/>
        <v>245959</v>
      </c>
      <c r="P32" s="103">
        <f>O32</f>
        <v>245959</v>
      </c>
    </row>
    <row r="33" spans="2:16" ht="18" customHeight="1" x14ac:dyDescent="0.25">
      <c r="B33" s="16"/>
      <c r="C33" s="87" t="s">
        <v>529</v>
      </c>
      <c r="D33" s="88"/>
      <c r="E33" s="88"/>
      <c r="F33" s="88"/>
      <c r="G33" s="88"/>
      <c r="H33" s="88"/>
      <c r="I33" s="88"/>
      <c r="J33" s="88"/>
      <c r="K33" s="88"/>
      <c r="L33" s="88"/>
      <c r="M33" s="88"/>
      <c r="N33" s="88"/>
      <c r="O33" s="88"/>
      <c r="P33" s="88"/>
    </row>
    <row r="34" spans="2:16" ht="13.5" customHeight="1" x14ac:dyDescent="0.25">
      <c r="C34" s="107" t="s">
        <v>530</v>
      </c>
      <c r="D34" s="99">
        <f>ROUND(Erfolgsplanung!D24*USt_Logis+(Erfolgsplanung!D25+Erfolgsplanung!D26+Erfolgsplanung!D27)*USt_FB+Erfolgsplanung!D28*USt_Sonstige,0)</f>
        <v>0</v>
      </c>
      <c r="E34" s="99">
        <f>ROUND(Erfolgsplanung!E24*USt_Logis+(Erfolgsplanung!E25+Erfolgsplanung!E26+Erfolgsplanung!E27)*USt_FB+Erfolgsplanung!E28*USt_Sonstige,0)</f>
        <v>0</v>
      </c>
      <c r="F34" s="99">
        <f>ROUND(Erfolgsplanung!F24*USt_Logis+(Erfolgsplanung!F25+Erfolgsplanung!F26+Erfolgsplanung!F27)*USt_FB+Erfolgsplanung!F28*USt_Sonstige,0)</f>
        <v>3676</v>
      </c>
      <c r="G34" s="99">
        <f>ROUND(Erfolgsplanung!G24*USt_Logis+(Erfolgsplanung!G25+Erfolgsplanung!G26+Erfolgsplanung!G27)*USt_FB+Erfolgsplanung!G28*USt_Sonstige,0)</f>
        <v>4721</v>
      </c>
      <c r="H34" s="99">
        <f>ROUND(Erfolgsplanung!H24*USt_Logis+(Erfolgsplanung!H25+Erfolgsplanung!H26+Erfolgsplanung!H27)*USt_FB+Erfolgsplanung!H28*USt_Sonstige,0)</f>
        <v>6242</v>
      </c>
      <c r="I34" s="99">
        <f>ROUND(Erfolgsplanung!I24*USt_Logis+(Erfolgsplanung!I25+Erfolgsplanung!I26+Erfolgsplanung!I27)*USt_FB+Erfolgsplanung!I28*USt_Sonstige,0)</f>
        <v>7456</v>
      </c>
      <c r="J34" s="99">
        <f>ROUND(Erfolgsplanung!J24*USt_Logis+(Erfolgsplanung!J25+Erfolgsplanung!J26+Erfolgsplanung!J27)*USt_FB+Erfolgsplanung!J28*USt_Sonstige,0)</f>
        <v>8258</v>
      </c>
      <c r="K34" s="99">
        <f>ROUND(Erfolgsplanung!K24*USt_Logis+(Erfolgsplanung!K25+Erfolgsplanung!K26+Erfolgsplanung!K27)*USt_FB+Erfolgsplanung!K28*USt_Sonstige,0)</f>
        <v>8649</v>
      </c>
      <c r="L34" s="99">
        <f>ROUND(Erfolgsplanung!L24*USt_Logis+(Erfolgsplanung!L25+Erfolgsplanung!L26+Erfolgsplanung!L27)*USt_FB+Erfolgsplanung!L28*USt_Sonstige,0)</f>
        <v>8795</v>
      </c>
      <c r="M34" s="99">
        <f>ROUND(Erfolgsplanung!M24*USt_Logis+(Erfolgsplanung!M25+Erfolgsplanung!M26+Erfolgsplanung!M27)*USt_FB+Erfolgsplanung!M28*USt_Sonstige,0)</f>
        <v>8286</v>
      </c>
      <c r="N34" s="99">
        <f>ROUND(Erfolgsplanung!N24*USt_Logis+(Erfolgsplanung!N25+Erfolgsplanung!N26+Erfolgsplanung!N27)*USt_FB+Erfolgsplanung!N28*USt_Sonstige,0)</f>
        <v>6436</v>
      </c>
      <c r="O34" s="99">
        <f>ROUND(Erfolgsplanung!O24*USt_Logis+(Erfolgsplanung!O25+Erfolgsplanung!O26+Erfolgsplanung!O27)*USt_FB+Erfolgsplanung!O28*USt_Sonstige,0)</f>
        <v>6237</v>
      </c>
      <c r="P34" s="99">
        <f>SUM(D34:O34)</f>
        <v>68756</v>
      </c>
    </row>
    <row r="35" spans="2:16" ht="13.5" customHeight="1" x14ac:dyDescent="0.25">
      <c r="C35" s="107" t="s">
        <v>531</v>
      </c>
      <c r="D35" s="99">
        <f>ROUND((Erfolgsplanung!D36+Erfolgsplanung!D38+Erfolgsplanung!D39+Erfolgsplanung!D40+Erfolgsplanung!D41+Erfolgsplanung!D42+Erfolgsplanung!D43+Erfolgsplanung!D44+Erfolgsplanung!D45+Erfolgsplanung!D46+Erfolgsplanung!D47+Erfolgsplanung!D48)*Vorsteuerquote*USt_Sonstige+(SUMIF(Kapitalbedarf!$I$9:$I$20,1,Kapitalbedarf!$F$9:$F$20)-SUMIF(Kapitalbedarf!$I$9:$I$20,1,Kapitalbedarf!$D$9:$D$20))+(SUMIF(Kapitalbedarf!$I$25:$I$31,1,Kapitalbedarf!$F$25:$F$31)-SUMIF(Kapitalbedarf!$I$25:$I$31,1,Kapitalbedarf!$D$25:$D$31)),0)</f>
        <v>69714</v>
      </c>
      <c r="E35" s="99">
        <f>ROUND((Erfolgsplanung!E36+Erfolgsplanung!E38+Erfolgsplanung!E39+Erfolgsplanung!E40+Erfolgsplanung!E41+Erfolgsplanung!E42+Erfolgsplanung!E43+Erfolgsplanung!E44+Erfolgsplanung!E45+Erfolgsplanung!E46+Erfolgsplanung!E47+Erfolgsplanung!E48)*Vorsteuerquote*USt_Sonstige+(SUMIF(Kapitalbedarf!$I$9:$I$20,2,Kapitalbedarf!$F$9:$F$20)-SUMIF(Kapitalbedarf!$I$9:$I$20,2,Kapitalbedarf!$D$9:$D$20))+(SUMIF(Kapitalbedarf!$I$25:$I$31,2,Kapitalbedarf!$F$25:$F$31)-SUMIF(Kapitalbedarf!$I$25:$I$31,2,Kapitalbedarf!$D$25:$D$31)),0)</f>
        <v>98271</v>
      </c>
      <c r="F35" s="99">
        <f>ROUND((Erfolgsplanung!F36+Erfolgsplanung!F38+Erfolgsplanung!F39+Erfolgsplanung!F40+Erfolgsplanung!F41+Erfolgsplanung!F42+Erfolgsplanung!F43+Erfolgsplanung!F44+Erfolgsplanung!F45+Erfolgsplanung!F46+Erfolgsplanung!F47+Erfolgsplanung!F48)*Vorsteuerquote*USt_Sonstige+(SUMIF(Kapitalbedarf!$I$9:$I$20,3,Kapitalbedarf!$F$9:$F$20)-SUMIF(Kapitalbedarf!$I$9:$I$20,3,Kapitalbedarf!$D$9:$D$20))+(SUMIF(Kapitalbedarf!$I$25:$I$31,3,Kapitalbedarf!$F$25:$F$31)-SUMIF(Kapitalbedarf!$I$25:$I$31,3,Kapitalbedarf!$D$25:$D$31)),0)</f>
        <v>4824</v>
      </c>
      <c r="G35" s="99">
        <f>ROUND((Erfolgsplanung!G36+Erfolgsplanung!G38+Erfolgsplanung!G39+Erfolgsplanung!G40+Erfolgsplanung!G41+Erfolgsplanung!G42+Erfolgsplanung!G43+Erfolgsplanung!G44+Erfolgsplanung!G45+Erfolgsplanung!G46+Erfolgsplanung!G47+Erfolgsplanung!G48)*Vorsteuerquote*USt_Sonstige+(SUMIF(Kapitalbedarf!$I$9:$I$20,4,Kapitalbedarf!$F$9:$F$20)-SUMIF(Kapitalbedarf!$I$9:$I$20,4,Kapitalbedarf!$D$9:$D$20))+(SUMIF(Kapitalbedarf!$I$25:$I$31,4,Kapitalbedarf!$F$25:$F$31)-SUMIF(Kapitalbedarf!$I$25:$I$31,4,Kapitalbedarf!$D$25:$D$31)),0)</f>
        <v>4448</v>
      </c>
      <c r="H35" s="99">
        <f>ROUND((Erfolgsplanung!H36+Erfolgsplanung!H38+Erfolgsplanung!H39+Erfolgsplanung!H40+Erfolgsplanung!H41+Erfolgsplanung!H42+Erfolgsplanung!H43+Erfolgsplanung!H44+Erfolgsplanung!H45+Erfolgsplanung!H46+Erfolgsplanung!H47+Erfolgsplanung!H48)*Vorsteuerquote*USt_Sonstige+(SUMIF(Kapitalbedarf!$I$9:$I$20,5,Kapitalbedarf!$F$9:$F$20)-SUMIF(Kapitalbedarf!$I$9:$I$20,5,Kapitalbedarf!$D$9:$D$20))+(SUMIF(Kapitalbedarf!$I$25:$I$31,5,Kapitalbedarf!$F$25:$F$31)-SUMIF(Kapitalbedarf!$I$25:$I$31,5,Kapitalbedarf!$D$25:$D$31)),0)</f>
        <v>5072</v>
      </c>
      <c r="I35" s="99">
        <f>ROUND((Erfolgsplanung!I36+Erfolgsplanung!I38+Erfolgsplanung!I39+Erfolgsplanung!I40+Erfolgsplanung!I41+Erfolgsplanung!I42+Erfolgsplanung!I43+Erfolgsplanung!I44+Erfolgsplanung!I45+Erfolgsplanung!I46+Erfolgsplanung!I47+Erfolgsplanung!I48)*Vorsteuerquote*USt_Sonstige+(SUMIF(Kapitalbedarf!$I$9:$I$20,6,Kapitalbedarf!$F$9:$F$20)-SUMIF(Kapitalbedarf!$I$9:$I$20,6,Kapitalbedarf!$D$9:$D$20))+(SUMIF(Kapitalbedarf!$I$25:$I$31,6,Kapitalbedarf!$F$25:$F$31)-SUMIF(Kapitalbedarf!$I$25:$I$31,6,Kapitalbedarf!$D$25:$D$31)),0)</f>
        <v>5569</v>
      </c>
      <c r="J35" s="99">
        <f>ROUND((Erfolgsplanung!J36+Erfolgsplanung!J38+Erfolgsplanung!J39+Erfolgsplanung!J40+Erfolgsplanung!J41+Erfolgsplanung!J42+Erfolgsplanung!J43+Erfolgsplanung!J44+Erfolgsplanung!J45+Erfolgsplanung!J46+Erfolgsplanung!J47+Erfolgsplanung!J48)*Vorsteuerquote*USt_Sonstige+(SUMIF(Kapitalbedarf!$I$9:$I$20,7,Kapitalbedarf!$F$9:$F$20)-SUMIF(Kapitalbedarf!$I$9:$I$20,7,Kapitalbedarf!$D$9:$D$20))+(SUMIF(Kapitalbedarf!$I$25:$I$31,7,Kapitalbedarf!$F$25:$F$31)-SUMIF(Kapitalbedarf!$I$25:$I$31,7,Kapitalbedarf!$D$25:$D$31)),0)</f>
        <v>5898</v>
      </c>
      <c r="K35" s="99">
        <f>ROUND((Erfolgsplanung!K36+Erfolgsplanung!K38+Erfolgsplanung!K39+Erfolgsplanung!K40+Erfolgsplanung!K41+Erfolgsplanung!K42+Erfolgsplanung!K43+Erfolgsplanung!K44+Erfolgsplanung!K45+Erfolgsplanung!K46+Erfolgsplanung!K47+Erfolgsplanung!K48)*Vorsteuerquote*USt_Sonstige+(SUMIF(Kapitalbedarf!$I$9:$I$20,8,Kapitalbedarf!$F$9:$F$20)-SUMIF(Kapitalbedarf!$I$9:$I$20,8,Kapitalbedarf!$D$9:$D$20))+(SUMIF(Kapitalbedarf!$I$25:$I$31,8,Kapitalbedarf!$F$25:$F$31)-SUMIF(Kapitalbedarf!$I$25:$I$31,8,Kapitalbedarf!$D$25:$D$31)),0)</f>
        <v>6059</v>
      </c>
      <c r="L35" s="99">
        <f>ROUND((Erfolgsplanung!L36+Erfolgsplanung!L38+Erfolgsplanung!L39+Erfolgsplanung!L40+Erfolgsplanung!L41+Erfolgsplanung!L42+Erfolgsplanung!L43+Erfolgsplanung!L44+Erfolgsplanung!L45+Erfolgsplanung!L46+Erfolgsplanung!L47+Erfolgsplanung!L48)*Vorsteuerquote*USt_Sonstige+(SUMIF(Kapitalbedarf!$I$9:$I$20,9,Kapitalbedarf!$F$9:$F$20)-SUMIF(Kapitalbedarf!$I$9:$I$20,9,Kapitalbedarf!$D$9:$D$20))+(SUMIF(Kapitalbedarf!$I$25:$I$31,9,Kapitalbedarf!$F$25:$F$31)-SUMIF(Kapitalbedarf!$I$25:$I$31,9,Kapitalbedarf!$D$25:$D$31)),0)</f>
        <v>6119</v>
      </c>
      <c r="M35" s="99">
        <f>ROUND((Erfolgsplanung!M36+Erfolgsplanung!M38+Erfolgsplanung!M39+Erfolgsplanung!M40+Erfolgsplanung!M41+Erfolgsplanung!M42+Erfolgsplanung!M43+Erfolgsplanung!M44+Erfolgsplanung!M45+Erfolgsplanung!M46+Erfolgsplanung!M47+Erfolgsplanung!M48)*Vorsteuerquote*USt_Sonstige+(SUMIF(Kapitalbedarf!$I$9:$I$20,10,Kapitalbedarf!$F$9:$F$20)-SUMIF(Kapitalbedarf!$I$9:$I$20,10,Kapitalbedarf!$D$9:$D$20))+(SUMIF(Kapitalbedarf!$I$25:$I$31,10,Kapitalbedarf!$F$25:$F$31)-SUMIF(Kapitalbedarf!$I$25:$I$31,10,Kapitalbedarf!$D$25:$D$31)),0)</f>
        <v>5910</v>
      </c>
      <c r="N35" s="99">
        <f>ROUND((Erfolgsplanung!N36+Erfolgsplanung!N38+Erfolgsplanung!N39+Erfolgsplanung!N40+Erfolgsplanung!N41+Erfolgsplanung!N42+Erfolgsplanung!N43+Erfolgsplanung!N44+Erfolgsplanung!N45+Erfolgsplanung!N46+Erfolgsplanung!N47+Erfolgsplanung!N48)*Vorsteuerquote*USt_Sonstige+(SUMIF(Kapitalbedarf!$I$9:$I$20,11,Kapitalbedarf!$F$9:$F$20)-SUMIF(Kapitalbedarf!$I$9:$I$20,11,Kapitalbedarf!$D$9:$D$20))+(SUMIF(Kapitalbedarf!$I$25:$I$31,11,Kapitalbedarf!$F$25:$F$31)-SUMIF(Kapitalbedarf!$I$25:$I$31,11,Kapitalbedarf!$D$25:$D$31)),0)</f>
        <v>5151</v>
      </c>
      <c r="O35" s="99">
        <f>ROUND((Erfolgsplanung!O36+Erfolgsplanung!O38+Erfolgsplanung!O39+Erfolgsplanung!O40+Erfolgsplanung!O41+Erfolgsplanung!O42+Erfolgsplanung!O43+Erfolgsplanung!O44+Erfolgsplanung!O45+Erfolgsplanung!O46+Erfolgsplanung!O47+Erfolgsplanung!O48)*Vorsteuerquote*USt_Sonstige+(SUMIF(Kapitalbedarf!$I$9:$I$20,12,Kapitalbedarf!$F$9:$F$20)-SUMIF(Kapitalbedarf!$I$9:$I$20,12,Kapitalbedarf!$D$9:$D$20))+(SUMIF(Kapitalbedarf!$I$25:$I$31,12,Kapitalbedarf!$F$25:$F$31)-SUMIF(Kapitalbedarf!$I$25:$I$31,12,Kapitalbedarf!$D$25:$D$31)),0)</f>
        <v>5070</v>
      </c>
      <c r="P35" s="99">
        <f>SUM(D35:O35)</f>
        <v>222105</v>
      </c>
    </row>
    <row r="36" spans="2:16" ht="13.5" customHeight="1" x14ac:dyDescent="0.25">
      <c r="C36" s="107" t="s">
        <v>532</v>
      </c>
      <c r="D36" s="99">
        <f t="shared" ref="D36:O36" si="13">D34-D35</f>
        <v>-69714</v>
      </c>
      <c r="E36" s="99">
        <f t="shared" si="13"/>
        <v>-98271</v>
      </c>
      <c r="F36" s="99">
        <f t="shared" si="13"/>
        <v>-1148</v>
      </c>
      <c r="G36" s="99">
        <f t="shared" si="13"/>
        <v>273</v>
      </c>
      <c r="H36" s="99">
        <f t="shared" si="13"/>
        <v>1170</v>
      </c>
      <c r="I36" s="99">
        <f t="shared" si="13"/>
        <v>1887</v>
      </c>
      <c r="J36" s="99">
        <f t="shared" si="13"/>
        <v>2360</v>
      </c>
      <c r="K36" s="99">
        <f t="shared" si="13"/>
        <v>2590</v>
      </c>
      <c r="L36" s="99">
        <f t="shared" si="13"/>
        <v>2676</v>
      </c>
      <c r="M36" s="99">
        <f t="shared" si="13"/>
        <v>2376</v>
      </c>
      <c r="N36" s="99">
        <f t="shared" si="13"/>
        <v>1285</v>
      </c>
      <c r="O36" s="99">
        <f t="shared" si="13"/>
        <v>1167</v>
      </c>
      <c r="P36" s="99">
        <f>SUM(D36:O36)</f>
        <v>-153349</v>
      </c>
    </row>
    <row r="37" spans="2:16" ht="15" customHeight="1" x14ac:dyDescent="0.25">
      <c r="C37" s="133" t="s">
        <v>533</v>
      </c>
      <c r="D37" s="133"/>
      <c r="E37" s="133"/>
      <c r="F37" s="133"/>
      <c r="G37" s="133"/>
      <c r="H37" s="133"/>
      <c r="I37" s="133"/>
      <c r="J37" s="133"/>
      <c r="K37" s="133"/>
      <c r="L37" s="133"/>
      <c r="M37" s="133"/>
      <c r="N37" s="133"/>
      <c r="O37" s="133"/>
      <c r="P37" s="133"/>
    </row>
    <row r="39" spans="2:16" ht="21" customHeight="1" x14ac:dyDescent="0.25">
      <c r="B39" s="19" t="s">
        <v>43</v>
      </c>
      <c r="C39" s="8" t="s">
        <v>534</v>
      </c>
      <c r="D39" s="8"/>
      <c r="E39" s="8"/>
      <c r="F39" s="8"/>
      <c r="G39" s="8"/>
      <c r="H39" s="8"/>
      <c r="I39" s="8"/>
      <c r="J39" s="7" t="s">
        <v>535</v>
      </c>
      <c r="K39" s="7"/>
      <c r="L39" s="7"/>
      <c r="M39" s="7"/>
      <c r="N39" s="7"/>
      <c r="O39" s="7"/>
      <c r="P39" s="7"/>
    </row>
    <row r="40" spans="2:16" ht="19.5" customHeight="1" x14ac:dyDescent="0.25">
      <c r="C40" s="24" t="s">
        <v>395</v>
      </c>
      <c r="D40" s="130" t="s">
        <v>465</v>
      </c>
      <c r="E40" s="130"/>
      <c r="F40" s="25" t="s">
        <v>466</v>
      </c>
      <c r="G40" s="129" t="s">
        <v>330</v>
      </c>
      <c r="H40" s="129"/>
      <c r="I40" s="129"/>
      <c r="J40" s="129"/>
      <c r="K40" s="129"/>
      <c r="L40" s="129"/>
      <c r="M40" s="129"/>
      <c r="N40" s="129"/>
      <c r="O40" s="129"/>
      <c r="P40" s="129"/>
    </row>
    <row r="41" spans="2:16" ht="15.75" customHeight="1" x14ac:dyDescent="0.25">
      <c r="C41" s="30" t="s">
        <v>536</v>
      </c>
      <c r="D41" s="175">
        <f>MIN(D30:O30)</f>
        <v>74356</v>
      </c>
      <c r="E41" s="175"/>
      <c r="F41" s="64" t="s">
        <v>468</v>
      </c>
      <c r="G41" s="133" t="s">
        <v>537</v>
      </c>
      <c r="H41" s="133"/>
      <c r="I41" s="133"/>
      <c r="J41" s="133"/>
      <c r="K41" s="133"/>
      <c r="L41" s="133"/>
      <c r="M41" s="133"/>
      <c r="N41" s="133"/>
      <c r="O41" s="133"/>
      <c r="P41" s="133"/>
    </row>
    <row r="42" spans="2:16" ht="15.75" customHeight="1" x14ac:dyDescent="0.25">
      <c r="C42" s="30" t="s">
        <v>538</v>
      </c>
      <c r="D42" s="178">
        <f>INDEX($D$8:$O$8,MATCH(D41,$D$30:$O$30,0))</f>
        <v>46054</v>
      </c>
      <c r="E42" s="178"/>
      <c r="F42" s="64" t="s">
        <v>489</v>
      </c>
      <c r="G42" s="133" t="s">
        <v>539</v>
      </c>
      <c r="H42" s="133"/>
      <c r="I42" s="133"/>
      <c r="J42" s="133"/>
      <c r="K42" s="133"/>
      <c r="L42" s="133"/>
      <c r="M42" s="133"/>
      <c r="N42" s="133"/>
      <c r="O42" s="133"/>
      <c r="P42" s="133"/>
    </row>
    <row r="43" spans="2:16" ht="15.75" customHeight="1" x14ac:dyDescent="0.25">
      <c r="C43" s="30" t="s">
        <v>540</v>
      </c>
      <c r="D43" s="175">
        <f>MAX(D30:O30)</f>
        <v>639910</v>
      </c>
      <c r="E43" s="175"/>
      <c r="F43" s="64" t="s">
        <v>468</v>
      </c>
      <c r="G43" s="133" t="s">
        <v>541</v>
      </c>
      <c r="H43" s="133"/>
      <c r="I43" s="133"/>
      <c r="J43" s="133"/>
      <c r="K43" s="133"/>
      <c r="L43" s="133"/>
      <c r="M43" s="133"/>
      <c r="N43" s="133"/>
      <c r="O43" s="133"/>
      <c r="P43" s="133"/>
    </row>
    <row r="44" spans="2:16" ht="15.75" customHeight="1" x14ac:dyDescent="0.25">
      <c r="C44" s="30" t="s">
        <v>542</v>
      </c>
      <c r="D44" s="175">
        <f>O30</f>
        <v>285959</v>
      </c>
      <c r="E44" s="175"/>
      <c r="F44" s="64" t="s">
        <v>468</v>
      </c>
      <c r="G44" s="133" t="s">
        <v>543</v>
      </c>
      <c r="H44" s="133"/>
      <c r="I44" s="133"/>
      <c r="J44" s="133"/>
      <c r="K44" s="133"/>
      <c r="L44" s="133"/>
      <c r="M44" s="133"/>
      <c r="N44" s="133"/>
      <c r="O44" s="133"/>
      <c r="P44" s="133"/>
    </row>
    <row r="45" spans="2:16" ht="15.75" customHeight="1" x14ac:dyDescent="0.25">
      <c r="C45" s="30" t="s">
        <v>544</v>
      </c>
      <c r="D45" s="179">
        <f>COUNTIF(D30:O30,"&lt;"&amp;Mindestbestand)</f>
        <v>0</v>
      </c>
      <c r="E45" s="179"/>
      <c r="F45" s="64" t="s">
        <v>545</v>
      </c>
      <c r="G45" s="133" t="s">
        <v>546</v>
      </c>
      <c r="H45" s="133"/>
      <c r="I45" s="133"/>
      <c r="J45" s="133"/>
      <c r="K45" s="133"/>
      <c r="L45" s="133"/>
      <c r="M45" s="133"/>
      <c r="N45" s="133"/>
      <c r="O45" s="133"/>
      <c r="P45" s="133"/>
    </row>
    <row r="46" spans="2:16" ht="15.75" customHeight="1" x14ac:dyDescent="0.25">
      <c r="C46" s="30" t="s">
        <v>547</v>
      </c>
      <c r="D46" s="179">
        <f>COUNTIF(D30:O30,"&lt;0")</f>
        <v>0</v>
      </c>
      <c r="E46" s="179"/>
      <c r="F46" s="64" t="s">
        <v>545</v>
      </c>
      <c r="G46" s="133" t="s">
        <v>548</v>
      </c>
      <c r="H46" s="133"/>
      <c r="I46" s="133"/>
      <c r="J46" s="133"/>
      <c r="K46" s="133"/>
      <c r="L46" s="133"/>
      <c r="M46" s="133"/>
      <c r="N46" s="133"/>
      <c r="O46" s="133"/>
      <c r="P46" s="133"/>
    </row>
    <row r="47" spans="2:16" ht="15.75" customHeight="1" x14ac:dyDescent="0.25">
      <c r="C47" s="30" t="s">
        <v>549</v>
      </c>
      <c r="D47" s="175">
        <f>P23+P24</f>
        <v>39120</v>
      </c>
      <c r="E47" s="175"/>
      <c r="F47" s="64" t="s">
        <v>468</v>
      </c>
      <c r="G47" s="133" t="s">
        <v>550</v>
      </c>
      <c r="H47" s="133"/>
      <c r="I47" s="133"/>
      <c r="J47" s="133"/>
      <c r="K47" s="133"/>
      <c r="L47" s="133"/>
      <c r="M47" s="133"/>
      <c r="N47" s="133"/>
      <c r="O47" s="133"/>
      <c r="P47" s="133"/>
    </row>
    <row r="48" spans="2:16" ht="15.75" customHeight="1" x14ac:dyDescent="0.25">
      <c r="C48" s="30" t="s">
        <v>551</v>
      </c>
      <c r="D48" s="175">
        <f>P36</f>
        <v>-153349</v>
      </c>
      <c r="E48" s="175"/>
      <c r="F48" s="64" t="s">
        <v>468</v>
      </c>
      <c r="G48" s="133" t="s">
        <v>552</v>
      </c>
      <c r="H48" s="133"/>
      <c r="I48" s="133"/>
      <c r="J48" s="133"/>
      <c r="K48" s="133"/>
      <c r="L48" s="133"/>
      <c r="M48" s="133"/>
      <c r="N48" s="133"/>
      <c r="O48" s="133"/>
      <c r="P48" s="133"/>
    </row>
  </sheetData>
  <mergeCells count="34">
    <mergeCell ref="D46:E46"/>
    <mergeCell ref="G46:P46"/>
    <mergeCell ref="D47:E47"/>
    <mergeCell ref="G47:P47"/>
    <mergeCell ref="D48:E48"/>
    <mergeCell ref="G48:P48"/>
    <mergeCell ref="D43:E43"/>
    <mergeCell ref="G43:P43"/>
    <mergeCell ref="D44:E44"/>
    <mergeCell ref="G44:P44"/>
    <mergeCell ref="D45:E45"/>
    <mergeCell ref="G45:P45"/>
    <mergeCell ref="D40:E40"/>
    <mergeCell ref="G40:P40"/>
    <mergeCell ref="D41:E41"/>
    <mergeCell ref="G41:P41"/>
    <mergeCell ref="D42:E42"/>
    <mergeCell ref="G42:P42"/>
    <mergeCell ref="C7:I7"/>
    <mergeCell ref="J7:P7"/>
    <mergeCell ref="C37:P37"/>
    <mergeCell ref="C39:I39"/>
    <mergeCell ref="J39:P39"/>
    <mergeCell ref="B2:J2"/>
    <mergeCell ref="K2:P2"/>
    <mergeCell ref="B3:J3"/>
    <mergeCell ref="K3:P3"/>
    <mergeCell ref="B5:C5"/>
    <mergeCell ref="D5:E5"/>
    <mergeCell ref="F5:G5"/>
    <mergeCell ref="H5:I5"/>
    <mergeCell ref="J5:K5"/>
    <mergeCell ref="L5:M5"/>
    <mergeCell ref="N5:P5"/>
  </mergeCells>
  <conditionalFormatting sqref="D29:P29">
    <cfRule type="expression" dxfId="6" priority="6">
      <formula>D29&lt;0</formula>
    </cfRule>
  </conditionalFormatting>
  <conditionalFormatting sqref="D30:P30">
    <cfRule type="expression" dxfId="5" priority="2">
      <formula>D30&lt;0</formula>
    </cfRule>
    <cfRule type="expression" dxfId="4" priority="3">
      <formula>D30&lt;Mindestbestand</formula>
    </cfRule>
  </conditionalFormatting>
  <conditionalFormatting sqref="D32:P32">
    <cfRule type="expression" dxfId="3" priority="4">
      <formula>D32&lt;0</formula>
    </cfRule>
    <cfRule type="expression" dxfId="2" priority="5">
      <formula>D32&gt;=0</formula>
    </cfRule>
  </conditionalFormatting>
  <printOptions horizontalCentered="1"/>
  <pageMargins left="0.75" right="0.75" top="1" bottom="1" header="0.511811023622047" footer="0.511811023622047"/>
  <pageSetup paperSize="8"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8A7C71"/>
    <pageSetUpPr fitToPage="1"/>
  </sheetPr>
  <dimension ref="B1:J129"/>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baseColWidth="10" defaultColWidth="8.7109375" defaultRowHeight="15" x14ac:dyDescent="0.25"/>
  <cols>
    <col min="2" max="2" width="3" customWidth="1"/>
    <col min="3" max="3" width="26" customWidth="1"/>
    <col min="4" max="8" width="13" customWidth="1"/>
    <col min="9" max="9" width="15" customWidth="1"/>
    <col min="10" max="10" width="20" customWidth="1"/>
  </cols>
  <sheetData>
    <row r="1" spans="2:10" ht="6" customHeight="1" x14ac:dyDescent="0.25">
      <c r="B1" s="15"/>
      <c r="C1" s="15"/>
      <c r="D1" s="15"/>
      <c r="E1" s="15"/>
      <c r="F1" s="15"/>
      <c r="G1" s="15"/>
      <c r="H1" s="15"/>
      <c r="I1" s="15"/>
      <c r="J1" s="15"/>
    </row>
    <row r="2" spans="2:10" ht="30" customHeight="1" x14ac:dyDescent="0.4">
      <c r="B2" s="14" t="s">
        <v>553</v>
      </c>
      <c r="C2" s="14"/>
      <c r="D2" s="14"/>
      <c r="E2" s="14"/>
      <c r="F2" s="14"/>
      <c r="G2" s="13" t="s">
        <v>554</v>
      </c>
      <c r="H2" s="13"/>
      <c r="I2" s="13"/>
      <c r="J2" s="13"/>
    </row>
    <row r="3" spans="2:10" ht="16.5" customHeight="1" x14ac:dyDescent="0.25">
      <c r="B3" s="12" t="s">
        <v>555</v>
      </c>
      <c r="C3" s="12"/>
      <c r="D3" s="12"/>
      <c r="E3" s="12"/>
      <c r="F3" s="12"/>
      <c r="G3" s="11" t="s">
        <v>556</v>
      </c>
      <c r="H3" s="11"/>
      <c r="I3" s="11"/>
      <c r="J3" s="11"/>
    </row>
    <row r="4" spans="2:10" ht="3.75" customHeight="1" x14ac:dyDescent="0.25">
      <c r="B4" s="16"/>
      <c r="C4" s="16"/>
      <c r="D4" s="16"/>
      <c r="E4" s="16"/>
      <c r="F4" s="16"/>
      <c r="G4" s="16"/>
      <c r="H4" s="16"/>
      <c r="I4" s="16"/>
      <c r="J4" s="16"/>
    </row>
    <row r="5" spans="2:10" ht="18.75" customHeight="1" x14ac:dyDescent="0.25">
      <c r="B5" s="9" t="s">
        <v>2</v>
      </c>
      <c r="C5" s="9"/>
      <c r="D5" s="9" t="s">
        <v>3</v>
      </c>
      <c r="E5" s="9"/>
      <c r="F5" s="9" t="s">
        <v>4</v>
      </c>
      <c r="G5" s="9"/>
      <c r="H5" s="9" t="s">
        <v>5</v>
      </c>
      <c r="I5" s="9"/>
      <c r="J5" s="18" t="s">
        <v>6</v>
      </c>
    </row>
    <row r="6" spans="2:10" ht="6.75" customHeight="1" x14ac:dyDescent="0.25"/>
    <row r="7" spans="2:10" ht="21" customHeight="1" x14ac:dyDescent="0.25">
      <c r="B7" s="19" t="s">
        <v>8</v>
      </c>
      <c r="C7" s="8" t="s">
        <v>557</v>
      </c>
      <c r="D7" s="8"/>
      <c r="E7" s="8"/>
      <c r="F7" s="8"/>
      <c r="G7" s="7" t="s">
        <v>558</v>
      </c>
      <c r="H7" s="7"/>
      <c r="I7" s="7"/>
      <c r="J7" s="7"/>
    </row>
    <row r="8" spans="2:10" ht="18" customHeight="1" x14ac:dyDescent="0.25">
      <c r="C8" s="6" t="s">
        <v>559</v>
      </c>
      <c r="D8" s="6"/>
      <c r="E8" s="180" t="s">
        <v>560</v>
      </c>
      <c r="F8" s="180"/>
      <c r="G8" s="6" t="s">
        <v>12</v>
      </c>
      <c r="H8" s="6"/>
      <c r="I8" s="180" t="s">
        <v>561</v>
      </c>
      <c r="J8" s="180"/>
    </row>
    <row r="9" spans="2:10" ht="18" customHeight="1" x14ac:dyDescent="0.25">
      <c r="C9" s="6" t="s">
        <v>13</v>
      </c>
      <c r="D9" s="6"/>
      <c r="E9" s="180" t="s">
        <v>562</v>
      </c>
      <c r="F9" s="180"/>
      <c r="G9" s="6" t="s">
        <v>563</v>
      </c>
      <c r="H9" s="6"/>
      <c r="I9" s="180" t="s">
        <v>564</v>
      </c>
      <c r="J9" s="180"/>
    </row>
    <row r="10" spans="2:10" ht="18" customHeight="1" x14ac:dyDescent="0.25">
      <c r="C10" s="6" t="s">
        <v>15</v>
      </c>
      <c r="D10" s="6"/>
      <c r="E10" s="180" t="s">
        <v>565</v>
      </c>
      <c r="F10" s="180"/>
      <c r="G10" s="6" t="s">
        <v>566</v>
      </c>
      <c r="H10" s="6"/>
      <c r="I10" s="181">
        <f>D56</f>
        <v>24</v>
      </c>
      <c r="J10" s="181"/>
    </row>
    <row r="11" spans="2:10" ht="18" customHeight="1" x14ac:dyDescent="0.25">
      <c r="C11" s="6" t="s">
        <v>17</v>
      </c>
      <c r="D11" s="6"/>
      <c r="E11" s="182">
        <f>DATE(Planjahr,Eroeffnungsmonat,1)</f>
        <v>46082</v>
      </c>
      <c r="F11" s="182"/>
      <c r="G11" s="6" t="s">
        <v>567</v>
      </c>
      <c r="H11" s="6"/>
      <c r="I11" s="181">
        <f>E56</f>
        <v>46</v>
      </c>
      <c r="J11" s="181"/>
    </row>
    <row r="12" spans="2:10" ht="18" customHeight="1" x14ac:dyDescent="0.25">
      <c r="C12" s="6" t="s">
        <v>568</v>
      </c>
      <c r="D12" s="6"/>
      <c r="E12" s="183" t="str">
        <f>Planjahr&amp;" – "&amp;(Planjahr+2)&amp;" (3 Jahre)"</f>
        <v>2026 – 2028 (3 Jahre)</v>
      </c>
      <c r="F12" s="183"/>
      <c r="G12" s="6" t="s">
        <v>569</v>
      </c>
      <c r="H12" s="6"/>
      <c r="I12" s="184">
        <f>Planjahr</f>
        <v>2026</v>
      </c>
      <c r="J12" s="184"/>
    </row>
    <row r="13" spans="2:10" ht="18" customHeight="1" x14ac:dyDescent="0.25">
      <c r="C13" s="6" t="s">
        <v>570</v>
      </c>
      <c r="D13" s="6"/>
      <c r="E13" s="180" t="s">
        <v>571</v>
      </c>
      <c r="F13" s="180"/>
      <c r="G13" s="6" t="s">
        <v>18</v>
      </c>
      <c r="H13" s="6"/>
      <c r="I13" s="182">
        <f ca="1">Stichtag</f>
        <v>46231</v>
      </c>
      <c r="J13" s="182"/>
    </row>
    <row r="15" spans="2:10" ht="21" customHeight="1" x14ac:dyDescent="0.25">
      <c r="B15" s="19" t="s">
        <v>43</v>
      </c>
      <c r="C15" s="8" t="s">
        <v>572</v>
      </c>
      <c r="D15" s="8"/>
      <c r="E15" s="8"/>
      <c r="F15" s="8"/>
      <c r="G15" s="7" t="s">
        <v>573</v>
      </c>
      <c r="H15" s="7"/>
      <c r="I15" s="7"/>
      <c r="J15" s="7"/>
    </row>
    <row r="16" spans="2:10" ht="21.75" customHeight="1" x14ac:dyDescent="0.25">
      <c r="C16" s="129" t="s">
        <v>574</v>
      </c>
      <c r="D16" s="129"/>
      <c r="E16" s="25" t="s">
        <v>465</v>
      </c>
      <c r="F16" s="25" t="s">
        <v>466</v>
      </c>
      <c r="G16" s="129" t="s">
        <v>575</v>
      </c>
      <c r="H16" s="129"/>
      <c r="I16" s="129"/>
      <c r="J16" s="129"/>
    </row>
    <row r="17" spans="3:10" ht="15" customHeight="1" x14ac:dyDescent="0.25">
      <c r="C17" s="185" t="s">
        <v>569</v>
      </c>
      <c r="D17" s="185"/>
      <c r="E17" s="108">
        <v>2026</v>
      </c>
      <c r="F17" s="64" t="s">
        <v>576</v>
      </c>
      <c r="G17" s="133" t="s">
        <v>577</v>
      </c>
      <c r="H17" s="133"/>
      <c r="I17" s="133"/>
      <c r="J17" s="133"/>
    </row>
    <row r="18" spans="3:10" ht="15" customHeight="1" x14ac:dyDescent="0.25">
      <c r="C18" s="185" t="s">
        <v>578</v>
      </c>
      <c r="D18" s="185"/>
      <c r="E18" s="108">
        <v>3</v>
      </c>
      <c r="F18" s="64" t="s">
        <v>489</v>
      </c>
      <c r="G18" s="133" t="s">
        <v>579</v>
      </c>
      <c r="H18" s="133"/>
      <c r="I18" s="133"/>
      <c r="J18" s="133"/>
    </row>
    <row r="19" spans="3:10" ht="15" customHeight="1" x14ac:dyDescent="0.25">
      <c r="C19" s="185" t="s">
        <v>580</v>
      </c>
      <c r="D19" s="185"/>
      <c r="E19" s="109">
        <v>0.95</v>
      </c>
      <c r="F19" s="64" t="s">
        <v>473</v>
      </c>
      <c r="G19" s="133" t="s">
        <v>581</v>
      </c>
      <c r="H19" s="133"/>
      <c r="I19" s="133"/>
      <c r="J19" s="133"/>
    </row>
    <row r="20" spans="3:10" ht="15" customHeight="1" x14ac:dyDescent="0.25">
      <c r="C20" s="185" t="s">
        <v>582</v>
      </c>
      <c r="D20" s="185"/>
      <c r="E20" s="110">
        <v>1.7</v>
      </c>
      <c r="F20" s="64" t="s">
        <v>583</v>
      </c>
      <c r="G20" s="133" t="s">
        <v>584</v>
      </c>
      <c r="H20" s="133"/>
      <c r="I20" s="133"/>
      <c r="J20" s="133"/>
    </row>
    <row r="21" spans="3:10" ht="15" customHeight="1" x14ac:dyDescent="0.25">
      <c r="C21" s="185" t="s">
        <v>585</v>
      </c>
      <c r="D21" s="185"/>
      <c r="E21" s="111">
        <v>16.5</v>
      </c>
      <c r="F21" s="64" t="s">
        <v>468</v>
      </c>
      <c r="G21" s="133" t="s">
        <v>586</v>
      </c>
      <c r="H21" s="133"/>
      <c r="I21" s="133"/>
      <c r="J21" s="133"/>
    </row>
    <row r="22" spans="3:10" ht="15" customHeight="1" x14ac:dyDescent="0.25">
      <c r="C22" s="185" t="s">
        <v>587</v>
      </c>
      <c r="D22" s="185"/>
      <c r="E22" s="109">
        <v>0.85</v>
      </c>
      <c r="F22" s="64" t="s">
        <v>473</v>
      </c>
      <c r="G22" s="133" t="s">
        <v>588</v>
      </c>
      <c r="H22" s="133"/>
      <c r="I22" s="133"/>
      <c r="J22" s="133"/>
    </row>
    <row r="23" spans="3:10" ht="15" customHeight="1" x14ac:dyDescent="0.25">
      <c r="C23" s="185" t="s">
        <v>589</v>
      </c>
      <c r="D23" s="185"/>
      <c r="E23" s="111">
        <v>22</v>
      </c>
      <c r="F23" s="64" t="s">
        <v>468</v>
      </c>
      <c r="G23" s="133" t="s">
        <v>421</v>
      </c>
      <c r="H23" s="133"/>
      <c r="I23" s="133"/>
      <c r="J23" s="133"/>
    </row>
    <row r="24" spans="3:10" ht="15" customHeight="1" x14ac:dyDescent="0.25">
      <c r="C24" s="185" t="s">
        <v>590</v>
      </c>
      <c r="D24" s="185"/>
      <c r="E24" s="111">
        <v>4.5</v>
      </c>
      <c r="F24" s="64" t="s">
        <v>468</v>
      </c>
      <c r="G24" s="133" t="s">
        <v>591</v>
      </c>
      <c r="H24" s="133"/>
      <c r="I24" s="133"/>
      <c r="J24" s="133"/>
    </row>
    <row r="25" spans="3:10" ht="15" customHeight="1" x14ac:dyDescent="0.25">
      <c r="C25" s="185" t="s">
        <v>592</v>
      </c>
      <c r="D25" s="185"/>
      <c r="E25" s="109">
        <v>0.21</v>
      </c>
      <c r="F25" s="64" t="s">
        <v>473</v>
      </c>
      <c r="G25" s="133" t="s">
        <v>593</v>
      </c>
      <c r="H25" s="133"/>
      <c r="I25" s="133"/>
      <c r="J25" s="133"/>
    </row>
    <row r="26" spans="3:10" ht="15" customHeight="1" x14ac:dyDescent="0.25">
      <c r="C26" s="185" t="s">
        <v>594</v>
      </c>
      <c r="D26" s="185"/>
      <c r="E26" s="109">
        <v>0.42</v>
      </c>
      <c r="F26" s="64" t="s">
        <v>473</v>
      </c>
      <c r="G26" s="133" t="s">
        <v>595</v>
      </c>
      <c r="H26" s="133"/>
      <c r="I26" s="133"/>
      <c r="J26" s="133"/>
    </row>
    <row r="27" spans="3:10" ht="15" customHeight="1" x14ac:dyDescent="0.25">
      <c r="C27" s="185" t="s">
        <v>596</v>
      </c>
      <c r="D27" s="185"/>
      <c r="E27" s="109">
        <v>0.16</v>
      </c>
      <c r="F27" s="64" t="s">
        <v>473</v>
      </c>
      <c r="G27" s="133" t="s">
        <v>597</v>
      </c>
      <c r="H27" s="133"/>
      <c r="I27" s="133"/>
      <c r="J27" s="133"/>
    </row>
    <row r="28" spans="3:10" ht="15" customHeight="1" x14ac:dyDescent="0.25">
      <c r="C28" s="185" t="s">
        <v>598</v>
      </c>
      <c r="D28" s="185"/>
      <c r="E28" s="109">
        <v>7.0000000000000007E-2</v>
      </c>
      <c r="F28" s="64" t="s">
        <v>473</v>
      </c>
      <c r="G28" s="133" t="s">
        <v>599</v>
      </c>
      <c r="H28" s="133"/>
      <c r="I28" s="133"/>
      <c r="J28" s="133"/>
    </row>
    <row r="29" spans="3:10" ht="15" customHeight="1" x14ac:dyDescent="0.25">
      <c r="C29" s="185" t="s">
        <v>600</v>
      </c>
      <c r="D29" s="185"/>
      <c r="E29" s="109">
        <v>0.12</v>
      </c>
      <c r="F29" s="64" t="s">
        <v>473</v>
      </c>
      <c r="G29" s="133" t="s">
        <v>601</v>
      </c>
      <c r="H29" s="133"/>
      <c r="I29" s="133"/>
      <c r="J29" s="133"/>
    </row>
    <row r="30" spans="3:10" ht="15" customHeight="1" x14ac:dyDescent="0.25">
      <c r="C30" s="185" t="s">
        <v>602</v>
      </c>
      <c r="D30" s="185"/>
      <c r="E30" s="109">
        <v>0.19</v>
      </c>
      <c r="F30" s="64" t="s">
        <v>473</v>
      </c>
      <c r="G30" s="133" t="s">
        <v>603</v>
      </c>
      <c r="H30" s="133"/>
      <c r="I30" s="133"/>
      <c r="J30" s="133"/>
    </row>
    <row r="31" spans="3:10" ht="15" customHeight="1" x14ac:dyDescent="0.25">
      <c r="C31" s="185" t="s">
        <v>604</v>
      </c>
      <c r="D31" s="185"/>
      <c r="E31" s="109">
        <v>0.85</v>
      </c>
      <c r="F31" s="64" t="s">
        <v>473</v>
      </c>
      <c r="G31" s="133" t="s">
        <v>605</v>
      </c>
      <c r="H31" s="133"/>
      <c r="I31" s="133"/>
      <c r="J31" s="133"/>
    </row>
    <row r="32" spans="3:10" ht="15" customHeight="1" x14ac:dyDescent="0.25">
      <c r="C32" s="185" t="s">
        <v>606</v>
      </c>
      <c r="D32" s="185"/>
      <c r="E32" s="109">
        <v>0.9</v>
      </c>
      <c r="F32" s="64" t="s">
        <v>473</v>
      </c>
      <c r="G32" s="133" t="s">
        <v>607</v>
      </c>
      <c r="H32" s="133"/>
      <c r="I32" s="133"/>
      <c r="J32" s="133"/>
    </row>
    <row r="33" spans="3:10" ht="15" customHeight="1" x14ac:dyDescent="0.25">
      <c r="C33" s="185" t="s">
        <v>608</v>
      </c>
      <c r="D33" s="185"/>
      <c r="E33" s="109">
        <v>0.3</v>
      </c>
      <c r="F33" s="64" t="s">
        <v>473</v>
      </c>
      <c r="G33" s="133" t="s">
        <v>461</v>
      </c>
      <c r="H33" s="133"/>
      <c r="I33" s="133"/>
      <c r="J33" s="133"/>
    </row>
    <row r="34" spans="3:10" ht="15" customHeight="1" x14ac:dyDescent="0.25">
      <c r="C34" s="185" t="s">
        <v>609</v>
      </c>
      <c r="D34" s="185"/>
      <c r="E34" s="109">
        <v>0.68</v>
      </c>
      <c r="F34" s="64" t="s">
        <v>473</v>
      </c>
      <c r="G34" s="133" t="s">
        <v>610</v>
      </c>
      <c r="H34" s="133"/>
      <c r="I34" s="133"/>
      <c r="J34" s="133"/>
    </row>
    <row r="35" spans="3:10" ht="15" customHeight="1" x14ac:dyDescent="0.25">
      <c r="C35" s="185" t="s">
        <v>611</v>
      </c>
      <c r="D35" s="185"/>
      <c r="E35" s="109">
        <v>0.72</v>
      </c>
      <c r="F35" s="64" t="s">
        <v>473</v>
      </c>
      <c r="G35" s="133" t="s">
        <v>610</v>
      </c>
      <c r="H35" s="133"/>
      <c r="I35" s="133"/>
      <c r="J35" s="133"/>
    </row>
    <row r="36" spans="3:10" ht="15" customHeight="1" x14ac:dyDescent="0.25">
      <c r="C36" s="185" t="s">
        <v>612</v>
      </c>
      <c r="D36" s="185"/>
      <c r="E36" s="109">
        <v>0.03</v>
      </c>
      <c r="F36" s="64" t="s">
        <v>473</v>
      </c>
      <c r="G36" s="133" t="s">
        <v>613</v>
      </c>
      <c r="H36" s="133"/>
      <c r="I36" s="133"/>
      <c r="J36" s="133"/>
    </row>
    <row r="37" spans="3:10" ht="15" customHeight="1" x14ac:dyDescent="0.25">
      <c r="C37" s="185" t="s">
        <v>614</v>
      </c>
      <c r="D37" s="185"/>
      <c r="E37" s="109">
        <v>0.02</v>
      </c>
      <c r="F37" s="64" t="s">
        <v>473</v>
      </c>
      <c r="G37" s="133" t="s">
        <v>615</v>
      </c>
      <c r="H37" s="133"/>
      <c r="I37" s="133"/>
      <c r="J37" s="133"/>
    </row>
    <row r="38" spans="3:10" ht="15" customHeight="1" x14ac:dyDescent="0.25">
      <c r="C38" s="185" t="s">
        <v>616</v>
      </c>
      <c r="D38" s="185"/>
      <c r="E38" s="109">
        <v>2.5000000000000001E-2</v>
      </c>
      <c r="F38" s="64" t="s">
        <v>473</v>
      </c>
      <c r="G38" s="133" t="s">
        <v>617</v>
      </c>
      <c r="H38" s="133"/>
      <c r="I38" s="133"/>
      <c r="J38" s="133"/>
    </row>
    <row r="39" spans="3:10" ht="15" customHeight="1" x14ac:dyDescent="0.25">
      <c r="C39" s="185" t="s">
        <v>618</v>
      </c>
      <c r="D39" s="185"/>
      <c r="E39" s="109">
        <v>0.65</v>
      </c>
      <c r="F39" s="64" t="s">
        <v>473</v>
      </c>
      <c r="G39" s="133" t="s">
        <v>619</v>
      </c>
      <c r="H39" s="133"/>
      <c r="I39" s="133"/>
      <c r="J39" s="133"/>
    </row>
    <row r="40" spans="3:10" ht="15" customHeight="1" x14ac:dyDescent="0.25">
      <c r="C40" s="185" t="s">
        <v>620</v>
      </c>
      <c r="D40" s="185"/>
      <c r="E40" s="109">
        <v>0.22</v>
      </c>
      <c r="F40" s="64" t="s">
        <v>473</v>
      </c>
      <c r="G40" s="133" t="s">
        <v>621</v>
      </c>
      <c r="H40" s="133"/>
      <c r="I40" s="133"/>
      <c r="J40" s="133"/>
    </row>
    <row r="41" spans="3:10" ht="15" customHeight="1" x14ac:dyDescent="0.25">
      <c r="C41" s="185" t="s">
        <v>622</v>
      </c>
      <c r="D41" s="185"/>
      <c r="E41" s="109">
        <v>0.25</v>
      </c>
      <c r="F41" s="64" t="s">
        <v>473</v>
      </c>
      <c r="G41" s="133" t="s">
        <v>623</v>
      </c>
      <c r="H41" s="133"/>
      <c r="I41" s="133"/>
      <c r="J41" s="133"/>
    </row>
    <row r="42" spans="3:10" ht="15" customHeight="1" x14ac:dyDescent="0.25">
      <c r="C42" s="185" t="s">
        <v>624</v>
      </c>
      <c r="D42" s="185"/>
      <c r="E42" s="112">
        <v>1.2</v>
      </c>
      <c r="F42" s="64" t="s">
        <v>625</v>
      </c>
      <c r="G42" s="133" t="s">
        <v>404</v>
      </c>
      <c r="H42" s="133"/>
      <c r="I42" s="133"/>
      <c r="J42" s="133"/>
    </row>
    <row r="43" spans="3:10" ht="15" customHeight="1" x14ac:dyDescent="0.25">
      <c r="C43" s="185" t="s">
        <v>626</v>
      </c>
      <c r="D43" s="185"/>
      <c r="E43" s="113">
        <v>40000</v>
      </c>
      <c r="F43" s="64" t="s">
        <v>468</v>
      </c>
      <c r="G43" s="133" t="s">
        <v>627</v>
      </c>
      <c r="H43" s="133"/>
      <c r="I43" s="133"/>
      <c r="J43" s="133"/>
    </row>
    <row r="44" spans="3:10" ht="15" customHeight="1" x14ac:dyDescent="0.25">
      <c r="C44" s="185" t="s">
        <v>628</v>
      </c>
      <c r="D44" s="185"/>
      <c r="E44" s="113">
        <v>46000</v>
      </c>
      <c r="F44" s="64" t="s">
        <v>468</v>
      </c>
      <c r="G44" s="133" t="s">
        <v>629</v>
      </c>
      <c r="H44" s="133"/>
      <c r="I44" s="133"/>
      <c r="J44" s="133"/>
    </row>
    <row r="45" spans="3:10" ht="15" customHeight="1" x14ac:dyDescent="0.25">
      <c r="C45" s="185" t="s">
        <v>630</v>
      </c>
      <c r="D45" s="185"/>
      <c r="E45" s="108">
        <v>4</v>
      </c>
      <c r="F45" s="64" t="s">
        <v>545</v>
      </c>
      <c r="G45" s="133" t="s">
        <v>631</v>
      </c>
      <c r="H45" s="133"/>
      <c r="I45" s="133"/>
      <c r="J45" s="133"/>
    </row>
    <row r="46" spans="3:10" ht="15" customHeight="1" x14ac:dyDescent="0.25">
      <c r="C46" s="185" t="s">
        <v>632</v>
      </c>
      <c r="D46" s="185"/>
      <c r="E46" s="109">
        <v>0.08</v>
      </c>
      <c r="F46" s="64" t="s">
        <v>473</v>
      </c>
      <c r="G46" s="133" t="s">
        <v>633</v>
      </c>
      <c r="H46" s="133"/>
      <c r="I46" s="133"/>
      <c r="J46" s="133"/>
    </row>
    <row r="47" spans="3:10" ht="15" customHeight="1" x14ac:dyDescent="0.25">
      <c r="C47" s="185" t="s">
        <v>634</v>
      </c>
      <c r="D47" s="185"/>
      <c r="E47" s="114">
        <f ca="1">TODAY()</f>
        <v>46231</v>
      </c>
      <c r="F47" s="64" t="s">
        <v>635</v>
      </c>
      <c r="G47" s="133" t="s">
        <v>636</v>
      </c>
      <c r="H47" s="133"/>
      <c r="I47" s="133"/>
      <c r="J47" s="133"/>
    </row>
    <row r="49" spans="2:10" ht="21" customHeight="1" x14ac:dyDescent="0.25">
      <c r="B49" s="19" t="s">
        <v>67</v>
      </c>
      <c r="C49" s="8" t="s">
        <v>637</v>
      </c>
      <c r="D49" s="8"/>
      <c r="E49" s="8"/>
      <c r="F49" s="8"/>
      <c r="G49" s="7" t="s">
        <v>638</v>
      </c>
      <c r="H49" s="7"/>
      <c r="I49" s="7"/>
      <c r="J49" s="7"/>
    </row>
    <row r="50" spans="2:10" ht="25.5" customHeight="1" x14ac:dyDescent="0.25">
      <c r="C50" s="24" t="s">
        <v>639</v>
      </c>
      <c r="D50" s="25" t="s">
        <v>485</v>
      </c>
      <c r="E50" s="25" t="s">
        <v>640</v>
      </c>
      <c r="F50" s="25" t="s">
        <v>641</v>
      </c>
      <c r="G50" s="25" t="s">
        <v>642</v>
      </c>
      <c r="H50" s="25" t="s">
        <v>643</v>
      </c>
      <c r="I50" s="25" t="s">
        <v>644</v>
      </c>
      <c r="J50" s="25" t="s">
        <v>645</v>
      </c>
    </row>
    <row r="51" spans="2:10" ht="15.75" customHeight="1" x14ac:dyDescent="0.25">
      <c r="C51" s="37" t="s">
        <v>646</v>
      </c>
      <c r="D51" s="115">
        <v>4</v>
      </c>
      <c r="E51" s="115">
        <v>4</v>
      </c>
      <c r="F51" s="116">
        <v>89</v>
      </c>
      <c r="G51" s="73">
        <v>0.62</v>
      </c>
      <c r="H51" s="117">
        <f>ROUND(D51*365*G51,0)</f>
        <v>905</v>
      </c>
      <c r="I51" s="62">
        <f>ROUND(H51*F51,0)</f>
        <v>80545</v>
      </c>
      <c r="J51" s="72">
        <f t="shared" ref="J51:J56" si="0">IFERROR(I51/$I$56,0)</f>
        <v>0.11067278942971463</v>
      </c>
    </row>
    <row r="52" spans="2:10" ht="15.75" customHeight="1" x14ac:dyDescent="0.25">
      <c r="C52" s="37" t="s">
        <v>647</v>
      </c>
      <c r="D52" s="115">
        <v>10</v>
      </c>
      <c r="E52" s="115">
        <v>20</v>
      </c>
      <c r="F52" s="116">
        <v>118</v>
      </c>
      <c r="G52" s="73">
        <v>0.68</v>
      </c>
      <c r="H52" s="117">
        <f>ROUND(D52*365*G52,0)</f>
        <v>2482</v>
      </c>
      <c r="I52" s="62">
        <f>ROUND(H52*F52,0)</f>
        <v>292876</v>
      </c>
      <c r="J52" s="72">
        <f t="shared" si="0"/>
        <v>0.4024260211933342</v>
      </c>
    </row>
    <row r="53" spans="2:10" ht="15.75" customHeight="1" x14ac:dyDescent="0.25">
      <c r="C53" s="37" t="s">
        <v>648</v>
      </c>
      <c r="D53" s="115">
        <v>6</v>
      </c>
      <c r="E53" s="115">
        <v>12</v>
      </c>
      <c r="F53" s="116">
        <v>142</v>
      </c>
      <c r="G53" s="73">
        <v>0.66</v>
      </c>
      <c r="H53" s="117">
        <f>ROUND(D53*365*G53,0)</f>
        <v>1445</v>
      </c>
      <c r="I53" s="62">
        <f>ROUND(H53*F53,0)</f>
        <v>205190</v>
      </c>
      <c r="J53" s="72">
        <f t="shared" si="0"/>
        <v>0.28194114672646531</v>
      </c>
    </row>
    <row r="54" spans="2:10" ht="15.75" customHeight="1" x14ac:dyDescent="0.25">
      <c r="C54" s="37" t="s">
        <v>649</v>
      </c>
      <c r="D54" s="115">
        <v>3</v>
      </c>
      <c r="E54" s="115">
        <v>6</v>
      </c>
      <c r="F54" s="116">
        <v>178</v>
      </c>
      <c r="G54" s="73">
        <v>0.57999999999999996</v>
      </c>
      <c r="H54" s="117">
        <f>ROUND(D54*365*G54,0)</f>
        <v>635</v>
      </c>
      <c r="I54" s="62">
        <f>ROUND(H54*F54,0)</f>
        <v>113030</v>
      </c>
      <c r="J54" s="72">
        <f t="shared" si="0"/>
        <v>0.15530877632678186</v>
      </c>
    </row>
    <row r="55" spans="2:10" ht="15.75" customHeight="1" x14ac:dyDescent="0.25">
      <c r="C55" s="37" t="s">
        <v>650</v>
      </c>
      <c r="D55" s="115">
        <v>1</v>
      </c>
      <c r="E55" s="115">
        <v>4</v>
      </c>
      <c r="F55" s="116">
        <v>165</v>
      </c>
      <c r="G55" s="73">
        <v>0.6</v>
      </c>
      <c r="H55" s="117">
        <f>ROUND(D55*365*G55,0)</f>
        <v>219</v>
      </c>
      <c r="I55" s="62">
        <f>ROUND(H55*F55,0)</f>
        <v>36135</v>
      </c>
      <c r="J55" s="72">
        <f t="shared" si="0"/>
        <v>4.9651266323703994E-2</v>
      </c>
    </row>
    <row r="56" spans="2:10" ht="18.75" customHeight="1" x14ac:dyDescent="0.25">
      <c r="C56" s="43" t="s">
        <v>651</v>
      </c>
      <c r="D56" s="118">
        <f>SUM(D51:D55)</f>
        <v>24</v>
      </c>
      <c r="E56" s="118">
        <f>SUM(E51:E55)</f>
        <v>46</v>
      </c>
      <c r="F56" s="59">
        <f>IFERROR(I56/H56,0)</f>
        <v>127.99437214210342</v>
      </c>
      <c r="G56" s="71">
        <f>IFERROR(H56/(D56*365),0)</f>
        <v>0.64908675799086757</v>
      </c>
      <c r="H56" s="118">
        <f>SUM(H51:H55)</f>
        <v>5686</v>
      </c>
      <c r="I56" s="65">
        <f>SUM(I51:I55)</f>
        <v>727776</v>
      </c>
      <c r="J56" s="71">
        <f t="shared" si="0"/>
        <v>1</v>
      </c>
    </row>
    <row r="58" spans="2:10" ht="21" customHeight="1" x14ac:dyDescent="0.25">
      <c r="B58" s="19" t="s">
        <v>86</v>
      </c>
      <c r="C58" s="8" t="s">
        <v>652</v>
      </c>
      <c r="D58" s="8"/>
      <c r="E58" s="8"/>
      <c r="F58" s="8"/>
      <c r="G58" s="7" t="s">
        <v>653</v>
      </c>
      <c r="H58" s="7"/>
      <c r="I58" s="7"/>
      <c r="J58" s="7"/>
    </row>
    <row r="59" spans="2:10" ht="25.5" customHeight="1" x14ac:dyDescent="0.25">
      <c r="C59" s="24" t="s">
        <v>489</v>
      </c>
      <c r="D59" s="25" t="s">
        <v>654</v>
      </c>
      <c r="E59" s="25" t="s">
        <v>655</v>
      </c>
      <c r="F59" s="25" t="s">
        <v>656</v>
      </c>
      <c r="G59" s="25" t="s">
        <v>657</v>
      </c>
      <c r="H59" s="25" t="s">
        <v>658</v>
      </c>
      <c r="I59" s="25" t="s">
        <v>415</v>
      </c>
      <c r="J59" s="24" t="s">
        <v>659</v>
      </c>
    </row>
    <row r="60" spans="2:10" ht="15" customHeight="1" x14ac:dyDescent="0.25">
      <c r="C60" s="119">
        <f>DATE(Planjahr,1,1)</f>
        <v>46023</v>
      </c>
      <c r="D60" s="117">
        <f>DAY(DATE(Planjahr,2,0))</f>
        <v>31</v>
      </c>
      <c r="E60" s="120">
        <v>0.7</v>
      </c>
      <c r="F60" s="120">
        <v>0</v>
      </c>
      <c r="G60" s="72">
        <f>IF(1&lt;Eroeffnungsmonat,0,MIN(Max_Auslastung,$G$56*E60*F60))</f>
        <v>0</v>
      </c>
      <c r="H60" s="60">
        <v>0</v>
      </c>
      <c r="I60" s="117">
        <f>IF(1&lt;Eroeffnungsmonat,0,Zimmer_gesamt*D60)</f>
        <v>0</v>
      </c>
      <c r="J60" s="28" t="s">
        <v>660</v>
      </c>
    </row>
    <row r="61" spans="2:10" ht="15" customHeight="1" x14ac:dyDescent="0.25">
      <c r="C61" s="119">
        <f>DATE(Planjahr,2,1)</f>
        <v>46054</v>
      </c>
      <c r="D61" s="117">
        <f>DAY(DATE(Planjahr,3,0))</f>
        <v>28</v>
      </c>
      <c r="E61" s="120">
        <v>0.75</v>
      </c>
      <c r="F61" s="120">
        <v>0</v>
      </c>
      <c r="G61" s="72">
        <f>IF(2&lt;Eroeffnungsmonat,0,MIN(Max_Auslastung,$G$56*E61*F61))</f>
        <v>0</v>
      </c>
      <c r="H61" s="60">
        <v>0</v>
      </c>
      <c r="I61" s="117">
        <f>IF(2&lt;Eroeffnungsmonat,0,Zimmer_gesamt*D61)</f>
        <v>0</v>
      </c>
      <c r="J61" s="28" t="s">
        <v>660</v>
      </c>
    </row>
    <row r="62" spans="2:10" ht="15" customHeight="1" x14ac:dyDescent="0.25">
      <c r="C62" s="119">
        <f>DATE(Planjahr,3,1)</f>
        <v>46082</v>
      </c>
      <c r="D62" s="117">
        <f>DAY(DATE(Planjahr,4,0))</f>
        <v>31</v>
      </c>
      <c r="E62" s="120">
        <v>0.85</v>
      </c>
      <c r="F62" s="120">
        <v>0.55000000000000004</v>
      </c>
      <c r="G62" s="72">
        <f>IF(3&lt;Eroeffnungsmonat,0,MIN(Max_Auslastung,$G$56*E62*F62))</f>
        <v>0.30344805936073066</v>
      </c>
      <c r="H62" s="60">
        <v>1800</v>
      </c>
      <c r="I62" s="117">
        <f>IF(3&lt;Eroeffnungsmonat,0,Zimmer_gesamt*D62)</f>
        <v>744</v>
      </c>
      <c r="J62" s="28" t="s">
        <v>661</v>
      </c>
    </row>
    <row r="63" spans="2:10" ht="15" customHeight="1" x14ac:dyDescent="0.25">
      <c r="C63" s="119">
        <f>DATE(Planjahr,4,1)</f>
        <v>46113</v>
      </c>
      <c r="D63" s="117">
        <f>DAY(DATE(Planjahr,5,0))</f>
        <v>30</v>
      </c>
      <c r="E63" s="120">
        <v>0.95</v>
      </c>
      <c r="F63" s="120">
        <v>0.65</v>
      </c>
      <c r="G63" s="72">
        <f>IF(4&lt;Eroeffnungsmonat,0,MIN(Max_Auslastung,$G$56*E63*F63))</f>
        <v>0.4008110730593607</v>
      </c>
      <c r="H63" s="60">
        <v>2600</v>
      </c>
      <c r="I63" s="117">
        <f>IF(4&lt;Eroeffnungsmonat,0,Zimmer_gesamt*D63)</f>
        <v>720</v>
      </c>
      <c r="J63" s="28" t="s">
        <v>662</v>
      </c>
    </row>
    <row r="64" spans="2:10" ht="15" customHeight="1" x14ac:dyDescent="0.25">
      <c r="C64" s="119">
        <f>DATE(Planjahr,5,1)</f>
        <v>46143</v>
      </c>
      <c r="D64" s="117">
        <f>DAY(DATE(Planjahr,6,0))</f>
        <v>31</v>
      </c>
      <c r="E64" s="120">
        <v>1.05</v>
      </c>
      <c r="F64" s="120">
        <v>0.75</v>
      </c>
      <c r="G64" s="72">
        <f>IF(5&lt;Eroeffnungsmonat,0,MIN(Max_Auslastung,$G$56*E64*F64))</f>
        <v>0.51115582191780828</v>
      </c>
      <c r="H64" s="60">
        <v>3400</v>
      </c>
      <c r="I64" s="117">
        <f>IF(5&lt;Eroeffnungsmonat,0,Zimmer_gesamt*D64)</f>
        <v>744</v>
      </c>
      <c r="J64" s="28" t="s">
        <v>663</v>
      </c>
    </row>
    <row r="65" spans="2:10" ht="15" customHeight="1" x14ac:dyDescent="0.25">
      <c r="C65" s="119">
        <f>DATE(Planjahr,6,1)</f>
        <v>46174</v>
      </c>
      <c r="D65" s="117">
        <f>DAY(DATE(Planjahr,7,0))</f>
        <v>30</v>
      </c>
      <c r="E65" s="120">
        <v>1.1499999999999999</v>
      </c>
      <c r="F65" s="120">
        <v>0.85</v>
      </c>
      <c r="G65" s="72">
        <f>IF(6&lt;Eroeffnungsmonat,0,MIN(Max_Auslastung,$G$56*E65*F65))</f>
        <v>0.63448230593607302</v>
      </c>
      <c r="H65" s="60">
        <v>3800</v>
      </c>
      <c r="I65" s="117">
        <f>IF(6&lt;Eroeffnungsmonat,0,Zimmer_gesamt*D65)</f>
        <v>720</v>
      </c>
      <c r="J65" s="28" t="s">
        <v>664</v>
      </c>
    </row>
    <row r="66" spans="2:10" ht="15" customHeight="1" x14ac:dyDescent="0.25">
      <c r="C66" s="119">
        <f>DATE(Planjahr,7,1)</f>
        <v>46204</v>
      </c>
      <c r="D66" s="117">
        <f>DAY(DATE(Planjahr,8,0))</f>
        <v>31</v>
      </c>
      <c r="E66" s="120">
        <v>1.2</v>
      </c>
      <c r="F66" s="120">
        <v>0.9</v>
      </c>
      <c r="G66" s="72">
        <f>IF(7&lt;Eroeffnungsmonat,0,MIN(Max_Auslastung,$G$56*E66*F66))</f>
        <v>0.70101369863013696</v>
      </c>
      <c r="H66" s="60">
        <v>2200</v>
      </c>
      <c r="I66" s="117">
        <f>IF(7&lt;Eroeffnungsmonat,0,Zimmer_gesamt*D66)</f>
        <v>744</v>
      </c>
      <c r="J66" s="28" t="s">
        <v>665</v>
      </c>
    </row>
    <row r="67" spans="2:10" ht="15" customHeight="1" x14ac:dyDescent="0.25">
      <c r="C67" s="119">
        <f>DATE(Planjahr,8,1)</f>
        <v>46235</v>
      </c>
      <c r="D67" s="117">
        <f>DAY(DATE(Planjahr,9,0))</f>
        <v>31</v>
      </c>
      <c r="E67" s="120">
        <v>1.2</v>
      </c>
      <c r="F67" s="120">
        <v>0.95</v>
      </c>
      <c r="G67" s="72">
        <f>IF(8&lt;Eroeffnungsmonat,0,MIN(Max_Auslastung,$G$56*E67*F67))</f>
        <v>0.73995890410958898</v>
      </c>
      <c r="H67" s="60">
        <v>1900</v>
      </c>
      <c r="I67" s="117">
        <f>IF(8&lt;Eroeffnungsmonat,0,Zimmer_gesamt*D67)</f>
        <v>744</v>
      </c>
      <c r="J67" s="28" t="s">
        <v>665</v>
      </c>
    </row>
    <row r="68" spans="2:10" ht="15" customHeight="1" x14ac:dyDescent="0.25">
      <c r="C68" s="119">
        <f>DATE(Planjahr,9,1)</f>
        <v>46266</v>
      </c>
      <c r="D68" s="117">
        <f>DAY(DATE(Planjahr,10,0))</f>
        <v>30</v>
      </c>
      <c r="E68" s="120">
        <v>1.1499999999999999</v>
      </c>
      <c r="F68" s="120">
        <v>1</v>
      </c>
      <c r="G68" s="72">
        <f>IF(9&lt;Eroeffnungsmonat,0,MIN(Max_Auslastung,$G$56*E68*F68))</f>
        <v>0.74644977168949767</v>
      </c>
      <c r="H68" s="60">
        <v>4500</v>
      </c>
      <c r="I68" s="117">
        <f>IF(9&lt;Eroeffnungsmonat,0,Zimmer_gesamt*D68)</f>
        <v>720</v>
      </c>
      <c r="J68" s="28" t="s">
        <v>666</v>
      </c>
    </row>
    <row r="69" spans="2:10" ht="15" customHeight="1" x14ac:dyDescent="0.25">
      <c r="C69" s="119">
        <f>DATE(Planjahr,10,1)</f>
        <v>46296</v>
      </c>
      <c r="D69" s="117">
        <f>DAY(DATE(Planjahr,11,0))</f>
        <v>31</v>
      </c>
      <c r="E69" s="120">
        <v>1.05</v>
      </c>
      <c r="F69" s="120">
        <v>1</v>
      </c>
      <c r="G69" s="72">
        <f>IF(10&lt;Eroeffnungsmonat,0,MIN(Max_Auslastung,$G$56*E69*F69))</f>
        <v>0.68154109589041101</v>
      </c>
      <c r="H69" s="60">
        <v>4200</v>
      </c>
      <c r="I69" s="117">
        <f>IF(10&lt;Eroeffnungsmonat,0,Zimmer_gesamt*D69)</f>
        <v>744</v>
      </c>
      <c r="J69" s="28" t="s">
        <v>667</v>
      </c>
    </row>
    <row r="70" spans="2:10" ht="15" customHeight="1" x14ac:dyDescent="0.25">
      <c r="C70" s="119">
        <f>DATE(Planjahr,11,1)</f>
        <v>46327</v>
      </c>
      <c r="D70" s="117">
        <f>DAY(DATE(Planjahr,12,0))</f>
        <v>30</v>
      </c>
      <c r="E70" s="120">
        <v>0.85</v>
      </c>
      <c r="F70" s="120">
        <v>1</v>
      </c>
      <c r="G70" s="72">
        <f>IF(11&lt;Eroeffnungsmonat,0,MIN(Max_Auslastung,$G$56*E70*F70))</f>
        <v>0.55172374429223747</v>
      </c>
      <c r="H70" s="60">
        <v>3100</v>
      </c>
      <c r="I70" s="117">
        <f>IF(11&lt;Eroeffnungsmonat,0,Zimmer_gesamt*D70)</f>
        <v>720</v>
      </c>
      <c r="J70" s="28" t="s">
        <v>668</v>
      </c>
    </row>
    <row r="71" spans="2:10" ht="15" customHeight="1" x14ac:dyDescent="0.25">
      <c r="C71" s="119">
        <f>DATE(Planjahr,12,1)</f>
        <v>46357</v>
      </c>
      <c r="D71" s="117">
        <f>DAY(DATE(Planjahr,13,0))</f>
        <v>31</v>
      </c>
      <c r="E71" s="120">
        <v>0.8</v>
      </c>
      <c r="F71" s="120">
        <v>1</v>
      </c>
      <c r="G71" s="72">
        <f>IF(12&lt;Eroeffnungsmonat,0,MIN(Max_Auslastung,$G$56*E71*F71))</f>
        <v>0.51926940639269403</v>
      </c>
      <c r="H71" s="60">
        <v>2600</v>
      </c>
      <c r="I71" s="117">
        <f>IF(12&lt;Eroeffnungsmonat,0,Zimmer_gesamt*D71)</f>
        <v>744</v>
      </c>
      <c r="J71" s="28" t="s">
        <v>669</v>
      </c>
    </row>
    <row r="72" spans="2:10" ht="18.75" customHeight="1" x14ac:dyDescent="0.25">
      <c r="C72" s="43" t="s">
        <v>670</v>
      </c>
      <c r="D72" s="118">
        <f>SUM(D60:D71)</f>
        <v>365</v>
      </c>
      <c r="E72" s="121">
        <f>AVERAGE(E60:E71)</f>
        <v>0.97500000000000009</v>
      </c>
      <c r="F72" s="121">
        <f>AVERAGE(F60:F71)</f>
        <v>0.72083333333333333</v>
      </c>
      <c r="G72" s="71">
        <f>IFERROR(SUMPRODUCT(G60:G71,I60:I71)/I72,0)</f>
        <v>0.57892811576685477</v>
      </c>
      <c r="H72" s="65">
        <f>SUM(H60:H71)</f>
        <v>30100</v>
      </c>
      <c r="I72" s="118">
        <f>SUM(I60:I71)</f>
        <v>7344</v>
      </c>
      <c r="J72" s="67" t="s">
        <v>671</v>
      </c>
    </row>
    <row r="74" spans="2:10" ht="21" customHeight="1" x14ac:dyDescent="0.25">
      <c r="B74" s="19" t="s">
        <v>118</v>
      </c>
      <c r="C74" s="8" t="s">
        <v>672</v>
      </c>
      <c r="D74" s="8"/>
      <c r="E74" s="8"/>
      <c r="F74" s="8"/>
      <c r="G74" s="7" t="s">
        <v>673</v>
      </c>
      <c r="H74" s="7"/>
      <c r="I74" s="7"/>
      <c r="J74" s="7"/>
    </row>
    <row r="75" spans="2:10" ht="25.5" customHeight="1" x14ac:dyDescent="0.25">
      <c r="C75" s="24" t="s">
        <v>674</v>
      </c>
      <c r="D75" s="25" t="s">
        <v>675</v>
      </c>
      <c r="E75" s="25" t="s">
        <v>676</v>
      </c>
      <c r="F75" s="25" t="s">
        <v>677</v>
      </c>
      <c r="G75" s="25" t="s">
        <v>678</v>
      </c>
      <c r="H75" s="25" t="s">
        <v>679</v>
      </c>
      <c r="I75" s="25" t="s">
        <v>680</v>
      </c>
      <c r="J75" s="24" t="s">
        <v>681</v>
      </c>
    </row>
    <row r="76" spans="2:10" ht="15.75" customHeight="1" x14ac:dyDescent="0.25">
      <c r="C76" s="26" t="s">
        <v>682</v>
      </c>
      <c r="D76" s="122">
        <v>1</v>
      </c>
      <c r="E76" s="60">
        <v>4600</v>
      </c>
      <c r="F76" s="63">
        <v>1</v>
      </c>
      <c r="G76" s="62">
        <f t="shared" ref="G76:G82" si="1">ROUND(D76*E76*(1+Lohnnebenkosten),0)</f>
        <v>5566</v>
      </c>
      <c r="H76" s="117">
        <f t="shared" ref="H76:H82" si="2">MAX(0,13-F76)</f>
        <v>12</v>
      </c>
      <c r="I76" s="62">
        <f t="shared" ref="I76:I82" si="3">G76*H76</f>
        <v>66792</v>
      </c>
      <c r="J76" s="47" t="s">
        <v>683</v>
      </c>
    </row>
    <row r="77" spans="2:10" ht="15.75" customHeight="1" x14ac:dyDescent="0.25">
      <c r="C77" s="26" t="s">
        <v>684</v>
      </c>
      <c r="D77" s="122">
        <v>2.5</v>
      </c>
      <c r="E77" s="60">
        <v>2850</v>
      </c>
      <c r="F77" s="63">
        <v>2</v>
      </c>
      <c r="G77" s="62">
        <f t="shared" si="1"/>
        <v>8621</v>
      </c>
      <c r="H77" s="117">
        <f t="shared" si="2"/>
        <v>11</v>
      </c>
      <c r="I77" s="62">
        <f t="shared" si="3"/>
        <v>94831</v>
      </c>
      <c r="J77" s="47" t="s">
        <v>685</v>
      </c>
    </row>
    <row r="78" spans="2:10" ht="15.75" customHeight="1" x14ac:dyDescent="0.25">
      <c r="C78" s="26" t="s">
        <v>686</v>
      </c>
      <c r="D78" s="122">
        <v>2.2000000000000002</v>
      </c>
      <c r="E78" s="60">
        <v>2400</v>
      </c>
      <c r="F78" s="63">
        <v>3</v>
      </c>
      <c r="G78" s="62">
        <f t="shared" si="1"/>
        <v>6389</v>
      </c>
      <c r="H78" s="117">
        <f t="shared" si="2"/>
        <v>10</v>
      </c>
      <c r="I78" s="62">
        <f t="shared" si="3"/>
        <v>63890</v>
      </c>
      <c r="J78" s="47" t="s">
        <v>685</v>
      </c>
    </row>
    <row r="79" spans="2:10" ht="15.75" customHeight="1" x14ac:dyDescent="0.25">
      <c r="C79" s="26" t="s">
        <v>687</v>
      </c>
      <c r="D79" s="122">
        <v>1.5</v>
      </c>
      <c r="E79" s="60">
        <v>3100</v>
      </c>
      <c r="F79" s="63">
        <v>3</v>
      </c>
      <c r="G79" s="62">
        <f t="shared" si="1"/>
        <v>5627</v>
      </c>
      <c r="H79" s="117">
        <f t="shared" si="2"/>
        <v>10</v>
      </c>
      <c r="I79" s="62">
        <f t="shared" si="3"/>
        <v>56270</v>
      </c>
      <c r="J79" s="47" t="s">
        <v>688</v>
      </c>
    </row>
    <row r="80" spans="2:10" ht="15.75" customHeight="1" x14ac:dyDescent="0.25">
      <c r="C80" s="26" t="s">
        <v>689</v>
      </c>
      <c r="D80" s="122">
        <v>1.2</v>
      </c>
      <c r="E80" s="60">
        <v>2550</v>
      </c>
      <c r="F80" s="63">
        <v>3</v>
      </c>
      <c r="G80" s="62">
        <f t="shared" si="1"/>
        <v>3703</v>
      </c>
      <c r="H80" s="117">
        <f t="shared" si="2"/>
        <v>10</v>
      </c>
      <c r="I80" s="62">
        <f t="shared" si="3"/>
        <v>37030</v>
      </c>
      <c r="J80" s="47" t="s">
        <v>688</v>
      </c>
    </row>
    <row r="81" spans="2:10" ht="15.75" customHeight="1" x14ac:dyDescent="0.25">
      <c r="C81" s="26" t="s">
        <v>690</v>
      </c>
      <c r="D81" s="122">
        <v>0.4</v>
      </c>
      <c r="E81" s="60">
        <v>3050</v>
      </c>
      <c r="F81" s="63">
        <v>3</v>
      </c>
      <c r="G81" s="62">
        <f t="shared" si="1"/>
        <v>1476</v>
      </c>
      <c r="H81" s="117">
        <f t="shared" si="2"/>
        <v>10</v>
      </c>
      <c r="I81" s="62">
        <f t="shared" si="3"/>
        <v>14760</v>
      </c>
      <c r="J81" s="47" t="s">
        <v>11</v>
      </c>
    </row>
    <row r="82" spans="2:10" ht="15.75" customHeight="1" x14ac:dyDescent="0.25">
      <c r="C82" s="26" t="s">
        <v>691</v>
      </c>
      <c r="D82" s="122">
        <v>0.8</v>
      </c>
      <c r="E82" s="60">
        <v>1850</v>
      </c>
      <c r="F82" s="63">
        <v>4</v>
      </c>
      <c r="G82" s="62">
        <f t="shared" si="1"/>
        <v>1791</v>
      </c>
      <c r="H82" s="117">
        <f t="shared" si="2"/>
        <v>9</v>
      </c>
      <c r="I82" s="62">
        <f t="shared" si="3"/>
        <v>16119</v>
      </c>
      <c r="J82" s="47" t="s">
        <v>11</v>
      </c>
    </row>
    <row r="83" spans="2:10" ht="18.75" customHeight="1" x14ac:dyDescent="0.25">
      <c r="C83" s="43" t="s">
        <v>692</v>
      </c>
      <c r="D83" s="58">
        <f>SUM(D76:D82)</f>
        <v>9.6000000000000014</v>
      </c>
      <c r="E83" s="66"/>
      <c r="F83" s="66"/>
      <c r="G83" s="65">
        <f>SUM(G76:G82)</f>
        <v>33173</v>
      </c>
      <c r="H83" s="66"/>
      <c r="I83" s="65">
        <f>SUM(I76:I82)</f>
        <v>349692</v>
      </c>
      <c r="J83" s="67" t="s">
        <v>693</v>
      </c>
    </row>
    <row r="85" spans="2:10" ht="21" customHeight="1" x14ac:dyDescent="0.25">
      <c r="B85" s="19" t="s">
        <v>392</v>
      </c>
      <c r="C85" s="8" t="s">
        <v>694</v>
      </c>
      <c r="D85" s="8"/>
      <c r="E85" s="8"/>
      <c r="F85" s="8"/>
      <c r="G85" s="7" t="s">
        <v>695</v>
      </c>
      <c r="H85" s="7"/>
      <c r="I85" s="7"/>
      <c r="J85" s="7"/>
    </row>
    <row r="86" spans="2:10" ht="25.5" customHeight="1" x14ac:dyDescent="0.25">
      <c r="C86" s="24" t="s">
        <v>696</v>
      </c>
      <c r="D86" s="25" t="s">
        <v>697</v>
      </c>
      <c r="E86" s="25" t="s">
        <v>698</v>
      </c>
      <c r="F86" s="25" t="s">
        <v>699</v>
      </c>
      <c r="G86" s="25" t="s">
        <v>700</v>
      </c>
      <c r="H86" s="25" t="s">
        <v>701</v>
      </c>
      <c r="I86" s="129" t="s">
        <v>93</v>
      </c>
      <c r="J86" s="129"/>
    </row>
    <row r="87" spans="2:10" ht="15.75" customHeight="1" x14ac:dyDescent="0.25">
      <c r="C87" s="26" t="s">
        <v>77</v>
      </c>
      <c r="D87" s="64" t="s">
        <v>702</v>
      </c>
      <c r="E87" s="64" t="s">
        <v>703</v>
      </c>
      <c r="F87" s="60">
        <v>0</v>
      </c>
      <c r="G87" s="73">
        <v>0.28000000000000003</v>
      </c>
      <c r="H87" s="55" t="s">
        <v>704</v>
      </c>
      <c r="I87" s="133" t="s">
        <v>705</v>
      </c>
      <c r="J87" s="133"/>
    </row>
    <row r="88" spans="2:10" ht="15.75" customHeight="1" x14ac:dyDescent="0.25">
      <c r="C88" s="26" t="s">
        <v>79</v>
      </c>
      <c r="D88" s="64" t="s">
        <v>220</v>
      </c>
      <c r="E88" s="64" t="s">
        <v>706</v>
      </c>
      <c r="F88" s="60">
        <v>0</v>
      </c>
      <c r="G88" s="115">
        <v>0</v>
      </c>
      <c r="H88" s="55" t="s">
        <v>707</v>
      </c>
      <c r="I88" s="133" t="s">
        <v>708</v>
      </c>
      <c r="J88" s="133"/>
    </row>
    <row r="89" spans="2:10" ht="15.75" customHeight="1" x14ac:dyDescent="0.25">
      <c r="C89" s="26" t="s">
        <v>709</v>
      </c>
      <c r="D89" s="64" t="s">
        <v>11</v>
      </c>
      <c r="E89" s="64" t="s">
        <v>710</v>
      </c>
      <c r="F89" s="60">
        <v>2400</v>
      </c>
      <c r="G89" s="116">
        <v>3.2</v>
      </c>
      <c r="H89" s="55" t="s">
        <v>711</v>
      </c>
      <c r="I89" s="133" t="s">
        <v>712</v>
      </c>
      <c r="J89" s="133"/>
    </row>
    <row r="90" spans="2:10" ht="15.75" customHeight="1" x14ac:dyDescent="0.25">
      <c r="C90" s="26" t="s">
        <v>433</v>
      </c>
      <c r="D90" s="64" t="s">
        <v>11</v>
      </c>
      <c r="E90" s="64" t="s">
        <v>703</v>
      </c>
      <c r="F90" s="60">
        <v>0</v>
      </c>
      <c r="G90" s="116">
        <v>9.8000000000000007</v>
      </c>
      <c r="H90" s="55" t="s">
        <v>711</v>
      </c>
      <c r="I90" s="133" t="s">
        <v>713</v>
      </c>
      <c r="J90" s="133"/>
    </row>
    <row r="91" spans="2:10" ht="15.75" customHeight="1" x14ac:dyDescent="0.25">
      <c r="C91" s="26" t="s">
        <v>434</v>
      </c>
      <c r="D91" s="64" t="s">
        <v>159</v>
      </c>
      <c r="E91" s="64" t="s">
        <v>703</v>
      </c>
      <c r="F91" s="60">
        <v>0</v>
      </c>
      <c r="G91" s="73">
        <f>OTA_Satz</f>
        <v>0.16</v>
      </c>
      <c r="H91" s="55" t="s">
        <v>714</v>
      </c>
      <c r="I91" s="133" t="s">
        <v>715</v>
      </c>
      <c r="J91" s="133"/>
    </row>
    <row r="92" spans="2:10" ht="15.75" customHeight="1" x14ac:dyDescent="0.25">
      <c r="C92" s="26" t="s">
        <v>435</v>
      </c>
      <c r="D92" s="64" t="s">
        <v>159</v>
      </c>
      <c r="E92" s="64" t="s">
        <v>716</v>
      </c>
      <c r="F92" s="60">
        <v>1600</v>
      </c>
      <c r="G92" s="115">
        <v>0</v>
      </c>
      <c r="H92" s="55" t="s">
        <v>717</v>
      </c>
      <c r="I92" s="133" t="s">
        <v>718</v>
      </c>
      <c r="J92" s="133"/>
    </row>
    <row r="93" spans="2:10" ht="15.75" customHeight="1" x14ac:dyDescent="0.25">
      <c r="C93" s="26" t="s">
        <v>436</v>
      </c>
      <c r="D93" s="64" t="s">
        <v>11</v>
      </c>
      <c r="E93" s="64" t="s">
        <v>703</v>
      </c>
      <c r="F93" s="60">
        <v>0</v>
      </c>
      <c r="G93" s="73">
        <v>2.5000000000000001E-2</v>
      </c>
      <c r="H93" s="55" t="s">
        <v>719</v>
      </c>
      <c r="I93" s="133" t="s">
        <v>720</v>
      </c>
      <c r="J93" s="133"/>
    </row>
    <row r="94" spans="2:10" ht="15.75" customHeight="1" x14ac:dyDescent="0.25">
      <c r="C94" s="26" t="s">
        <v>437</v>
      </c>
      <c r="D94" s="64" t="s">
        <v>721</v>
      </c>
      <c r="E94" s="64" t="s">
        <v>716</v>
      </c>
      <c r="F94" s="60">
        <v>950</v>
      </c>
      <c r="G94" s="115">
        <v>0</v>
      </c>
      <c r="H94" s="55" t="s">
        <v>717</v>
      </c>
      <c r="I94" s="133" t="s">
        <v>722</v>
      </c>
      <c r="J94" s="133"/>
    </row>
    <row r="95" spans="2:10" ht="15.75" customHeight="1" x14ac:dyDescent="0.25">
      <c r="C95" s="26" t="s">
        <v>438</v>
      </c>
      <c r="D95" s="64" t="s">
        <v>721</v>
      </c>
      <c r="E95" s="64" t="s">
        <v>716</v>
      </c>
      <c r="F95" s="60">
        <v>620</v>
      </c>
      <c r="G95" s="115">
        <v>0</v>
      </c>
      <c r="H95" s="55" t="s">
        <v>717</v>
      </c>
      <c r="I95" s="133" t="s">
        <v>723</v>
      </c>
      <c r="J95" s="133"/>
    </row>
    <row r="96" spans="2:10" ht="15.75" customHeight="1" x14ac:dyDescent="0.25">
      <c r="C96" s="26" t="s">
        <v>439</v>
      </c>
      <c r="D96" s="64" t="s">
        <v>724</v>
      </c>
      <c r="E96" s="64" t="s">
        <v>716</v>
      </c>
      <c r="F96" s="60">
        <v>8500</v>
      </c>
      <c r="G96" s="115">
        <v>0</v>
      </c>
      <c r="H96" s="55" t="s">
        <v>717</v>
      </c>
      <c r="I96" s="133" t="s">
        <v>725</v>
      </c>
      <c r="J96" s="133"/>
    </row>
    <row r="97" spans="2:10" ht="15.75" customHeight="1" x14ac:dyDescent="0.25">
      <c r="C97" s="26" t="s">
        <v>440</v>
      </c>
      <c r="D97" s="64" t="s">
        <v>721</v>
      </c>
      <c r="E97" s="64" t="s">
        <v>716</v>
      </c>
      <c r="F97" s="60">
        <v>780</v>
      </c>
      <c r="G97" s="115">
        <v>0</v>
      </c>
      <c r="H97" s="55" t="s">
        <v>717</v>
      </c>
      <c r="I97" s="133" t="s">
        <v>726</v>
      </c>
      <c r="J97" s="133"/>
    </row>
    <row r="98" spans="2:10" ht="15.75" customHeight="1" x14ac:dyDescent="0.25">
      <c r="C98" s="26" t="s">
        <v>441</v>
      </c>
      <c r="D98" s="64" t="s">
        <v>721</v>
      </c>
      <c r="E98" s="64" t="s">
        <v>716</v>
      </c>
      <c r="F98" s="60">
        <v>700</v>
      </c>
      <c r="G98" s="115">
        <v>0</v>
      </c>
      <c r="H98" s="55" t="s">
        <v>717</v>
      </c>
      <c r="I98" s="133" t="s">
        <v>727</v>
      </c>
      <c r="J98" s="133"/>
    </row>
    <row r="99" spans="2:10" ht="18.75" customHeight="1" x14ac:dyDescent="0.25">
      <c r="C99" s="43" t="s">
        <v>728</v>
      </c>
      <c r="D99" s="163"/>
      <c r="E99" s="163"/>
      <c r="F99" s="65">
        <f>SUM(F87:F98)</f>
        <v>15550</v>
      </c>
      <c r="G99" s="163"/>
      <c r="H99" s="163"/>
      <c r="I99" s="186" t="s">
        <v>729</v>
      </c>
      <c r="J99" s="186"/>
    </row>
    <row r="101" spans="2:10" ht="21" customHeight="1" x14ac:dyDescent="0.25">
      <c r="B101" s="19" t="s">
        <v>730</v>
      </c>
      <c r="C101" s="8" t="s">
        <v>731</v>
      </c>
      <c r="D101" s="8"/>
      <c r="E101" s="8"/>
      <c r="F101" s="8"/>
      <c r="G101" s="7" t="s">
        <v>732</v>
      </c>
      <c r="H101" s="7"/>
      <c r="I101" s="7"/>
      <c r="J101" s="7"/>
    </row>
    <row r="102" spans="2:10" x14ac:dyDescent="0.25">
      <c r="C102" s="187" t="s">
        <v>92</v>
      </c>
      <c r="D102" s="187"/>
      <c r="E102" s="187" t="s">
        <v>733</v>
      </c>
      <c r="F102" s="187"/>
      <c r="G102" s="187" t="s">
        <v>697</v>
      </c>
      <c r="H102" s="187"/>
      <c r="I102" s="187" t="s">
        <v>734</v>
      </c>
      <c r="J102" s="187"/>
    </row>
    <row r="103" spans="2:10" ht="13.5" customHeight="1" x14ac:dyDescent="0.25">
      <c r="C103" s="188" t="s">
        <v>169</v>
      </c>
      <c r="D103" s="188"/>
      <c r="E103" s="188" t="s">
        <v>735</v>
      </c>
      <c r="F103" s="188"/>
      <c r="G103" s="188" t="s">
        <v>702</v>
      </c>
      <c r="H103" s="188"/>
      <c r="I103" s="188" t="s">
        <v>351</v>
      </c>
      <c r="J103" s="188"/>
    </row>
    <row r="104" spans="2:10" ht="13.5" customHeight="1" x14ac:dyDescent="0.25">
      <c r="C104" s="188" t="s">
        <v>150</v>
      </c>
      <c r="D104" s="188"/>
      <c r="E104" s="188" t="s">
        <v>736</v>
      </c>
      <c r="F104" s="188"/>
      <c r="G104" s="188" t="s">
        <v>220</v>
      </c>
      <c r="H104" s="188"/>
      <c r="I104" s="188" t="s">
        <v>362</v>
      </c>
      <c r="J104" s="188"/>
    </row>
    <row r="105" spans="2:10" ht="13.5" customHeight="1" x14ac:dyDescent="0.25">
      <c r="C105" s="188" t="s">
        <v>153</v>
      </c>
      <c r="D105" s="188"/>
      <c r="E105" s="188" t="s">
        <v>737</v>
      </c>
      <c r="F105" s="188"/>
      <c r="G105" s="188" t="s">
        <v>11</v>
      </c>
      <c r="H105" s="188"/>
      <c r="I105" s="188" t="s">
        <v>359</v>
      </c>
      <c r="J105" s="188"/>
    </row>
    <row r="106" spans="2:10" ht="13.5" customHeight="1" x14ac:dyDescent="0.25">
      <c r="C106" s="188" t="s">
        <v>156</v>
      </c>
      <c r="D106" s="188"/>
      <c r="E106" s="188"/>
      <c r="F106" s="188"/>
      <c r="G106" s="188" t="s">
        <v>159</v>
      </c>
      <c r="H106" s="188"/>
      <c r="I106" s="188" t="s">
        <v>356</v>
      </c>
      <c r="J106" s="188"/>
    </row>
    <row r="107" spans="2:10" ht="13.5" customHeight="1" x14ac:dyDescent="0.25">
      <c r="C107" s="188" t="s">
        <v>738</v>
      </c>
      <c r="D107" s="188"/>
      <c r="E107" s="188"/>
      <c r="F107" s="188"/>
      <c r="G107" s="188" t="s">
        <v>721</v>
      </c>
      <c r="H107" s="188"/>
      <c r="I107" s="188"/>
      <c r="J107" s="188"/>
    </row>
    <row r="108" spans="2:10" ht="13.5" customHeight="1" x14ac:dyDescent="0.25">
      <c r="C108" s="188"/>
      <c r="D108" s="188"/>
      <c r="E108" s="188"/>
      <c r="F108" s="188"/>
      <c r="G108" s="188" t="s">
        <v>724</v>
      </c>
      <c r="H108" s="188"/>
      <c r="I108" s="188"/>
      <c r="J108" s="188"/>
    </row>
    <row r="109" spans="2:10" ht="13.5" customHeight="1" x14ac:dyDescent="0.25">
      <c r="C109" s="188"/>
      <c r="D109" s="188"/>
      <c r="E109" s="188"/>
      <c r="F109" s="188"/>
      <c r="G109" s="188"/>
      <c r="H109" s="188"/>
      <c r="I109" s="188"/>
      <c r="J109" s="188"/>
    </row>
    <row r="110" spans="2:10" ht="13.5" customHeight="1" x14ac:dyDescent="0.25">
      <c r="C110" s="188"/>
      <c r="D110" s="188"/>
      <c r="E110" s="188"/>
      <c r="F110" s="188"/>
      <c r="G110" s="188"/>
      <c r="H110" s="188"/>
      <c r="I110" s="188"/>
      <c r="J110" s="188"/>
    </row>
    <row r="112" spans="2:10" ht="21" customHeight="1" x14ac:dyDescent="0.25">
      <c r="B112" s="19" t="s">
        <v>739</v>
      </c>
      <c r="C112" s="8" t="s">
        <v>740</v>
      </c>
      <c r="D112" s="8"/>
      <c r="E112" s="8"/>
      <c r="F112" s="8"/>
      <c r="G112" s="7" t="s">
        <v>741</v>
      </c>
      <c r="H112" s="7"/>
      <c r="I112" s="7"/>
      <c r="J112" s="7"/>
    </row>
    <row r="113" spans="2:10" ht="16.5" customHeight="1" x14ac:dyDescent="0.25">
      <c r="C113" s="123" t="s">
        <v>742</v>
      </c>
      <c r="D113" s="185" t="s">
        <v>743</v>
      </c>
      <c r="E113" s="185"/>
      <c r="F113" s="185"/>
      <c r="G113" s="185"/>
      <c r="H113" s="185"/>
      <c r="I113" s="185"/>
      <c r="J113" s="185"/>
    </row>
    <row r="114" spans="2:10" ht="16.5" customHeight="1" x14ac:dyDescent="0.25">
      <c r="C114" s="123" t="s">
        <v>744</v>
      </c>
      <c r="D114" s="185" t="s">
        <v>745</v>
      </c>
      <c r="E114" s="185"/>
      <c r="F114" s="185"/>
      <c r="G114" s="185"/>
      <c r="H114" s="185"/>
      <c r="I114" s="185"/>
      <c r="J114" s="185"/>
    </row>
    <row r="115" spans="2:10" ht="16.5" customHeight="1" x14ac:dyDescent="0.25">
      <c r="C115" s="123" t="s">
        <v>746</v>
      </c>
      <c r="D115" s="185" t="s">
        <v>747</v>
      </c>
      <c r="E115" s="185"/>
      <c r="F115" s="185"/>
      <c r="G115" s="185"/>
      <c r="H115" s="185"/>
      <c r="I115" s="185"/>
      <c r="J115" s="185"/>
    </row>
    <row r="116" spans="2:10" ht="16.5" customHeight="1" x14ac:dyDescent="0.25">
      <c r="C116" s="123" t="s">
        <v>748</v>
      </c>
      <c r="D116" s="185" t="s">
        <v>749</v>
      </c>
      <c r="E116" s="185"/>
      <c r="F116" s="185"/>
      <c r="G116" s="185"/>
      <c r="H116" s="185"/>
      <c r="I116" s="185"/>
      <c r="J116" s="185"/>
    </row>
    <row r="117" spans="2:10" ht="16.5" customHeight="1" x14ac:dyDescent="0.25">
      <c r="C117" s="123" t="s">
        <v>750</v>
      </c>
      <c r="D117" s="185" t="s">
        <v>751</v>
      </c>
      <c r="E117" s="185"/>
      <c r="F117" s="185"/>
      <c r="G117" s="185"/>
      <c r="H117" s="185"/>
      <c r="I117" s="185"/>
      <c r="J117" s="185"/>
    </row>
    <row r="118" spans="2:10" ht="16.5" customHeight="1" x14ac:dyDescent="0.25">
      <c r="C118" s="123" t="s">
        <v>752</v>
      </c>
      <c r="D118" s="185" t="s">
        <v>753</v>
      </c>
      <c r="E118" s="185"/>
      <c r="F118" s="185"/>
      <c r="G118" s="185"/>
      <c r="H118" s="185"/>
      <c r="I118" s="185"/>
      <c r="J118" s="185"/>
    </row>
    <row r="119" spans="2:10" ht="16.5" customHeight="1" x14ac:dyDescent="0.25">
      <c r="C119" s="123" t="s">
        <v>754</v>
      </c>
      <c r="D119" s="185" t="s">
        <v>755</v>
      </c>
      <c r="E119" s="185"/>
      <c r="F119" s="185"/>
      <c r="G119" s="185"/>
      <c r="H119" s="185"/>
      <c r="I119" s="185"/>
      <c r="J119" s="185"/>
    </row>
    <row r="121" spans="2:10" ht="21" customHeight="1" x14ac:dyDescent="0.25">
      <c r="B121" s="19" t="s">
        <v>756</v>
      </c>
      <c r="C121" s="8" t="s">
        <v>757</v>
      </c>
      <c r="D121" s="8"/>
      <c r="E121" s="8"/>
      <c r="F121" s="8"/>
      <c r="G121" s="7" t="s">
        <v>758</v>
      </c>
      <c r="H121" s="7"/>
      <c r="I121" s="7"/>
      <c r="J121" s="7"/>
    </row>
    <row r="122" spans="2:10" ht="16.5" customHeight="1" x14ac:dyDescent="0.25">
      <c r="C122" s="189" t="s">
        <v>759</v>
      </c>
      <c r="D122" s="189"/>
      <c r="E122" s="190" t="s">
        <v>760</v>
      </c>
      <c r="F122" s="190"/>
      <c r="G122" s="191" t="s">
        <v>761</v>
      </c>
      <c r="H122" s="191"/>
    </row>
    <row r="123" spans="2:10" ht="16.5" customHeight="1" x14ac:dyDescent="0.25">
      <c r="C123" s="192" t="s">
        <v>762</v>
      </c>
      <c r="D123" s="192"/>
      <c r="E123" s="193" t="s">
        <v>763</v>
      </c>
      <c r="F123" s="193"/>
      <c r="G123" s="194" t="s">
        <v>395</v>
      </c>
      <c r="H123" s="194"/>
    </row>
    <row r="124" spans="2:10" ht="15" customHeight="1" x14ac:dyDescent="0.25">
      <c r="C124" s="195" t="s">
        <v>764</v>
      </c>
      <c r="D124" s="195"/>
      <c r="E124" s="195"/>
      <c r="F124" s="195"/>
      <c r="G124" s="195"/>
      <c r="H124" s="195"/>
      <c r="I124" s="195"/>
      <c r="J124" s="195"/>
    </row>
    <row r="125" spans="2:10" ht="15" customHeight="1" x14ac:dyDescent="0.25">
      <c r="C125" s="195" t="s">
        <v>765</v>
      </c>
      <c r="D125" s="195"/>
      <c r="E125" s="195"/>
      <c r="F125" s="195"/>
      <c r="G125" s="195"/>
      <c r="H125" s="195"/>
      <c r="I125" s="195"/>
      <c r="J125" s="195"/>
    </row>
    <row r="126" spans="2:10" ht="15" customHeight="1" x14ac:dyDescent="0.25">
      <c r="C126" s="195" t="s">
        <v>766</v>
      </c>
      <c r="D126" s="195"/>
      <c r="E126" s="195"/>
      <c r="F126" s="195"/>
      <c r="G126" s="195"/>
      <c r="H126" s="195"/>
      <c r="I126" s="195"/>
      <c r="J126" s="195"/>
    </row>
    <row r="127" spans="2:10" ht="15" customHeight="1" x14ac:dyDescent="0.25">
      <c r="C127" s="195" t="s">
        <v>767</v>
      </c>
      <c r="D127" s="195"/>
      <c r="E127" s="195"/>
      <c r="F127" s="195"/>
      <c r="G127" s="195"/>
      <c r="H127" s="195"/>
      <c r="I127" s="195"/>
      <c r="J127" s="195"/>
    </row>
    <row r="128" spans="2:10" ht="15" customHeight="1" x14ac:dyDescent="0.25">
      <c r="C128" s="195" t="s">
        <v>768</v>
      </c>
      <c r="D128" s="195"/>
      <c r="E128" s="195"/>
      <c r="F128" s="195"/>
      <c r="G128" s="195"/>
      <c r="H128" s="195"/>
      <c r="I128" s="195"/>
      <c r="J128" s="195"/>
    </row>
    <row r="129" spans="3:10" ht="15" customHeight="1" x14ac:dyDescent="0.25">
      <c r="C129" s="195" t="s">
        <v>769</v>
      </c>
      <c r="D129" s="195"/>
      <c r="E129" s="195"/>
      <c r="F129" s="195"/>
      <c r="G129" s="195"/>
      <c r="H129" s="195"/>
      <c r="I129" s="195"/>
      <c r="J129" s="195"/>
    </row>
  </sheetData>
  <mergeCells count="185">
    <mergeCell ref="C123:D123"/>
    <mergeCell ref="E123:F123"/>
    <mergeCell ref="G123:H123"/>
    <mergeCell ref="C124:J124"/>
    <mergeCell ref="C125:J125"/>
    <mergeCell ref="C126:J126"/>
    <mergeCell ref="C127:J127"/>
    <mergeCell ref="C128:J128"/>
    <mergeCell ref="C129:J129"/>
    <mergeCell ref="D116:J116"/>
    <mergeCell ref="D117:J117"/>
    <mergeCell ref="D118:J118"/>
    <mergeCell ref="D119:J119"/>
    <mergeCell ref="C121:F121"/>
    <mergeCell ref="G121:J121"/>
    <mergeCell ref="C122:D122"/>
    <mergeCell ref="E122:F122"/>
    <mergeCell ref="G122:H122"/>
    <mergeCell ref="C110:D110"/>
    <mergeCell ref="E110:F110"/>
    <mergeCell ref="G110:H110"/>
    <mergeCell ref="I110:J110"/>
    <mergeCell ref="C112:F112"/>
    <mergeCell ref="G112:J112"/>
    <mergeCell ref="D113:J113"/>
    <mergeCell ref="D114:J114"/>
    <mergeCell ref="D115:J115"/>
    <mergeCell ref="C107:D107"/>
    <mergeCell ref="E107:F107"/>
    <mergeCell ref="G107:H107"/>
    <mergeCell ref="I107:J107"/>
    <mergeCell ref="C108:D108"/>
    <mergeCell ref="E108:F108"/>
    <mergeCell ref="G108:H108"/>
    <mergeCell ref="I108:J108"/>
    <mergeCell ref="C109:D109"/>
    <mergeCell ref="E109:F109"/>
    <mergeCell ref="G109:H109"/>
    <mergeCell ref="I109:J109"/>
    <mergeCell ref="C104:D104"/>
    <mergeCell ref="E104:F104"/>
    <mergeCell ref="G104:H104"/>
    <mergeCell ref="I104:J104"/>
    <mergeCell ref="C105:D105"/>
    <mergeCell ref="E105:F105"/>
    <mergeCell ref="G105:H105"/>
    <mergeCell ref="I105:J105"/>
    <mergeCell ref="C106:D106"/>
    <mergeCell ref="E106:F106"/>
    <mergeCell ref="G106:H106"/>
    <mergeCell ref="I106:J106"/>
    <mergeCell ref="C101:F101"/>
    <mergeCell ref="G101:J101"/>
    <mergeCell ref="C102:D102"/>
    <mergeCell ref="E102:F102"/>
    <mergeCell ref="G102:H102"/>
    <mergeCell ref="I102:J102"/>
    <mergeCell ref="C103:D103"/>
    <mergeCell ref="E103:F103"/>
    <mergeCell ref="G103:H103"/>
    <mergeCell ref="I103:J103"/>
    <mergeCell ref="I91:J91"/>
    <mergeCell ref="I92:J92"/>
    <mergeCell ref="I93:J93"/>
    <mergeCell ref="I94:J94"/>
    <mergeCell ref="I95:J95"/>
    <mergeCell ref="I96:J96"/>
    <mergeCell ref="I97:J97"/>
    <mergeCell ref="I98:J98"/>
    <mergeCell ref="D99:E99"/>
    <mergeCell ref="G99:H99"/>
    <mergeCell ref="I99:J99"/>
    <mergeCell ref="C74:F74"/>
    <mergeCell ref="G74:J74"/>
    <mergeCell ref="C85:F85"/>
    <mergeCell ref="G85:J85"/>
    <mergeCell ref="I86:J86"/>
    <mergeCell ref="I87:J87"/>
    <mergeCell ref="I88:J88"/>
    <mergeCell ref="I89:J89"/>
    <mergeCell ref="I90:J90"/>
    <mergeCell ref="C45:D45"/>
    <mergeCell ref="G45:J45"/>
    <mergeCell ref="C46:D46"/>
    <mergeCell ref="G46:J46"/>
    <mergeCell ref="C47:D47"/>
    <mergeCell ref="G47:J47"/>
    <mergeCell ref="C49:F49"/>
    <mergeCell ref="G49:J49"/>
    <mergeCell ref="C58:F58"/>
    <mergeCell ref="G58:J58"/>
    <mergeCell ref="C40:D40"/>
    <mergeCell ref="G40:J40"/>
    <mergeCell ref="C41:D41"/>
    <mergeCell ref="G41:J41"/>
    <mergeCell ref="C42:D42"/>
    <mergeCell ref="G42:J42"/>
    <mergeCell ref="C43:D43"/>
    <mergeCell ref="G43:J43"/>
    <mergeCell ref="C44:D44"/>
    <mergeCell ref="G44:J44"/>
    <mergeCell ref="C35:D35"/>
    <mergeCell ref="G35:J35"/>
    <mergeCell ref="C36:D36"/>
    <mergeCell ref="G36:J36"/>
    <mergeCell ref="C37:D37"/>
    <mergeCell ref="G37:J37"/>
    <mergeCell ref="C38:D38"/>
    <mergeCell ref="G38:J38"/>
    <mergeCell ref="C39:D39"/>
    <mergeCell ref="G39:J39"/>
    <mergeCell ref="C30:D30"/>
    <mergeCell ref="G30:J30"/>
    <mergeCell ref="C31:D31"/>
    <mergeCell ref="G31:J31"/>
    <mergeCell ref="C32:D32"/>
    <mergeCell ref="G32:J32"/>
    <mergeCell ref="C33:D33"/>
    <mergeCell ref="G33:J33"/>
    <mergeCell ref="C34:D34"/>
    <mergeCell ref="G34:J34"/>
    <mergeCell ref="C25:D25"/>
    <mergeCell ref="G25:J25"/>
    <mergeCell ref="C26:D26"/>
    <mergeCell ref="G26:J26"/>
    <mergeCell ref="C27:D27"/>
    <mergeCell ref="G27:J27"/>
    <mergeCell ref="C28:D28"/>
    <mergeCell ref="G28:J28"/>
    <mergeCell ref="C29:D29"/>
    <mergeCell ref="G29:J29"/>
    <mergeCell ref="C20:D20"/>
    <mergeCell ref="G20:J20"/>
    <mergeCell ref="C21:D21"/>
    <mergeCell ref="G21:J21"/>
    <mergeCell ref="C22:D22"/>
    <mergeCell ref="G22:J22"/>
    <mergeCell ref="C23:D23"/>
    <mergeCell ref="G23:J23"/>
    <mergeCell ref="C24:D24"/>
    <mergeCell ref="G24:J24"/>
    <mergeCell ref="C15:F15"/>
    <mergeCell ref="G15:J15"/>
    <mergeCell ref="C16:D16"/>
    <mergeCell ref="G16:J16"/>
    <mergeCell ref="C17:D17"/>
    <mergeCell ref="G17:J17"/>
    <mergeCell ref="C18:D18"/>
    <mergeCell ref="G18:J18"/>
    <mergeCell ref="C19:D19"/>
    <mergeCell ref="G19:J19"/>
    <mergeCell ref="C11:D11"/>
    <mergeCell ref="E11:F11"/>
    <mergeCell ref="G11:H11"/>
    <mergeCell ref="I11:J11"/>
    <mergeCell ref="C12:D12"/>
    <mergeCell ref="E12:F12"/>
    <mergeCell ref="G12:H12"/>
    <mergeCell ref="I12:J12"/>
    <mergeCell ref="C13:D13"/>
    <mergeCell ref="E13:F13"/>
    <mergeCell ref="G13:H13"/>
    <mergeCell ref="I13:J13"/>
    <mergeCell ref="C8:D8"/>
    <mergeCell ref="E8:F8"/>
    <mergeCell ref="G8:H8"/>
    <mergeCell ref="I8:J8"/>
    <mergeCell ref="C9:D9"/>
    <mergeCell ref="E9:F9"/>
    <mergeCell ref="G9:H9"/>
    <mergeCell ref="I9:J9"/>
    <mergeCell ref="C10:D10"/>
    <mergeCell ref="E10:F10"/>
    <mergeCell ref="G10:H10"/>
    <mergeCell ref="I10:J10"/>
    <mergeCell ref="B2:F2"/>
    <mergeCell ref="G2:J2"/>
    <mergeCell ref="B3:F3"/>
    <mergeCell ref="G3:J3"/>
    <mergeCell ref="B5:C5"/>
    <mergeCell ref="D5:E5"/>
    <mergeCell ref="F5:G5"/>
    <mergeCell ref="H5:I5"/>
    <mergeCell ref="C7:F7"/>
    <mergeCell ref="G7:J7"/>
  </mergeCells>
  <conditionalFormatting sqref="G60:G71">
    <cfRule type="expression" dxfId="1" priority="2">
      <formula>G60&gt;=Ziel_Auslastung</formula>
    </cfRule>
    <cfRule type="expression" dxfId="0" priority="3">
      <formula>AND(G60&gt;0,G60&lt;Ziel_Auslastung)</formula>
    </cfRule>
  </conditionalFormatting>
  <dataValidations count="1">
    <dataValidation type="decimal" allowBlank="1" errorTitle="Ungültiger Wert" error="Bitte einen Wert zwischen 0 und 1 eingeben (z. B. 0,68 für 68 Prozent)." sqref="G51:G55" xr:uid="{00000000-0002-0000-0500-000000000000}">
      <formula1>0</formula1>
      <formula2>1</formula2>
    </dataValidation>
  </dataValidations>
  <printOptions horizontalCentered="1"/>
  <pageMargins left="0.75" right="0.75" top="1" bottom="1" header="0.511811023622047" footer="0.511811023622047"/>
  <pageSetup paperSize="9" fitToHeight="4" orientation="landscape" horizontalDpi="300" verticalDpi="300"/>
  <rowBreaks count="3" manualBreakCount="3">
    <brk id="48" max="16383" man="1"/>
    <brk id="73" max="16383" man="1"/>
    <brk id="100" max="16383" man="1"/>
  </row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70</vt:i4>
      </vt:variant>
    </vt:vector>
  </HeadingPairs>
  <TitlesOfParts>
    <vt:vector size="76" baseType="lpstr">
      <vt:lpstr>Cockpit</vt:lpstr>
      <vt:lpstr>Konzept</vt:lpstr>
      <vt:lpstr>Kapitalbedarf</vt:lpstr>
      <vt:lpstr>Erfolgsplanung</vt:lpstr>
      <vt:lpstr>Liquiditätsplan</vt:lpstr>
      <vt:lpstr>Annahmen</vt:lpstr>
      <vt:lpstr>ADR_gewichtet</vt:lpstr>
      <vt:lpstr>ADR_J2</vt:lpstr>
      <vt:lpstr>ADR_J3</vt:lpstr>
      <vt:lpstr>AfA_Jahr</vt:lpstr>
      <vt:lpstr>Auslastung_J2</vt:lpstr>
      <vt:lpstr>Auslastung_J3</vt:lpstr>
      <vt:lpstr>Auslastung_Ziel_Kat</vt:lpstr>
      <vt:lpstr>BE_Auslastung</vt:lpstr>
      <vt:lpstr>Betten_gesamt</vt:lpstr>
      <vt:lpstr>CF_J1</vt:lpstr>
      <vt:lpstr>CF_J2</vt:lpstr>
      <vt:lpstr>CF_J3</vt:lpstr>
      <vt:lpstr>Deckungsgrad</vt:lpstr>
      <vt:lpstr>Annahmen!Druckbereich</vt:lpstr>
      <vt:lpstr>Cockpit!Druckbereich</vt:lpstr>
      <vt:lpstr>Erfolgsplanung!Druckbereich</vt:lpstr>
      <vt:lpstr>Kapitalbedarf!Druckbereich</vt:lpstr>
      <vt:lpstr>Konzept!Druckbereich</vt:lpstr>
      <vt:lpstr>Liquiditätsplan!Druckbereich</vt:lpstr>
      <vt:lpstr>Erfolgsplanung!Drucktitel</vt:lpstr>
      <vt:lpstr>EK_Quote</vt:lpstr>
      <vt:lpstr>Ergebnis_J1</vt:lpstr>
      <vt:lpstr>Eroeffnungsmonat</vt:lpstr>
      <vt:lpstr>FB_je_Zimmer</vt:lpstr>
      <vt:lpstr>Finanzierung_Gesamt</vt:lpstr>
      <vt:lpstr>Fixkosten_Katalog</vt:lpstr>
      <vt:lpstr>Fixkosten_Monat</vt:lpstr>
      <vt:lpstr>Fortschritt_BP</vt:lpstr>
      <vt:lpstr>Fruehstueckspreis</vt:lpstr>
      <vt:lpstr>Fruehstuecksquote</vt:lpstr>
      <vt:lpstr>GOP_J1</vt:lpstr>
      <vt:lpstr>Invest_Gesamt</vt:lpstr>
      <vt:lpstr>Kapitalbedarf_Gesamt</vt:lpstr>
      <vt:lpstr>Kapitaldienst_J1</vt:lpstr>
      <vt:lpstr>Kostensteigerung</vt:lpstr>
      <vt:lpstr>Liqui_Ende</vt:lpstr>
      <vt:lpstr>Liqui_Tief</vt:lpstr>
      <vt:lpstr>Liqui_Unter</vt:lpstr>
      <vt:lpstr>Lohnnebenkosten</vt:lpstr>
      <vt:lpstr>Max_Auslastung</vt:lpstr>
      <vt:lpstr>Meilenstein_ueberfaellig</vt:lpstr>
      <vt:lpstr>Mindestbestand</vt:lpstr>
      <vt:lpstr>OTA_Anteil</vt:lpstr>
      <vt:lpstr>OTA_Satz</vt:lpstr>
      <vt:lpstr>Pers_je_Zimmer</vt:lpstr>
      <vt:lpstr>Planjahr</vt:lpstr>
      <vt:lpstr>Puffer_Satz</vt:lpstr>
      <vt:lpstr>Reserve_Monate</vt:lpstr>
      <vt:lpstr>Sonstige_je_Zimmer</vt:lpstr>
      <vt:lpstr>Status_Liste</vt:lpstr>
      <vt:lpstr>Steuersatz</vt:lpstr>
      <vt:lpstr>Stichtag</vt:lpstr>
      <vt:lpstr>Tagung_Jahr1</vt:lpstr>
      <vt:lpstr>Tilgung_J1</vt:lpstr>
      <vt:lpstr>Umsatz_J1</vt:lpstr>
      <vt:lpstr>Umsatz_J2</vt:lpstr>
      <vt:lpstr>Umsatz_J3</vt:lpstr>
      <vt:lpstr>USt_FB</vt:lpstr>
      <vt:lpstr>USt_Logis</vt:lpstr>
      <vt:lpstr>USt_Sonstige</vt:lpstr>
      <vt:lpstr>Vorsteuerquote</vt:lpstr>
      <vt:lpstr>Zahlungsquote</vt:lpstr>
      <vt:lpstr>Ziel_Auslastung</vt:lpstr>
      <vt:lpstr>Ziel_EK_Quote</vt:lpstr>
      <vt:lpstr>Ziel_GOP</vt:lpstr>
      <vt:lpstr>Ziel_KDD</vt:lpstr>
      <vt:lpstr>Zimmer_gesamt</vt:lpstr>
      <vt:lpstr>Zins_J1</vt:lpstr>
      <vt:lpstr>Zins_J2</vt:lpstr>
      <vt:lpstr>Zins_J3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Businessplan Hotel 2026 – Excel-Vorlage</dc:title>
  <dc:subject/>
  <dc:creator>Vorlage</dc:creator>
  <dc:description>Businessplan-Vorlage für ein Hotel mit Kapitalbedarf, Finanzierung, Erfolgs- und Liquiditätsplanung</dc:description>
  <cp:lastModifiedBy>Sergio Jiménez Canales</cp:lastModifiedBy>
  <cp:revision>1</cp:revision>
  <dcterms:created xsi:type="dcterms:W3CDTF">2026-07-24T15:55:07Z</dcterms:created>
  <dcterms:modified xsi:type="dcterms:W3CDTF">2026-07-28T08:04:09Z</dcterms:modified>
  <dc:language>en-US</dc:language>
</cp:coreProperties>
</file>