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AFC6F0A5-BC46-4C87-AF00-1342A27D51E7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Übersicht" sheetId="1" r:id="rId1"/>
    <sheet name="Investition &amp; Finanzierung" sheetId="2" r:id="rId2"/>
    <sheet name="Umsatzplanung" sheetId="3" r:id="rId3"/>
    <sheet name="Kostenplanung" sheetId="4" r:id="rId4"/>
    <sheet name="Rentabilitätsvorschau" sheetId="5" r:id="rId5"/>
    <sheet name="Liquiditätsplanung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4" i="6" l="1"/>
  <c r="L22" i="6"/>
  <c r="K22" i="6"/>
  <c r="J22" i="6"/>
  <c r="I22" i="6"/>
  <c r="C19" i="6"/>
  <c r="O19" i="6" s="1"/>
  <c r="C18" i="6"/>
  <c r="O18" i="6" s="1"/>
  <c r="C15" i="6"/>
  <c r="O15" i="6" s="1"/>
  <c r="C14" i="6"/>
  <c r="O14" i="6" s="1"/>
  <c r="I13" i="6"/>
  <c r="I16" i="6" s="1"/>
  <c r="O11" i="6"/>
  <c r="O7" i="6"/>
  <c r="N13" i="6" s="1"/>
  <c r="N16" i="6" s="1"/>
  <c r="C14" i="5"/>
  <c r="B27" i="1" s="1"/>
  <c r="C37" i="4"/>
  <c r="H22" i="6" s="1"/>
  <c r="C31" i="4"/>
  <c r="E16" i="4"/>
  <c r="E15" i="4"/>
  <c r="E14" i="4"/>
  <c r="E13" i="4"/>
  <c r="E17" i="4" s="1"/>
  <c r="C36" i="4" s="1"/>
  <c r="C15" i="3"/>
  <c r="H13" i="6" s="1"/>
  <c r="H16" i="6" s="1"/>
  <c r="F14" i="3"/>
  <c r="E14" i="3"/>
  <c r="D14" i="3"/>
  <c r="F13" i="3"/>
  <c r="D13" i="3"/>
  <c r="D15" i="3" s="1"/>
  <c r="D12" i="3"/>
  <c r="E12" i="3" s="1"/>
  <c r="D11" i="3"/>
  <c r="E11" i="3" s="1"/>
  <c r="C41" i="2"/>
  <c r="F41" i="2" s="1"/>
  <c r="C40" i="2"/>
  <c r="D34" i="2"/>
  <c r="C34" i="2"/>
  <c r="D33" i="2"/>
  <c r="D32" i="2"/>
  <c r="D31" i="2"/>
  <c r="D30" i="2"/>
  <c r="C21" i="2"/>
  <c r="C12" i="2"/>
  <c r="C26" i="2" s="1"/>
  <c r="A8" i="1" s="1"/>
  <c r="E11" i="2"/>
  <c r="E10" i="2"/>
  <c r="E9" i="2"/>
  <c r="E8" i="2"/>
  <c r="E7" i="2"/>
  <c r="E12" i="2" s="1"/>
  <c r="C8" i="1"/>
  <c r="C13" i="5" l="1"/>
  <c r="L21" i="6"/>
  <c r="D21" i="6"/>
  <c r="K21" i="6"/>
  <c r="I21" i="6"/>
  <c r="G21" i="6"/>
  <c r="D36" i="4"/>
  <c r="N21" i="6"/>
  <c r="M21" i="6"/>
  <c r="J21" i="6"/>
  <c r="H21" i="6"/>
  <c r="F21" i="6"/>
  <c r="E21" i="6"/>
  <c r="C21" i="6"/>
  <c r="O21" i="6" s="1"/>
  <c r="I40" i="2"/>
  <c r="I42" i="2" s="1"/>
  <c r="E18" i="5" s="1"/>
  <c r="D35" i="4"/>
  <c r="D10" i="5"/>
  <c r="D16" i="3"/>
  <c r="C36" i="2"/>
  <c r="D36" i="2" s="1"/>
  <c r="C16" i="5"/>
  <c r="B28" i="1" s="1"/>
  <c r="E16" i="5"/>
  <c r="D16" i="5"/>
  <c r="E13" i="3"/>
  <c r="E15" i="3" s="1"/>
  <c r="L13" i="6"/>
  <c r="L16" i="6" s="1"/>
  <c r="M13" i="6"/>
  <c r="M16" i="6" s="1"/>
  <c r="N22" i="6"/>
  <c r="G41" i="2"/>
  <c r="C10" i="5"/>
  <c r="F40" i="2"/>
  <c r="F42" i="2" s="1"/>
  <c r="H40" i="2"/>
  <c r="H42" i="2" s="1"/>
  <c r="D18" i="5" s="1"/>
  <c r="H41" i="2"/>
  <c r="M22" i="6"/>
  <c r="D37" i="4"/>
  <c r="D13" i="6"/>
  <c r="D16" i="6" s="1"/>
  <c r="D22" i="6"/>
  <c r="F11" i="3"/>
  <c r="E22" i="6"/>
  <c r="G40" i="2"/>
  <c r="K13" i="6"/>
  <c r="K16" i="6" s="1"/>
  <c r="F15" i="3"/>
  <c r="I41" i="2"/>
  <c r="C13" i="6"/>
  <c r="E13" i="6"/>
  <c r="E16" i="6" s="1"/>
  <c r="F13" i="6"/>
  <c r="F16" i="6" s="1"/>
  <c r="C35" i="4"/>
  <c r="G13" i="6"/>
  <c r="G16" i="6" s="1"/>
  <c r="G22" i="6"/>
  <c r="J13" i="6"/>
  <c r="J16" i="6" s="1"/>
  <c r="C22" i="6"/>
  <c r="F22" i="6"/>
  <c r="F12" i="3"/>
  <c r="E16" i="3" l="1"/>
  <c r="E10" i="5"/>
  <c r="E35" i="4"/>
  <c r="O22" i="6"/>
  <c r="D38" i="4"/>
  <c r="D11" i="5"/>
  <c r="E37" i="4"/>
  <c r="E14" i="5" s="1"/>
  <c r="D14" i="5"/>
  <c r="D12" i="5"/>
  <c r="C17" i="1"/>
  <c r="C12" i="5"/>
  <c r="E8" i="1"/>
  <c r="B17" i="1"/>
  <c r="N20" i="6"/>
  <c r="E20" i="6"/>
  <c r="D20" i="6"/>
  <c r="M20" i="6"/>
  <c r="L20" i="6"/>
  <c r="I20" i="6"/>
  <c r="C20" i="6"/>
  <c r="C11" i="5"/>
  <c r="B25" i="1" s="1"/>
  <c r="K20" i="6"/>
  <c r="H20" i="6"/>
  <c r="J20" i="6"/>
  <c r="C38" i="4"/>
  <c r="G20" i="6"/>
  <c r="F20" i="6"/>
  <c r="C16" i="6"/>
  <c r="O13" i="6"/>
  <c r="D13" i="5"/>
  <c r="D26" i="5" s="1"/>
  <c r="E36" i="4"/>
  <c r="E13" i="5" s="1"/>
  <c r="E26" i="5" s="1"/>
  <c r="G42" i="2"/>
  <c r="B26" i="1"/>
  <c r="O16" i="6" l="1"/>
  <c r="H25" i="6"/>
  <c r="H26" i="6" s="1"/>
  <c r="E11" i="5"/>
  <c r="E12" i="5" s="1"/>
  <c r="E38" i="4"/>
  <c r="F12" i="5"/>
  <c r="B18" i="1"/>
  <c r="C25" i="5"/>
  <c r="C15" i="5"/>
  <c r="D25" i="5"/>
  <c r="C18" i="1"/>
  <c r="D15" i="5"/>
  <c r="G25" i="6"/>
  <c r="G26" i="6" s="1"/>
  <c r="O20" i="6"/>
  <c r="G8" i="1"/>
  <c r="D17" i="1"/>
  <c r="D27" i="5"/>
  <c r="D28" i="5" s="1"/>
  <c r="K25" i="6"/>
  <c r="K26" i="6" s="1"/>
  <c r="M23" i="6"/>
  <c r="M25" i="6" s="1"/>
  <c r="M26" i="6" s="1"/>
  <c r="I23" i="6"/>
  <c r="I25" i="6" s="1"/>
  <c r="I26" i="6" s="1"/>
  <c r="F23" i="6"/>
  <c r="F25" i="6" s="1"/>
  <c r="F26" i="6" s="1"/>
  <c r="D23" i="6"/>
  <c r="D25" i="6" s="1"/>
  <c r="D26" i="6" s="1"/>
  <c r="N23" i="6"/>
  <c r="N25" i="6" s="1"/>
  <c r="N26" i="6" s="1"/>
  <c r="C18" i="5"/>
  <c r="E23" i="6"/>
  <c r="E25" i="6" s="1"/>
  <c r="E26" i="6" s="1"/>
  <c r="L23" i="6"/>
  <c r="L25" i="6" s="1"/>
  <c r="L26" i="6" s="1"/>
  <c r="J23" i="6"/>
  <c r="J25" i="6" s="1"/>
  <c r="J26" i="6" s="1"/>
  <c r="K23" i="6"/>
  <c r="C23" i="6"/>
  <c r="C25" i="6" s="1"/>
  <c r="H23" i="6"/>
  <c r="G23" i="6"/>
  <c r="O25" i="6" l="1"/>
  <c r="C26" i="6"/>
  <c r="C27" i="6" s="1"/>
  <c r="D11" i="6" s="1"/>
  <c r="D27" i="6" s="1"/>
  <c r="E11" i="6" s="1"/>
  <c r="E27" i="6" s="1"/>
  <c r="F11" i="6" s="1"/>
  <c r="F27" i="6" s="1"/>
  <c r="G11" i="6" s="1"/>
  <c r="G27" i="6" s="1"/>
  <c r="H11" i="6" s="1"/>
  <c r="H27" i="6" s="1"/>
  <c r="I11" i="6" s="1"/>
  <c r="I27" i="6" s="1"/>
  <c r="J11" i="6" s="1"/>
  <c r="J27" i="6" s="1"/>
  <c r="K11" i="6" s="1"/>
  <c r="K27" i="6" s="1"/>
  <c r="L11" i="6" s="1"/>
  <c r="L27" i="6" s="1"/>
  <c r="M11" i="6" s="1"/>
  <c r="M27" i="6" s="1"/>
  <c r="N11" i="6" s="1"/>
  <c r="N27" i="6" s="1"/>
  <c r="D18" i="1"/>
  <c r="E25" i="5"/>
  <c r="E27" i="5" s="1"/>
  <c r="E28" i="5" s="1"/>
  <c r="E15" i="5"/>
  <c r="B29" i="1"/>
  <c r="C26" i="5"/>
  <c r="C27" i="5" s="1"/>
  <c r="C19" i="1"/>
  <c r="D17" i="5"/>
  <c r="D19" i="5" s="1"/>
  <c r="B19" i="1"/>
  <c r="C17" i="5"/>
  <c r="C19" i="5" s="1"/>
  <c r="E11" i="1"/>
  <c r="F15" i="5"/>
  <c r="O26" i="6"/>
  <c r="O23" i="6"/>
  <c r="C28" i="5" l="1"/>
  <c r="I8" i="1"/>
  <c r="D20" i="5"/>
  <c r="D21" i="5" s="1"/>
  <c r="B30" i="1"/>
  <c r="O27" i="6"/>
  <c r="I11" i="1"/>
  <c r="C20" i="5"/>
  <c r="C21" i="5" s="1"/>
  <c r="E17" i="5"/>
  <c r="E19" i="5" s="1"/>
  <c r="D19" i="1"/>
  <c r="B20" i="1" l="1"/>
  <c r="A11" i="1"/>
  <c r="F21" i="5"/>
  <c r="B21" i="1"/>
  <c r="C20" i="1"/>
  <c r="C21" i="1"/>
  <c r="C30" i="1"/>
  <c r="C27" i="1"/>
  <c r="C28" i="1"/>
  <c r="C25" i="1"/>
  <c r="C26" i="1"/>
  <c r="E20" i="5"/>
  <c r="E21" i="5" s="1"/>
  <c r="C29" i="1"/>
  <c r="G11" i="1" l="1"/>
  <c r="D21" i="1"/>
  <c r="D20" i="1"/>
  <c r="C11" i="1"/>
</calcChain>
</file>

<file path=xl/sharedStrings.xml><?xml version="1.0" encoding="utf-8"?>
<sst xmlns="http://schemas.openxmlformats.org/spreadsheetml/2006/main" count="232" uniqueCount="195">
  <si>
    <t>Businessplan · Finanzübersicht</t>
  </si>
  <si>
    <t>Kennzahlen des Finanzplans · 3-Jahres-Vorschau (2026–2028)</t>
  </si>
  <si>
    <t>Unternehmen</t>
  </si>
  <si>
    <t>Muster Handels- &amp; Dienstleistungs GmbH</t>
  </si>
  <si>
    <t>Gründung / Start</t>
  </si>
  <si>
    <t>Branche / Rechtsform</t>
  </si>
  <si>
    <t>Handel &amp; Dienstleistung · GmbH</t>
  </si>
  <si>
    <t>Erstellt am</t>
  </si>
  <si>
    <t>Planungszeitraum</t>
  </si>
  <si>
    <t>2026 – 2028 (Geschäftsjahre 1–3)</t>
  </si>
  <si>
    <t>Währung</t>
  </si>
  <si>
    <t>Euro (€)</t>
  </si>
  <si>
    <t>Gesamtkapitalbedarf</t>
  </si>
  <si>
    <t>Eigenkapitalquote</t>
  </si>
  <si>
    <t>Umsatz Jahr 1</t>
  </si>
  <si>
    <t>Umsatz Jahr 3</t>
  </si>
  <si>
    <t>Break-Even-Umsatz (J1)</t>
  </si>
  <si>
    <t>Jahresergebnis J1</t>
  </si>
  <si>
    <t>Jahresergebnis J3</t>
  </si>
  <si>
    <t>EBITDA-Marge J1</t>
  </si>
  <si>
    <t>Umsatzrendite J3</t>
  </si>
  <si>
    <t>Liquidität Jahresende J1</t>
  </si>
  <si>
    <t>Ergebnisüberblick (in €)</t>
  </si>
  <si>
    <t>Position</t>
  </si>
  <si>
    <t>Jahr 1</t>
  </si>
  <si>
    <t>Jahr 2</t>
  </si>
  <si>
    <t>Jahr 3</t>
  </si>
  <si>
    <t>Umsatzerlöse</t>
  </si>
  <si>
    <t>Rohertrag</t>
  </si>
  <si>
    <t>EBITDA</t>
  </si>
  <si>
    <t>Jahresüberschuss</t>
  </si>
  <si>
    <t>Umsatzrendite</t>
  </si>
  <si>
    <t>Kostenstruktur Jahr 1</t>
  </si>
  <si>
    <t>Kostenblock</t>
  </si>
  <si>
    <t>Betrag</t>
  </si>
  <si>
    <t>Anteil</t>
  </si>
  <si>
    <t>Wareneinsatz</t>
  </si>
  <si>
    <t>Personalkosten</t>
  </si>
  <si>
    <t>Betriebskosten</t>
  </si>
  <si>
    <t>Abschreibungen</t>
  </si>
  <si>
    <t>Zinsaufwand</t>
  </si>
  <si>
    <t>Summe Kosten</t>
  </si>
  <si>
    <t>Legende: gelb/blau hinterlegte Felder sind Eingabefelder · grüne Werte stammen aus anderen Blättern · schwarze Werte berechnen sich automatisch. — Hinweis: Dieser Finanzplan ist eine Muster-Vorlage mit fiktiven Beispieldaten (Unternehmen, Beträge, Konditionen frei erfunden) und ersetzt keine Steuer- oder Unternehmensberatung. Für Bank-, KfW- oder Fördermittelgespräche sind die Annahmen an das eigene Vorhaben und aktuelle Branchendaten anzupassen. Planung in Euro; Geschäftsjahre 1–3 entsprechen 2026–2028.</t>
  </si>
  <si>
    <t>Investitions- &amp; Finanzierungsplan</t>
  </si>
  <si>
    <t>Kapitalbedarf und Mittelherkunft · Planung 2026–2028</t>
  </si>
  <si>
    <t>1 · Investitionsplan</t>
  </si>
  <si>
    <t>Investitionsposition</t>
  </si>
  <si>
    <t>Nutzungsdauer (Jahre)</t>
  </si>
  <si>
    <t>Abschreibung p. a. (AfA)</t>
  </si>
  <si>
    <t>Betriebs- &amp; Geschäftsausstattung</t>
  </si>
  <si>
    <t>Maschinen &amp; technische Anlagen</t>
  </si>
  <si>
    <t>Fahrzeuge / Fuhrpark</t>
  </si>
  <si>
    <t>IT, EDV &amp; Software</t>
  </si>
  <si>
    <t>Umbau / Mietereinbauten</t>
  </si>
  <si>
    <t>Zwischensumme Investitionen</t>
  </si>
  <si>
    <t>2 · Gründungs- &amp; Anlaufkosten</t>
  </si>
  <si>
    <t>Notar &amp; Handelsregister</t>
  </si>
  <si>
    <t>Beratung &amp; Gründungskonzept</t>
  </si>
  <si>
    <t>Marketing &amp; Markteinführung</t>
  </si>
  <si>
    <t>Kaution &amp; Anfangsmiete</t>
  </si>
  <si>
    <t>Genehmigungen &amp; Gebühren</t>
  </si>
  <si>
    <t>Zwischensumme Anlaufkosten</t>
  </si>
  <si>
    <t>3 · Betriebsmittelreserve</t>
  </si>
  <si>
    <t>Liquiditätsreserve (Anlaufpuffer)</t>
  </si>
  <si>
    <t>GESAMTKAPITALBEDARF</t>
  </si>
  <si>
    <t>4 · Finanzierungsplan (Mittelherkunft)</t>
  </si>
  <si>
    <t>Finanzierungsquelle</t>
  </si>
  <si>
    <t>Eigenkapital</t>
  </si>
  <si>
    <t>Fördermittel / Zuschuss</t>
  </si>
  <si>
    <t>Bankdarlehen</t>
  </si>
  <si>
    <t>Mikrodarlehen / Sonstiges</t>
  </si>
  <si>
    <t>Summe Finanzierung</t>
  </si>
  <si>
    <t>Deckung (Finanzierung − Kapitalbedarf)</t>
  </si>
  <si>
    <t>5 · Darlehenskonditionen – Zins- und Tilgungsplan (linear)</t>
  </si>
  <si>
    <t>Darlehen</t>
  </si>
  <si>
    <t>Zinssatz p. a.</t>
  </si>
  <si>
    <t>Laufzeit (Jahre)</t>
  </si>
  <si>
    <t>Tilgung p. a.</t>
  </si>
  <si>
    <t>Zinsen Jahr 1</t>
  </si>
  <si>
    <t>Zinsen Jahr 2</t>
  </si>
  <si>
    <t>Zinsen Jahr 3</t>
  </si>
  <si>
    <t>Mikrodarlehen</t>
  </si>
  <si>
    <t>Summe</t>
  </si>
  <si>
    <t>Hinweis: Gelb hinterlegte Felder sind Eingabefelder · grüne Werte sind mit anderen Blättern verknüpft. AfA linear = Betrag ÷ Nutzungsdauer. Zinsen je Jahr auf die jeweilige Restschuld (lineare Tilgung). Alle Firmen- und Zahlenangaben sind fiktive Musterwerte und an das eigene Vorhaben anzupassen.</t>
  </si>
  <si>
    <t>Umsatzplanung</t>
  </si>
  <si>
    <t>Erlösprognose nach Leistungsbereichen · 3-Jahres-Vorschau (2026–2028)</t>
  </si>
  <si>
    <t>Wachstumsannahmen</t>
  </si>
  <si>
    <t>Umsatzwachstum Jahr 2 ggü. Jahr 1</t>
  </si>
  <si>
    <t>Umsatzwachstum Jahr 3 ggü. Jahr 2</t>
  </si>
  <si>
    <t>Umsatzerlöse nach Leistungsbereich</t>
  </si>
  <si>
    <t>Leistungsbereich / Erlösquelle</t>
  </si>
  <si>
    <t>Jahr 1 (2026)</t>
  </si>
  <si>
    <t>Jahr 2 (2027)</t>
  </si>
  <si>
    <t>Jahr 3 (2028)</t>
  </si>
  <si>
    <t>Anteil J1</t>
  </si>
  <si>
    <t>Warenverkauf / Produkte</t>
  </si>
  <si>
    <t>Dienstleistungen</t>
  </si>
  <si>
    <t>Serviceverträge &amp; Wartung</t>
  </si>
  <si>
    <t>Sonstige Erlöse</t>
  </si>
  <si>
    <t>Gesamtumsatz</t>
  </si>
  <si>
    <t>Wachstum ggü. Vorjahr</t>
  </si>
  <si>
    <t>—</t>
  </si>
  <si>
    <t>Die Umsätze von Jahr 2 und 3 werden automatisch aus dem Wachstum (oben) berechnet. Passen Sie die gelben Felder – Jahr-1-Umsätze und Wachstumsraten – an Ihr Vorhaben an. Alle Werte fließen automatisch in Rentabilität, Kosten und Liquidität.</t>
  </si>
  <si>
    <t>Kostenplanung</t>
  </si>
  <si>
    <t>Personal-, Betriebs- und Materialkosten · 3-Jahres-Vorschau</t>
  </si>
  <si>
    <t>Kostenannahmen</t>
  </si>
  <si>
    <t>Materialquote / Wareneinsatz (in % vom Umsatz)</t>
  </si>
  <si>
    <t>Lohnnebenkosten (Arbeitgeberanteil)</t>
  </si>
  <si>
    <t>Kostensteigerung Betriebskosten p. a.</t>
  </si>
  <si>
    <t>Personalkostensteigerung p. a.</t>
  </si>
  <si>
    <t>Personalkosten (Basis Jahr 1)</t>
  </si>
  <si>
    <t>Position / Rolle</t>
  </si>
  <si>
    <t>Anzahl</t>
  </si>
  <si>
    <t>Bruttogehalt / Monat</t>
  </si>
  <si>
    <t>Jahresbrutto inkl. AG-Anteil</t>
  </si>
  <si>
    <t>Geschäftsführung</t>
  </si>
  <si>
    <t>Vertrieb &amp; Verkauf</t>
  </si>
  <si>
    <t>Fachkraft / Produktion</t>
  </si>
  <si>
    <t>Verwaltung &amp; Büro (Teilzeit)</t>
  </si>
  <si>
    <t>Summe Personalkosten (Jahr 1)</t>
  </si>
  <si>
    <t>Betriebskosten (Basis Jahr 1)</t>
  </si>
  <si>
    <t>Kostenart</t>
  </si>
  <si>
    <t>Miete &amp; Nebenkosten</t>
  </si>
  <si>
    <t>Energie &amp; Wasser</t>
  </si>
  <si>
    <t>Versicherungen &amp; Beiträge</t>
  </si>
  <si>
    <t>Marketing &amp; Werbung</t>
  </si>
  <si>
    <t>Fahrzeug- &amp; Reisekosten</t>
  </si>
  <si>
    <t>Bürobedarf &amp; Verwaltung</t>
  </si>
  <si>
    <t>Steuer- &amp; Rechtsberatung</t>
  </si>
  <si>
    <t>Instandhaltung &amp; Reparaturen</t>
  </si>
  <si>
    <t>IT, Software &amp; Kommunikation</t>
  </si>
  <si>
    <t>Sonstige betriebliche Kosten</t>
  </si>
  <si>
    <t>Summe Betriebskosten (Jahr 1)</t>
  </si>
  <si>
    <t>Kostenübersicht · 3-Jahres-Vorschau</t>
  </si>
  <si>
    <t>Wareneinsatz / Materialkosten</t>
  </si>
  <si>
    <t>Betriebskosten (sonstige)</t>
  </si>
  <si>
    <t>Gesamtkosten (ohne AfA &amp; Zinsen)</t>
  </si>
  <si>
    <t>Wareneinsatz = Umsatz × Materialquote (variable Kosten). Personal- und Betriebskosten steigen mit den oben gesetzten Raten. Diese Übersicht speist die Rentabilitäts- und Liquiditätsplanung.</t>
  </si>
  <si>
    <t>Rentabilitätsvorschau</t>
  </si>
  <si>
    <t>Plan-Gewinn- und Verlustrechnung · 3-Jahres-Vorschau (2026–2028)</t>
  </si>
  <si>
    <t>Steuerannahme</t>
  </si>
  <si>
    <t>Ertragsteuersatz auf positives Ergebnis</t>
  </si>
  <si>
    <t>Plan-Gewinn- und Verlustrechnung</t>
  </si>
  <si>
    <t>Marge J1</t>
  </si>
  <si>
    <t>−  Wareneinsatz / Materialkosten</t>
  </si>
  <si>
    <t xml:space="preserve"> =  Rohertrag (Deckungsbeitrag)</t>
  </si>
  <si>
    <t>−  Personalkosten</t>
  </si>
  <si>
    <t>−  Betriebskosten</t>
  </si>
  <si>
    <t xml:space="preserve"> =  EBITDA (vor AfA &amp; Zinsen)</t>
  </si>
  <si>
    <t>−  Abschreibungen (AfA)</t>
  </si>
  <si>
    <t xml:space="preserve"> =  EBIT (Betriebsergebnis)</t>
  </si>
  <si>
    <t>−  Zinsaufwand</t>
  </si>
  <si>
    <t xml:space="preserve"> =  Ergebnis vor Steuern (EBT)</t>
  </si>
  <si>
    <t>−  Steuern</t>
  </si>
  <si>
    <t xml:space="preserve"> =  Jahresüberschuss / -fehlbetrag</t>
  </si>
  <si>
    <t>Kennzahlen &amp; Break-Even-Analyse</t>
  </si>
  <si>
    <t>Kennzahl</t>
  </si>
  <si>
    <t>Deckungsbeitragsquote (Rohertrag / Umsatz)</t>
  </si>
  <si>
    <t>Fixkosten p. a. (Personal + Betrieb + AfA + Zinsen)</t>
  </si>
  <si>
    <t>Break-Even-Umsatz (Fixkosten / DB-Quote)</t>
  </si>
  <si>
    <t>Break-Even je Plan-Umsatz (Auslastung)</t>
  </si>
  <si>
    <t>Liquiditätsplanung</t>
  </si>
  <si>
    <t>Monatliche Zahlungsströme (Ein- und Auszahlungen) · Jahr 1 (2026)</t>
  </si>
  <si>
    <t>Umsatzverteilung – relative Gewichtung je Monat (frei anpassbar)</t>
  </si>
  <si>
    <t>Gewichtung je Monat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</si>
  <si>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</si>
  <si>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</si>
  <si>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</si>
  <si>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</si>
  <si>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</si>
  <si>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</si>
  <si>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</si>
  <si>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</si>
  <si>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</si>
  <si>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</si>
  <si>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</si>
  <si>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</si>
  <si>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Liquiditätsplan (alle Angaben in €)</t>
  </si>
  <si>
    <t>Jahr gesamt</t>
  </si>
  <si>
    <t>Anfangsbestand (Kontostand)</t>
  </si>
  <si>
    <t>Einzahlungen</t>
  </si>
  <si>
    <t>Umsatzeinzahlungen</t>
  </si>
  <si>
    <t>Eigenkapital &amp; Fördermittel</t>
  </si>
  <si>
    <t>Darlehensauszahlung</t>
  </si>
  <si>
    <t>Summe Einzahlungen</t>
  </si>
  <si>
    <t>Auszahlungen</t>
  </si>
  <si>
    <t>Investitionen</t>
  </si>
  <si>
    <t>Gründungs- &amp; Anlaufkosten</t>
  </si>
  <si>
    <t>Wareneinsatz / Material</t>
  </si>
  <si>
    <t>Zins &amp; Tilgung</t>
  </si>
  <si>
    <t>Steuern / Sonstiges</t>
  </si>
  <si>
    <t>Summe Auszahlungen</t>
  </si>
  <si>
    <t>Saldo (Einzahlungen − Auszahlungen)</t>
  </si>
  <si>
    <t>Endbestand (kumuliert)</t>
  </si>
  <si>
    <t>Der Endbestand jeder Spalte ist der Anfangsbestand des Folgemonats. Ein negativer Endbestand (rot) signalisiert eine Liquiditätslücke – dann Finanzierung, Reserve oder Umsatzverteilung anpassen. Umsatz und Wareneinsatz werden über die Gewichtung oben verteilt.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</si>
</sst>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&quot; €&quot;"/>
    <numFmt numFmtId="166" formatCode="0.0%"/>
    <numFmt numFmtId="167" formatCode="#,##0&quot; €&quot;;[Red]\-#,##0&quot; €&quot;"/>
  </numFmts>
  <fonts count="29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sz val="10.5"/>
      <color rgb="FFF1DCBB"/>
      <name val="Calibri"/>
      <charset val="1"/>
    </font>
    <font>
      <b/>
      <sz val="9"/>
      <color rgb="FF667385"/>
      <name val="Calibri"/>
      <charset val="1"/>
    </font>
    <font>
      <sz val="10"/>
      <color rgb="FF1A56DB"/>
      <name val="Calibri"/>
      <charset val="1"/>
    </font>
    <font>
      <sz val="10"/>
      <color rgb="FF1F2A3D"/>
      <name val="Calibri"/>
      <charset val="1"/>
    </font>
    <font>
      <b/>
      <sz val="20"/>
      <color rgb="FF1F7A8C"/>
      <name val="Calibri"/>
      <charset val="1"/>
    </font>
    <font>
      <b/>
      <sz val="20"/>
      <color rgb="FF3F5D86"/>
      <name val="Calibri"/>
      <charset val="1"/>
    </font>
    <font>
      <b/>
      <sz val="20"/>
      <color rgb="FF26395B"/>
      <name val="Calibri"/>
      <charset val="1"/>
    </font>
    <font>
      <b/>
      <sz val="20"/>
      <color rgb="FFD98E3A"/>
      <name val="Calibri"/>
      <charset val="1"/>
    </font>
    <font>
      <b/>
      <sz val="8.5"/>
      <color rgb="FF667385"/>
      <name val="Calibri"/>
      <charset val="1"/>
    </font>
    <font>
      <b/>
      <sz val="10.5"/>
      <color rgb="FFFFFFFF"/>
      <name val="Calibri"/>
      <charset val="1"/>
    </font>
    <font>
      <b/>
      <sz val="9.5"/>
      <color rgb="FFFFFFFF"/>
      <name val="Calibri"/>
      <charset val="1"/>
    </font>
    <font>
      <sz val="10"/>
      <color rgb="FF137A43"/>
      <name val="Calibri"/>
      <charset val="1"/>
    </font>
    <font>
      <b/>
      <sz val="10"/>
      <color rgb="FF137A43"/>
      <name val="Calibri"/>
      <charset val="1"/>
    </font>
    <font>
      <i/>
      <sz val="9.5"/>
      <color rgb="FF667385"/>
      <name val="Calibri"/>
      <charset val="1"/>
    </font>
    <font>
      <b/>
      <sz val="10"/>
      <color rgb="FF1F2A3D"/>
      <name val="Calibri"/>
      <charset val="1"/>
    </font>
    <font>
      <i/>
      <sz val="9"/>
      <color rgb="FF667385"/>
      <name val="Calibri"/>
      <charset val="1"/>
    </font>
    <font>
      <b/>
      <sz val="11"/>
      <color rgb="FFFFFFFF"/>
      <name val="Calibri"/>
      <charset val="1"/>
    </font>
    <font>
      <b/>
      <sz val="11"/>
      <color rgb="FF15606E"/>
      <name val="Calibri"/>
      <charset val="1"/>
    </font>
    <font>
      <b/>
      <sz val="9.5"/>
      <color rgb="FF1F2A3D"/>
      <name val="Calibri"/>
      <charset val="1"/>
    </font>
    <font>
      <b/>
      <sz val="9"/>
      <color rgb="FFFFFFFF"/>
      <name val="Calibri"/>
      <charset val="1"/>
    </font>
    <font>
      <b/>
      <sz val="10.5"/>
      <color rgb="FF15606E"/>
      <name val="Calibri"/>
      <charset val="1"/>
    </font>
    <font>
      <sz val="9.5"/>
      <color rgb="FF667385"/>
      <name val="Calibri"/>
      <charset val="1"/>
    </font>
    <font>
      <sz val="9.5"/>
      <color rgb="FF1F2A3D"/>
      <name val="Calibri"/>
      <charset val="1"/>
    </font>
    <font>
      <sz val="9.5"/>
      <color rgb="FF1A56DB"/>
      <name val="Calibri"/>
      <charset val="1"/>
    </font>
    <font>
      <b/>
      <sz val="9.5"/>
      <color rgb="FF15606E"/>
      <name val="Calibri"/>
      <charset val="1"/>
    </font>
    <font>
      <sz val="9.5"/>
      <color rgb="FF137A43"/>
      <name val="Calibri"/>
      <charset val="1"/>
    </font>
    <font>
      <b/>
      <sz val="10"/>
      <color rgb="FFFFFFFF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1B2A4A"/>
        <bgColor rgb="FF1F2A3D"/>
      </patternFill>
    </fill>
    <fill>
      <patternFill patternType="solid">
        <fgColor rgb="FF26395B"/>
        <bgColor rgb="FF1B2A4A"/>
      </patternFill>
    </fill>
    <fill>
      <patternFill patternType="solid">
        <fgColor rgb="FFD98E3A"/>
        <bgColor rgb="FFFF8080"/>
      </patternFill>
    </fill>
    <fill>
      <patternFill patternType="solid">
        <fgColor rgb="FFE3E9F0"/>
        <bgColor rgb="FFE9EFF6"/>
      </patternFill>
    </fill>
    <fill>
      <patternFill patternType="solid">
        <fgColor rgb="FFFFF6DA"/>
        <bgColor rgb="FFF4F7FA"/>
      </patternFill>
    </fill>
    <fill>
      <patternFill patternType="solid">
        <fgColor rgb="FFFFFFFF"/>
        <bgColor rgb="FFF4F7FA"/>
      </patternFill>
    </fill>
    <fill>
      <patternFill patternType="solid">
        <fgColor rgb="FFF4F7FA"/>
        <bgColor rgb="FFEFF3F8"/>
      </patternFill>
    </fill>
    <fill>
      <patternFill patternType="solid">
        <fgColor rgb="FF3F5D86"/>
        <bgColor rgb="FF15606E"/>
      </patternFill>
    </fill>
    <fill>
      <patternFill patternType="solid">
        <fgColor rgb="FFEDF1F6"/>
        <bgColor rgb="FFEFF3F8"/>
      </patternFill>
    </fill>
    <fill>
      <patternFill patternType="solid">
        <fgColor rgb="FFE9EFF6"/>
        <bgColor rgb="FFEDF1F6"/>
      </patternFill>
    </fill>
    <fill>
      <patternFill patternType="solid">
        <fgColor rgb="FF1F7A8C"/>
        <bgColor rgb="FF15606E"/>
      </patternFill>
    </fill>
    <fill>
      <patternFill patternType="solid">
        <fgColor rgb="FFD2E7EB"/>
        <bgColor rgb="FFD9EEE1"/>
      </patternFill>
    </fill>
    <fill>
      <patternFill patternType="solid">
        <fgColor rgb="FFEFF3F8"/>
        <bgColor rgb="FFEDF1F6"/>
      </patternFill>
    </fill>
  </fills>
  <borders count="37">
    <border>
      <left/>
      <right/>
      <top/>
      <bottom/>
      <diagonal/>
    </border>
    <border>
      <left style="thin">
        <color rgb="FFC7D2DE"/>
      </left>
      <right/>
      <top style="thin">
        <color rgb="FFC7D2DE"/>
      </top>
      <bottom/>
      <diagonal/>
    </border>
    <border>
      <left/>
      <right style="thin">
        <color rgb="FFC7D2DE"/>
      </right>
      <top style="thin">
        <color rgb="FFC7D2DE"/>
      </top>
      <bottom/>
      <diagonal/>
    </border>
    <border>
      <left style="thin">
        <color rgb="FFC7D2DE"/>
      </left>
      <right/>
      <top/>
      <bottom/>
      <diagonal/>
    </border>
    <border>
      <left/>
      <right style="thin">
        <color rgb="FFC7D2DE"/>
      </right>
      <top/>
      <bottom/>
      <diagonal/>
    </border>
    <border>
      <left style="thin">
        <color rgb="FFC7D2DE"/>
      </left>
      <right/>
      <top/>
      <bottom style="thin">
        <color rgb="FFC7D2DE"/>
      </bottom>
      <diagonal/>
    </border>
    <border>
      <left/>
      <right style="thin">
        <color rgb="FFC7D2DE"/>
      </right>
      <top/>
      <bottom style="thin">
        <color rgb="FFC7D2DE"/>
      </bottom>
      <diagonal/>
    </border>
    <border>
      <left style="thin">
        <color rgb="FFC7D2DE"/>
      </left>
      <right style="thin">
        <color rgb="FFC7D2DE"/>
      </right>
      <top style="thick">
        <color rgb="FF1F7A8C"/>
      </top>
      <bottom/>
      <diagonal/>
    </border>
    <border>
      <left style="thin">
        <color rgb="FFC7D2DE"/>
      </left>
      <right style="thin">
        <color rgb="FFC7D2DE"/>
      </right>
      <top style="thick">
        <color rgb="FF3F5D86"/>
      </top>
      <bottom/>
      <diagonal/>
    </border>
    <border>
      <left style="thin">
        <color rgb="FFC7D2DE"/>
      </left>
      <right style="thin">
        <color rgb="FFC7D2DE"/>
      </right>
      <top style="thick">
        <color rgb="FF26395B"/>
      </top>
      <bottom/>
      <diagonal/>
    </border>
    <border>
      <left style="thin">
        <color rgb="FFC7D2DE"/>
      </left>
      <right style="thin">
        <color rgb="FFC7D2DE"/>
      </right>
      <top style="thick">
        <color rgb="FFD98E3A"/>
      </top>
      <bottom/>
      <diagonal/>
    </border>
    <border>
      <left style="thin">
        <color rgb="FFC7D2DE"/>
      </left>
      <right style="thin">
        <color rgb="FFC7D2DE"/>
      </right>
      <top/>
      <bottom style="thin">
        <color rgb="FFC7D2DE"/>
      </bottom>
      <diagonal/>
    </border>
    <border>
      <left style="medium">
        <color rgb="FF3F5D86"/>
      </left>
      <right/>
      <top style="medium">
        <color rgb="FF3F5D86"/>
      </top>
      <bottom/>
      <diagonal/>
    </border>
    <border>
      <left/>
      <right/>
      <top style="medium">
        <color rgb="FF3F5D86"/>
      </top>
      <bottom/>
      <diagonal/>
    </border>
    <border>
      <left/>
      <right style="medium">
        <color rgb="FF3F5D86"/>
      </right>
      <top style="medium">
        <color rgb="FF3F5D86"/>
      </top>
      <bottom/>
      <diagonal/>
    </border>
    <border>
      <left style="medium">
        <color rgb="FF3F5D86"/>
      </left>
      <right/>
      <top/>
      <bottom/>
      <diagonal/>
    </border>
    <border>
      <left/>
      <right style="medium">
        <color rgb="FF3F5D86"/>
      </right>
      <top/>
      <bottom/>
      <diagonal/>
    </border>
    <border>
      <left style="medium">
        <color rgb="FF3F5D86"/>
      </left>
      <right/>
      <top/>
      <bottom style="medium">
        <color rgb="FF3F5D86"/>
      </bottom>
      <diagonal/>
    </border>
    <border>
      <left/>
      <right/>
      <top/>
      <bottom style="medium">
        <color rgb="FF3F5D86"/>
      </bottom>
      <diagonal/>
    </border>
    <border>
      <left/>
      <right style="medium">
        <color rgb="FF3F5D86"/>
      </right>
      <top/>
      <bottom style="medium">
        <color rgb="FF3F5D86"/>
      </bottom>
      <diagonal/>
    </border>
    <border>
      <left style="thin">
        <color rgb="FFC7D2DE"/>
      </left>
      <right style="thin">
        <color rgb="FFC7D2DE"/>
      </right>
      <top style="thin">
        <color rgb="FFC7D2DE"/>
      </top>
      <bottom style="thin">
        <color rgb="FFC7D2DE"/>
      </bottom>
      <diagonal/>
    </border>
    <border>
      <left style="thin">
        <color rgb="FFC7D2DE"/>
      </left>
      <right/>
      <top style="thin">
        <color rgb="FFC7D2DE"/>
      </top>
      <bottom style="thin">
        <color rgb="FFC7D2DE"/>
      </bottom>
      <diagonal/>
    </border>
    <border>
      <left/>
      <right/>
      <top style="thin">
        <color rgb="FFC7D2DE"/>
      </top>
      <bottom style="thin">
        <color rgb="FFC7D2DE"/>
      </bottom>
      <diagonal/>
    </border>
    <border>
      <left/>
      <right style="thin">
        <color rgb="FFC7D2DE"/>
      </right>
      <top style="thin">
        <color rgb="FFC7D2DE"/>
      </top>
      <bottom style="thin">
        <color rgb="FFC7D2DE"/>
      </bottom>
      <diagonal/>
    </border>
    <border>
      <left style="medium">
        <color rgb="FF1F7A8C"/>
      </left>
      <right/>
      <top style="medium">
        <color rgb="FF1F7A8C"/>
      </top>
      <bottom style="medium">
        <color rgb="FF1F7A8C"/>
      </bottom>
      <diagonal/>
    </border>
    <border>
      <left/>
      <right/>
      <top style="medium">
        <color rgb="FF1F7A8C"/>
      </top>
      <bottom style="medium">
        <color rgb="FF1F7A8C"/>
      </bottom>
      <diagonal/>
    </border>
    <border>
      <left/>
      <right style="medium">
        <color rgb="FF1F7A8C"/>
      </right>
      <top style="medium">
        <color rgb="FF1F7A8C"/>
      </top>
      <bottom style="medium">
        <color rgb="FF1F7A8C"/>
      </bottom>
      <diagonal/>
    </border>
    <border>
      <left/>
      <right/>
      <top style="thin">
        <color rgb="FFC7D2DE"/>
      </top>
      <bottom/>
      <diagonal/>
    </border>
    <border>
      <left/>
      <right/>
      <top/>
      <bottom style="thin">
        <color rgb="FFC7D2DE"/>
      </bottom>
      <diagonal/>
    </border>
    <border>
      <left style="medium">
        <color rgb="FF26395B"/>
      </left>
      <right/>
      <top style="medium">
        <color rgb="FF26395B"/>
      </top>
      <bottom/>
      <diagonal/>
    </border>
    <border>
      <left/>
      <right/>
      <top style="medium">
        <color rgb="FF26395B"/>
      </top>
      <bottom/>
      <diagonal/>
    </border>
    <border>
      <left/>
      <right style="medium">
        <color rgb="FF26395B"/>
      </right>
      <top style="medium">
        <color rgb="FF26395B"/>
      </top>
      <bottom/>
      <diagonal/>
    </border>
    <border>
      <left style="medium">
        <color rgb="FF26395B"/>
      </left>
      <right/>
      <top/>
      <bottom/>
      <diagonal/>
    </border>
    <border>
      <left/>
      <right style="medium">
        <color rgb="FF26395B"/>
      </right>
      <top/>
      <bottom/>
      <diagonal/>
    </border>
    <border>
      <left style="medium">
        <color rgb="FF26395B"/>
      </left>
      <right/>
      <top/>
      <bottom style="medium">
        <color rgb="FF26395B"/>
      </bottom>
      <diagonal/>
    </border>
    <border>
      <left/>
      <right/>
      <top/>
      <bottom style="medium">
        <color rgb="FF26395B"/>
      </bottom>
      <diagonal/>
    </border>
    <border>
      <left/>
      <right style="medium">
        <color rgb="FF26395B"/>
      </right>
      <top/>
      <bottom style="medium">
        <color rgb="FF26395B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0" fillId="8" borderId="11" xfId="0" applyFont="1" applyFill="1" applyBorder="1" applyAlignment="1">
      <alignment horizontal="center" vertical="center"/>
    </xf>
    <xf numFmtId="165" fontId="9" fillId="8" borderId="10" xfId="0" applyNumberFormat="1" applyFont="1" applyFill="1" applyBorder="1" applyAlignment="1">
      <alignment horizontal="center" vertical="center"/>
    </xf>
    <xf numFmtId="165" fontId="8" fillId="8" borderId="9" xfId="0" applyNumberFormat="1" applyFont="1" applyFill="1" applyBorder="1" applyAlignment="1">
      <alignment horizontal="center" vertical="center"/>
    </xf>
    <xf numFmtId="166" fontId="7" fillId="8" borderId="8" xfId="0" applyNumberFormat="1" applyFont="1" applyFill="1" applyBorder="1" applyAlignment="1">
      <alignment horizontal="center" vertical="center"/>
    </xf>
    <xf numFmtId="165" fontId="6" fillId="8" borderId="7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 vertical="center"/>
    </xf>
    <xf numFmtId="164" fontId="4" fillId="6" borderId="4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/>
    </xf>
    <xf numFmtId="164" fontId="4" fillId="6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/>
    </xf>
    <xf numFmtId="0" fontId="0" fillId="4" borderId="0" xfId="0" applyFill="1"/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5" borderId="1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  <xf numFmtId="0" fontId="12" fillId="9" borderId="12" xfId="0" applyFont="1" applyFill="1" applyBorder="1" applyAlignment="1">
      <alignment horizontal="left" vertical="center"/>
    </xf>
    <xf numFmtId="0" fontId="12" fillId="9" borderId="13" xfId="0" applyFont="1" applyFill="1" applyBorder="1" applyAlignment="1">
      <alignment horizontal="center" vertical="center"/>
    </xf>
    <xf numFmtId="0" fontId="12" fillId="9" borderId="14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left" vertical="center"/>
    </xf>
    <xf numFmtId="167" fontId="13" fillId="7" borderId="0" xfId="0" applyNumberFormat="1" applyFont="1" applyFill="1" applyAlignment="1">
      <alignment horizontal="right" vertical="center"/>
    </xf>
    <xf numFmtId="167" fontId="13" fillId="7" borderId="16" xfId="0" applyNumberFormat="1" applyFont="1" applyFill="1" applyBorder="1" applyAlignment="1">
      <alignment horizontal="right" vertical="center"/>
    </xf>
    <xf numFmtId="0" fontId="5" fillId="10" borderId="15" xfId="0" applyFont="1" applyFill="1" applyBorder="1" applyAlignment="1">
      <alignment horizontal="left" vertical="center"/>
    </xf>
    <xf numFmtId="167" fontId="13" fillId="10" borderId="0" xfId="0" applyNumberFormat="1" applyFont="1" applyFill="1" applyAlignment="1">
      <alignment horizontal="right" vertical="center"/>
    </xf>
    <xf numFmtId="167" fontId="13" fillId="10" borderId="16" xfId="0" applyNumberFormat="1" applyFont="1" applyFill="1" applyBorder="1" applyAlignment="1">
      <alignment horizontal="right" vertical="center"/>
    </xf>
    <xf numFmtId="167" fontId="14" fillId="10" borderId="0" xfId="0" applyNumberFormat="1" applyFont="1" applyFill="1" applyAlignment="1">
      <alignment horizontal="right" vertical="center"/>
    </xf>
    <xf numFmtId="167" fontId="14" fillId="10" borderId="16" xfId="0" applyNumberFormat="1" applyFont="1" applyFill="1" applyBorder="1" applyAlignment="1">
      <alignment horizontal="right" vertical="center"/>
    </xf>
    <xf numFmtId="0" fontId="15" fillId="8" borderId="17" xfId="0" applyFont="1" applyFill="1" applyBorder="1" applyAlignment="1">
      <alignment horizontal="left" vertical="center"/>
    </xf>
    <xf numFmtId="166" fontId="5" fillId="8" borderId="18" xfId="0" applyNumberFormat="1" applyFont="1" applyFill="1" applyBorder="1" applyAlignment="1">
      <alignment horizontal="center" vertical="center"/>
    </xf>
    <xf numFmtId="166" fontId="5" fillId="8" borderId="19" xfId="0" applyNumberFormat="1" applyFont="1" applyFill="1" applyBorder="1" applyAlignment="1">
      <alignment horizontal="center" vertical="center"/>
    </xf>
    <xf numFmtId="165" fontId="13" fillId="7" borderId="0" xfId="0" applyNumberFormat="1" applyFont="1" applyFill="1" applyAlignment="1">
      <alignment horizontal="right" vertical="center"/>
    </xf>
    <xf numFmtId="166" fontId="5" fillId="7" borderId="16" xfId="0" applyNumberFormat="1" applyFont="1" applyFill="1" applyBorder="1" applyAlignment="1">
      <alignment horizontal="center" vertical="center"/>
    </xf>
    <xf numFmtId="165" fontId="13" fillId="10" borderId="0" xfId="0" applyNumberFormat="1" applyFont="1" applyFill="1" applyAlignment="1">
      <alignment horizontal="right" vertical="center"/>
    </xf>
    <xf numFmtId="166" fontId="5" fillId="10" borderId="16" xfId="0" applyNumberFormat="1" applyFont="1" applyFill="1" applyBorder="1" applyAlignment="1">
      <alignment horizontal="center" vertical="center"/>
    </xf>
    <xf numFmtId="0" fontId="16" fillId="11" borderId="17" xfId="0" applyFont="1" applyFill="1" applyBorder="1" applyAlignment="1">
      <alignment horizontal="left" vertical="center"/>
    </xf>
    <xf numFmtId="165" fontId="16" fillId="11" borderId="18" xfId="0" applyNumberFormat="1" applyFont="1" applyFill="1" applyBorder="1" applyAlignment="1">
      <alignment horizontal="right" vertical="center"/>
    </xf>
    <xf numFmtId="0" fontId="12" fillId="9" borderId="12" xfId="0" applyFont="1" applyFill="1" applyBorder="1" applyAlignment="1">
      <alignment horizontal="left" vertical="center" indent="1"/>
    </xf>
    <xf numFmtId="0" fontId="12" fillId="9" borderId="13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left" vertical="center" indent="1"/>
    </xf>
    <xf numFmtId="165" fontId="4" fillId="6" borderId="0" xfId="0" applyNumberFormat="1" applyFont="1" applyFill="1" applyAlignment="1">
      <alignment horizontal="right" vertical="center"/>
    </xf>
    <xf numFmtId="3" fontId="4" fillId="6" borderId="0" xfId="0" applyNumberFormat="1" applyFont="1" applyFill="1" applyAlignment="1">
      <alignment horizontal="center" vertical="center"/>
    </xf>
    <xf numFmtId="165" fontId="5" fillId="7" borderId="16" xfId="0" applyNumberFormat="1" applyFont="1" applyFill="1" applyBorder="1" applyAlignment="1">
      <alignment horizontal="right" vertical="center"/>
    </xf>
    <xf numFmtId="0" fontId="5" fillId="10" borderId="15" xfId="0" applyFont="1" applyFill="1" applyBorder="1" applyAlignment="1">
      <alignment horizontal="left" vertical="center" indent="1"/>
    </xf>
    <xf numFmtId="165" fontId="5" fillId="10" borderId="16" xfId="0" applyNumberFormat="1" applyFont="1" applyFill="1" applyBorder="1" applyAlignment="1">
      <alignment horizontal="right" vertical="center"/>
    </xf>
    <xf numFmtId="0" fontId="16" fillId="11" borderId="17" xfId="0" applyFont="1" applyFill="1" applyBorder="1" applyAlignment="1">
      <alignment horizontal="left" vertical="center" indent="1"/>
    </xf>
    <xf numFmtId="0" fontId="0" fillId="11" borderId="18" xfId="0" applyFill="1" applyBorder="1"/>
    <xf numFmtId="165" fontId="16" fillId="11" borderId="19" xfId="0" applyNumberFormat="1" applyFont="1" applyFill="1" applyBorder="1" applyAlignment="1">
      <alignment horizontal="right" vertical="center"/>
    </xf>
    <xf numFmtId="0" fontId="0" fillId="9" borderId="13" xfId="0" applyFill="1" applyBorder="1"/>
    <xf numFmtId="0" fontId="0" fillId="9" borderId="14" xfId="0" applyFill="1" applyBorder="1"/>
    <xf numFmtId="0" fontId="0" fillId="7" borderId="0" xfId="0" applyFill="1"/>
    <xf numFmtId="0" fontId="0" fillId="7" borderId="16" xfId="0" applyFill="1" applyBorder="1"/>
    <xf numFmtId="0" fontId="0" fillId="10" borderId="0" xfId="0" applyFill="1"/>
    <xf numFmtId="0" fontId="0" fillId="10" borderId="16" xfId="0" applyFill="1" applyBorder="1"/>
    <xf numFmtId="0" fontId="0" fillId="11" borderId="19" xfId="0" applyFill="1" applyBorder="1"/>
    <xf numFmtId="0" fontId="5" fillId="7" borderId="21" xfId="0" applyFont="1" applyFill="1" applyBorder="1" applyAlignment="1">
      <alignment horizontal="left" vertical="center" indent="1"/>
    </xf>
    <xf numFmtId="165" fontId="4" fillId="6" borderId="22" xfId="0" applyNumberFormat="1" applyFont="1" applyFill="1" applyBorder="1" applyAlignment="1">
      <alignment horizontal="right" vertical="center"/>
    </xf>
    <xf numFmtId="0" fontId="0" fillId="7" borderId="22" xfId="0" applyFill="1" applyBorder="1"/>
    <xf numFmtId="0" fontId="0" fillId="7" borderId="23" xfId="0" applyFill="1" applyBorder="1"/>
    <xf numFmtId="0" fontId="18" fillId="12" borderId="24" xfId="0" applyFont="1" applyFill="1" applyBorder="1" applyAlignment="1">
      <alignment horizontal="left" vertical="center" indent="1"/>
    </xf>
    <xf numFmtId="165" fontId="19" fillId="13" borderId="25" xfId="0" applyNumberFormat="1" applyFont="1" applyFill="1" applyBorder="1" applyAlignment="1">
      <alignment horizontal="right" vertical="center"/>
    </xf>
    <xf numFmtId="0" fontId="0" fillId="12" borderId="25" xfId="0" applyFill="1" applyBorder="1"/>
    <xf numFmtId="0" fontId="0" fillId="12" borderId="26" xfId="0" applyFill="1" applyBorder="1"/>
    <xf numFmtId="166" fontId="5" fillId="7" borderId="0" xfId="0" applyNumberFormat="1" applyFont="1" applyFill="1" applyAlignment="1">
      <alignment horizontal="center" vertical="center"/>
    </xf>
    <xf numFmtId="166" fontId="5" fillId="10" borderId="0" xfId="0" applyNumberFormat="1" applyFont="1" applyFill="1" applyAlignment="1">
      <alignment horizontal="center" vertical="center"/>
    </xf>
    <xf numFmtId="166" fontId="16" fillId="11" borderId="18" xfId="0" applyNumberFormat="1" applyFont="1" applyFill="1" applyBorder="1" applyAlignment="1">
      <alignment horizontal="center" vertical="center"/>
    </xf>
    <xf numFmtId="0" fontId="16" fillId="8" borderId="21" xfId="0" applyFont="1" applyFill="1" applyBorder="1" applyAlignment="1">
      <alignment horizontal="left" vertical="center" indent="1"/>
    </xf>
    <xf numFmtId="167" fontId="16" fillId="7" borderId="22" xfId="0" applyNumberFormat="1" applyFont="1" applyFill="1" applyBorder="1" applyAlignment="1">
      <alignment horizontal="right" vertical="center"/>
    </xf>
    <xf numFmtId="0" fontId="21" fillId="9" borderId="12" xfId="0" applyFont="1" applyFill="1" applyBorder="1" applyAlignment="1">
      <alignment horizontal="left" vertical="center" indent="1"/>
    </xf>
    <xf numFmtId="0" fontId="21" fillId="9" borderId="13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166" fontId="4" fillId="6" borderId="0" xfId="0" applyNumberFormat="1" applyFont="1" applyFill="1" applyAlignment="1">
      <alignment horizontal="center" vertical="center"/>
    </xf>
    <xf numFmtId="165" fontId="5" fillId="7" borderId="0" xfId="0" applyNumberFormat="1" applyFont="1" applyFill="1" applyAlignment="1">
      <alignment horizontal="right" vertical="center"/>
    </xf>
    <xf numFmtId="165" fontId="5" fillId="10" borderId="0" xfId="0" applyNumberFormat="1" applyFont="1" applyFill="1" applyAlignment="1">
      <alignment horizontal="right" vertical="center"/>
    </xf>
    <xf numFmtId="0" fontId="5" fillId="0" borderId="1" xfId="0" applyFont="1" applyBorder="1" applyAlignment="1">
      <alignment horizontal="left" vertical="center" indent="1"/>
    </xf>
    <xf numFmtId="166" fontId="4" fillId="6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1"/>
    </xf>
    <xf numFmtId="166" fontId="4" fillId="6" borderId="6" xfId="0" applyNumberFormat="1" applyFont="1" applyFill="1" applyBorder="1" applyAlignment="1">
      <alignment horizontal="center" vertical="center"/>
    </xf>
    <xf numFmtId="0" fontId="11" fillId="12" borderId="15" xfId="0" applyFont="1" applyFill="1" applyBorder="1" applyAlignment="1">
      <alignment horizontal="left" vertical="center" indent="1"/>
    </xf>
    <xf numFmtId="165" fontId="22" fillId="13" borderId="0" xfId="0" applyNumberFormat="1" applyFont="1" applyFill="1" applyAlignment="1">
      <alignment horizontal="right" vertical="center"/>
    </xf>
    <xf numFmtId="166" fontId="22" fillId="13" borderId="16" xfId="0" applyNumberFormat="1" applyFont="1" applyFill="1" applyBorder="1" applyAlignment="1">
      <alignment horizontal="center" vertical="center"/>
    </xf>
    <xf numFmtId="0" fontId="15" fillId="7" borderId="17" xfId="0" applyFont="1" applyFill="1" applyBorder="1" applyAlignment="1">
      <alignment horizontal="left" vertical="center" indent="1"/>
    </xf>
    <xf numFmtId="0" fontId="23" fillId="7" borderId="18" xfId="0" applyFont="1" applyFill="1" applyBorder="1" applyAlignment="1">
      <alignment horizontal="center" vertical="center"/>
    </xf>
    <xf numFmtId="166" fontId="5" fillId="7" borderId="18" xfId="0" applyNumberFormat="1" applyFont="1" applyFill="1" applyBorder="1" applyAlignment="1">
      <alignment horizontal="center" vertical="center"/>
    </xf>
    <xf numFmtId="0" fontId="0" fillId="7" borderId="19" xfId="0" applyFill="1" applyBorder="1"/>
    <xf numFmtId="0" fontId="5" fillId="0" borderId="3" xfId="0" applyFont="1" applyBorder="1" applyAlignment="1">
      <alignment horizontal="left" vertical="center" indent="1"/>
    </xf>
    <xf numFmtId="166" fontId="4" fillId="6" borderId="4" xfId="0" applyNumberFormat="1" applyFont="1" applyFill="1" applyBorder="1" applyAlignment="1">
      <alignment horizontal="center" vertical="center"/>
    </xf>
    <xf numFmtId="165" fontId="13" fillId="7" borderId="16" xfId="0" applyNumberFormat="1" applyFont="1" applyFill="1" applyBorder="1" applyAlignment="1">
      <alignment horizontal="right" vertical="center"/>
    </xf>
    <xf numFmtId="0" fontId="11" fillId="12" borderId="17" xfId="0" applyFont="1" applyFill="1" applyBorder="1" applyAlignment="1">
      <alignment horizontal="left" vertical="center" indent="1"/>
    </xf>
    <xf numFmtId="165" fontId="22" fillId="13" borderId="18" xfId="0" applyNumberFormat="1" applyFont="1" applyFill="1" applyBorder="1" applyAlignment="1">
      <alignment horizontal="right" vertical="center"/>
    </xf>
    <xf numFmtId="165" fontId="22" fillId="13" borderId="19" xfId="0" applyNumberFormat="1" applyFont="1" applyFill="1" applyBorder="1" applyAlignment="1">
      <alignment horizontal="right" vertical="center"/>
    </xf>
    <xf numFmtId="0" fontId="5" fillId="0" borderId="21" xfId="0" applyFont="1" applyBorder="1" applyAlignment="1">
      <alignment horizontal="left" vertical="center" indent="1"/>
    </xf>
    <xf numFmtId="166" fontId="4" fillId="6" borderId="23" xfId="0" applyNumberFormat="1" applyFont="1" applyFill="1" applyBorder="1" applyAlignment="1">
      <alignment horizontal="center" vertical="center"/>
    </xf>
    <xf numFmtId="0" fontId="16" fillId="10" borderId="15" xfId="0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left" vertical="center" indent="1"/>
    </xf>
    <xf numFmtId="167" fontId="22" fillId="13" borderId="0" xfId="0" applyNumberFormat="1" applyFont="1" applyFill="1" applyAlignment="1">
      <alignment horizontal="right" vertical="center"/>
    </xf>
    <xf numFmtId="166" fontId="20" fillId="14" borderId="16" xfId="0" applyNumberFormat="1" applyFont="1" applyFill="1" applyBorder="1" applyAlignment="1">
      <alignment horizontal="center" vertical="center"/>
    </xf>
    <xf numFmtId="0" fontId="0" fillId="0" borderId="16" xfId="0" applyBorder="1"/>
    <xf numFmtId="167" fontId="5" fillId="10" borderId="0" xfId="0" applyNumberFormat="1" applyFont="1" applyFill="1" applyAlignment="1">
      <alignment horizontal="right" vertical="center"/>
    </xf>
    <xf numFmtId="0" fontId="11" fillId="3" borderId="17" xfId="0" applyFont="1" applyFill="1" applyBorder="1" applyAlignment="1">
      <alignment horizontal="left" vertical="center" indent="1"/>
    </xf>
    <xf numFmtId="167" fontId="22" fillId="13" borderId="18" xfId="0" applyNumberFormat="1" applyFont="1" applyFill="1" applyBorder="1" applyAlignment="1">
      <alignment horizontal="right" vertical="center"/>
    </xf>
    <xf numFmtId="166" fontId="20" fillId="14" borderId="19" xfId="0" applyNumberFormat="1" applyFont="1" applyFill="1" applyBorder="1" applyAlignment="1">
      <alignment horizontal="center" vertical="center"/>
    </xf>
    <xf numFmtId="0" fontId="5" fillId="10" borderId="17" xfId="0" applyFont="1" applyFill="1" applyBorder="1" applyAlignment="1">
      <alignment horizontal="left" vertical="center" indent="1"/>
    </xf>
    <xf numFmtId="166" fontId="5" fillId="10" borderId="18" xfId="0" applyNumberFormat="1" applyFont="1" applyFill="1" applyBorder="1" applyAlignment="1">
      <alignment horizontal="center" vertical="center"/>
    </xf>
    <xf numFmtId="0" fontId="0" fillId="10" borderId="19" xfId="0" applyFill="1" applyBorder="1"/>
    <xf numFmtId="0" fontId="24" fillId="8" borderId="1" xfId="0" applyFont="1" applyFill="1" applyBorder="1" applyAlignment="1">
      <alignment horizontal="left" vertical="center" indent="1"/>
    </xf>
    <xf numFmtId="0" fontId="21" fillId="9" borderId="27" xfId="0" applyFont="1" applyFill="1" applyBorder="1" applyAlignment="1">
      <alignment horizontal="center" vertical="center"/>
    </xf>
    <xf numFmtId="0" fontId="21" fillId="9" borderId="2" xfId="0" applyFont="1" applyFill="1" applyBorder="1" applyAlignment="1">
      <alignment horizontal="center" vertical="center"/>
    </xf>
    <xf numFmtId="0" fontId="0" fillId="8" borderId="5" xfId="0" applyFill="1" applyBorder="1"/>
    <xf numFmtId="3" fontId="25" fillId="6" borderId="28" xfId="0" applyNumberFormat="1" applyFont="1" applyFill="1" applyBorder="1" applyAlignment="1">
      <alignment horizontal="center" vertical="center"/>
    </xf>
    <xf numFmtId="3" fontId="16" fillId="11" borderId="6" xfId="0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left" vertical="center" indent="1"/>
    </xf>
    <xf numFmtId="0" fontId="21" fillId="3" borderId="30" xfId="0" applyFont="1" applyFill="1" applyBorder="1" applyAlignment="1">
      <alignment horizontal="center" vertical="center"/>
    </xf>
    <xf numFmtId="0" fontId="21" fillId="3" borderId="31" xfId="0" applyFont="1" applyFill="1" applyBorder="1" applyAlignment="1">
      <alignment horizontal="center" vertical="center"/>
    </xf>
    <xf numFmtId="0" fontId="16" fillId="8" borderId="32" xfId="0" applyFont="1" applyFill="1" applyBorder="1" applyAlignment="1">
      <alignment horizontal="left" vertical="center" indent="1"/>
    </xf>
    <xf numFmtId="167" fontId="20" fillId="8" borderId="0" xfId="0" applyNumberFormat="1" applyFont="1" applyFill="1" applyAlignment="1">
      <alignment horizontal="right" vertical="center"/>
    </xf>
    <xf numFmtId="167" fontId="20" fillId="11" borderId="33" xfId="0" applyNumberFormat="1" applyFont="1" applyFill="1" applyBorder="1" applyAlignment="1">
      <alignment horizontal="right" vertical="center"/>
    </xf>
    <xf numFmtId="0" fontId="26" fillId="13" borderId="32" xfId="0" applyFont="1" applyFill="1" applyBorder="1" applyAlignment="1">
      <alignment horizontal="left" vertical="center" indent="1"/>
    </xf>
    <xf numFmtId="0" fontId="0" fillId="13" borderId="0" xfId="0" applyFill="1"/>
    <xf numFmtId="0" fontId="0" fillId="13" borderId="33" xfId="0" applyFill="1" applyBorder="1"/>
    <xf numFmtId="0" fontId="5" fillId="7" borderId="32" xfId="0" applyFont="1" applyFill="1" applyBorder="1" applyAlignment="1">
      <alignment horizontal="left" vertical="center" indent="1"/>
    </xf>
    <xf numFmtId="167" fontId="24" fillId="7" borderId="0" xfId="0" applyNumberFormat="1" applyFont="1" applyFill="1" applyAlignment="1">
      <alignment horizontal="right" vertical="center"/>
    </xf>
    <xf numFmtId="167" fontId="27" fillId="7" borderId="0" xfId="0" applyNumberFormat="1" applyFont="1" applyFill="1" applyAlignment="1">
      <alignment horizontal="right" vertical="center"/>
    </xf>
    <xf numFmtId="0" fontId="28" fillId="12" borderId="32" xfId="0" applyFont="1" applyFill="1" applyBorder="1" applyAlignment="1">
      <alignment horizontal="left" vertical="center" indent="1"/>
    </xf>
    <xf numFmtId="167" fontId="12" fillId="12" borderId="0" xfId="0" applyNumberFormat="1" applyFont="1" applyFill="1" applyAlignment="1">
      <alignment horizontal="right" vertical="center"/>
    </xf>
    <xf numFmtId="167" fontId="12" fillId="12" borderId="33" xfId="0" applyNumberFormat="1" applyFont="1" applyFill="1" applyBorder="1" applyAlignment="1">
      <alignment horizontal="right" vertical="center"/>
    </xf>
    <xf numFmtId="0" fontId="12" fillId="9" borderId="32" xfId="0" applyFont="1" applyFill="1" applyBorder="1" applyAlignment="1">
      <alignment horizontal="left" vertical="center" indent="1"/>
    </xf>
    <xf numFmtId="0" fontId="0" fillId="9" borderId="0" xfId="0" applyFill="1"/>
    <xf numFmtId="0" fontId="0" fillId="9" borderId="33" xfId="0" applyFill="1" applyBorder="1"/>
    <xf numFmtId="0" fontId="28" fillId="3" borderId="34" xfId="0" applyFont="1" applyFill="1" applyBorder="1" applyAlignment="1">
      <alignment horizontal="left" vertical="center" indent="1"/>
    </xf>
    <xf numFmtId="167" fontId="26" fillId="13" borderId="35" xfId="0" applyNumberFormat="1" applyFont="1" applyFill="1" applyBorder="1" applyAlignment="1">
      <alignment horizontal="right" vertical="center"/>
    </xf>
    <xf numFmtId="167" fontId="26" fillId="13" borderId="36" xfId="0" applyNumberFormat="1" applyFont="1" applyFill="1" applyBorder="1" applyAlignment="1">
      <alignment horizontal="right" vertical="center"/>
    </xf>
    <xf numFmtId="167" fontId="6" fillId="8" borderId="7" xfId="0" applyNumberFormat="1" applyFont="1" applyFill="1" applyBorder="1" applyAlignment="1">
      <alignment horizontal="center" vertical="center"/>
    </xf>
    <xf numFmtId="167" fontId="9" fillId="8" borderId="10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 indent="1"/>
    </xf>
    <xf numFmtId="0" fontId="12" fillId="9" borderId="14" xfId="0" applyFont="1" applyFill="1" applyBorder="1" applyAlignment="1">
      <alignment horizontal="center" vertical="center"/>
    </xf>
    <xf numFmtId="166" fontId="5" fillId="7" borderId="16" xfId="0" applyNumberFormat="1" applyFont="1" applyFill="1" applyBorder="1" applyAlignment="1">
      <alignment horizontal="center" vertical="center"/>
    </xf>
    <xf numFmtId="166" fontId="5" fillId="10" borderId="16" xfId="0" applyNumberFormat="1" applyFont="1" applyFill="1" applyBorder="1" applyAlignment="1">
      <alignment horizontal="center" vertical="center"/>
    </xf>
    <xf numFmtId="166" fontId="16" fillId="11" borderId="19" xfId="0" applyNumberFormat="1" applyFont="1" applyFill="1" applyBorder="1" applyAlignment="1">
      <alignment horizontal="center" vertical="center"/>
    </xf>
    <xf numFmtId="0" fontId="17" fillId="0" borderId="20" xfId="0" applyFont="1" applyBorder="1" applyAlignment="1">
      <alignment horizontal="left" vertical="top" wrapText="1"/>
    </xf>
    <xf numFmtId="0" fontId="20" fillId="8" borderId="23" xfId="0" applyFont="1" applyFill="1" applyBorder="1" applyAlignment="1">
      <alignment horizontal="left" vertical="center" indent="1"/>
    </xf>
    <xf numFmtId="0" fontId="17" fillId="0" borderId="0" xfId="0" applyFont="1" applyAlignment="1">
      <alignment horizontal="left" vertical="top" wrapText="1"/>
    </xf>
  </cellXfs>
  <cellStyles count="1">
    <cellStyle name="Standard" xfId="0" builtinId="0"/>
  </cellStyles>
  <dxfs count="20">
    <dxf>
      <fill>
        <patternFill>
          <bgColor rgb="FFF9DEDC"/>
        </patternFill>
      </fill>
    </dxf>
    <dxf>
      <font>
        <b/>
        <sz val="10"/>
        <color rgb="FFC0392B"/>
        <name val="Calibri"/>
        <charset val="1"/>
      </font>
    </dxf>
    <dxf>
      <font>
        <b/>
        <sz val="10"/>
        <color rgb="FF137A43"/>
        <name val="Calibri"/>
        <charset val="1"/>
      </font>
    </dxf>
    <dxf>
      <font>
        <b/>
        <sz val="10"/>
        <color rgb="FFC0392B"/>
        <name val="Calibri"/>
        <charset val="1"/>
      </font>
    </dxf>
    <dxf>
      <font>
        <b/>
        <sz val="10"/>
        <color rgb="FF137A43"/>
        <name val="Calibri"/>
        <charset val="1"/>
      </font>
    </dxf>
    <dxf>
      <font>
        <b/>
        <sz val="10"/>
        <color rgb="FFC0392B"/>
        <name val="Calibri"/>
        <charset val="1"/>
      </font>
    </dxf>
    <dxf>
      <font>
        <b/>
        <sz val="10"/>
        <color rgb="FF137A43"/>
        <name val="Calibri"/>
        <charset val="1"/>
      </font>
    </dxf>
    <dxf>
      <font>
        <b/>
        <sz val="10"/>
        <color rgb="FFC0392B"/>
        <name val="Calibri"/>
        <charset val="1"/>
      </font>
    </dxf>
    <dxf>
      <font>
        <b/>
        <sz val="10"/>
        <color rgb="FF137A43"/>
        <name val="Calibri"/>
        <charset val="1"/>
      </font>
    </dxf>
    <dxf>
      <font>
        <b/>
        <sz val="10"/>
        <color rgb="FFC0392B"/>
        <name val="Calibri"/>
        <charset val="1"/>
      </font>
      <fill>
        <patternFill>
          <bgColor rgb="FFF9DEDC"/>
        </patternFill>
      </fill>
    </dxf>
    <dxf>
      <font>
        <b/>
        <sz val="10"/>
        <color rgb="FF8A5A16"/>
        <name val="Calibri"/>
        <charset val="1"/>
      </font>
      <fill>
        <patternFill>
          <bgColor rgb="FFF1DCBB"/>
        </patternFill>
      </fill>
    </dxf>
    <dxf>
      <font>
        <b/>
        <sz val="10"/>
        <color rgb="FF137A43"/>
        <name val="Calibri"/>
        <charset val="1"/>
      </font>
      <fill>
        <patternFill>
          <bgColor rgb="FFD9EEE1"/>
        </patternFill>
      </fill>
    </dxf>
    <dxf>
      <font>
        <b/>
        <sz val="10"/>
        <color rgb="FFC0392B"/>
        <name val="Calibri"/>
        <charset val="1"/>
      </font>
    </dxf>
    <dxf>
      <font>
        <b/>
        <sz val="10"/>
        <color rgb="FF137A43"/>
        <name val="Calibri"/>
        <charset val="1"/>
      </font>
    </dxf>
    <dxf>
      <font>
        <b/>
        <sz val="10"/>
        <color rgb="FFC0392B"/>
        <name val="Calibri"/>
        <charset val="1"/>
      </font>
    </dxf>
    <dxf>
      <font>
        <b/>
        <sz val="10"/>
        <color rgb="FF137A43"/>
        <name val="Calibri"/>
        <charset val="1"/>
      </font>
    </dxf>
    <dxf>
      <font>
        <b/>
        <sz val="10"/>
        <color rgb="FFC0392B"/>
        <name val="Calibri"/>
        <charset val="1"/>
      </font>
    </dxf>
    <dxf>
      <font>
        <b/>
        <sz val="10"/>
        <color rgb="FF137A43"/>
        <name val="Calibri"/>
        <charset val="1"/>
      </font>
    </dxf>
    <dxf>
      <font>
        <b/>
        <sz val="10"/>
        <color rgb="FFC0392B"/>
        <name val="Calibri"/>
        <charset val="1"/>
      </font>
    </dxf>
    <dxf>
      <font>
        <b/>
        <sz val="10"/>
        <color rgb="FF137A43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FF3F8"/>
      <rgbColor rgb="FFFF00FF"/>
      <rgbColor rgb="FF00FFFF"/>
      <rgbColor rgb="FF800000"/>
      <rgbColor rgb="FF15606E"/>
      <rgbColor rgb="FF000080"/>
      <rgbColor rgb="FF8A5A16"/>
      <rgbColor rgb="FF800080"/>
      <rgbColor rgb="FF1F7A8C"/>
      <rgbColor rgb="FFD9D9D9"/>
      <rgbColor rgb="FF878787"/>
      <rgbColor rgb="FF9999FF"/>
      <rgbColor rgb="FF993366"/>
      <rgbColor rgb="FFFFF6DA"/>
      <rgbColor rgb="FFD2E7EB"/>
      <rgbColor rgb="FF660066"/>
      <rgbColor rgb="FFFF8080"/>
      <rgbColor rgb="FF1A56DB"/>
      <rgbColor rgb="FFC7D2DE"/>
      <rgbColor rgb="FF000080"/>
      <rgbColor rgb="FFFF00FF"/>
      <rgbColor rgb="FFFFFF00"/>
      <rgbColor rgb="FF00FFFF"/>
      <rgbColor rgb="FF800080"/>
      <rgbColor rgb="FF800000"/>
      <rgbColor rgb="FF137A43"/>
      <rgbColor rgb="FF0000FF"/>
      <rgbColor rgb="FF00CCFF"/>
      <rgbColor rgb="FFE9EFF6"/>
      <rgbColor rgb="FFD9EEE1"/>
      <rgbColor rgb="FFF4F7FA"/>
      <rgbColor rgb="FFE3E9F0"/>
      <rgbColor rgb="FFF9DEDC"/>
      <rgbColor rgb="FFEDF1F6"/>
      <rgbColor rgb="FFF1DCBB"/>
      <rgbColor rgb="FF4F81BD"/>
      <rgbColor rgb="FF33CCCC"/>
      <rgbColor rgb="FF99CC00"/>
      <rgbColor rgb="FFFFCC00"/>
      <rgbColor rgb="FFD98E3A"/>
      <rgbColor rgb="FFFF6600"/>
      <rgbColor rgb="FF667385"/>
      <rgbColor rgb="FF9AA7B8"/>
      <rgbColor rgb="FF1B2A4A"/>
      <rgbColor rgb="FF3F5D86"/>
      <rgbColor rgb="FF003300"/>
      <rgbColor rgb="FF333300"/>
      <rgbColor rgb="FFC0392B"/>
      <rgbColor rgb="FF993366"/>
      <rgbColor rgb="FF26395B"/>
      <rgbColor rgb="FF1F2A3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Umsatz- &amp; Ergebnisentwicklung (3 Jahre)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Umsatzerlöse</c:v>
          </c:tx>
          <c:spPr>
            <a:solidFill>
              <a:srgbClr val="26395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Übersicht!$B$16:$D$16</c:f>
              <c:strCache>
                <c:ptCount val="3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</c:strCache>
            </c:strRef>
          </c:cat>
          <c:val>
            <c:numRef>
              <c:f>Übersicht!$B$17:$D$17</c:f>
              <c:numCache>
                <c:formatCode>General</c:formatCode>
                <c:ptCount val="3"/>
                <c:pt idx="0">
                  <c:v>560000</c:v>
                </c:pt>
                <c:pt idx="1">
                  <c:v>660800</c:v>
                </c:pt>
                <c:pt idx="2">
                  <c:v>759919.99999999988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4B-4B41-8A53-31D5058FC5C8}"/>
            </c:ext>
          </c:extLst>
        </c:ser>
        <c:ser>
          <c:idx val="1"/>
          <c:order val="1"/>
          <c:tx>
            <c:v>EBITDA</c:v>
          </c:tx>
          <c:spPr>
            <a:solidFill>
              <a:srgbClr val="1F7A8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Übersicht!$B$16:$D$16</c:f>
              <c:strCache>
                <c:ptCount val="3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</c:strCache>
            </c:strRef>
          </c:cat>
          <c:val>
            <c:numRef>
              <c:f>Übersicht!$B$19:$D$19</c:f>
              <c:numCache>
                <c:formatCode>General</c:formatCode>
                <c:ptCount val="3"/>
                <c:pt idx="0">
                  <c:v>11836</c:v>
                </c:pt>
                <c:pt idx="1">
                  <c:v>50724.879999999976</c:v>
                </c:pt>
                <c:pt idx="2">
                  <c:v>86844.690399999847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4B-4B41-8A53-31D5058FC5C8}"/>
            </c:ext>
          </c:extLst>
        </c:ser>
        <c:ser>
          <c:idx val="2"/>
          <c:order val="2"/>
          <c:tx>
            <c:v>Jahresüberschuss</c:v>
          </c:tx>
          <c:spPr>
            <a:solidFill>
              <a:srgbClr val="D98E3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Übersicht!$B$16:$D$16</c:f>
              <c:strCache>
                <c:ptCount val="3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</c:strCache>
            </c:strRef>
          </c:cat>
          <c:val>
            <c:numRef>
              <c:f>Übersicht!$B$20:$D$20</c:f>
              <c:numCache>
                <c:formatCode>General</c:formatCode>
                <c:ptCount val="3"/>
                <c:pt idx="0">
                  <c:v>-19222.333333333332</c:v>
                </c:pt>
                <c:pt idx="1">
                  <c:v>14407.082666666651</c:v>
                </c:pt>
                <c:pt idx="2">
                  <c:v>40331.449946666558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4B-4B41-8A53-31D5058F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638710"/>
        <c:axId val="84644214"/>
      </c:barChart>
      <c:catAx>
        <c:axId val="376387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4644214"/>
        <c:crosses val="autoZero"/>
        <c:auto val="1"/>
        <c:lblAlgn val="ctr"/>
        <c:lblOffset val="100"/>
        <c:noMultiLvlLbl val="0"/>
      </c:catAx>
      <c:valAx>
        <c:axId val="8464421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763871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Kostenstruktur Jahr 1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Übersicht!$B$24</c:f>
              <c:strCache>
                <c:ptCount val="1"/>
                <c:pt idx="0">
                  <c:v>Betrag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D98E3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AC20-45EF-B58E-A11C61B1F992}"/>
              </c:ext>
            </c:extLst>
          </c:dPt>
          <c:dPt>
            <c:idx val="1"/>
            <c:bubble3D val="0"/>
            <c:spPr>
              <a:solidFill>
                <a:srgbClr val="26395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AC20-45EF-B58E-A11C61B1F992}"/>
              </c:ext>
            </c:extLst>
          </c:dPt>
          <c:dPt>
            <c:idx val="2"/>
            <c:bubble3D val="0"/>
            <c:spPr>
              <a:solidFill>
                <a:srgbClr val="3F5D8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AC20-45EF-B58E-A11C61B1F992}"/>
              </c:ext>
            </c:extLst>
          </c:dPt>
          <c:dPt>
            <c:idx val="3"/>
            <c:bubble3D val="0"/>
            <c:spPr>
              <a:solidFill>
                <a:srgbClr val="1F7A8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AC20-45EF-B58E-A11C61B1F992}"/>
              </c:ext>
            </c:extLst>
          </c:dPt>
          <c:dPt>
            <c:idx val="4"/>
            <c:bubble3D val="0"/>
            <c:spPr>
              <a:solidFill>
                <a:srgbClr val="9AA7B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AC20-45EF-B58E-A11C61B1F992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AC20-45EF-B58E-A11C61B1F992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AC20-45EF-B58E-A11C61B1F992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AC20-45EF-B58E-A11C61B1F992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AC20-45EF-B58E-A11C61B1F992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AC20-45EF-B58E-A11C61B1F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Übersicht!$A$25:$A$29</c:f>
              <c:strCache>
                <c:ptCount val="5"/>
                <c:pt idx="0">
                  <c:v>Wareneinsatz</c:v>
                </c:pt>
                <c:pt idx="1">
                  <c:v>Personalkosten</c:v>
                </c:pt>
                <c:pt idx="2">
                  <c:v>Betriebskosten</c:v>
                </c:pt>
                <c:pt idx="3">
                  <c:v>Abschreibungen</c:v>
                </c:pt>
                <c:pt idx="4">
                  <c:v>Zinsaufwand</c:v>
                </c:pt>
              </c:strCache>
            </c:strRef>
          </c:cat>
          <c:val>
            <c:numRef>
              <c:f>Übersicht!$B$25:$B$29</c:f>
              <c:numCache>
                <c:formatCode>#,##0" €"</c:formatCode>
                <c:ptCount val="5"/>
                <c:pt idx="0">
                  <c:v>212800</c:v>
                </c:pt>
                <c:pt idx="1">
                  <c:v>227964</c:v>
                </c:pt>
                <c:pt idx="2">
                  <c:v>107400</c:v>
                </c:pt>
                <c:pt idx="3">
                  <c:v>24458.333333333332</c:v>
                </c:pt>
                <c:pt idx="4">
                  <c:v>6600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20-45EF-B58E-A11C61B1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Finanzierungsstruktur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'Investition &amp; Finanzierung'!$C$29</c:f>
              <c:strCache>
                <c:ptCount val="1"/>
                <c:pt idx="0">
                  <c:v>Betrag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1F7A8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AD3B-42DC-9203-B188BCB00928}"/>
              </c:ext>
            </c:extLst>
          </c:dPt>
          <c:dPt>
            <c:idx val="1"/>
            <c:bubble3D val="0"/>
            <c:spPr>
              <a:solidFill>
                <a:srgbClr val="3F5D8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3B-42DC-9203-B188BCB00928}"/>
              </c:ext>
            </c:extLst>
          </c:dPt>
          <c:dPt>
            <c:idx val="2"/>
            <c:bubble3D val="0"/>
            <c:spPr>
              <a:solidFill>
                <a:srgbClr val="D98E3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AD3B-42DC-9203-B188BCB00928}"/>
              </c:ext>
            </c:extLst>
          </c:dPt>
          <c:dPt>
            <c:idx val="3"/>
            <c:bubble3D val="0"/>
            <c:spPr>
              <a:solidFill>
                <a:srgbClr val="26395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AD3B-42DC-9203-B188BCB00928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AD3B-42DC-9203-B188BCB00928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AD3B-42DC-9203-B188BCB00928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AD3B-42DC-9203-B188BCB00928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AD3B-42DC-9203-B188BCB00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'Investition &amp; Finanzierung'!$B$30:$B$33</c:f>
              <c:strCache>
                <c:ptCount val="4"/>
                <c:pt idx="0">
                  <c:v>Eigenkapital</c:v>
                </c:pt>
                <c:pt idx="1">
                  <c:v>Fördermittel / Zuschuss</c:v>
                </c:pt>
                <c:pt idx="2">
                  <c:v>Bankdarlehen</c:v>
                </c:pt>
                <c:pt idx="3">
                  <c:v>Mikrodarlehen / Sonstiges</c:v>
                </c:pt>
              </c:strCache>
            </c:strRef>
          </c:cat>
          <c:val>
            <c:numRef>
              <c:f>'Investition &amp; Finanzierung'!$C$30:$C$33</c:f>
              <c:numCache>
                <c:formatCode>#,##0" €"</c:formatCode>
                <c:ptCount val="4"/>
                <c:pt idx="0">
                  <c:v>80000</c:v>
                </c:pt>
                <c:pt idx="1">
                  <c:v>26000</c:v>
                </c:pt>
                <c:pt idx="2">
                  <c:v>120000</c:v>
                </c:pt>
                <c:pt idx="3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3B-42DC-9203-B188BCB00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Liquiditätsverlauf – Endbestand je Monat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Liquiditätsplanung!$B$27</c:f>
              <c:strCache>
                <c:ptCount val="1"/>
                <c:pt idx="0">
                  <c:v>Endbestand (kumuliert)</c:v>
                </c:pt>
              </c:strCache>
            </c:strRef>
          </c:tx>
          <c:spPr>
            <a:ln w="28080">
              <a:solidFill>
                <a:srgbClr val="1F7A8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Liquiditätsplanung!$C$10:$N$10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Liquiditätsplanung!$C$27:$N$27</c:f>
              <c:numCache>
                <c:formatCode>General</c:formatCode>
                <c:ptCount val="12"/>
                <c:pt idx="0">
                  <c:v>32081.368794326205</c:v>
                </c:pt>
                <c:pt idx="1">
                  <c:v>27856.35460992904</c:v>
                </c:pt>
                <c:pt idx="2">
                  <c:v>23631.340425531875</c:v>
                </c:pt>
                <c:pt idx="3">
                  <c:v>23099.943262411303</c:v>
                </c:pt>
                <c:pt idx="4">
                  <c:v>26262.163120567333</c:v>
                </c:pt>
                <c:pt idx="5">
                  <c:v>29424.382978723363</c:v>
                </c:pt>
                <c:pt idx="6">
                  <c:v>36280.219858155986</c:v>
                </c:pt>
                <c:pt idx="7">
                  <c:v>43136.056737588609</c:v>
                </c:pt>
                <c:pt idx="8">
                  <c:v>46298.276595744639</c:v>
                </c:pt>
                <c:pt idx="9">
                  <c:v>45766.879432624068</c:v>
                </c:pt>
                <c:pt idx="10">
                  <c:v>37848.248226950302</c:v>
                </c:pt>
                <c:pt idx="11">
                  <c:v>26235.999999999945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DD3-4AA0-B562-D45ABEC67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5725036"/>
        <c:axId val="79454687"/>
      </c:lineChart>
      <c:catAx>
        <c:axId val="357250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9454687"/>
        <c:crosses val="autoZero"/>
        <c:auto val="1"/>
        <c:lblAlgn val="ctr"/>
        <c:lblOffset val="100"/>
        <c:noMultiLvlLbl val="0"/>
      </c:catAx>
      <c:valAx>
        <c:axId val="7945468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572503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14</xdr:row>
      <xdr:rowOff>0</xdr:rowOff>
    </xdr:from>
    <xdr:to>
      <xdr:col>10</xdr:col>
      <xdr:colOff>28575</xdr:colOff>
      <xdr:row>28</xdr:row>
      <xdr:rowOff>132480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66674</xdr:colOff>
      <xdr:row>28</xdr:row>
      <xdr:rowOff>180975</xdr:rowOff>
    </xdr:from>
    <xdr:to>
      <xdr:col>10</xdr:col>
      <xdr:colOff>19049</xdr:colOff>
      <xdr:row>44</xdr:row>
      <xdr:rowOff>12795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78120</xdr:rowOff>
    </xdr:from>
    <xdr:to>
      <xdr:col>10</xdr:col>
      <xdr:colOff>36360</xdr:colOff>
      <xdr:row>25</xdr:row>
      <xdr:rowOff>148680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604440</xdr:colOff>
      <xdr:row>45</xdr:row>
      <xdr:rowOff>32760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  <pageSetUpPr fitToPage="1"/>
  </sheetPr>
  <dimension ref="A1:K52"/>
  <sheetViews>
    <sheetView showGridLines="0" tabSelected="1" zoomScaleNormal="100" workbookViewId="0">
      <selection activeCell="D44" sqref="D44"/>
    </sheetView>
  </sheetViews>
  <sheetFormatPr baseColWidth="10" defaultColWidth="8.7109375" defaultRowHeight="15" x14ac:dyDescent="0.25"/>
  <cols>
    <col min="1" max="1" width="19" customWidth="1"/>
    <col min="2" max="10" width="13" customWidth="1"/>
    <col min="11" max="11" width="3" customWidth="1"/>
  </cols>
  <sheetData>
    <row r="1" spans="1:11" ht="31.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6.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4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5" t="s">
        <v>2</v>
      </c>
      <c r="B4" s="11" t="s">
        <v>3</v>
      </c>
      <c r="C4" s="11"/>
      <c r="D4" s="11"/>
      <c r="F4" s="15" t="s">
        <v>4</v>
      </c>
      <c r="G4" s="10">
        <v>46023</v>
      </c>
      <c r="H4" s="10"/>
    </row>
    <row r="5" spans="1:11" x14ac:dyDescent="0.25">
      <c r="A5" s="16" t="s">
        <v>5</v>
      </c>
      <c r="B5" s="9" t="s">
        <v>6</v>
      </c>
      <c r="C5" s="9"/>
      <c r="D5" s="9"/>
      <c r="F5" s="16" t="s">
        <v>7</v>
      </c>
      <c r="G5" s="8">
        <v>46037</v>
      </c>
      <c r="H5" s="8"/>
    </row>
    <row r="6" spans="1:11" x14ac:dyDescent="0.25">
      <c r="A6" s="17" t="s">
        <v>8</v>
      </c>
      <c r="B6" s="7" t="s">
        <v>9</v>
      </c>
      <c r="C6" s="7"/>
      <c r="D6" s="7"/>
      <c r="F6" s="17" t="s">
        <v>10</v>
      </c>
      <c r="G6" s="6" t="s">
        <v>11</v>
      </c>
      <c r="H6" s="6"/>
    </row>
    <row r="8" spans="1:11" ht="27.75" customHeight="1" x14ac:dyDescent="0.25">
      <c r="A8" s="5">
        <f>'Investition &amp; Finanzierung'!$C$26</f>
        <v>246000</v>
      </c>
      <c r="B8" s="5"/>
      <c r="C8" s="4">
        <f>IFERROR('Investition &amp; Finanzierung'!$C$30/'Investition &amp; Finanzierung'!$C$34,0)</f>
        <v>0.32520325203252032</v>
      </c>
      <c r="D8" s="4"/>
      <c r="E8" s="3">
        <f>Rentabilitätsvorschau!$C$10</f>
        <v>560000</v>
      </c>
      <c r="F8" s="3"/>
      <c r="G8" s="3">
        <f>Rentabilitätsvorschau!$E$10</f>
        <v>759919.99999999988</v>
      </c>
      <c r="H8" s="3"/>
      <c r="I8" s="2">
        <f>Rentabilitätsvorschau!$C$27</f>
        <v>591003.7634408602</v>
      </c>
      <c r="J8" s="2"/>
    </row>
    <row r="9" spans="1:11" ht="15" customHeight="1" x14ac:dyDescent="0.25">
      <c r="A9" s="1" t="s">
        <v>12</v>
      </c>
      <c r="B9" s="1"/>
      <c r="C9" s="1" t="s">
        <v>13</v>
      </c>
      <c r="D9" s="1"/>
      <c r="E9" s="1" t="s">
        <v>14</v>
      </c>
      <c r="F9" s="1"/>
      <c r="G9" s="1" t="s">
        <v>15</v>
      </c>
      <c r="H9" s="1"/>
      <c r="I9" s="1" t="s">
        <v>16</v>
      </c>
      <c r="J9" s="1"/>
    </row>
    <row r="11" spans="1:11" ht="27.75" customHeight="1" x14ac:dyDescent="0.25">
      <c r="A11" s="134">
        <f>Rentabilitätsvorschau!$C$21</f>
        <v>-19222.333333333332</v>
      </c>
      <c r="B11" s="134"/>
      <c r="C11" s="134">
        <f>Rentabilitätsvorschau!$E$21</f>
        <v>40331.449946666558</v>
      </c>
      <c r="D11" s="134"/>
      <c r="E11" s="4">
        <f>IFERROR(Rentabilitätsvorschau!$C$15/Rentabilitätsvorschau!$C$10,0)</f>
        <v>2.1135714285714285E-2</v>
      </c>
      <c r="F11" s="4"/>
      <c r="G11" s="4">
        <f>IFERROR(Rentabilitätsvorschau!$E$21/Rentabilitätsvorschau!$E$10,0)</f>
        <v>5.3073283959714924E-2</v>
      </c>
      <c r="H11" s="4"/>
      <c r="I11" s="135">
        <f>Liquiditätsplanung!$N$27</f>
        <v>26235.999999999945</v>
      </c>
      <c r="J11" s="135"/>
    </row>
    <row r="12" spans="1:11" ht="15" customHeight="1" x14ac:dyDescent="0.25">
      <c r="A12" s="1" t="s">
        <v>17</v>
      </c>
      <c r="B12" s="1"/>
      <c r="C12" s="1" t="s">
        <v>18</v>
      </c>
      <c r="D12" s="1"/>
      <c r="E12" s="1" t="s">
        <v>19</v>
      </c>
      <c r="F12" s="1"/>
      <c r="G12" s="1" t="s">
        <v>20</v>
      </c>
      <c r="H12" s="1"/>
      <c r="I12" s="1" t="s">
        <v>21</v>
      </c>
      <c r="J12" s="1"/>
    </row>
    <row r="15" spans="1:11" ht="21" customHeight="1" x14ac:dyDescent="0.25">
      <c r="A15" s="136" t="s">
        <v>22</v>
      </c>
      <c r="B15" s="136"/>
      <c r="C15" s="136"/>
      <c r="D15" s="136"/>
    </row>
    <row r="16" spans="1:11" x14ac:dyDescent="0.25">
      <c r="A16" s="18" t="s">
        <v>23</v>
      </c>
      <c r="B16" s="19" t="s">
        <v>24</v>
      </c>
      <c r="C16" s="19" t="s">
        <v>25</v>
      </c>
      <c r="D16" s="20" t="s">
        <v>26</v>
      </c>
    </row>
    <row r="17" spans="1:4" x14ac:dyDescent="0.25">
      <c r="A17" s="21" t="s">
        <v>27</v>
      </c>
      <c r="B17" s="22">
        <f>Rentabilitätsvorschau!$C$10</f>
        <v>560000</v>
      </c>
      <c r="C17" s="22">
        <f>Rentabilitätsvorschau!$D$10</f>
        <v>660800</v>
      </c>
      <c r="D17" s="23">
        <f>Rentabilitätsvorschau!$E$10</f>
        <v>759919.99999999988</v>
      </c>
    </row>
    <row r="18" spans="1:4" x14ac:dyDescent="0.25">
      <c r="A18" s="24" t="s">
        <v>28</v>
      </c>
      <c r="B18" s="25">
        <f>Rentabilitätsvorschau!$C$12</f>
        <v>347200</v>
      </c>
      <c r="C18" s="25">
        <f>Rentabilitätsvorschau!$D$12</f>
        <v>409696</v>
      </c>
      <c r="D18" s="26">
        <f>Rentabilitätsvorschau!$E$12</f>
        <v>471150.39999999991</v>
      </c>
    </row>
    <row r="19" spans="1:4" x14ac:dyDescent="0.25">
      <c r="A19" s="21" t="s">
        <v>29</v>
      </c>
      <c r="B19" s="22">
        <f>Rentabilitätsvorschau!$C$15</f>
        <v>11836</v>
      </c>
      <c r="C19" s="22">
        <f>Rentabilitätsvorschau!$D$15</f>
        <v>50724.879999999976</v>
      </c>
      <c r="D19" s="23">
        <f>Rentabilitätsvorschau!$E$15</f>
        <v>86844.690399999847</v>
      </c>
    </row>
    <row r="20" spans="1:4" x14ac:dyDescent="0.25">
      <c r="A20" s="24" t="s">
        <v>30</v>
      </c>
      <c r="B20" s="27">
        <f>Rentabilitätsvorschau!$C$21</f>
        <v>-19222.333333333332</v>
      </c>
      <c r="C20" s="27">
        <f>Rentabilitätsvorschau!$D$21</f>
        <v>14407.082666666651</v>
      </c>
      <c r="D20" s="28">
        <f>Rentabilitätsvorschau!$E$21</f>
        <v>40331.449946666558</v>
      </c>
    </row>
    <row r="21" spans="1:4" x14ac:dyDescent="0.25">
      <c r="A21" s="29" t="s">
        <v>31</v>
      </c>
      <c r="B21" s="30">
        <f>IFERROR(Rentabilitätsvorschau!$C$21/Rentabilitätsvorschau!$C$10,0)</f>
        <v>-3.4325595238095238E-2</v>
      </c>
      <c r="C21" s="30">
        <f>IFERROR(Rentabilitätsvorschau!$D$21/Rentabilitätsvorschau!$D$10,0)</f>
        <v>2.1802485875706192E-2</v>
      </c>
      <c r="D21" s="31">
        <f>IFERROR(Rentabilitätsvorschau!$E$21/Rentabilitätsvorschau!$E$10,0)</f>
        <v>5.3073283959714924E-2</v>
      </c>
    </row>
    <row r="23" spans="1:4" ht="21" customHeight="1" x14ac:dyDescent="0.25">
      <c r="A23" s="136" t="s">
        <v>32</v>
      </c>
      <c r="B23" s="136"/>
      <c r="C23" s="136"/>
      <c r="D23" s="136"/>
    </row>
    <row r="24" spans="1:4" x14ac:dyDescent="0.25">
      <c r="A24" s="18" t="s">
        <v>33</v>
      </c>
      <c r="B24" s="19" t="s">
        <v>34</v>
      </c>
      <c r="C24" s="137" t="s">
        <v>35</v>
      </c>
      <c r="D24" s="137"/>
    </row>
    <row r="25" spans="1:4" x14ac:dyDescent="0.25">
      <c r="A25" s="21" t="s">
        <v>36</v>
      </c>
      <c r="B25" s="32">
        <f>Rentabilitätsvorschau!$C$11</f>
        <v>212800</v>
      </c>
      <c r="C25" s="138">
        <f t="shared" ref="C25:C30" si="0">IFERROR(B25/$B$30,0)</f>
        <v>0.367389148783973</v>
      </c>
      <c r="D25" s="138"/>
    </row>
    <row r="26" spans="1:4" x14ac:dyDescent="0.25">
      <c r="A26" s="24" t="s">
        <v>37</v>
      </c>
      <c r="B26" s="34">
        <f>Rentabilitätsvorschau!$C$13</f>
        <v>227964</v>
      </c>
      <c r="C26" s="139">
        <f t="shared" si="0"/>
        <v>0.39356907854036471</v>
      </c>
      <c r="D26" s="139"/>
    </row>
    <row r="27" spans="1:4" x14ac:dyDescent="0.25">
      <c r="A27" s="21" t="s">
        <v>38</v>
      </c>
      <c r="B27" s="32">
        <f>Rentabilitätsvorschau!$C$14</f>
        <v>107400</v>
      </c>
      <c r="C27" s="138">
        <f t="shared" si="0"/>
        <v>0.18542102715882847</v>
      </c>
      <c r="D27" s="138"/>
    </row>
    <row r="28" spans="1:4" x14ac:dyDescent="0.25">
      <c r="A28" s="24" t="s">
        <v>39</v>
      </c>
      <c r="B28" s="34">
        <f>Rentabilitätsvorschau!$C$16</f>
        <v>24458.333333333332</v>
      </c>
      <c r="C28" s="139">
        <f t="shared" si="0"/>
        <v>4.2226157255676716E-2</v>
      </c>
      <c r="D28" s="139"/>
    </row>
    <row r="29" spans="1:4" x14ac:dyDescent="0.25">
      <c r="A29" s="21" t="s">
        <v>40</v>
      </c>
      <c r="B29" s="32">
        <f>Rentabilitätsvorschau!$C$18</f>
        <v>6600</v>
      </c>
      <c r="C29" s="138">
        <f t="shared" si="0"/>
        <v>1.1394588261157057E-2</v>
      </c>
      <c r="D29" s="138"/>
    </row>
    <row r="30" spans="1:4" x14ac:dyDescent="0.25">
      <c r="A30" s="36" t="s">
        <v>41</v>
      </c>
      <c r="B30" s="37">
        <f>SUM(B25:B29)</f>
        <v>579222.33333333337</v>
      </c>
      <c r="C30" s="140">
        <f t="shared" si="0"/>
        <v>1</v>
      </c>
      <c r="D30" s="140"/>
    </row>
    <row r="50" spans="1:11" ht="15" customHeight="1" x14ac:dyDescent="0.25">
      <c r="A50" s="141" t="s">
        <v>42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</row>
    <row r="51" spans="1:11" x14ac:dyDescent="0.25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</row>
    <row r="52" spans="1:11" x14ac:dyDescent="0.25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</row>
  </sheetData>
  <mergeCells count="39">
    <mergeCell ref="C27:D27"/>
    <mergeCell ref="C28:D28"/>
    <mergeCell ref="C29:D29"/>
    <mergeCell ref="C30:D30"/>
    <mergeCell ref="A50:K52"/>
    <mergeCell ref="A15:D15"/>
    <mergeCell ref="A23:D23"/>
    <mergeCell ref="C24:D24"/>
    <mergeCell ref="C25:D25"/>
    <mergeCell ref="C26:D26"/>
    <mergeCell ref="A12:B12"/>
    <mergeCell ref="C12:D12"/>
    <mergeCell ref="E12:F12"/>
    <mergeCell ref="G12:H12"/>
    <mergeCell ref="I12:J12"/>
    <mergeCell ref="A11:B11"/>
    <mergeCell ref="C11:D11"/>
    <mergeCell ref="E11:F11"/>
    <mergeCell ref="G11:H11"/>
    <mergeCell ref="I11:J11"/>
    <mergeCell ref="I8:J8"/>
    <mergeCell ref="A9:B9"/>
    <mergeCell ref="C9:D9"/>
    <mergeCell ref="E9:F9"/>
    <mergeCell ref="G9:H9"/>
    <mergeCell ref="I9:J9"/>
    <mergeCell ref="B5:D5"/>
    <mergeCell ref="G5:H5"/>
    <mergeCell ref="B6:D6"/>
    <mergeCell ref="G6:H6"/>
    <mergeCell ref="A8:B8"/>
    <mergeCell ref="C8:D8"/>
    <mergeCell ref="E8:F8"/>
    <mergeCell ref="G8:H8"/>
    <mergeCell ref="A1:K1"/>
    <mergeCell ref="A2:K2"/>
    <mergeCell ref="A3:K3"/>
    <mergeCell ref="B4:D4"/>
    <mergeCell ref="G4:H4"/>
  </mergeCells>
  <conditionalFormatting sqref="A11">
    <cfRule type="cellIs" dxfId="19" priority="2" operator="greaterThan">
      <formula>0</formula>
    </cfRule>
    <cfRule type="cellIs" dxfId="18" priority="3" operator="lessThan">
      <formula>0</formula>
    </cfRule>
  </conditionalFormatting>
  <conditionalFormatting sqref="B20:D20">
    <cfRule type="cellIs" dxfId="17" priority="8" operator="greaterThan">
      <formula>0</formula>
    </cfRule>
    <cfRule type="cellIs" dxfId="16" priority="9" operator="lessThan">
      <formula>0</formula>
    </cfRule>
  </conditionalFormatting>
  <conditionalFormatting sqref="C11">
    <cfRule type="cellIs" dxfId="15" priority="4" operator="greaterThan">
      <formula>0</formula>
    </cfRule>
    <cfRule type="cellIs" dxfId="14" priority="5" operator="lessThan">
      <formula>0</formula>
    </cfRule>
  </conditionalFormatting>
  <conditionalFormatting sqref="I11">
    <cfRule type="cellIs" dxfId="13" priority="6" operator="greaterThan">
      <formula>0</formula>
    </cfRule>
    <cfRule type="cellIs" dxfId="12" priority="7" operator="lessThan">
      <formula>0</formula>
    </cfRule>
  </conditionalFormatting>
  <pageMargins left="0.75" right="0.75" top="1" bottom="1" header="0.511811023622047" footer="0.511811023622047"/>
  <pageSetup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7A8C"/>
    <pageSetUpPr fitToPage="1"/>
  </sheetPr>
  <dimension ref="A1:J45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40" customWidth="1"/>
    <col min="3" max="3" width="16" customWidth="1"/>
    <col min="4" max="4" width="18" customWidth="1"/>
    <col min="5" max="5" width="17" customWidth="1"/>
    <col min="6" max="9" width="15" customWidth="1"/>
    <col min="10" max="10" width="3" customWidth="1"/>
  </cols>
  <sheetData>
    <row r="1" spans="1:10" ht="31.5" customHeight="1" x14ac:dyDescent="0.25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6.5" customHeight="1" x14ac:dyDescent="0.25">
      <c r="A2" s="13" t="s">
        <v>44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4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5" spans="1:10" ht="21" customHeight="1" x14ac:dyDescent="0.25">
      <c r="B5" s="136" t="s">
        <v>45</v>
      </c>
      <c r="C5" s="136"/>
      <c r="D5" s="136"/>
      <c r="E5" s="136"/>
    </row>
    <row r="6" spans="1:10" ht="25.5" x14ac:dyDescent="0.25">
      <c r="B6" s="38" t="s">
        <v>46</v>
      </c>
      <c r="C6" s="39" t="s">
        <v>34</v>
      </c>
      <c r="D6" s="39" t="s">
        <v>47</v>
      </c>
      <c r="E6" s="40" t="s">
        <v>48</v>
      </c>
    </row>
    <row r="7" spans="1:10" x14ac:dyDescent="0.25">
      <c r="B7" s="41" t="s">
        <v>49</v>
      </c>
      <c r="C7" s="42">
        <v>45000</v>
      </c>
      <c r="D7" s="43">
        <v>8</v>
      </c>
      <c r="E7" s="44">
        <f>IFERROR(C7/D7,0)</f>
        <v>5625</v>
      </c>
    </row>
    <row r="8" spans="1:10" x14ac:dyDescent="0.25">
      <c r="B8" s="45" t="s">
        <v>50</v>
      </c>
      <c r="C8" s="42">
        <v>60000</v>
      </c>
      <c r="D8" s="43">
        <v>10</v>
      </c>
      <c r="E8" s="46">
        <f>IFERROR(C8/D8,0)</f>
        <v>6000</v>
      </c>
    </row>
    <row r="9" spans="1:10" x14ac:dyDescent="0.25">
      <c r="B9" s="41" t="s">
        <v>51</v>
      </c>
      <c r="C9" s="42">
        <v>32000</v>
      </c>
      <c r="D9" s="43">
        <v>6</v>
      </c>
      <c r="E9" s="44">
        <f>IFERROR(C9/D9,0)</f>
        <v>5333.333333333333</v>
      </c>
    </row>
    <row r="10" spans="1:10" x14ac:dyDescent="0.25">
      <c r="B10" s="45" t="s">
        <v>52</v>
      </c>
      <c r="C10" s="42">
        <v>15000</v>
      </c>
      <c r="D10" s="43">
        <v>3</v>
      </c>
      <c r="E10" s="46">
        <f>IFERROR(C10/D10,0)</f>
        <v>5000</v>
      </c>
    </row>
    <row r="11" spans="1:10" x14ac:dyDescent="0.25">
      <c r="B11" s="41" t="s">
        <v>53</v>
      </c>
      <c r="C11" s="42">
        <v>25000</v>
      </c>
      <c r="D11" s="43">
        <v>10</v>
      </c>
      <c r="E11" s="44">
        <f>IFERROR(C11/D11,0)</f>
        <v>2500</v>
      </c>
    </row>
    <row r="12" spans="1:10" x14ac:dyDescent="0.25">
      <c r="B12" s="47" t="s">
        <v>54</v>
      </c>
      <c r="C12" s="37">
        <f>SUM(C7:C11)</f>
        <v>177000</v>
      </c>
      <c r="D12" s="48"/>
      <c r="E12" s="49">
        <f>SUM(E7:E11)</f>
        <v>24458.333333333332</v>
      </c>
    </row>
    <row r="14" spans="1:10" ht="21" customHeight="1" x14ac:dyDescent="0.25">
      <c r="B14" s="136" t="s">
        <v>55</v>
      </c>
      <c r="C14" s="136"/>
      <c r="D14" s="136"/>
      <c r="E14" s="136"/>
    </row>
    <row r="15" spans="1:10" x14ac:dyDescent="0.25">
      <c r="B15" s="38" t="s">
        <v>23</v>
      </c>
      <c r="C15" s="19" t="s">
        <v>34</v>
      </c>
      <c r="D15" s="50"/>
      <c r="E15" s="51"/>
    </row>
    <row r="16" spans="1:10" x14ac:dyDescent="0.25">
      <c r="B16" s="41" t="s">
        <v>56</v>
      </c>
      <c r="C16" s="42">
        <v>2500</v>
      </c>
      <c r="D16" s="52"/>
      <c r="E16" s="53"/>
    </row>
    <row r="17" spans="2:5" x14ac:dyDescent="0.25">
      <c r="B17" s="45" t="s">
        <v>57</v>
      </c>
      <c r="C17" s="42">
        <v>4000</v>
      </c>
      <c r="D17" s="54"/>
      <c r="E17" s="55"/>
    </row>
    <row r="18" spans="2:5" x14ac:dyDescent="0.25">
      <c r="B18" s="41" t="s">
        <v>58</v>
      </c>
      <c r="C18" s="42">
        <v>12000</v>
      </c>
      <c r="D18" s="52"/>
      <c r="E18" s="53"/>
    </row>
    <row r="19" spans="2:5" x14ac:dyDescent="0.25">
      <c r="B19" s="45" t="s">
        <v>59</v>
      </c>
      <c r="C19" s="42">
        <v>9000</v>
      </c>
      <c r="D19" s="54"/>
      <c r="E19" s="55"/>
    </row>
    <row r="20" spans="2:5" x14ac:dyDescent="0.25">
      <c r="B20" s="41" t="s">
        <v>60</v>
      </c>
      <c r="C20" s="42">
        <v>1500</v>
      </c>
      <c r="D20" s="52"/>
      <c r="E20" s="53"/>
    </row>
    <row r="21" spans="2:5" x14ac:dyDescent="0.25">
      <c r="B21" s="47" t="s">
        <v>61</v>
      </c>
      <c r="C21" s="37">
        <f>SUM(C16:C20)</f>
        <v>29000</v>
      </c>
      <c r="D21" s="48"/>
      <c r="E21" s="56"/>
    </row>
    <row r="23" spans="2:5" ht="21" customHeight="1" x14ac:dyDescent="0.25">
      <c r="B23" s="136" t="s">
        <v>62</v>
      </c>
      <c r="C23" s="136"/>
      <c r="D23" s="136"/>
      <c r="E23" s="136"/>
    </row>
    <row r="24" spans="2:5" x14ac:dyDescent="0.25">
      <c r="B24" s="57" t="s">
        <v>63</v>
      </c>
      <c r="C24" s="58">
        <v>40000</v>
      </c>
      <c r="D24" s="59"/>
      <c r="E24" s="60"/>
    </row>
    <row r="26" spans="2:5" x14ac:dyDescent="0.25">
      <c r="B26" s="61" t="s">
        <v>64</v>
      </c>
      <c r="C26" s="62">
        <f>C12+C21+C24</f>
        <v>246000</v>
      </c>
      <c r="D26" s="63"/>
      <c r="E26" s="64"/>
    </row>
    <row r="28" spans="2:5" ht="21" customHeight="1" x14ac:dyDescent="0.25">
      <c r="B28" s="136" t="s">
        <v>65</v>
      </c>
      <c r="C28" s="136"/>
      <c r="D28" s="136"/>
      <c r="E28" s="136"/>
    </row>
    <row r="29" spans="2:5" x14ac:dyDescent="0.25">
      <c r="B29" s="38" t="s">
        <v>66</v>
      </c>
      <c r="C29" s="19" t="s">
        <v>34</v>
      </c>
      <c r="D29" s="19" t="s">
        <v>35</v>
      </c>
      <c r="E29" s="51"/>
    </row>
    <row r="30" spans="2:5" x14ac:dyDescent="0.25">
      <c r="B30" s="41" t="s">
        <v>67</v>
      </c>
      <c r="C30" s="42">
        <v>80000</v>
      </c>
      <c r="D30" s="65">
        <f>IFERROR(C30/$C$34,0)</f>
        <v>0.32520325203252032</v>
      </c>
      <c r="E30" s="53"/>
    </row>
    <row r="31" spans="2:5" x14ac:dyDescent="0.25">
      <c r="B31" s="45" t="s">
        <v>68</v>
      </c>
      <c r="C31" s="42">
        <v>26000</v>
      </c>
      <c r="D31" s="66">
        <f>IFERROR(C31/$C$34,0)</f>
        <v>0.10569105691056911</v>
      </c>
      <c r="E31" s="55"/>
    </row>
    <row r="32" spans="2:5" x14ac:dyDescent="0.25">
      <c r="B32" s="41" t="s">
        <v>69</v>
      </c>
      <c r="C32" s="42">
        <v>120000</v>
      </c>
      <c r="D32" s="65">
        <f>IFERROR(C32/$C$34,0)</f>
        <v>0.48780487804878048</v>
      </c>
      <c r="E32" s="53"/>
    </row>
    <row r="33" spans="2:9" x14ac:dyDescent="0.25">
      <c r="B33" s="45" t="s">
        <v>70</v>
      </c>
      <c r="C33" s="42">
        <v>20000</v>
      </c>
      <c r="D33" s="66">
        <f>IFERROR(C33/$C$34,0)</f>
        <v>8.1300813008130079E-2</v>
      </c>
      <c r="E33" s="55"/>
    </row>
    <row r="34" spans="2:9" x14ac:dyDescent="0.25">
      <c r="B34" s="47" t="s">
        <v>71</v>
      </c>
      <c r="C34" s="37">
        <f>SUM(C30:C33)</f>
        <v>246000</v>
      </c>
      <c r="D34" s="67">
        <f>IFERROR(C34/$C$34,0)</f>
        <v>1</v>
      </c>
      <c r="E34" s="56"/>
    </row>
    <row r="36" spans="2:9" x14ac:dyDescent="0.25">
      <c r="B36" s="68" t="s">
        <v>72</v>
      </c>
      <c r="C36" s="69">
        <f>C34-C26</f>
        <v>0</v>
      </c>
      <c r="D36" s="142" t="str">
        <f>IF(C36=0,"Ausgeglichen – Finanzierung deckt den Kapitalbedarf",IF(C36&gt;0,"Überdeckung (zusätzliche Reserve)","Unterdeckung – bitte anpassen"))</f>
        <v>Ausgeglichen – Finanzierung deckt den Kapitalbedarf</v>
      </c>
      <c r="E36" s="142"/>
    </row>
    <row r="38" spans="2:9" ht="21" customHeight="1" x14ac:dyDescent="0.25">
      <c r="B38" s="136" t="s">
        <v>73</v>
      </c>
      <c r="C38" s="136"/>
      <c r="D38" s="136"/>
      <c r="E38" s="136"/>
      <c r="F38" s="136"/>
      <c r="G38" s="136"/>
      <c r="H38" s="136"/>
      <c r="I38" s="136"/>
    </row>
    <row r="39" spans="2:9" x14ac:dyDescent="0.25">
      <c r="B39" s="70" t="s">
        <v>74</v>
      </c>
      <c r="C39" s="71" t="s">
        <v>34</v>
      </c>
      <c r="D39" s="71" t="s">
        <v>75</v>
      </c>
      <c r="E39" s="71" t="s">
        <v>76</v>
      </c>
      <c r="F39" s="71" t="s">
        <v>77</v>
      </c>
      <c r="G39" s="71" t="s">
        <v>78</v>
      </c>
      <c r="H39" s="71" t="s">
        <v>79</v>
      </c>
      <c r="I39" s="72" t="s">
        <v>80</v>
      </c>
    </row>
    <row r="40" spans="2:9" x14ac:dyDescent="0.25">
      <c r="B40" s="41" t="s">
        <v>69</v>
      </c>
      <c r="C40" s="32">
        <f>C32</f>
        <v>120000</v>
      </c>
      <c r="D40" s="73">
        <v>4.4999999999999998E-2</v>
      </c>
      <c r="E40" s="43">
        <v>8</v>
      </c>
      <c r="F40" s="74">
        <f>IFERROR(C40/E40,0)</f>
        <v>15000</v>
      </c>
      <c r="G40" s="74">
        <f>C40*D40</f>
        <v>5400</v>
      </c>
      <c r="H40" s="74">
        <f>MAX(C40-F40,0)*D40</f>
        <v>4725</v>
      </c>
      <c r="I40" s="44">
        <f>MAX(C40-2*F40,0)*D40</f>
        <v>4050</v>
      </c>
    </row>
    <row r="41" spans="2:9" x14ac:dyDescent="0.25">
      <c r="B41" s="45" t="s">
        <v>81</v>
      </c>
      <c r="C41" s="34">
        <f>C33</f>
        <v>20000</v>
      </c>
      <c r="D41" s="73">
        <v>0.06</v>
      </c>
      <c r="E41" s="43">
        <v>5</v>
      </c>
      <c r="F41" s="75">
        <f>IFERROR(C41/E41,0)</f>
        <v>4000</v>
      </c>
      <c r="G41" s="75">
        <f>C41*D41</f>
        <v>1200</v>
      </c>
      <c r="H41" s="75">
        <f>MAX(C41-F41,0)*D41</f>
        <v>960</v>
      </c>
      <c r="I41" s="46">
        <f>MAX(C41-2*F41,0)*D41</f>
        <v>720</v>
      </c>
    </row>
    <row r="42" spans="2:9" x14ac:dyDescent="0.25">
      <c r="B42" s="47" t="s">
        <v>82</v>
      </c>
      <c r="C42" s="48"/>
      <c r="D42" s="48"/>
      <c r="E42" s="48"/>
      <c r="F42" s="37">
        <f>SUM(F40:F41)</f>
        <v>19000</v>
      </c>
      <c r="G42" s="37">
        <f>SUM(G40:G41)</f>
        <v>6600</v>
      </c>
      <c r="H42" s="37">
        <f>SUM(H40:H41)</f>
        <v>5685</v>
      </c>
      <c r="I42" s="49">
        <f>SUM(I40:I41)</f>
        <v>4770</v>
      </c>
    </row>
    <row r="44" spans="2:9" ht="15" customHeight="1" x14ac:dyDescent="0.25">
      <c r="B44" s="143" t="s">
        <v>83</v>
      </c>
      <c r="C44" s="143"/>
      <c r="D44" s="143"/>
      <c r="E44" s="143"/>
      <c r="F44" s="143"/>
      <c r="G44" s="143"/>
      <c r="H44" s="143"/>
      <c r="I44" s="143"/>
    </row>
    <row r="45" spans="2:9" x14ac:dyDescent="0.25">
      <c r="B45" s="143"/>
      <c r="C45" s="143"/>
      <c r="D45" s="143"/>
      <c r="E45" s="143"/>
      <c r="F45" s="143"/>
      <c r="G45" s="143"/>
      <c r="H45" s="143"/>
      <c r="I45" s="143"/>
    </row>
  </sheetData>
  <mergeCells count="10">
    <mergeCell ref="B23:E23"/>
    <mergeCell ref="B28:E28"/>
    <mergeCell ref="D36:E36"/>
    <mergeCell ref="B38:I38"/>
    <mergeCell ref="B44:I45"/>
    <mergeCell ref="A1:J1"/>
    <mergeCell ref="A2:J2"/>
    <mergeCell ref="A3:J3"/>
    <mergeCell ref="B5:E5"/>
    <mergeCell ref="B14:E14"/>
  </mergeCells>
  <conditionalFormatting sqref="C36">
    <cfRule type="cellIs" dxfId="11" priority="2" operator="equal">
      <formula>0</formula>
    </cfRule>
    <cfRule type="cellIs" dxfId="10" priority="3" operator="greaterThan">
      <formula>0</formula>
    </cfRule>
    <cfRule type="cellIs" dxfId="9" priority="4" operator="lessThan">
      <formula>0</formula>
    </cfRule>
  </conditionalFormatting>
  <pageMargins left="0.75" right="0.75" top="1" bottom="1" header="0.511811023622047" footer="0.511811023622047"/>
  <pageSetup fitToHeight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F5D86"/>
    <pageSetUpPr fitToPage="1"/>
  </sheetPr>
  <dimension ref="A1:H19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42" customWidth="1"/>
    <col min="3" max="5" width="17" customWidth="1"/>
    <col min="6" max="6" width="13" customWidth="1"/>
    <col min="7" max="8" width="15" customWidth="1"/>
  </cols>
  <sheetData>
    <row r="1" spans="1:8" ht="31.5" customHeight="1" x14ac:dyDescent="0.25">
      <c r="A1" s="14" t="s">
        <v>84</v>
      </c>
      <c r="B1" s="14"/>
      <c r="C1" s="14"/>
      <c r="D1" s="14"/>
      <c r="E1" s="14"/>
      <c r="F1" s="14"/>
      <c r="G1" s="14"/>
      <c r="H1" s="14"/>
    </row>
    <row r="2" spans="1:8" ht="16.5" customHeight="1" x14ac:dyDescent="0.25">
      <c r="A2" s="13" t="s">
        <v>85</v>
      </c>
      <c r="B2" s="13"/>
      <c r="C2" s="13"/>
      <c r="D2" s="13"/>
      <c r="E2" s="13"/>
      <c r="F2" s="13"/>
      <c r="G2" s="13"/>
      <c r="H2" s="13"/>
    </row>
    <row r="3" spans="1:8" ht="4.5" customHeight="1" x14ac:dyDescent="0.25">
      <c r="A3" s="12"/>
      <c r="B3" s="12"/>
      <c r="C3" s="12"/>
      <c r="D3" s="12"/>
      <c r="E3" s="12"/>
      <c r="F3" s="12"/>
      <c r="G3" s="12"/>
      <c r="H3" s="12"/>
    </row>
    <row r="5" spans="1:8" ht="21" customHeight="1" x14ac:dyDescent="0.25">
      <c r="B5" s="136" t="s">
        <v>86</v>
      </c>
      <c r="C5" s="136"/>
      <c r="D5" s="136"/>
      <c r="E5" s="136"/>
    </row>
    <row r="6" spans="1:8" x14ac:dyDescent="0.25">
      <c r="B6" s="76" t="s">
        <v>87</v>
      </c>
      <c r="C6" s="77">
        <v>0.18</v>
      </c>
    </row>
    <row r="7" spans="1:8" x14ac:dyDescent="0.25">
      <c r="B7" s="78" t="s">
        <v>88</v>
      </c>
      <c r="C7" s="79">
        <v>0.15</v>
      </c>
    </row>
    <row r="9" spans="1:8" ht="21" customHeight="1" x14ac:dyDescent="0.25">
      <c r="B9" s="136" t="s">
        <v>89</v>
      </c>
      <c r="C9" s="136"/>
      <c r="D9" s="136"/>
      <c r="E9" s="136"/>
      <c r="F9" s="136"/>
    </row>
    <row r="10" spans="1:8" x14ac:dyDescent="0.25">
      <c r="B10" s="38" t="s">
        <v>90</v>
      </c>
      <c r="C10" s="39" t="s">
        <v>91</v>
      </c>
      <c r="D10" s="39" t="s">
        <v>92</v>
      </c>
      <c r="E10" s="39" t="s">
        <v>93</v>
      </c>
      <c r="F10" s="40" t="s">
        <v>94</v>
      </c>
    </row>
    <row r="11" spans="1:8" x14ac:dyDescent="0.25">
      <c r="B11" s="41" t="s">
        <v>95</v>
      </c>
      <c r="C11" s="42">
        <v>320000</v>
      </c>
      <c r="D11" s="74">
        <f>C11*(1+$C$6)</f>
        <v>377600</v>
      </c>
      <c r="E11" s="74">
        <f>D11*(1+$C$7)</f>
        <v>434239.99999999994</v>
      </c>
      <c r="F11" s="33">
        <f>IFERROR(C11/$C$15,0)</f>
        <v>0.5714285714285714</v>
      </c>
    </row>
    <row r="12" spans="1:8" x14ac:dyDescent="0.25">
      <c r="B12" s="45" t="s">
        <v>96</v>
      </c>
      <c r="C12" s="42">
        <v>165000</v>
      </c>
      <c r="D12" s="75">
        <f>C12*(1+$C$6)</f>
        <v>194700</v>
      </c>
      <c r="E12" s="75">
        <f>D12*(1+$C$7)</f>
        <v>223904.99999999997</v>
      </c>
      <c r="F12" s="35">
        <f>IFERROR(C12/$C$15,0)</f>
        <v>0.29464285714285715</v>
      </c>
    </row>
    <row r="13" spans="1:8" x14ac:dyDescent="0.25">
      <c r="B13" s="41" t="s">
        <v>97</v>
      </c>
      <c r="C13" s="42">
        <v>55000</v>
      </c>
      <c r="D13" s="74">
        <f>C13*(1+$C$6)</f>
        <v>64900</v>
      </c>
      <c r="E13" s="74">
        <f>D13*(1+$C$7)</f>
        <v>74635</v>
      </c>
      <c r="F13" s="33">
        <f>IFERROR(C13/$C$15,0)</f>
        <v>9.8214285714285712E-2</v>
      </c>
    </row>
    <row r="14" spans="1:8" x14ac:dyDescent="0.25">
      <c r="B14" s="45" t="s">
        <v>98</v>
      </c>
      <c r="C14" s="42">
        <v>20000</v>
      </c>
      <c r="D14" s="75">
        <f>C14*(1+$C$6)</f>
        <v>23600</v>
      </c>
      <c r="E14" s="75">
        <f>D14*(1+$C$7)</f>
        <v>27139.999999999996</v>
      </c>
      <c r="F14" s="35">
        <f>IFERROR(C14/$C$15,0)</f>
        <v>3.5714285714285712E-2</v>
      </c>
    </row>
    <row r="15" spans="1:8" x14ac:dyDescent="0.25">
      <c r="B15" s="80" t="s">
        <v>99</v>
      </c>
      <c r="C15" s="81">
        <f>SUM(C11:C14)</f>
        <v>560000</v>
      </c>
      <c r="D15" s="81">
        <f>SUM(D11:D14)</f>
        <v>660800</v>
      </c>
      <c r="E15" s="81">
        <f>SUM(E11:E14)</f>
        <v>759919.99999999988</v>
      </c>
      <c r="F15" s="82">
        <f>IFERROR(C15/$C$15,0)</f>
        <v>1</v>
      </c>
    </row>
    <row r="16" spans="1:8" x14ac:dyDescent="0.25">
      <c r="B16" s="83" t="s">
        <v>100</v>
      </c>
      <c r="C16" s="84" t="s">
        <v>101</v>
      </c>
      <c r="D16" s="85">
        <f>IFERROR(D15/C15-1,0)</f>
        <v>0.17999999999999994</v>
      </c>
      <c r="E16" s="85">
        <f>IFERROR(E15/D15-1,0)</f>
        <v>0.14999999999999991</v>
      </c>
      <c r="F16" s="86"/>
    </row>
    <row r="18" spans="2:6" ht="15" customHeight="1" x14ac:dyDescent="0.25">
      <c r="B18" s="143" t="s">
        <v>102</v>
      </c>
      <c r="C18" s="143"/>
      <c r="D18" s="143"/>
      <c r="E18" s="143"/>
      <c r="F18" s="143"/>
    </row>
    <row r="19" spans="2:6" x14ac:dyDescent="0.25">
      <c r="B19" s="143"/>
      <c r="C19" s="143"/>
      <c r="D19" s="143"/>
      <c r="E19" s="143"/>
      <c r="F19" s="143"/>
    </row>
  </sheetData>
  <mergeCells count="6">
    <mergeCell ref="B18:F19"/>
    <mergeCell ref="A1:H1"/>
    <mergeCell ref="A2:H2"/>
    <mergeCell ref="A3:H3"/>
    <mergeCell ref="B5:E5"/>
    <mergeCell ref="B9:F9"/>
  </mergeCells>
  <pageMargins left="0.75" right="0.75" top="1" bottom="1" header="0.511811023622047" footer="0.511811023622047"/>
  <pageSetup fitToHeight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98E3A"/>
    <pageSetUpPr fitToPage="1"/>
  </sheetPr>
  <dimension ref="A1:F41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40" customWidth="1"/>
    <col min="3" max="5" width="17" customWidth="1"/>
    <col min="6" max="6" width="3" customWidth="1"/>
  </cols>
  <sheetData>
    <row r="1" spans="1:6" ht="31.5" customHeight="1" x14ac:dyDescent="0.25">
      <c r="A1" s="14" t="s">
        <v>103</v>
      </c>
      <c r="B1" s="14"/>
      <c r="C1" s="14"/>
      <c r="D1" s="14"/>
      <c r="E1" s="14"/>
      <c r="F1" s="14"/>
    </row>
    <row r="2" spans="1:6" ht="16.5" customHeight="1" x14ac:dyDescent="0.25">
      <c r="A2" s="13" t="s">
        <v>104</v>
      </c>
      <c r="B2" s="13"/>
      <c r="C2" s="13"/>
      <c r="D2" s="13"/>
      <c r="E2" s="13"/>
      <c r="F2" s="13"/>
    </row>
    <row r="3" spans="1:6" ht="4.5" customHeight="1" x14ac:dyDescent="0.25">
      <c r="A3" s="12"/>
      <c r="B3" s="12"/>
      <c r="C3" s="12"/>
      <c r="D3" s="12"/>
      <c r="E3" s="12"/>
      <c r="F3" s="12"/>
    </row>
    <row r="5" spans="1:6" ht="21" customHeight="1" x14ac:dyDescent="0.25">
      <c r="B5" s="136" t="s">
        <v>105</v>
      </c>
      <c r="C5" s="136"/>
      <c r="D5" s="136"/>
      <c r="E5" s="136"/>
    </row>
    <row r="6" spans="1:6" x14ac:dyDescent="0.25">
      <c r="B6" s="76" t="s">
        <v>106</v>
      </c>
      <c r="C6" s="77">
        <v>0.38</v>
      </c>
    </row>
    <row r="7" spans="1:6" x14ac:dyDescent="0.25">
      <c r="B7" s="87" t="s">
        <v>107</v>
      </c>
      <c r="C7" s="88">
        <v>0.21</v>
      </c>
    </row>
    <row r="8" spans="1:6" x14ac:dyDescent="0.25">
      <c r="B8" s="87" t="s">
        <v>108</v>
      </c>
      <c r="C8" s="88">
        <v>0.05</v>
      </c>
    </row>
    <row r="9" spans="1:6" x14ac:dyDescent="0.25">
      <c r="B9" s="78" t="s">
        <v>109</v>
      </c>
      <c r="C9" s="79">
        <v>0.08</v>
      </c>
    </row>
    <row r="11" spans="1:6" ht="21" customHeight="1" x14ac:dyDescent="0.25">
      <c r="B11" s="136" t="s">
        <v>110</v>
      </c>
      <c r="C11" s="136"/>
      <c r="D11" s="136"/>
      <c r="E11" s="136"/>
    </row>
    <row r="12" spans="1:6" ht="25.5" x14ac:dyDescent="0.25">
      <c r="B12" s="38" t="s">
        <v>111</v>
      </c>
      <c r="C12" s="39" t="s">
        <v>112</v>
      </c>
      <c r="D12" s="39" t="s">
        <v>113</v>
      </c>
      <c r="E12" s="40" t="s">
        <v>114</v>
      </c>
    </row>
    <row r="13" spans="1:6" x14ac:dyDescent="0.25">
      <c r="B13" s="41" t="s">
        <v>115</v>
      </c>
      <c r="C13" s="43">
        <v>1</v>
      </c>
      <c r="D13" s="42">
        <v>4500</v>
      </c>
      <c r="E13" s="44">
        <f>C13*D13*12*(1+$C$7)</f>
        <v>65340</v>
      </c>
    </row>
    <row r="14" spans="1:6" x14ac:dyDescent="0.25">
      <c r="B14" s="45" t="s">
        <v>116</v>
      </c>
      <c r="C14" s="43">
        <v>1</v>
      </c>
      <c r="D14" s="42">
        <v>3200</v>
      </c>
      <c r="E14" s="46">
        <f>C14*D14*12*(1+$C$7)</f>
        <v>46464</v>
      </c>
    </row>
    <row r="15" spans="1:6" x14ac:dyDescent="0.25">
      <c r="B15" s="41" t="s">
        <v>117</v>
      </c>
      <c r="C15" s="43">
        <v>2</v>
      </c>
      <c r="D15" s="42">
        <v>2900</v>
      </c>
      <c r="E15" s="44">
        <f>C15*D15*12*(1+$C$7)</f>
        <v>84216</v>
      </c>
    </row>
    <row r="16" spans="1:6" x14ac:dyDescent="0.25">
      <c r="B16" s="45" t="s">
        <v>118</v>
      </c>
      <c r="C16" s="43">
        <v>1</v>
      </c>
      <c r="D16" s="42">
        <v>2200</v>
      </c>
      <c r="E16" s="46">
        <f>C16*D16*12*(1+$C$7)</f>
        <v>31944</v>
      </c>
    </row>
    <row r="17" spans="2:5" x14ac:dyDescent="0.25">
      <c r="B17" s="47" t="s">
        <v>119</v>
      </c>
      <c r="C17" s="48"/>
      <c r="D17" s="48"/>
      <c r="E17" s="49">
        <f>SUM(E13:E16)</f>
        <v>227964</v>
      </c>
    </row>
    <row r="19" spans="2:5" ht="21" customHeight="1" x14ac:dyDescent="0.25">
      <c r="B19" s="136" t="s">
        <v>120</v>
      </c>
      <c r="C19" s="136"/>
      <c r="D19" s="136"/>
      <c r="E19" s="136"/>
    </row>
    <row r="20" spans="2:5" x14ac:dyDescent="0.25">
      <c r="B20" s="38" t="s">
        <v>121</v>
      </c>
      <c r="C20" s="19" t="s">
        <v>24</v>
      </c>
      <c r="D20" s="50"/>
      <c r="E20" s="51"/>
    </row>
    <row r="21" spans="2:5" x14ac:dyDescent="0.25">
      <c r="B21" s="41" t="s">
        <v>122</v>
      </c>
      <c r="C21" s="42">
        <v>36000</v>
      </c>
      <c r="D21" s="52"/>
      <c r="E21" s="53"/>
    </row>
    <row r="22" spans="2:5" x14ac:dyDescent="0.25">
      <c r="B22" s="45" t="s">
        <v>123</v>
      </c>
      <c r="C22" s="42">
        <v>9600</v>
      </c>
      <c r="D22" s="54"/>
      <c r="E22" s="55"/>
    </row>
    <row r="23" spans="2:5" x14ac:dyDescent="0.25">
      <c r="B23" s="41" t="s">
        <v>124</v>
      </c>
      <c r="C23" s="42">
        <v>6000</v>
      </c>
      <c r="D23" s="52"/>
      <c r="E23" s="53"/>
    </row>
    <row r="24" spans="2:5" x14ac:dyDescent="0.25">
      <c r="B24" s="45" t="s">
        <v>125</v>
      </c>
      <c r="C24" s="42">
        <v>18000</v>
      </c>
      <c r="D24" s="54"/>
      <c r="E24" s="55"/>
    </row>
    <row r="25" spans="2:5" x14ac:dyDescent="0.25">
      <c r="B25" s="41" t="s">
        <v>126</v>
      </c>
      <c r="C25" s="42">
        <v>8400</v>
      </c>
      <c r="D25" s="52"/>
      <c r="E25" s="53"/>
    </row>
    <row r="26" spans="2:5" x14ac:dyDescent="0.25">
      <c r="B26" s="45" t="s">
        <v>127</v>
      </c>
      <c r="C26" s="42">
        <v>4800</v>
      </c>
      <c r="D26" s="54"/>
      <c r="E26" s="55"/>
    </row>
    <row r="27" spans="2:5" x14ac:dyDescent="0.25">
      <c r="B27" s="41" t="s">
        <v>128</v>
      </c>
      <c r="C27" s="42">
        <v>7200</v>
      </c>
      <c r="D27" s="52"/>
      <c r="E27" s="53"/>
    </row>
    <row r="28" spans="2:5" x14ac:dyDescent="0.25">
      <c r="B28" s="45" t="s">
        <v>129</v>
      </c>
      <c r="C28" s="42">
        <v>5400</v>
      </c>
      <c r="D28" s="54"/>
      <c r="E28" s="55"/>
    </row>
    <row r="29" spans="2:5" x14ac:dyDescent="0.25">
      <c r="B29" s="41" t="s">
        <v>130</v>
      </c>
      <c r="C29" s="42">
        <v>6000</v>
      </c>
      <c r="D29" s="52"/>
      <c r="E29" s="53"/>
    </row>
    <row r="30" spans="2:5" x14ac:dyDescent="0.25">
      <c r="B30" s="45" t="s">
        <v>131</v>
      </c>
      <c r="C30" s="42">
        <v>6000</v>
      </c>
      <c r="D30" s="54"/>
      <c r="E30" s="55"/>
    </row>
    <row r="31" spans="2:5" x14ac:dyDescent="0.25">
      <c r="B31" s="47" t="s">
        <v>132</v>
      </c>
      <c r="C31" s="37">
        <f>SUM(C21:C30)</f>
        <v>107400</v>
      </c>
      <c r="D31" s="48"/>
      <c r="E31" s="56"/>
    </row>
    <row r="33" spans="2:5" ht="21" customHeight="1" x14ac:dyDescent="0.25">
      <c r="B33" s="136" t="s">
        <v>133</v>
      </c>
      <c r="C33" s="136"/>
      <c r="D33" s="136"/>
      <c r="E33" s="136"/>
    </row>
    <row r="34" spans="2:5" x14ac:dyDescent="0.25">
      <c r="B34" s="38" t="s">
        <v>33</v>
      </c>
      <c r="C34" s="39" t="s">
        <v>91</v>
      </c>
      <c r="D34" s="39" t="s">
        <v>92</v>
      </c>
      <c r="E34" s="40" t="s">
        <v>93</v>
      </c>
    </row>
    <row r="35" spans="2:5" x14ac:dyDescent="0.25">
      <c r="B35" s="41" t="s">
        <v>134</v>
      </c>
      <c r="C35" s="32">
        <f>Umsatzplanung!C15*$C$6</f>
        <v>212800</v>
      </c>
      <c r="D35" s="32">
        <f>Umsatzplanung!D15*$C$6</f>
        <v>251104</v>
      </c>
      <c r="E35" s="89">
        <f>Umsatzplanung!E15*$C$6</f>
        <v>288769.59999999998</v>
      </c>
    </row>
    <row r="36" spans="2:5" x14ac:dyDescent="0.25">
      <c r="B36" s="45" t="s">
        <v>37</v>
      </c>
      <c r="C36" s="75">
        <f>E17</f>
        <v>227964</v>
      </c>
      <c r="D36" s="75">
        <f>C36*(1+$C$9)</f>
        <v>246201.12000000002</v>
      </c>
      <c r="E36" s="46">
        <f>D36*(1+$C$9)</f>
        <v>265897.20960000006</v>
      </c>
    </row>
    <row r="37" spans="2:5" x14ac:dyDescent="0.25">
      <c r="B37" s="41" t="s">
        <v>135</v>
      </c>
      <c r="C37" s="74">
        <f>C31</f>
        <v>107400</v>
      </c>
      <c r="D37" s="74">
        <f>C37*(1+$C$8)</f>
        <v>112770</v>
      </c>
      <c r="E37" s="44">
        <f>D37*(1+$C$8)</f>
        <v>118408.5</v>
      </c>
    </row>
    <row r="38" spans="2:5" x14ac:dyDescent="0.25">
      <c r="B38" s="90" t="s">
        <v>136</v>
      </c>
      <c r="C38" s="91">
        <f>SUM(C35:C37)</f>
        <v>548164</v>
      </c>
      <c r="D38" s="91">
        <f>SUM(D35:D37)</f>
        <v>610075.12</v>
      </c>
      <c r="E38" s="92">
        <f>SUM(E35:E37)</f>
        <v>673075.30960000004</v>
      </c>
    </row>
    <row r="40" spans="2:5" ht="15" customHeight="1" x14ac:dyDescent="0.25">
      <c r="B40" s="143" t="s">
        <v>137</v>
      </c>
      <c r="C40" s="143"/>
      <c r="D40" s="143"/>
      <c r="E40" s="143"/>
    </row>
    <row r="41" spans="2:5" x14ac:dyDescent="0.25">
      <c r="B41" s="143"/>
      <c r="C41" s="143"/>
      <c r="D41" s="143"/>
      <c r="E41" s="143"/>
    </row>
  </sheetData>
  <mergeCells count="8">
    <mergeCell ref="B19:E19"/>
    <mergeCell ref="B33:E33"/>
    <mergeCell ref="B40:E41"/>
    <mergeCell ref="A1:F1"/>
    <mergeCell ref="A2:F2"/>
    <mergeCell ref="A3:F3"/>
    <mergeCell ref="B5:E5"/>
    <mergeCell ref="B11:E11"/>
  </mergeCells>
  <pageMargins left="0.75" right="0.75" top="1" bottom="1" header="0.511811023622047" footer="0.511811023622047"/>
  <pageSetup fitToHeight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6395B"/>
    <pageSetUpPr fitToPage="1"/>
  </sheetPr>
  <dimension ref="A1:F28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46" customWidth="1"/>
    <col min="3" max="5" width="16" customWidth="1"/>
    <col min="6" max="6" width="14" customWidth="1"/>
    <col min="7" max="7" width="3" customWidth="1"/>
  </cols>
  <sheetData>
    <row r="1" spans="1:6" ht="31.5" customHeight="1" x14ac:dyDescent="0.25">
      <c r="A1" s="14" t="s">
        <v>138</v>
      </c>
      <c r="B1" s="14"/>
      <c r="C1" s="14"/>
      <c r="D1" s="14"/>
      <c r="E1" s="14"/>
      <c r="F1" s="14"/>
    </row>
    <row r="2" spans="1:6" ht="16.5" customHeight="1" x14ac:dyDescent="0.25">
      <c r="A2" s="13" t="s">
        <v>139</v>
      </c>
      <c r="B2" s="13"/>
      <c r="C2" s="13"/>
      <c r="D2" s="13"/>
      <c r="E2" s="13"/>
      <c r="F2" s="13"/>
    </row>
    <row r="3" spans="1:6" ht="4.5" customHeight="1" x14ac:dyDescent="0.25">
      <c r="A3" s="12"/>
      <c r="B3" s="12"/>
      <c r="C3" s="12"/>
      <c r="D3" s="12"/>
      <c r="E3" s="12"/>
      <c r="F3" s="12"/>
    </row>
    <row r="5" spans="1:6" ht="21" customHeight="1" x14ac:dyDescent="0.25">
      <c r="B5" s="136" t="s">
        <v>140</v>
      </c>
      <c r="C5" s="136"/>
      <c r="D5" s="136"/>
      <c r="E5" s="136"/>
    </row>
    <row r="6" spans="1:6" x14ac:dyDescent="0.25">
      <c r="B6" s="93" t="s">
        <v>141</v>
      </c>
      <c r="C6" s="94">
        <v>0.3</v>
      </c>
    </row>
    <row r="8" spans="1:6" ht="21" customHeight="1" x14ac:dyDescent="0.25">
      <c r="B8" s="136" t="s">
        <v>142</v>
      </c>
      <c r="C8" s="136"/>
      <c r="D8" s="136"/>
      <c r="E8" s="136"/>
      <c r="F8" s="136"/>
    </row>
    <row r="9" spans="1:6" x14ac:dyDescent="0.25">
      <c r="B9" s="38" t="s">
        <v>23</v>
      </c>
      <c r="C9" s="39" t="s">
        <v>91</v>
      </c>
      <c r="D9" s="39" t="s">
        <v>92</v>
      </c>
      <c r="E9" s="39" t="s">
        <v>93</v>
      </c>
      <c r="F9" s="40" t="s">
        <v>143</v>
      </c>
    </row>
    <row r="10" spans="1:6" x14ac:dyDescent="0.25">
      <c r="B10" s="95" t="s">
        <v>27</v>
      </c>
      <c r="C10" s="27">
        <f>Umsatzplanung!C15</f>
        <v>560000</v>
      </c>
      <c r="D10" s="27">
        <f>Umsatzplanung!D15</f>
        <v>660800</v>
      </c>
      <c r="E10" s="27">
        <f>Umsatzplanung!E15</f>
        <v>759919.99999999988</v>
      </c>
      <c r="F10" s="55"/>
    </row>
    <row r="11" spans="1:6" x14ac:dyDescent="0.25">
      <c r="B11" s="41" t="s">
        <v>144</v>
      </c>
      <c r="C11" s="22">
        <f>Kostenplanung!C35</f>
        <v>212800</v>
      </c>
      <c r="D11" s="22">
        <f>Kostenplanung!D35</f>
        <v>251104</v>
      </c>
      <c r="E11" s="22">
        <f>Kostenplanung!E35</f>
        <v>288769.59999999998</v>
      </c>
      <c r="F11" s="53"/>
    </row>
    <row r="12" spans="1:6" x14ac:dyDescent="0.25">
      <c r="B12" s="96" t="s">
        <v>145</v>
      </c>
      <c r="C12" s="97">
        <f>C10-C11</f>
        <v>347200</v>
      </c>
      <c r="D12" s="97">
        <f>D10-D11</f>
        <v>409696</v>
      </c>
      <c r="E12" s="97">
        <f>E10-E11</f>
        <v>471150.39999999991</v>
      </c>
      <c r="F12" s="98">
        <f>IFERROR(C12/C10,0)</f>
        <v>0.62</v>
      </c>
    </row>
    <row r="13" spans="1:6" x14ac:dyDescent="0.25">
      <c r="B13" s="41" t="s">
        <v>146</v>
      </c>
      <c r="C13" s="22">
        <f>Kostenplanung!C36</f>
        <v>227964</v>
      </c>
      <c r="D13" s="22">
        <f>Kostenplanung!D36</f>
        <v>246201.12000000002</v>
      </c>
      <c r="E13" s="22">
        <f>Kostenplanung!E36</f>
        <v>265897.20960000006</v>
      </c>
      <c r="F13" s="53"/>
    </row>
    <row r="14" spans="1:6" x14ac:dyDescent="0.25">
      <c r="B14" s="45" t="s">
        <v>147</v>
      </c>
      <c r="C14" s="25">
        <f>Kostenplanung!C37</f>
        <v>107400</v>
      </c>
      <c r="D14" s="25">
        <f>Kostenplanung!D37</f>
        <v>112770</v>
      </c>
      <c r="E14" s="25">
        <f>Kostenplanung!E37</f>
        <v>118408.5</v>
      </c>
      <c r="F14" s="55"/>
    </row>
    <row r="15" spans="1:6" x14ac:dyDescent="0.25">
      <c r="B15" s="96" t="s">
        <v>148</v>
      </c>
      <c r="C15" s="97">
        <f>C12-C13-C14</f>
        <v>11836</v>
      </c>
      <c r="D15" s="97">
        <f>D12-D13-D14</f>
        <v>50724.879999999976</v>
      </c>
      <c r="E15" s="97">
        <f>E12-E13-E14</f>
        <v>86844.690399999847</v>
      </c>
      <c r="F15" s="98">
        <f>IFERROR(C15/C10,0)</f>
        <v>2.1135714285714285E-2</v>
      </c>
    </row>
    <row r="16" spans="1:6" x14ac:dyDescent="0.25">
      <c r="B16" s="45" t="s">
        <v>149</v>
      </c>
      <c r="C16" s="25">
        <f>'Investition &amp; Finanzierung'!$E$12</f>
        <v>24458.333333333332</v>
      </c>
      <c r="D16" s="25">
        <f>'Investition &amp; Finanzierung'!$E$12</f>
        <v>24458.333333333332</v>
      </c>
      <c r="E16" s="25">
        <f>'Investition &amp; Finanzierung'!$E$12</f>
        <v>24458.333333333332</v>
      </c>
      <c r="F16" s="55"/>
    </row>
    <row r="17" spans="2:6" x14ac:dyDescent="0.25">
      <c r="B17" s="96" t="s">
        <v>150</v>
      </c>
      <c r="C17" s="97">
        <f>C15-C16</f>
        <v>-12622.333333333332</v>
      </c>
      <c r="D17" s="97">
        <f>D15-D16</f>
        <v>26266.546666666643</v>
      </c>
      <c r="E17" s="97">
        <f>E15-E16</f>
        <v>62386.357066666518</v>
      </c>
      <c r="F17" s="99"/>
    </row>
    <row r="18" spans="2:6" x14ac:dyDescent="0.25">
      <c r="B18" s="45" t="s">
        <v>151</v>
      </c>
      <c r="C18" s="25">
        <f>'Investition &amp; Finanzierung'!$G$42</f>
        <v>6600</v>
      </c>
      <c r="D18" s="25">
        <f>'Investition &amp; Finanzierung'!$H$42</f>
        <v>5685</v>
      </c>
      <c r="E18" s="25">
        <f>'Investition &amp; Finanzierung'!$I$42</f>
        <v>4770</v>
      </c>
      <c r="F18" s="55"/>
    </row>
    <row r="19" spans="2:6" x14ac:dyDescent="0.25">
      <c r="B19" s="96" t="s">
        <v>152</v>
      </c>
      <c r="C19" s="97">
        <f>C17-C18</f>
        <v>-19222.333333333332</v>
      </c>
      <c r="D19" s="97">
        <f>D17-D18</f>
        <v>20581.546666666643</v>
      </c>
      <c r="E19" s="97">
        <f>E17-E18</f>
        <v>57616.357066666518</v>
      </c>
      <c r="F19" s="99"/>
    </row>
    <row r="20" spans="2:6" x14ac:dyDescent="0.25">
      <c r="B20" s="45" t="s">
        <v>153</v>
      </c>
      <c r="C20" s="100">
        <f>IF(C19&gt;0,C19*$C$6,0)</f>
        <v>0</v>
      </c>
      <c r="D20" s="100">
        <f>IF(D19&gt;0,D19*$C$6,0)</f>
        <v>6174.4639999999927</v>
      </c>
      <c r="E20" s="100">
        <f>IF(E19&gt;0,E19*$C$6,0)</f>
        <v>17284.907119999956</v>
      </c>
      <c r="F20" s="55"/>
    </row>
    <row r="21" spans="2:6" x14ac:dyDescent="0.25">
      <c r="B21" s="101" t="s">
        <v>154</v>
      </c>
      <c r="C21" s="102">
        <f>C19-C20</f>
        <v>-19222.333333333332</v>
      </c>
      <c r="D21" s="102">
        <f>D19-D20</f>
        <v>14407.082666666651</v>
      </c>
      <c r="E21" s="102">
        <f>E19-E20</f>
        <v>40331.449946666558</v>
      </c>
      <c r="F21" s="103">
        <f>IFERROR(C21/C10,0)</f>
        <v>-3.4325595238095238E-2</v>
      </c>
    </row>
    <row r="23" spans="2:6" ht="21" customHeight="1" x14ac:dyDescent="0.25">
      <c r="B23" s="136" t="s">
        <v>155</v>
      </c>
      <c r="C23" s="136"/>
      <c r="D23" s="136"/>
      <c r="E23" s="136"/>
      <c r="F23" s="136"/>
    </row>
    <row r="24" spans="2:6" x14ac:dyDescent="0.25">
      <c r="B24" s="38" t="s">
        <v>156</v>
      </c>
      <c r="C24" s="19" t="s">
        <v>24</v>
      </c>
      <c r="D24" s="19" t="s">
        <v>25</v>
      </c>
      <c r="E24" s="19" t="s">
        <v>26</v>
      </c>
      <c r="F24" s="51"/>
    </row>
    <row r="25" spans="2:6" x14ac:dyDescent="0.25">
      <c r="B25" s="41" t="s">
        <v>157</v>
      </c>
      <c r="C25" s="65">
        <f>IFERROR(C12/C10,0)</f>
        <v>0.62</v>
      </c>
      <c r="D25" s="65">
        <f>IFERROR(D12/D10,0)</f>
        <v>0.62</v>
      </c>
      <c r="E25" s="65">
        <f>IFERROR(E12/E10,0)</f>
        <v>0.62</v>
      </c>
      <c r="F25" s="53"/>
    </row>
    <row r="26" spans="2:6" x14ac:dyDescent="0.25">
      <c r="B26" s="45" t="s">
        <v>158</v>
      </c>
      <c r="C26" s="75">
        <f>C13+C14+C16+C18</f>
        <v>366422.33333333331</v>
      </c>
      <c r="D26" s="75">
        <f>D13+D14+D16+D18</f>
        <v>389114.45333333331</v>
      </c>
      <c r="E26" s="75">
        <f>E13+E14+E16+E18</f>
        <v>413534.04293333337</v>
      </c>
      <c r="F26" s="55"/>
    </row>
    <row r="27" spans="2:6" x14ac:dyDescent="0.25">
      <c r="B27" s="41" t="s">
        <v>159</v>
      </c>
      <c r="C27" s="74">
        <f>IFERROR(C26/C25,0)</f>
        <v>591003.7634408602</v>
      </c>
      <c r="D27" s="74">
        <f>IFERROR(D26/D25,0)</f>
        <v>627603.95698924724</v>
      </c>
      <c r="E27" s="74">
        <f>IFERROR(E26/E25,0)</f>
        <v>666990.39182795701</v>
      </c>
      <c r="F27" s="53"/>
    </row>
    <row r="28" spans="2:6" x14ac:dyDescent="0.25">
      <c r="B28" s="104" t="s">
        <v>160</v>
      </c>
      <c r="C28" s="105">
        <f>IFERROR(C27/C10,0)</f>
        <v>1.0553638632872504</v>
      </c>
      <c r="D28" s="105">
        <f>IFERROR(D27/D10,0)</f>
        <v>0.94976385742924829</v>
      </c>
      <c r="E28" s="105">
        <f>IFERROR(E27/E10,0)</f>
        <v>0.87771132728176271</v>
      </c>
      <c r="F28" s="106"/>
    </row>
  </sheetData>
  <mergeCells count="6">
    <mergeCell ref="B23:F23"/>
    <mergeCell ref="A1:F1"/>
    <mergeCell ref="A2:F2"/>
    <mergeCell ref="A3:F3"/>
    <mergeCell ref="B5:E5"/>
    <mergeCell ref="B8:F8"/>
  </mergeCells>
  <conditionalFormatting sqref="C15:E15">
    <cfRule type="cellIs" dxfId="8" priority="4" operator="greaterThan">
      <formula>0</formula>
    </cfRule>
    <cfRule type="cellIs" dxfId="7" priority="5" operator="lessThan">
      <formula>0</formula>
    </cfRule>
  </conditionalFormatting>
  <conditionalFormatting sqref="C21:E21">
    <cfRule type="cellIs" dxfId="6" priority="2" operator="greaterThan">
      <formula>0</formula>
    </cfRule>
    <cfRule type="cellIs" dxfId="5" priority="3" operator="lessThan">
      <formula>0</formula>
    </cfRule>
  </conditionalFormatting>
  <pageMargins left="0.75" right="0.75" top="1" bottom="1" header="0.511811023622047" footer="0.511811023622047"/>
  <pageSetup fitToHeight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5606E"/>
    <pageSetUpPr fitToPage="1"/>
  </sheetPr>
  <dimension ref="A1:O30"/>
  <sheetViews>
    <sheetView showGridLines="0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baseColWidth="10" defaultColWidth="8.7109375" defaultRowHeight="15" x14ac:dyDescent="0.25"/>
  <cols>
    <col min="1" max="1" width="2" customWidth="1"/>
    <col min="2" max="2" width="34" customWidth="1"/>
    <col min="3" max="14" width="10" customWidth="1"/>
    <col min="15" max="15" width="14" customWidth="1"/>
  </cols>
  <sheetData>
    <row r="1" spans="1:15" ht="31.5" customHeight="1" x14ac:dyDescent="0.25">
      <c r="A1" s="14" t="s">
        <v>161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6.5" customHeight="1" x14ac:dyDescent="0.25">
      <c r="A2" s="13" t="s">
        <v>162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4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5" spans="1:15" ht="21" customHeight="1" x14ac:dyDescent="0.25">
      <c r="B5" s="136" t="s">
        <v>163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1:15" x14ac:dyDescent="0.25">
      <c r="B6" s="107" t="s">
        <v>164</v>
      </c>
      <c r="C6" s="108" t="s">
        <v>165</v>
      </c>
      <c r="D6" s="108" t="s">
        <v>166</v>
      </c>
      <c r="E6" s="108" t="s">
        <v>167</v>
      </c>
      <c r="F6" s="108" t="s">
        <v>168</v>
      </c>
      <c r="G6" s="108" t="s">
        <v>169</v>
      </c>
      <c r="H6" s="108" t="s">
        <v>170</v>
      </c>
      <c r="I6" s="108" t="s">
        <v>171</v>
      </c>
      <c r="J6" s="108" t="s">
        <v>172</v>
      </c>
      <c r="K6" s="108" t="s">
        <v>173</v>
      </c>
      <c r="L6" s="108" t="s">
        <v>174</v>
      </c>
      <c r="M6" s="108" t="s">
        <v>175</v>
      </c>
      <c r="N6" s="108" t="s">
        <v>176</v>
      </c>
      <c r="O6" s="109" t="s">
        <v>82</v>
      </c>
    </row>
    <row r="7" spans="1:15" x14ac:dyDescent="0.25">
      <c r="B7" s="110"/>
      <c r="C7" s="111">
        <v>6</v>
      </c>
      <c r="D7" s="111">
        <v>7</v>
      </c>
      <c r="E7" s="111">
        <v>7</v>
      </c>
      <c r="F7" s="111">
        <v>8</v>
      </c>
      <c r="G7" s="111">
        <v>9</v>
      </c>
      <c r="H7" s="111">
        <v>9</v>
      </c>
      <c r="I7" s="111">
        <v>10</v>
      </c>
      <c r="J7" s="111">
        <v>10</v>
      </c>
      <c r="K7" s="111">
        <v>9</v>
      </c>
      <c r="L7" s="111">
        <v>8</v>
      </c>
      <c r="M7" s="111">
        <v>6</v>
      </c>
      <c r="N7" s="111">
        <v>5</v>
      </c>
      <c r="O7" s="112">
        <f>SUM(C7:N7)</f>
        <v>94</v>
      </c>
    </row>
    <row r="9" spans="1:15" ht="21" customHeight="1" x14ac:dyDescent="0.25">
      <c r="B9" s="136" t="s">
        <v>177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</row>
    <row r="10" spans="1:15" x14ac:dyDescent="0.25">
      <c r="B10" s="113" t="s">
        <v>23</v>
      </c>
      <c r="C10" s="114" t="s">
        <v>165</v>
      </c>
      <c r="D10" s="114" t="s">
        <v>166</v>
      </c>
      <c r="E10" s="114" t="s">
        <v>167</v>
      </c>
      <c r="F10" s="114" t="s">
        <v>168</v>
      </c>
      <c r="G10" s="114" t="s">
        <v>169</v>
      </c>
      <c r="H10" s="114" t="s">
        <v>170</v>
      </c>
      <c r="I10" s="114" t="s">
        <v>171</v>
      </c>
      <c r="J10" s="114" t="s">
        <v>172</v>
      </c>
      <c r="K10" s="114" t="s">
        <v>173</v>
      </c>
      <c r="L10" s="114" t="s">
        <v>174</v>
      </c>
      <c r="M10" s="114" t="s">
        <v>175</v>
      </c>
      <c r="N10" s="114" t="s">
        <v>176</v>
      </c>
      <c r="O10" s="115" t="s">
        <v>178</v>
      </c>
    </row>
    <row r="11" spans="1:15" x14ac:dyDescent="0.25">
      <c r="B11" s="116" t="s">
        <v>179</v>
      </c>
      <c r="C11" s="117">
        <v>0</v>
      </c>
      <c r="D11" s="117">
        <f t="shared" ref="D11:N11" si="0">C27</f>
        <v>32081.368794326205</v>
      </c>
      <c r="E11" s="117">
        <f t="shared" si="0"/>
        <v>27856.35460992904</v>
      </c>
      <c r="F11" s="117">
        <f t="shared" si="0"/>
        <v>23631.340425531875</v>
      </c>
      <c r="G11" s="117">
        <f t="shared" si="0"/>
        <v>23099.943262411303</v>
      </c>
      <c r="H11" s="117">
        <f t="shared" si="0"/>
        <v>26262.163120567333</v>
      </c>
      <c r="I11" s="117">
        <f t="shared" si="0"/>
        <v>29424.382978723363</v>
      </c>
      <c r="J11" s="117">
        <f t="shared" si="0"/>
        <v>36280.219858155986</v>
      </c>
      <c r="K11" s="117">
        <f t="shared" si="0"/>
        <v>43136.056737588609</v>
      </c>
      <c r="L11" s="117">
        <f t="shared" si="0"/>
        <v>46298.276595744639</v>
      </c>
      <c r="M11" s="117">
        <f t="shared" si="0"/>
        <v>45766.879432624068</v>
      </c>
      <c r="N11" s="117">
        <f t="shared" si="0"/>
        <v>37848.248226950302</v>
      </c>
      <c r="O11" s="118">
        <f>C11</f>
        <v>0</v>
      </c>
    </row>
    <row r="12" spans="1:15" x14ac:dyDescent="0.25">
      <c r="B12" s="119" t="s">
        <v>180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1"/>
    </row>
    <row r="13" spans="1:15" x14ac:dyDescent="0.25">
      <c r="B13" s="122" t="s">
        <v>181</v>
      </c>
      <c r="C13" s="123">
        <f>IFERROR(Umsatzplanung!$C$15*C7/$O$7,0)</f>
        <v>35744.680851063829</v>
      </c>
      <c r="D13" s="123">
        <f>IFERROR(Umsatzplanung!$C$15*D7/$O$7,0)</f>
        <v>41702.127659574471</v>
      </c>
      <c r="E13" s="123">
        <f>IFERROR(Umsatzplanung!$C$15*E7/$O$7,0)</f>
        <v>41702.127659574471</v>
      </c>
      <c r="F13" s="123">
        <f>IFERROR(Umsatzplanung!$C$15*F7/$O$7,0)</f>
        <v>47659.574468085106</v>
      </c>
      <c r="G13" s="123">
        <f>IFERROR(Umsatzplanung!$C$15*G7/$O$7,0)</f>
        <v>53617.021276595748</v>
      </c>
      <c r="H13" s="123">
        <f>IFERROR(Umsatzplanung!$C$15*H7/$O$7,0)</f>
        <v>53617.021276595748</v>
      </c>
      <c r="I13" s="123">
        <f>IFERROR(Umsatzplanung!$C$15*I7/$O$7,0)</f>
        <v>59574.468085106382</v>
      </c>
      <c r="J13" s="123">
        <f>IFERROR(Umsatzplanung!$C$15*J7/$O$7,0)</f>
        <v>59574.468085106382</v>
      </c>
      <c r="K13" s="123">
        <f>IFERROR(Umsatzplanung!$C$15*K7/$O$7,0)</f>
        <v>53617.021276595748</v>
      </c>
      <c r="L13" s="123">
        <f>IFERROR(Umsatzplanung!$C$15*L7/$O$7,0)</f>
        <v>47659.574468085106</v>
      </c>
      <c r="M13" s="123">
        <f>IFERROR(Umsatzplanung!$C$15*M7/$O$7,0)</f>
        <v>35744.680851063829</v>
      </c>
      <c r="N13" s="123">
        <f>IFERROR(Umsatzplanung!$C$15*N7/$O$7,0)</f>
        <v>29787.234042553191</v>
      </c>
      <c r="O13" s="118">
        <f>SUM(C13:N13)</f>
        <v>560000.00000000012</v>
      </c>
    </row>
    <row r="14" spans="1:15" x14ac:dyDescent="0.25">
      <c r="B14" s="122" t="s">
        <v>182</v>
      </c>
      <c r="C14" s="124">
        <f>'Investition &amp; Finanzierung'!$C$30+'Investition &amp; Finanzierung'!$C$31</f>
        <v>106000</v>
      </c>
      <c r="D14" s="123">
        <v>0</v>
      </c>
      <c r="E14" s="123">
        <v>0</v>
      </c>
      <c r="F14" s="123">
        <v>0</v>
      </c>
      <c r="G14" s="123">
        <v>0</v>
      </c>
      <c r="H14" s="123">
        <v>0</v>
      </c>
      <c r="I14" s="123">
        <v>0</v>
      </c>
      <c r="J14" s="123">
        <v>0</v>
      </c>
      <c r="K14" s="123">
        <v>0</v>
      </c>
      <c r="L14" s="123">
        <v>0</v>
      </c>
      <c r="M14" s="123">
        <v>0</v>
      </c>
      <c r="N14" s="123">
        <v>0</v>
      </c>
      <c r="O14" s="118">
        <f>SUM(C14:N14)</f>
        <v>106000</v>
      </c>
    </row>
    <row r="15" spans="1:15" x14ac:dyDescent="0.25">
      <c r="B15" s="122" t="s">
        <v>183</v>
      </c>
      <c r="C15" s="124">
        <f>'Investition &amp; Finanzierung'!$C$32+'Investition &amp; Finanzierung'!$C$33</f>
        <v>140000</v>
      </c>
      <c r="D15" s="123">
        <v>0</v>
      </c>
      <c r="E15" s="123">
        <v>0</v>
      </c>
      <c r="F15" s="123">
        <v>0</v>
      </c>
      <c r="G15" s="123">
        <v>0</v>
      </c>
      <c r="H15" s="123">
        <v>0</v>
      </c>
      <c r="I15" s="123">
        <v>0</v>
      </c>
      <c r="J15" s="123">
        <v>0</v>
      </c>
      <c r="K15" s="123">
        <v>0</v>
      </c>
      <c r="L15" s="123">
        <v>0</v>
      </c>
      <c r="M15" s="123">
        <v>0</v>
      </c>
      <c r="N15" s="123">
        <v>0</v>
      </c>
      <c r="O15" s="118">
        <f>SUM(C15:N15)</f>
        <v>140000</v>
      </c>
    </row>
    <row r="16" spans="1:15" x14ac:dyDescent="0.25">
      <c r="B16" s="125" t="s">
        <v>184</v>
      </c>
      <c r="C16" s="126">
        <f t="shared" ref="C16:N16" si="1">SUM(C13:C15)</f>
        <v>281744.68085106381</v>
      </c>
      <c r="D16" s="126">
        <f t="shared" si="1"/>
        <v>41702.127659574471</v>
      </c>
      <c r="E16" s="126">
        <f t="shared" si="1"/>
        <v>41702.127659574471</v>
      </c>
      <c r="F16" s="126">
        <f t="shared" si="1"/>
        <v>47659.574468085106</v>
      </c>
      <c r="G16" s="126">
        <f t="shared" si="1"/>
        <v>53617.021276595748</v>
      </c>
      <c r="H16" s="126">
        <f t="shared" si="1"/>
        <v>53617.021276595748</v>
      </c>
      <c r="I16" s="126">
        <f t="shared" si="1"/>
        <v>59574.468085106382</v>
      </c>
      <c r="J16" s="126">
        <f t="shared" si="1"/>
        <v>59574.468085106382</v>
      </c>
      <c r="K16" s="126">
        <f t="shared" si="1"/>
        <v>53617.021276595748</v>
      </c>
      <c r="L16" s="126">
        <f t="shared" si="1"/>
        <v>47659.574468085106</v>
      </c>
      <c r="M16" s="126">
        <f t="shared" si="1"/>
        <v>35744.680851063829</v>
      </c>
      <c r="N16" s="126">
        <f t="shared" si="1"/>
        <v>29787.234042553191</v>
      </c>
      <c r="O16" s="127">
        <f>SUM(C16:N16)</f>
        <v>806000</v>
      </c>
    </row>
    <row r="17" spans="2:15" x14ac:dyDescent="0.25">
      <c r="B17" s="128" t="s">
        <v>185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30"/>
    </row>
    <row r="18" spans="2:15" x14ac:dyDescent="0.25">
      <c r="B18" s="122" t="s">
        <v>186</v>
      </c>
      <c r="C18" s="124">
        <f>'Investition &amp; Finanzierung'!$C$12</f>
        <v>177000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23">
        <v>0</v>
      </c>
      <c r="L18" s="123">
        <v>0</v>
      </c>
      <c r="M18" s="123">
        <v>0</v>
      </c>
      <c r="N18" s="123">
        <v>0</v>
      </c>
      <c r="O18" s="118">
        <f t="shared" ref="O18:O25" si="2">SUM(C18:N18)</f>
        <v>177000</v>
      </c>
    </row>
    <row r="19" spans="2:15" x14ac:dyDescent="0.25">
      <c r="B19" s="122" t="s">
        <v>187</v>
      </c>
      <c r="C19" s="124">
        <f>'Investition &amp; Finanzierung'!$C$21</f>
        <v>29000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3">
        <v>0</v>
      </c>
      <c r="L19" s="123">
        <v>0</v>
      </c>
      <c r="M19" s="123">
        <v>0</v>
      </c>
      <c r="N19" s="123">
        <v>0</v>
      </c>
      <c r="O19" s="118">
        <f t="shared" si="2"/>
        <v>29000</v>
      </c>
    </row>
    <row r="20" spans="2:15" x14ac:dyDescent="0.25">
      <c r="B20" s="122" t="s">
        <v>188</v>
      </c>
      <c r="C20" s="123">
        <f>IFERROR(Kostenplanung!$C$35*C7/$O$7,0)</f>
        <v>13582.978723404256</v>
      </c>
      <c r="D20" s="123">
        <f>IFERROR(Kostenplanung!$C$35*D7/$O$7,0)</f>
        <v>15846.808510638299</v>
      </c>
      <c r="E20" s="123">
        <f>IFERROR(Kostenplanung!$C$35*E7/$O$7,0)</f>
        <v>15846.808510638299</v>
      </c>
      <c r="F20" s="123">
        <f>IFERROR(Kostenplanung!$C$35*F7/$O$7,0)</f>
        <v>18110.638297872341</v>
      </c>
      <c r="G20" s="123">
        <f>IFERROR(Kostenplanung!$C$35*G7/$O$7,0)</f>
        <v>20374.468085106382</v>
      </c>
      <c r="H20" s="123">
        <f>IFERROR(Kostenplanung!$C$35*H7/$O$7,0)</f>
        <v>20374.468085106382</v>
      </c>
      <c r="I20" s="123">
        <f>IFERROR(Kostenplanung!$C$35*I7/$O$7,0)</f>
        <v>22638.297872340427</v>
      </c>
      <c r="J20" s="123">
        <f>IFERROR(Kostenplanung!$C$35*J7/$O$7,0)</f>
        <v>22638.297872340427</v>
      </c>
      <c r="K20" s="123">
        <f>IFERROR(Kostenplanung!$C$35*K7/$O$7,0)</f>
        <v>20374.468085106382</v>
      </c>
      <c r="L20" s="123">
        <f>IFERROR(Kostenplanung!$C$35*L7/$O$7,0)</f>
        <v>18110.638297872341</v>
      </c>
      <c r="M20" s="123">
        <f>IFERROR(Kostenplanung!$C$35*M7/$O$7,0)</f>
        <v>13582.978723404256</v>
      </c>
      <c r="N20" s="123">
        <f>IFERROR(Kostenplanung!$C$35*N7/$O$7,0)</f>
        <v>11319.148936170213</v>
      </c>
      <c r="O20" s="118">
        <f t="shared" si="2"/>
        <v>212799.99999999997</v>
      </c>
    </row>
    <row r="21" spans="2:15" x14ac:dyDescent="0.25">
      <c r="B21" s="122" t="s">
        <v>37</v>
      </c>
      <c r="C21" s="124">
        <f>Kostenplanung!$C$36/12</f>
        <v>18997</v>
      </c>
      <c r="D21" s="124">
        <f>Kostenplanung!$C$36/12</f>
        <v>18997</v>
      </c>
      <c r="E21" s="124">
        <f>Kostenplanung!$C$36/12</f>
        <v>18997</v>
      </c>
      <c r="F21" s="124">
        <f>Kostenplanung!$C$36/12</f>
        <v>18997</v>
      </c>
      <c r="G21" s="124">
        <f>Kostenplanung!$C$36/12</f>
        <v>18997</v>
      </c>
      <c r="H21" s="124">
        <f>Kostenplanung!$C$36/12</f>
        <v>18997</v>
      </c>
      <c r="I21" s="124">
        <f>Kostenplanung!$C$36/12</f>
        <v>18997</v>
      </c>
      <c r="J21" s="124">
        <f>Kostenplanung!$C$36/12</f>
        <v>18997</v>
      </c>
      <c r="K21" s="124">
        <f>Kostenplanung!$C$36/12</f>
        <v>18997</v>
      </c>
      <c r="L21" s="124">
        <f>Kostenplanung!$C$36/12</f>
        <v>18997</v>
      </c>
      <c r="M21" s="124">
        <f>Kostenplanung!$C$36/12</f>
        <v>18997</v>
      </c>
      <c r="N21" s="124">
        <f>Kostenplanung!$C$36/12</f>
        <v>18997</v>
      </c>
      <c r="O21" s="118">
        <f t="shared" si="2"/>
        <v>227964</v>
      </c>
    </row>
    <row r="22" spans="2:15" x14ac:dyDescent="0.25">
      <c r="B22" s="122" t="s">
        <v>38</v>
      </c>
      <c r="C22" s="124">
        <f>Kostenplanung!$C$37/12</f>
        <v>8950</v>
      </c>
      <c r="D22" s="124">
        <f>Kostenplanung!$C$37/12</f>
        <v>8950</v>
      </c>
      <c r="E22" s="124">
        <f>Kostenplanung!$C$37/12</f>
        <v>8950</v>
      </c>
      <c r="F22" s="124">
        <f>Kostenplanung!$C$37/12</f>
        <v>8950</v>
      </c>
      <c r="G22" s="124">
        <f>Kostenplanung!$C$37/12</f>
        <v>8950</v>
      </c>
      <c r="H22" s="124">
        <f>Kostenplanung!$C$37/12</f>
        <v>8950</v>
      </c>
      <c r="I22" s="124">
        <f>Kostenplanung!$C$37/12</f>
        <v>8950</v>
      </c>
      <c r="J22" s="124">
        <f>Kostenplanung!$C$37/12</f>
        <v>8950</v>
      </c>
      <c r="K22" s="124">
        <f>Kostenplanung!$C$37/12</f>
        <v>8950</v>
      </c>
      <c r="L22" s="124">
        <f>Kostenplanung!$C$37/12</f>
        <v>8950</v>
      </c>
      <c r="M22" s="124">
        <f>Kostenplanung!$C$37/12</f>
        <v>8950</v>
      </c>
      <c r="N22" s="124">
        <f>Kostenplanung!$C$37/12</f>
        <v>8950</v>
      </c>
      <c r="O22" s="118">
        <f t="shared" si="2"/>
        <v>107400</v>
      </c>
    </row>
    <row r="23" spans="2:15" x14ac:dyDescent="0.25">
      <c r="B23" s="122" t="s">
        <v>189</v>
      </c>
      <c r="C23" s="123">
        <f>('Investition &amp; Finanzierung'!$G$42+'Investition &amp; Finanzierung'!$F$42)/12</f>
        <v>2133.3333333333335</v>
      </c>
      <c r="D23" s="123">
        <f>('Investition &amp; Finanzierung'!$G$42+'Investition &amp; Finanzierung'!$F$42)/12</f>
        <v>2133.3333333333335</v>
      </c>
      <c r="E23" s="123">
        <f>('Investition &amp; Finanzierung'!$G$42+'Investition &amp; Finanzierung'!$F$42)/12</f>
        <v>2133.3333333333335</v>
      </c>
      <c r="F23" s="123">
        <f>('Investition &amp; Finanzierung'!$G$42+'Investition &amp; Finanzierung'!$F$42)/12</f>
        <v>2133.3333333333335</v>
      </c>
      <c r="G23" s="123">
        <f>('Investition &amp; Finanzierung'!$G$42+'Investition &amp; Finanzierung'!$F$42)/12</f>
        <v>2133.3333333333335</v>
      </c>
      <c r="H23" s="123">
        <f>('Investition &amp; Finanzierung'!$G$42+'Investition &amp; Finanzierung'!$F$42)/12</f>
        <v>2133.3333333333335</v>
      </c>
      <c r="I23" s="123">
        <f>('Investition &amp; Finanzierung'!$G$42+'Investition &amp; Finanzierung'!$F$42)/12</f>
        <v>2133.3333333333335</v>
      </c>
      <c r="J23" s="123">
        <f>('Investition &amp; Finanzierung'!$G$42+'Investition &amp; Finanzierung'!$F$42)/12</f>
        <v>2133.3333333333335</v>
      </c>
      <c r="K23" s="123">
        <f>('Investition &amp; Finanzierung'!$G$42+'Investition &amp; Finanzierung'!$F$42)/12</f>
        <v>2133.3333333333335</v>
      </c>
      <c r="L23" s="123">
        <f>('Investition &amp; Finanzierung'!$G$42+'Investition &amp; Finanzierung'!$F$42)/12</f>
        <v>2133.3333333333335</v>
      </c>
      <c r="M23" s="123">
        <f>('Investition &amp; Finanzierung'!$G$42+'Investition &amp; Finanzierung'!$F$42)/12</f>
        <v>2133.3333333333335</v>
      </c>
      <c r="N23" s="123">
        <f>('Investition &amp; Finanzierung'!$G$42+'Investition &amp; Finanzierung'!$F$42)/12</f>
        <v>2133.3333333333335</v>
      </c>
      <c r="O23" s="118">
        <f t="shared" si="2"/>
        <v>25599.999999999996</v>
      </c>
    </row>
    <row r="24" spans="2:15" x14ac:dyDescent="0.25">
      <c r="B24" s="122" t="s">
        <v>190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  <c r="J24" s="123">
        <v>0</v>
      </c>
      <c r="K24" s="123">
        <v>0</v>
      </c>
      <c r="L24" s="123">
        <v>0</v>
      </c>
      <c r="M24" s="123">
        <v>0</v>
      </c>
      <c r="N24" s="123">
        <v>0</v>
      </c>
      <c r="O24" s="118">
        <f t="shared" si="2"/>
        <v>0</v>
      </c>
    </row>
    <row r="25" spans="2:15" x14ac:dyDescent="0.25">
      <c r="B25" s="125" t="s">
        <v>191</v>
      </c>
      <c r="C25" s="126">
        <f t="shared" ref="C25:N25" si="3">SUM(C18:C24)</f>
        <v>249663.3120567376</v>
      </c>
      <c r="D25" s="126">
        <f t="shared" si="3"/>
        <v>45927.141843971636</v>
      </c>
      <c r="E25" s="126">
        <f t="shared" si="3"/>
        <v>45927.141843971636</v>
      </c>
      <c r="F25" s="126">
        <f t="shared" si="3"/>
        <v>48190.971631205677</v>
      </c>
      <c r="G25" s="126">
        <f t="shared" si="3"/>
        <v>50454.801418439718</v>
      </c>
      <c r="H25" s="126">
        <f t="shared" si="3"/>
        <v>50454.801418439718</v>
      </c>
      <c r="I25" s="126">
        <f t="shared" si="3"/>
        <v>52718.631205673759</v>
      </c>
      <c r="J25" s="126">
        <f t="shared" si="3"/>
        <v>52718.631205673759</v>
      </c>
      <c r="K25" s="126">
        <f t="shared" si="3"/>
        <v>50454.801418439718</v>
      </c>
      <c r="L25" s="126">
        <f t="shared" si="3"/>
        <v>48190.971631205677</v>
      </c>
      <c r="M25" s="126">
        <f t="shared" si="3"/>
        <v>43663.312056737595</v>
      </c>
      <c r="N25" s="126">
        <f t="shared" si="3"/>
        <v>41399.482269503547</v>
      </c>
      <c r="O25" s="127">
        <f t="shared" si="2"/>
        <v>779764</v>
      </c>
    </row>
    <row r="26" spans="2:15" x14ac:dyDescent="0.25">
      <c r="B26" s="116" t="s">
        <v>192</v>
      </c>
      <c r="C26" s="117">
        <f t="shared" ref="C26:O26" si="4">C16-C25</f>
        <v>32081.368794326205</v>
      </c>
      <c r="D26" s="117">
        <f t="shared" si="4"/>
        <v>-4225.0141843971651</v>
      </c>
      <c r="E26" s="117">
        <f t="shared" si="4"/>
        <v>-4225.0141843971651</v>
      </c>
      <c r="F26" s="117">
        <f t="shared" si="4"/>
        <v>-531.39716312057135</v>
      </c>
      <c r="G26" s="117">
        <f t="shared" si="4"/>
        <v>3162.2198581560297</v>
      </c>
      <c r="H26" s="117">
        <f t="shared" si="4"/>
        <v>3162.2198581560297</v>
      </c>
      <c r="I26" s="117">
        <f t="shared" si="4"/>
        <v>6855.8368794326234</v>
      </c>
      <c r="J26" s="117">
        <f t="shared" si="4"/>
        <v>6855.8368794326234</v>
      </c>
      <c r="K26" s="117">
        <f t="shared" si="4"/>
        <v>3162.2198581560297</v>
      </c>
      <c r="L26" s="117">
        <f t="shared" si="4"/>
        <v>-531.39716312057135</v>
      </c>
      <c r="M26" s="117">
        <f t="shared" si="4"/>
        <v>-7918.6312056737661</v>
      </c>
      <c r="N26" s="117">
        <f t="shared" si="4"/>
        <v>-11612.248226950356</v>
      </c>
      <c r="O26" s="118">
        <f t="shared" si="4"/>
        <v>26236</v>
      </c>
    </row>
    <row r="27" spans="2:15" x14ac:dyDescent="0.25">
      <c r="B27" s="131" t="s">
        <v>193</v>
      </c>
      <c r="C27" s="132">
        <f t="shared" ref="C27:N27" si="5">C11+C26</f>
        <v>32081.368794326205</v>
      </c>
      <c r="D27" s="132">
        <f t="shared" si="5"/>
        <v>27856.35460992904</v>
      </c>
      <c r="E27" s="132">
        <f t="shared" si="5"/>
        <v>23631.340425531875</v>
      </c>
      <c r="F27" s="132">
        <f t="shared" si="5"/>
        <v>23099.943262411303</v>
      </c>
      <c r="G27" s="132">
        <f t="shared" si="5"/>
        <v>26262.163120567333</v>
      </c>
      <c r="H27" s="132">
        <f t="shared" si="5"/>
        <v>29424.382978723363</v>
      </c>
      <c r="I27" s="132">
        <f t="shared" si="5"/>
        <v>36280.219858155986</v>
      </c>
      <c r="J27" s="132">
        <f t="shared" si="5"/>
        <v>43136.056737588609</v>
      </c>
      <c r="K27" s="132">
        <f t="shared" si="5"/>
        <v>46298.276595744639</v>
      </c>
      <c r="L27" s="132">
        <f t="shared" si="5"/>
        <v>45766.879432624068</v>
      </c>
      <c r="M27" s="132">
        <f t="shared" si="5"/>
        <v>37848.248226950302</v>
      </c>
      <c r="N27" s="132">
        <f t="shared" si="5"/>
        <v>26235.999999999945</v>
      </c>
      <c r="O27" s="133">
        <f>N27</f>
        <v>26235.999999999945</v>
      </c>
    </row>
    <row r="29" spans="2:15" ht="15" customHeight="1" x14ac:dyDescent="0.25">
      <c r="B29" s="143" t="s">
        <v>194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</row>
    <row r="30" spans="2:15" x14ac:dyDescent="0.25"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</row>
  </sheetData>
  <mergeCells count="6">
    <mergeCell ref="B29:O30"/>
    <mergeCell ref="A1:O1"/>
    <mergeCell ref="A2:O2"/>
    <mergeCell ref="A3:O3"/>
    <mergeCell ref="B5:O5"/>
    <mergeCell ref="B9:O9"/>
  </mergeCells>
  <conditionalFormatting sqref="C26:N26">
    <cfRule type="cellIs" dxfId="4" priority="2" operator="greaterThan">
      <formula>0</formula>
    </cfRule>
    <cfRule type="cellIs" dxfId="3" priority="3" operator="lessThan">
      <formula>0</formula>
    </cfRule>
  </conditionalFormatting>
  <conditionalFormatting sqref="C27:O27">
    <cfRule type="cellIs" dxfId="2" priority="4" operator="greaterThan">
      <formula>0</formula>
    </cfRule>
    <cfRule type="cellIs" dxfId="1" priority="5" operator="lessThan">
      <formula>0</formula>
    </cfRule>
    <cfRule type="expression" dxfId="0" priority="6">
      <formula>C27&lt;0</formula>
    </cfRule>
  </conditionalFormatting>
  <pageMargins left="0.75" right="0.75" top="1" bottom="1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Übersicht</vt:lpstr>
      <vt:lpstr>Investition &amp; Finanzierung</vt:lpstr>
      <vt:lpstr>Umsatzplanung</vt:lpstr>
      <vt:lpstr>Kostenplanung</vt:lpstr>
      <vt:lpstr>Rentabilitätsvorschau</vt:lpstr>
      <vt:lpstr>Liquiditätsplanung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2026-07-24T10:24:04Z</dcterms:created>
  <dcterms:modified xsi:type="dcterms:W3CDTF">2026-07-28T08:05:28Z</dcterms:modified>
  <dc:language>en-US</dc:language>
</cp:coreProperties>
</file>