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derungsaufstellung" sheetId="1" state="visible" r:id="rId3"/>
    <sheet name="Übersicht &amp; Stammdaten" sheetId="2" state="visible" r:id="rId4"/>
  </sheets>
  <definedNames>
    <definedName function="false" hidden="false" localSheetId="0" name="_xlnm.Print_Area" vbProcedure="false">Forderungsaufstellung!$B$1:$R$52</definedName>
    <definedName function="false" hidden="true" localSheetId="0" name="_xlnm._FilterDatabase" vbProcedure="false">Forderungsaufstellung!$B$17:$R$47</definedName>
    <definedName function="false" hidden="false" name="Stichtag" vbProcedure="false">Forderungsaufstellung!$P$7</definedName>
    <definedName function="false" hidden="false" name="Zahlungsziel" vbProcedure="false">Forderungsaufstellung!$K$8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<sst xmlns="http://schemas.openxmlformats.org/spreadsheetml/2006/main" count="253" uniqueCount="176">
  <si>
    <t xml:space="preserve">Forderungsaufstellung</t>
  </si>
  <si>
    <t xml:space="preserve">Offene Posten  ·  Fälligkeiten  ·  Mahnwesen  ·  Debitorenübersicht</t>
  </si>
  <si>
    <t xml:space="preserve">01  ▮  UNTERNEHMEN &amp; STICHTAG</t>
  </si>
  <si>
    <t xml:space="preserve">Unternehmen</t>
  </si>
  <si>
    <t xml:space="preserve">Muster &amp; Nord GmbH</t>
  </si>
  <si>
    <t xml:space="preserve">USt-IdNr.</t>
  </si>
  <si>
    <t xml:space="preserve">DE256478931</t>
  </si>
  <si>
    <t xml:space="preserve">Stichtag</t>
  </si>
  <si>
    <t xml:space="preserve">Straße</t>
  </si>
  <si>
    <t xml:space="preserve">Musterstraße 15</t>
  </si>
  <si>
    <t xml:space="preserve">Zahlungsziel</t>
  </si>
  <si>
    <t xml:space="preserve">Berichtsdatum</t>
  </si>
  <si>
    <t xml:space="preserve">PLZ / Ort</t>
  </si>
  <si>
    <t xml:space="preserve">26122 Musterstadt</t>
  </si>
  <si>
    <t xml:space="preserve">Währung</t>
  </si>
  <si>
    <t xml:space="preserve">EUR</t>
  </si>
  <si>
    <t xml:space="preserve">Ansprechpartner</t>
  </si>
  <si>
    <t xml:space="preserve">S. Nord</t>
  </si>
  <si>
    <t xml:space="preserve">02  ▮  KENNZAHLEN</t>
  </si>
  <si>
    <t xml:space="preserve">Offene Forderungen</t>
  </si>
  <si>
    <t xml:space="preserve">Offener Betrag</t>
  </si>
  <si>
    <t xml:space="preserve">Überfällig (Anzahl)</t>
  </si>
  <si>
    <t xml:space="preserve">Überfällig (Betrag)</t>
  </si>
  <si>
    <t xml:space="preserve">Ø Tage überfällig</t>
  </si>
  <si>
    <t xml:space="preserve">03  ▮  FORDERUNGSLISTE</t>
  </si>
  <si>
    <t xml:space="preserve">Stichtag der Bewertung:  30.06.2026  ·  Alle Beträge in EUR  ·  Berechnungen automatisch</t>
  </si>
  <si>
    <t xml:space="preserve">Nr.</t>
  </si>
  <si>
    <t xml:space="preserve">Rechnung-Nr.</t>
  </si>
  <si>
    <t xml:space="preserve">Rechnung-Datum</t>
  </si>
  <si>
    <t xml:space="preserve">Fällig am</t>
  </si>
  <si>
    <t xml:space="preserve">Kunde</t>
  </si>
  <si>
    <t xml:space="preserve">Kunde-Nr.</t>
  </si>
  <si>
    <t xml:space="preserve">Kategorie</t>
  </si>
  <si>
    <t xml:space="preserve">Netto €</t>
  </si>
  <si>
    <t xml:space="preserve">USt %</t>
  </si>
  <si>
    <t xml:space="preserve">USt €</t>
  </si>
  <si>
    <t xml:space="preserve">Brutto €</t>
  </si>
  <si>
    <t xml:space="preserve">Zahlung €</t>
  </si>
  <si>
    <t xml:space="preserve">Offen €</t>
  </si>
  <si>
    <t xml:space="preserve">Tage üfl.</t>
  </si>
  <si>
    <t xml:space="preserve">Mahnstufe</t>
  </si>
  <si>
    <t xml:space="preserve">Status</t>
  </si>
  <si>
    <t xml:space="preserve">Bemerkung</t>
  </si>
  <si>
    <t xml:space="preserve">R-2026-001</t>
  </si>
  <si>
    <t xml:space="preserve">Mustermann GmbH</t>
  </si>
  <si>
    <t xml:space="preserve">K-1001</t>
  </si>
  <si>
    <t xml:space="preserve">Beratung</t>
  </si>
  <si>
    <t xml:space="preserve">R-2026-002</t>
  </si>
  <si>
    <t xml:space="preserve">Nordwind AG</t>
  </si>
  <si>
    <t xml:space="preserve">K-1002</t>
  </si>
  <si>
    <t xml:space="preserve">Handelsware</t>
  </si>
  <si>
    <t xml:space="preserve">R-2026-003</t>
  </si>
  <si>
    <t xml:space="preserve">Hansa Handel KG</t>
  </si>
  <si>
    <t xml:space="preserve">K-1003</t>
  </si>
  <si>
    <t xml:space="preserve">Dienstleistung</t>
  </si>
  <si>
    <t xml:space="preserve">R-2026-004</t>
  </si>
  <si>
    <t xml:space="preserve">Berger &amp; Söhne GmbH</t>
  </si>
  <si>
    <t xml:space="preserve">K-1004</t>
  </si>
  <si>
    <t xml:space="preserve">R-2026-005</t>
  </si>
  <si>
    <t xml:space="preserve">Kramer Consulting</t>
  </si>
  <si>
    <t xml:space="preserve">K-1005</t>
  </si>
  <si>
    <t xml:space="preserve">R-2026-006</t>
  </si>
  <si>
    <t xml:space="preserve">Baumann Bau GmbH</t>
  </si>
  <si>
    <t xml:space="preserve">K-1006</t>
  </si>
  <si>
    <t xml:space="preserve">Wartung</t>
  </si>
  <si>
    <t xml:space="preserve">Ratenzahlung vereinbart</t>
  </si>
  <si>
    <t xml:space="preserve">R-2026-007</t>
  </si>
  <si>
    <t xml:space="preserve">Delta Vertriebs GmbH</t>
  </si>
  <si>
    <t xml:space="preserve">K-1007</t>
  </si>
  <si>
    <t xml:space="preserve">R-2026-008</t>
  </si>
  <si>
    <t xml:space="preserve">Fischer Logistik</t>
  </si>
  <si>
    <t xml:space="preserve">K-1008</t>
  </si>
  <si>
    <t xml:space="preserve">Kunde nicht erreichbar</t>
  </si>
  <si>
    <t xml:space="preserve">R-2026-009</t>
  </si>
  <si>
    <t xml:space="preserve">R-2026-010</t>
  </si>
  <si>
    <t xml:space="preserve">Klärung mit Einkauf</t>
  </si>
  <si>
    <t xml:space="preserve">R-2026-011</t>
  </si>
  <si>
    <t xml:space="preserve">Lizenz</t>
  </si>
  <si>
    <t xml:space="preserve">1. Mahnung versendet</t>
  </si>
  <si>
    <t xml:space="preserve">R-2026-012</t>
  </si>
  <si>
    <t xml:space="preserve">R-2026-013</t>
  </si>
  <si>
    <t xml:space="preserve">R-2026-014</t>
  </si>
  <si>
    <t xml:space="preserve">R-2026-015</t>
  </si>
  <si>
    <t xml:space="preserve">R-2026-016</t>
  </si>
  <si>
    <t xml:space="preserve">R-2026-017</t>
  </si>
  <si>
    <t xml:space="preserve">R-2026-018</t>
  </si>
  <si>
    <t xml:space="preserve">Wagner Metallbau</t>
  </si>
  <si>
    <t xml:space="preserve">K-1009</t>
  </si>
  <si>
    <t xml:space="preserve">R-2026-019</t>
  </si>
  <si>
    <t xml:space="preserve">R-2026-020</t>
  </si>
  <si>
    <t xml:space="preserve">R-2026-021</t>
  </si>
  <si>
    <t xml:space="preserve">Schmidt Handelsvertretung</t>
  </si>
  <si>
    <t xml:space="preserve">K-1010</t>
  </si>
  <si>
    <t xml:space="preserve">R-2026-022</t>
  </si>
  <si>
    <t xml:space="preserve">R-2025-098</t>
  </si>
  <si>
    <t xml:space="preserve">Sturm &amp; Partner</t>
  </si>
  <si>
    <t xml:space="preserve">K-1011</t>
  </si>
  <si>
    <t xml:space="preserve">Inkasso eingeleitet</t>
  </si>
  <si>
    <t xml:space="preserve">R-2025-104</t>
  </si>
  <si>
    <t xml:space="preserve">Teilzahlung, Rest offen</t>
  </si>
  <si>
    <t xml:space="preserve">R-2025-115</t>
  </si>
  <si>
    <t xml:space="preserve">3. Mahnung, Inkasso</t>
  </si>
  <si>
    <t xml:space="preserve">Σ</t>
  </si>
  <si>
    <t xml:space="preserve">04  ▮  LEGENDE  &amp;  MAHNSTUFEN</t>
  </si>
  <si>
    <t xml:space="preserve">Bezahlt</t>
  </si>
  <si>
    <t xml:space="preserve">Vollständig ausgeglichen</t>
  </si>
  <si>
    <t xml:space="preserve">Offen</t>
  </si>
  <si>
    <t xml:space="preserve">Noch nicht fällig</t>
  </si>
  <si>
    <t xml:space="preserve">Teilzahlung</t>
  </si>
  <si>
    <t xml:space="preserve">Teilbetrag eingegangen</t>
  </si>
  <si>
    <t xml:space="preserve">Überfällig</t>
  </si>
  <si>
    <t xml:space="preserve">Nach Fälligkeit unbeglichen</t>
  </si>
  <si>
    <t xml:space="preserve">Zahlungserinnerung</t>
  </si>
  <si>
    <t xml:space="preserve">1–10 Tage überfällig</t>
  </si>
  <si>
    <t xml:space="preserve">1. Mahnung</t>
  </si>
  <si>
    <t xml:space="preserve">11–30 Tage überfällig</t>
  </si>
  <si>
    <t xml:space="preserve">2. Mahnung</t>
  </si>
  <si>
    <t xml:space="preserve">31–60 Tage überfällig</t>
  </si>
  <si>
    <t xml:space="preserve">3. Mahnung / Inkasso</t>
  </si>
  <si>
    <t xml:space="preserve">&gt; 60 Tage überfällig</t>
  </si>
  <si>
    <t xml:space="preserve">Übersicht &amp; Auswertung</t>
  </si>
  <si>
    <t xml:space="preserve">Altersstruktur  ·  Debitoren  ·  Mahnstufen  ·  Prüfhinweise</t>
  </si>
  <si>
    <t xml:space="preserve">01  ▮  KENNZAHLEN</t>
  </si>
  <si>
    <t xml:space="preserve">Rechnungen gesamt</t>
  </si>
  <si>
    <t xml:space="preserve">Bruttoumsatz</t>
  </si>
  <si>
    <t xml:space="preserve">Zahlungseingang</t>
  </si>
  <si>
    <t xml:space="preserve">Zahlungsquote</t>
  </si>
  <si>
    <t xml:space="preserve">02  ▮  ALTERSSTRUKTURLISTE</t>
  </si>
  <si>
    <t xml:space="preserve">03  ▮  MAHNSTUFEN-VERTEILUNG</t>
  </si>
  <si>
    <t xml:space="preserve">Alterstufe</t>
  </si>
  <si>
    <t xml:space="preserve">Bereich</t>
  </si>
  <si>
    <t xml:space="preserve">Anzahl</t>
  </si>
  <si>
    <t xml:space="preserve">Summe offen €</t>
  </si>
  <si>
    <t xml:space="preserve">Anteil %</t>
  </si>
  <si>
    <t xml:space="preserve">Nicht fällig</t>
  </si>
  <si>
    <t xml:space="preserve">0 T</t>
  </si>
  <si>
    <t xml:space="preserve">Keine (—)</t>
  </si>
  <si>
    <t xml:space="preserve">1 – 30 Tage üfl.</t>
  </si>
  <si>
    <t xml:space="preserve">01 – 30 T</t>
  </si>
  <si>
    <t xml:space="preserve">31 – 60 Tage üfl.</t>
  </si>
  <si>
    <t xml:space="preserve">31 – 60 T</t>
  </si>
  <si>
    <t xml:space="preserve">61 – 90 Tage üfl.</t>
  </si>
  <si>
    <t xml:space="preserve">61 – 90 T</t>
  </si>
  <si>
    <t xml:space="preserve">&gt;  90 Tage üfl.</t>
  </si>
  <si>
    <t xml:space="preserve">&gt; 90 T</t>
  </si>
  <si>
    <t xml:space="preserve">Gesamt</t>
  </si>
  <si>
    <t xml:space="preserve">Σ  Gesamt</t>
  </si>
  <si>
    <t xml:space="preserve">04  ▮  DEBITORENÜBERSICHT</t>
  </si>
  <si>
    <t xml:space="preserve">05  ▮  PRÜFHINWEISE</t>
  </si>
  <si>
    <t xml:space="preserve">Rechn.</t>
  </si>
  <si>
    <t xml:space="preserve">Umsatz brutto €</t>
  </si>
  <si>
    <t xml:space="preserve">Bezahlt €</t>
  </si>
  <si>
    <t xml:space="preserve">Anteil offen %</t>
  </si>
  <si>
    <t xml:space="preserve">Prüfung</t>
  </si>
  <si>
    <t xml:space="preserve">Alle Rechnungen mit Kunde erfasst</t>
  </si>
  <si>
    <t xml:space="preserve">Fälligkeit ≥ Rechnungsdatum</t>
  </si>
  <si>
    <t xml:space="preserve">Keine Überzahlungen (Zahlung ≤ Brutto)</t>
  </si>
  <si>
    <t xml:space="preserve">Ø Tage überfällig ≤ 45 Tage</t>
  </si>
  <si>
    <t xml:space="preserve">Überfälliger Anteil ≤ 25 %</t>
  </si>
  <si>
    <t xml:space="preserve">Keine Forderung &gt; 90 Tage üfl.</t>
  </si>
  <si>
    <t xml:space="preserve">06  ▮  STAMMDATEN  ·  KATEGORIEN  ·  ANLEITUNG</t>
  </si>
  <si>
    <t xml:space="preserve">KATEGORIEN</t>
  </si>
  <si>
    <t xml:space="preserve">ANLEITUNG</t>
  </si>
  <si>
    <t xml:space="preserve">•  Beratung</t>
  </si>
  <si>
    <t xml:space="preserve">1.  Stichtag (Zelle P7 der Forderungsaufstellung) an aktuelles Berichtsdatum anpassen.</t>
  </si>
  <si>
    <t xml:space="preserve">•  Handelsware</t>
  </si>
  <si>
    <t xml:space="preserve">2.  Rechnungen ab Zeile 18 eintragen: Rechnungs-Nr., Datum, Fälligkeit, Kunde, Kategorie, Netto, USt %.</t>
  </si>
  <si>
    <t xml:space="preserve">•  Dienstleistung</t>
  </si>
  <si>
    <t xml:space="preserve">3.  USt €, Brutto, Offen, Tage überfällig, Mahnstufe und Status werden automatisch berechnet.</t>
  </si>
  <si>
    <t xml:space="preserve">•  Wartung</t>
  </si>
  <si>
    <t xml:space="preserve">4.  Zahlungseingänge in Spalte M erfassen — Offen und Status aktualisieren sich sofort.</t>
  </si>
  <si>
    <t xml:space="preserve">•  Lizenz</t>
  </si>
  <si>
    <t xml:space="preserve">5.  Mahnstufe eskaliert: 1–10 T (Erinnerung) / 11–30 T (1.) / 31–60 T (2.) / &gt; 60 T (3. / Inkasso).</t>
  </si>
  <si>
    <t xml:space="preserve">•  Sonstiges</t>
  </si>
  <si>
    <t xml:space="preserve">6.  Auf Sheet 2 die Auswertung von Altersstruktur, Mahnstufen, Debitoren und Prüfhinweisen ansehen.</t>
  </si>
  <si>
    <t xml:space="preserve">7.  Die Vorlage ist druckreif — Sektion 01 bis 03 auf Sheet 1 füllt eine A4-Seite quer.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</si>
</sst>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.mm\.yyyy"/>
    <numFmt numFmtId="166" formatCode="0&quot; Tage&quot;"/>
    <numFmt numFmtId="167" formatCode="0"/>
    <numFmt numFmtId="168" formatCode="#,##0.00&quot; €&quot;"/>
    <numFmt numFmtId="169" formatCode="0&quot; T&quot;"/>
    <numFmt numFmtId="170" formatCode="General"/>
    <numFmt numFmtId="171" formatCode="#,##0.00"/>
    <numFmt numFmtId="172" formatCode="0%"/>
    <numFmt numFmtId="173" formatCode="0.0%"/>
    <numFmt numFmtId="174" formatCode="#,##0"/>
  </numFmts>
  <fonts count="4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1"/>
      <color rgb="FFE5CA95"/>
      <name val="Calibri"/>
      <family val="0"/>
      <charset val="1"/>
    </font>
    <font>
      <b val="true"/>
      <sz val="11"/>
      <color rgb="FF1E4747"/>
      <name val="Calibri"/>
      <family val="0"/>
      <charset val="1"/>
    </font>
    <font>
      <sz val="9"/>
      <color rgb="FF4A5568"/>
      <name val="Calibri"/>
      <family val="0"/>
      <charset val="1"/>
    </font>
    <font>
      <b val="true"/>
      <sz val="18"/>
      <color rgb="FFB45B3E"/>
      <name val="Calibri"/>
      <family val="0"/>
      <charset val="1"/>
    </font>
    <font>
      <b val="true"/>
      <sz val="18"/>
      <color rgb="FF356666"/>
      <name val="Calibri"/>
      <family val="0"/>
      <charset val="1"/>
    </font>
    <font>
      <b val="true"/>
      <sz val="18"/>
      <color rgb="FFB03A28"/>
      <name val="Calibri"/>
      <family val="0"/>
      <charset val="1"/>
    </font>
    <font>
      <b val="true"/>
      <sz val="18"/>
      <color rgb="FFC99B4A"/>
      <name val="Calibri"/>
      <family val="0"/>
      <charset val="1"/>
    </font>
    <font>
      <i val="true"/>
      <sz val="9"/>
      <color rgb="FF4A5568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1E4747"/>
      <name val="Calibri"/>
      <family val="0"/>
      <charset val="1"/>
    </font>
    <font>
      <sz val="10"/>
      <color rgb="FF1E4747"/>
      <name val="Calibri"/>
      <family val="0"/>
      <charset val="1"/>
    </font>
    <font>
      <sz val="10"/>
      <color rgb="FF4A5568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b val="true"/>
      <sz val="9"/>
      <color rgb="FF1A1A1A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E5CA95"/>
      <name val="Calibri"/>
      <family val="0"/>
      <charset val="1"/>
    </font>
    <font>
      <sz val="9"/>
      <color rgb="FF1E4747"/>
      <name val="Calibri"/>
      <family val="0"/>
      <charset val="1"/>
    </font>
    <font>
      <b val="true"/>
      <sz val="20"/>
      <color rgb="FFB45B3E"/>
      <name val="Calibri"/>
      <family val="0"/>
      <charset val="1"/>
    </font>
    <font>
      <b val="true"/>
      <sz val="20"/>
      <color rgb="FF356666"/>
      <name val="Calibri"/>
      <family val="0"/>
      <charset val="1"/>
    </font>
    <font>
      <b val="true"/>
      <sz val="20"/>
      <color rgb="FF2E7A4F"/>
      <name val="Calibri"/>
      <family val="0"/>
      <charset val="1"/>
    </font>
    <font>
      <b val="true"/>
      <sz val="20"/>
      <color rgb="FFC99B4A"/>
      <name val="Calibri"/>
      <family val="0"/>
      <charset val="1"/>
    </font>
    <font>
      <b val="true"/>
      <sz val="20"/>
      <color rgb="FFB03A28"/>
      <name val="Calibri"/>
      <family val="0"/>
      <charset val="1"/>
    </font>
    <font>
      <b val="true"/>
      <sz val="20"/>
      <color rgb="FF1E4747"/>
      <name val="Calibri"/>
      <family val="0"/>
      <charset val="1"/>
    </font>
    <font>
      <b val="true"/>
      <sz val="10"/>
      <color rgb="FF4A5568"/>
      <name val="Calibri"/>
      <family val="0"/>
      <charset val="1"/>
    </font>
    <font>
      <sz val="1"/>
      <color rgb="FFFFFFFF"/>
      <name val="Calibri"/>
      <family val="0"/>
      <charset val="1"/>
    </font>
    <font>
      <b val="true"/>
      <sz val="10"/>
      <color rgb="FFC68A24"/>
      <name val="Calibri"/>
      <family val="0"/>
      <charset val="1"/>
    </font>
    <font>
      <b val="true"/>
      <sz val="10"/>
      <color rgb="FFD97706"/>
      <name val="Calibri"/>
      <family val="0"/>
      <charset val="1"/>
    </font>
    <font>
      <b val="true"/>
      <sz val="10"/>
      <color rgb="FFB03A28"/>
      <name val="Calibri"/>
      <family val="0"/>
      <charset val="1"/>
    </font>
    <font>
      <b val="true"/>
      <sz val="10"/>
      <color rgb="FF751E17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2E7A4F"/>
      <name val="Calibri"/>
      <family val="0"/>
      <charset val="1"/>
    </font>
    <font>
      <b val="true"/>
      <sz val="10"/>
      <color rgb="FFB45B3E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1E4747"/>
        <bgColor rgb="FF003366"/>
      </patternFill>
    </fill>
    <fill>
      <patternFill patternType="solid">
        <fgColor rgb="FFB45B3E"/>
        <bgColor rgb="FFB03A28"/>
      </patternFill>
    </fill>
    <fill>
      <patternFill patternType="solid">
        <fgColor rgb="FFFFF7DC"/>
        <bgColor rgb="FFF8F1DE"/>
      </patternFill>
    </fill>
    <fill>
      <patternFill patternType="solid">
        <fgColor rgb="FFFFFFFF"/>
        <bgColor rgb="FFFFF7DC"/>
      </patternFill>
    </fill>
    <fill>
      <patternFill patternType="solid">
        <fgColor rgb="FFF0EDE4"/>
        <bgColor rgb="FFF8F1DE"/>
      </patternFill>
    </fill>
    <fill>
      <patternFill patternType="solid">
        <fgColor rgb="FFF8F1DE"/>
        <bgColor rgb="FFF0EDE4"/>
      </patternFill>
    </fill>
    <fill>
      <patternFill patternType="solid">
        <fgColor rgb="FF2E7A4F"/>
        <bgColor rgb="FF356666"/>
      </patternFill>
    </fill>
    <fill>
      <patternFill patternType="solid">
        <fgColor rgb="FF4A5568"/>
        <bgColor rgb="FF356666"/>
      </patternFill>
    </fill>
    <fill>
      <patternFill patternType="solid">
        <fgColor rgb="FFC68A24"/>
        <bgColor rgb="FFC99B4A"/>
      </patternFill>
    </fill>
    <fill>
      <patternFill patternType="solid">
        <fgColor rgb="FFB03A28"/>
        <bgColor rgb="FF993366"/>
      </patternFill>
    </fill>
    <fill>
      <patternFill patternType="solid">
        <fgColor rgb="FFD97706"/>
        <bgColor rgb="FFC68A24"/>
      </patternFill>
    </fill>
    <fill>
      <patternFill patternType="solid">
        <fgColor rgb="FF751E17"/>
        <bgColor rgb="FF8000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E4747"/>
      </bottom>
      <diagonal/>
    </border>
    <border diagonalUp="false" diagonalDown="false">
      <left/>
      <right/>
      <top/>
      <bottom style="thin">
        <color rgb="FFD6CFC0"/>
      </bottom>
      <diagonal/>
    </border>
    <border diagonalUp="false" diagonalDown="false">
      <left/>
      <right/>
      <top style="thin">
        <color rgb="FFD6CFC0"/>
      </top>
      <bottom/>
      <diagonal/>
    </border>
    <border diagonalUp="false" diagonalDown="false">
      <left/>
      <right/>
      <top/>
      <bottom style="thick">
        <color rgb="FFB45B3E"/>
      </bottom>
      <diagonal/>
    </border>
    <border diagonalUp="false" diagonalDown="false">
      <left/>
      <right/>
      <top/>
      <bottom style="thick">
        <color rgb="FF356666"/>
      </bottom>
      <diagonal/>
    </border>
    <border diagonalUp="false" diagonalDown="false">
      <left/>
      <right/>
      <top/>
      <bottom style="thick">
        <color rgb="FFB03A28"/>
      </bottom>
      <diagonal/>
    </border>
    <border diagonalUp="false" diagonalDown="false">
      <left/>
      <right/>
      <top/>
      <bottom style="thick">
        <color rgb="FFC99B4A"/>
      </bottom>
      <diagonal/>
    </border>
    <border diagonalUp="false" diagonalDown="false">
      <left style="thin">
        <color rgb="FF356666"/>
      </left>
      <right style="thin">
        <color rgb="FF356666"/>
      </right>
      <top style="thin">
        <color rgb="FF1E4747"/>
      </top>
      <bottom style="medium">
        <color rgb="FFB45B3E"/>
      </bottom>
      <diagonal/>
    </border>
    <border diagonalUp="false" diagonalDown="false">
      <left style="thin">
        <color rgb="FFD6CFC0"/>
      </left>
      <right style="thin">
        <color rgb="FFD6CFC0"/>
      </right>
      <top style="thin">
        <color rgb="FFD6CFC0"/>
      </top>
      <bottom style="thin">
        <color rgb="FFD6CFC0"/>
      </bottom>
      <diagonal/>
    </border>
    <border diagonalUp="false" diagonalDown="false">
      <left/>
      <right/>
      <top style="medium">
        <color rgb="FF1E4747"/>
      </top>
      <bottom style="medium">
        <color rgb="FF1E4747"/>
      </bottom>
      <diagonal/>
    </border>
    <border diagonalUp="false" diagonalDown="false">
      <left/>
      <right/>
      <top/>
      <bottom style="thick">
        <color rgb="FF2E7A4F"/>
      </bottom>
      <diagonal/>
    </border>
    <border diagonalUp="false" diagonalDown="false">
      <left/>
      <right/>
      <top/>
      <bottom style="thick">
        <color rgb="FF1E4747"/>
      </bottom>
      <diagonal/>
    </border>
    <border diagonalUp="false" diagonalDown="false">
      <left/>
      <right/>
      <top style="thin">
        <color rgb="FF1E4747"/>
      </top>
      <bottom style="medium">
        <color rgb="FFB45B3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6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15" fillId="4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15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6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4" fillId="6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7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20" fillId="2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2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1" fillId="2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1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1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8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3" fontId="2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3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4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7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3" fontId="29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3" fillId="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4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1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5" fillId="0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36" fillId="0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37" fillId="0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2" fillId="0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9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5" fillId="7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36" fillId="7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37" fillId="7" borderId="9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2" fillId="7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6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ill>
        <patternFill patternType="solid">
          <fgColor rgb="FF1E4747"/>
          <bgColor rgb="FF000000"/>
        </patternFill>
      </fill>
    </dxf>
    <dxf>
      <fill>
        <patternFill patternType="solid">
          <fgColor rgb="FFF8F1D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4A556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7DC"/>
          <bgColor rgb="FF000000"/>
        </patternFill>
      </fill>
    </dxf>
    <dxf>
      <fill>
        <patternFill patternType="solid">
          <fgColor rgb="FFF0EDE4"/>
          <bgColor rgb="FF000000"/>
        </patternFill>
      </fill>
    </dxf>
    <dxf>
      <fill>
        <patternFill patternType="solid">
          <fgColor rgb="FFB45B3E"/>
          <bgColor rgb="FF000000"/>
        </patternFill>
      </fill>
    </dxf>
    <dxf>
      <fill>
        <patternFill patternType="solid">
          <fgColor rgb="FF1A1A1A"/>
          <bgColor rgb="FF000000"/>
        </patternFill>
      </fill>
    </dxf>
    <dxf>
      <fill>
        <patternFill patternType="solid">
          <fgColor rgb="FFB03A28"/>
          <bgColor rgb="FF000000"/>
        </patternFill>
      </fill>
    </dxf>
    <dxf>
      <fill>
        <patternFill patternType="solid">
          <fgColor rgb="FFE3B5AC"/>
          <bgColor rgb="FF000000"/>
        </patternFill>
      </fill>
    </dxf>
    <dxf>
      <fill>
        <patternFill patternType="solid">
          <fgColor rgb="FFF3D9D2"/>
          <bgColor rgb="FF000000"/>
        </patternFill>
      </fill>
    </dxf>
    <dxf>
      <fill>
        <patternFill patternType="solid">
          <fgColor rgb="FFF7ECCF"/>
          <bgColor rgb="FF000000"/>
        </patternFill>
      </fill>
    </dxf>
    <dxf>
      <fill>
        <patternFill patternType="solid">
          <fgColor rgb="FFFEE9CC"/>
          <bgColor rgb="FF000000"/>
        </patternFill>
      </fill>
    </dxf>
    <dxf>
      <fill>
        <patternFill patternType="solid">
          <fgColor rgb="FF751E17"/>
          <bgColor rgb="FF000000"/>
        </patternFill>
      </fill>
    </dxf>
    <dxf>
      <fill>
        <patternFill patternType="solid">
          <fgColor rgb="FFC68A24"/>
          <bgColor rgb="FF000000"/>
        </patternFill>
      </fill>
    </dxf>
    <dxf>
      <fill>
        <patternFill patternType="solid">
          <fgColor rgb="FFD97706"/>
          <bgColor rgb="FF000000"/>
        </patternFill>
      </fill>
    </dxf>
    <dxf>
      <fill>
        <patternFill patternType="solid">
          <fgColor rgb="FFDDEDE1"/>
          <bgColor rgb="FF000000"/>
        </patternFill>
      </fill>
    </dxf>
    <dxf>
      <fill>
        <patternFill patternType="solid">
          <fgColor rgb="FFE5E7EB"/>
          <bgColor rgb="FF000000"/>
        </patternFill>
      </fill>
    </dxf>
    <dxf>
      <fill>
        <patternFill patternType="solid">
          <fgColor rgb="FF2E7A4F"/>
          <bgColor rgb="FF000000"/>
        </patternFill>
      </fill>
    </dxf>
    <dxf>
      <font>
        <name val="Calibri"/>
        <charset val="1"/>
        <family val="0"/>
        <b val="1"/>
        <color rgb="FF2E7A4F"/>
        <sz val="10"/>
      </font>
      <fill>
        <patternFill>
          <bgColor rgb="FFDDEDE1"/>
        </patternFill>
      </fill>
    </dxf>
    <dxf>
      <font>
        <name val="Calibri"/>
        <charset val="1"/>
        <family val="0"/>
        <b val="1"/>
        <color rgb="FF4A5568"/>
        <sz val="10"/>
      </font>
      <fill>
        <patternFill>
          <bgColor rgb="FFE5E7EB"/>
        </patternFill>
      </fill>
    </dxf>
    <dxf>
      <font>
        <name val="Calibri"/>
        <charset val="1"/>
        <family val="0"/>
        <b val="1"/>
        <color rgb="FFC68A24"/>
        <sz val="10"/>
      </font>
      <fill>
        <patternFill>
          <bgColor rgb="FFF7ECCF"/>
        </patternFill>
      </fill>
    </dxf>
    <dxf>
      <font>
        <name val="Calibri"/>
        <charset val="1"/>
        <family val="0"/>
        <b val="1"/>
        <color rgb="FFB03A28"/>
        <sz val="10"/>
      </font>
      <fill>
        <patternFill>
          <bgColor rgb="FFF3D9D2"/>
        </patternFill>
      </fill>
    </dxf>
    <dxf>
      <font>
        <name val="Calibri"/>
        <charset val="1"/>
        <family val="0"/>
        <b val="1"/>
        <color rgb="FFC68A24"/>
        <sz val="9"/>
      </font>
      <fill>
        <patternFill>
          <bgColor rgb="FFF7ECCF"/>
        </patternFill>
      </fill>
    </dxf>
    <dxf>
      <font>
        <name val="Calibri"/>
        <charset val="1"/>
        <family val="0"/>
        <b val="1"/>
        <color rgb="FFD97706"/>
        <sz val="9"/>
      </font>
      <fill>
        <patternFill>
          <bgColor rgb="FFFEE9CC"/>
        </patternFill>
      </fill>
    </dxf>
    <dxf>
      <font>
        <name val="Calibri"/>
        <charset val="1"/>
        <family val="0"/>
        <b val="1"/>
        <color rgb="FFB03A28"/>
        <sz val="9"/>
      </font>
      <fill>
        <patternFill>
          <bgColor rgb="FFF3D9D2"/>
        </patternFill>
      </fill>
    </dxf>
    <dxf>
      <font>
        <name val="Calibri"/>
        <charset val="1"/>
        <family val="0"/>
        <b val="1"/>
        <color rgb="FF751E17"/>
        <sz val="9"/>
      </font>
      <fill>
        <patternFill>
          <bgColor rgb="FFE3B5AC"/>
        </patternFill>
      </fill>
    </dxf>
    <dxf>
      <font>
        <name val="Calibri"/>
        <charset val="1"/>
        <family val="0"/>
        <b val="1"/>
        <color rgb="FFB03A28"/>
        <sz val="10"/>
      </font>
    </dxf>
    <dxf>
      <font>
        <name val="Calibri"/>
        <charset val="1"/>
        <family val="0"/>
        <b val="1"/>
        <color rgb="FFB45B3E"/>
        <sz val="10"/>
      </font>
    </dxf>
    <dxf>
      <font>
        <name val="Calibri"/>
        <charset val="1"/>
        <family val="0"/>
        <b val="1"/>
        <color rgb="FF2E7A4F"/>
        <sz val="9"/>
      </font>
      <fill>
        <patternFill>
          <bgColor rgb="FFDDEDE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8F1DE"/>
      <rgbColor rgb="FFFF00FF"/>
      <rgbColor rgb="FF00FFFF"/>
      <rgbColor rgb="FF751E17"/>
      <rgbColor rgb="FF008000"/>
      <rgbColor rgb="FF000080"/>
      <rgbColor rgb="FF808000"/>
      <rgbColor rgb="FF800080"/>
      <rgbColor rgb="FF356666"/>
      <rgbColor rgb="FFD6CFC0"/>
      <rgbColor rgb="FF878787"/>
      <rgbColor rgb="FF9999FF"/>
      <rgbColor rgb="FFB45B3E"/>
      <rgbColor rgb="FFFFF7DC"/>
      <rgbColor rgb="FFE5E7E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DE4"/>
      <rgbColor rgb="FFDDEDE1"/>
      <rgbColor rgb="FFF7ECCF"/>
      <rgbColor rgb="FFF3D9D2"/>
      <rgbColor rgb="FFE3B5AC"/>
      <rgbColor rgb="FFFEE9CC"/>
      <rgbColor rgb="FFE5CA95"/>
      <rgbColor rgb="FF4F81BD"/>
      <rgbColor rgb="FF33CCCC"/>
      <rgbColor rgb="FF99CC00"/>
      <rgbColor rgb="FFFFCC00"/>
      <rgbColor rgb="FFC68A24"/>
      <rgbColor rgb="FFD97706"/>
      <rgbColor rgb="FF4A5568"/>
      <rgbColor rgb="FFC99B4A"/>
      <rgbColor rgb="FF003366"/>
      <rgbColor rgb="FF2E7A4F"/>
      <rgbColor rgb="FF003300"/>
      <rgbColor rgb="FF1A1A1A"/>
      <rgbColor rgb="FFB03A28"/>
      <rgbColor rgb="FF993366"/>
      <rgbColor rgb="FF333399"/>
      <rgbColor rgb="FF1E474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Offene Beträge nach Altersstufe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'Übersicht &amp; Stammdaten'!E14</c:f>
              <c:strCache>
                <c:ptCount val="1"/>
                <c:pt idx="0">
                  <c:v>Summe offen €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4a5568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68a24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d9770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b03a28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751e17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'Übersicht &amp; Stammdaten'!$B$15:$B$19</c:f>
              <c:strCache>
                <c:ptCount val="5"/>
                <c:pt idx="0">
                  <c:v>Nicht fällig</c:v>
                </c:pt>
                <c:pt idx="1">
                  <c:v>1 – 30 Tage üfl.</c:v>
                </c:pt>
                <c:pt idx="2">
                  <c:v>31 – 60 Tage üfl.</c:v>
                </c:pt>
                <c:pt idx="3">
                  <c:v>61 – 90 Tage üfl.</c:v>
                </c:pt>
                <c:pt idx="4">
                  <c:v>&gt;  90 Tage üfl.</c:v>
                </c:pt>
              </c:strCache>
            </c:strRef>
          </c:cat>
          <c:val>
            <c:numRef>
              <c:f>'Übersicht &amp; Stammdaten'!$E$15:$E$19</c:f>
              <c:numCache>
                <c:formatCode>#,##0.00</c:formatCode>
                <c:ptCount val="5"/>
                <c:pt idx="0">
                  <c:v>47005</c:v>
                </c:pt>
                <c:pt idx="1">
                  <c:v>12435.5</c:v>
                </c:pt>
                <c:pt idx="2">
                  <c:v>26537</c:v>
                </c:pt>
                <c:pt idx="3">
                  <c:v>7330</c:v>
                </c:pt>
                <c:pt idx="4">
                  <c:v>11316.5</c:v>
                </c:pt>
              </c:numCache>
            </c:numRef>
          </c:val>
        </c:ser>
        <c:gapWidth val="150"/>
        <c:overlap val="0"/>
        <c:axId val="93792839"/>
        <c:axId val="18437566"/>
      </c:barChart>
      <c:catAx>
        <c:axId val="93792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437566"/>
        <c:crosses val="autoZero"/>
        <c:auto val="1"/>
        <c:lblAlgn val="ctr"/>
        <c:lblOffset val="100"/>
        <c:noMultiLvlLbl val="0"/>
      </c:catAx>
      <c:valAx>
        <c:axId val="184375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79283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Verteilung nach Mahnstufe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a5568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68a24"/>
              </a:solidFill>
              <a:ln w="0">
                <a:noFill/>
              </a:ln>
            </c:spPr>
          </c:dPt>
          <c:dPt>
            <c:idx val="2"/>
            <c:spPr>
              <a:solidFill>
                <a:srgbClr val="d97706"/>
              </a:solidFill>
              <a:ln w="0">
                <a:noFill/>
              </a:ln>
            </c:spPr>
          </c:dPt>
          <c:dPt>
            <c:idx val="3"/>
            <c:spPr>
              <a:solidFill>
                <a:srgbClr val="b03a28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51e17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'Übersicht &amp; Stammdaten'!$I$15:$I$19</c:f>
              <c:strCache>
                <c:ptCount val="5"/>
                <c:pt idx="0">
                  <c:v>Keine (—)</c:v>
                </c:pt>
                <c:pt idx="1">
                  <c:v>Zahlungserinnerung</c:v>
                </c:pt>
                <c:pt idx="2">
                  <c:v>1. Mahnung</c:v>
                </c:pt>
                <c:pt idx="3">
                  <c:v>2. Mahnung</c:v>
                </c:pt>
                <c:pt idx="4">
                  <c:v>3. Mahnung / Inkasso</c:v>
                </c:pt>
              </c:strCache>
            </c:strRef>
          </c:cat>
          <c:val>
            <c:numRef>
              <c:f>'Übersicht &amp; Stammdaten'!$K$15:$K$19</c:f>
              <c:numCache>
                <c:formatCode>#,##0.00</c:formatCode>
                <c:ptCount val="5"/>
                <c:pt idx="0">
                  <c:v>47005</c:v>
                </c:pt>
                <c:pt idx="1">
                  <c:v>5355</c:v>
                </c:pt>
                <c:pt idx="2">
                  <c:v>7080.5</c:v>
                </c:pt>
                <c:pt idx="3">
                  <c:v>26537</c:v>
                </c:pt>
                <c:pt idx="4">
                  <c:v>18646.5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44</xdr:row>
      <xdr:rowOff>0</xdr:rowOff>
    </xdr:from>
    <xdr:to>
      <xdr:col>6</xdr:col>
      <xdr:colOff>262080</xdr:colOff>
      <xdr:row>59</xdr:row>
      <xdr:rowOff>22320</xdr:rowOff>
    </xdr:to>
    <xdr:graphicFrame>
      <xdr:nvGraphicFramePr>
        <xdr:cNvPr id="0" name="Chart 1"/>
        <xdr:cNvGraphicFramePr/>
      </xdr:nvGraphicFramePr>
      <xdr:xfrm>
        <a:off x="106200" y="11192040"/>
        <a:ext cx="575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44</xdr:row>
      <xdr:rowOff>0</xdr:rowOff>
    </xdr:from>
    <xdr:to>
      <xdr:col>11</xdr:col>
      <xdr:colOff>216360</xdr:colOff>
      <xdr:row>59</xdr:row>
      <xdr:rowOff>22320</xdr:rowOff>
    </xdr:to>
    <xdr:graphicFrame>
      <xdr:nvGraphicFramePr>
        <xdr:cNvPr id="1" name="Chart 2"/>
        <xdr:cNvGraphicFramePr/>
      </xdr:nvGraphicFramePr>
      <xdr:xfrm>
        <a:off x="6802200" y="11192040"/>
        <a:ext cx="359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52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pane xSplit="2" ySplit="0" topLeftCell="C18" activePane="topRight" state="frozen"/>
      <selection pane="topLeft" activeCell="A18" activeCellId="0" sqref="A18"/>
      <selection pane="top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4.5"/>
    <col collapsed="false" customWidth="true" hidden="false" outlineLevel="0" max="5" min="3" style="0" width="12"/>
    <col collapsed="false" customWidth="true" hidden="false" outlineLevel="0" max="6" min="6" style="0" width="22"/>
    <col collapsed="false" customWidth="true" hidden="false" outlineLevel="0" max="7" min="7" style="0" width="10"/>
    <col collapsed="false" customWidth="true" hidden="false" outlineLevel="0" max="8" min="8" style="0" width="13"/>
    <col collapsed="false" customWidth="true" hidden="false" outlineLevel="0" max="9" min="9" style="0" width="11"/>
    <col collapsed="false" customWidth="true" hidden="false" outlineLevel="0" max="10" min="10" style="0" width="7"/>
    <col collapsed="false" customWidth="true" hidden="false" outlineLevel="0" max="11" min="11" style="0" width="10"/>
    <col collapsed="false" customWidth="true" hidden="false" outlineLevel="0" max="14" min="12" style="0" width="11"/>
    <col collapsed="false" customWidth="true" hidden="false" outlineLevel="0" max="15" min="15" style="0" width="8"/>
    <col collapsed="false" customWidth="true" hidden="false" outlineLevel="0" max="16" min="16" style="0" width="15"/>
    <col collapsed="false" customWidth="true" hidden="false" outlineLevel="0" max="17" min="17" style="0" width="12"/>
    <col collapsed="false" customWidth="true" hidden="false" outlineLevel="0" max="18" min="18" style="0" width="17"/>
  </cols>
  <sheetData>
    <row r="1" customFormat="false" ht="31.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6" hidden="false" customHeight="true" outlineLevel="0" collapsed="false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6" hidden="false" customHeight="true" outlineLevel="0" collapsed="false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7.5" hidden="false" customHeight="true" outlineLevel="0" collapsed="false"/>
    <row r="6" customFormat="false" ht="24" hidden="false" customHeight="true" outlineLevel="0" collapsed="false"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customFormat="false" ht="21.75" hidden="false" customHeight="true" outlineLevel="0" collapsed="false">
      <c r="B7" s="6" t="s">
        <v>3</v>
      </c>
      <c r="C7" s="6"/>
      <c r="D7" s="7" t="s">
        <v>4</v>
      </c>
      <c r="E7" s="7"/>
      <c r="F7" s="7"/>
      <c r="G7" s="7"/>
      <c r="H7" s="7"/>
      <c r="I7" s="6" t="s">
        <v>5</v>
      </c>
      <c r="J7" s="6"/>
      <c r="K7" s="7" t="s">
        <v>6</v>
      </c>
      <c r="L7" s="7"/>
      <c r="M7" s="7"/>
      <c r="N7" s="6" t="s">
        <v>7</v>
      </c>
      <c r="O7" s="6"/>
      <c r="P7" s="8" t="n">
        <v>46203</v>
      </c>
      <c r="Q7" s="8"/>
      <c r="R7" s="8"/>
    </row>
    <row r="8" customFormat="false" ht="21.75" hidden="false" customHeight="true" outlineLevel="0" collapsed="false">
      <c r="B8" s="6" t="s">
        <v>8</v>
      </c>
      <c r="C8" s="6"/>
      <c r="D8" s="7" t="s">
        <v>9</v>
      </c>
      <c r="E8" s="7"/>
      <c r="F8" s="7"/>
      <c r="G8" s="7"/>
      <c r="H8" s="7"/>
      <c r="I8" s="6" t="s">
        <v>10</v>
      </c>
      <c r="J8" s="6"/>
      <c r="K8" s="9" t="n">
        <v>30</v>
      </c>
      <c r="L8" s="9"/>
      <c r="M8" s="9"/>
      <c r="N8" s="6" t="s">
        <v>11</v>
      </c>
      <c r="O8" s="6"/>
      <c r="P8" s="8" t="n">
        <v>46203</v>
      </c>
      <c r="Q8" s="8"/>
      <c r="R8" s="8"/>
    </row>
    <row r="9" customFormat="false" ht="21.75" hidden="false" customHeight="true" outlineLevel="0" collapsed="false">
      <c r="B9" s="6" t="s">
        <v>12</v>
      </c>
      <c r="C9" s="6"/>
      <c r="D9" s="7" t="s">
        <v>13</v>
      </c>
      <c r="E9" s="7"/>
      <c r="F9" s="7"/>
      <c r="G9" s="7"/>
      <c r="H9" s="7"/>
      <c r="I9" s="6" t="s">
        <v>14</v>
      </c>
      <c r="J9" s="6"/>
      <c r="K9" s="7" t="s">
        <v>15</v>
      </c>
      <c r="L9" s="7"/>
      <c r="M9" s="7"/>
      <c r="N9" s="6" t="s">
        <v>16</v>
      </c>
      <c r="O9" s="6"/>
      <c r="P9" s="7" t="s">
        <v>17</v>
      </c>
      <c r="Q9" s="7"/>
      <c r="R9" s="7"/>
    </row>
    <row r="10" customFormat="false" ht="7.5" hidden="false" customHeight="true" outlineLevel="0" collapsed="false"/>
    <row r="11" customFormat="false" ht="24" hidden="false" customHeight="true" outlineLevel="0" collapsed="false">
      <c r="B11" s="5" t="s">
        <v>18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customFormat="false" ht="18" hidden="false" customHeight="true" outlineLevel="0" collapsed="false">
      <c r="B12" s="10" t="s">
        <v>19</v>
      </c>
      <c r="C12" s="10"/>
      <c r="D12" s="10"/>
      <c r="E12" s="10"/>
      <c r="F12" s="10" t="s">
        <v>20</v>
      </c>
      <c r="G12" s="10"/>
      <c r="H12" s="10"/>
      <c r="I12" s="10" t="s">
        <v>21</v>
      </c>
      <c r="J12" s="10"/>
      <c r="K12" s="10"/>
      <c r="L12" s="10" t="s">
        <v>22</v>
      </c>
      <c r="M12" s="10"/>
      <c r="N12" s="10"/>
      <c r="O12" s="10" t="s">
        <v>23</v>
      </c>
      <c r="P12" s="10"/>
      <c r="Q12" s="10"/>
      <c r="R12" s="10"/>
    </row>
    <row r="13" customFormat="false" ht="39.75" hidden="false" customHeight="true" outlineLevel="0" collapsed="false">
      <c r="B13" s="11" t="n">
        <f aca="false">COUNTIF(N18:N47,"&gt;0")</f>
        <v>17</v>
      </c>
      <c r="C13" s="11"/>
      <c r="D13" s="11"/>
      <c r="E13" s="11"/>
      <c r="F13" s="12" t="n">
        <f aca="false">SUM(N18:N47)</f>
        <v>104624</v>
      </c>
      <c r="G13" s="12"/>
      <c r="H13" s="12"/>
      <c r="I13" s="13" t="n">
        <f aca="false">COUNTIFS(N18:N47,"&gt;0",O18:O47,"&gt;0")</f>
        <v>10</v>
      </c>
      <c r="J13" s="13"/>
      <c r="K13" s="13"/>
      <c r="L13" s="14" t="n">
        <f aca="false">SUMIFS(N18:N47,N18:N47,"&gt;0",O18:O47,"&gt;0")</f>
        <v>57619</v>
      </c>
      <c r="M13" s="14"/>
      <c r="N13" s="14"/>
      <c r="O13" s="15" t="n">
        <f aca="false">IFERROR(AVERAGEIFS(O18:O47,N18:N47,"&gt;0",O18:O47,"&gt;0"),0)</f>
        <v>83.8</v>
      </c>
      <c r="P13" s="15"/>
      <c r="Q13" s="15"/>
      <c r="R13" s="15"/>
    </row>
    <row r="14" customFormat="false" ht="7.5" hidden="false" customHeight="true" outlineLevel="0" collapsed="false"/>
    <row r="15" customFormat="false" ht="24" hidden="false" customHeight="true" outlineLevel="0" collapsed="false">
      <c r="B15" s="5" t="s">
        <v>24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customFormat="false" ht="21.75" hidden="false" customHeight="true" outlineLevel="0" collapsed="false">
      <c r="B16" s="16" t="s">
        <v>25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Format="false" ht="33.75" hidden="false" customHeight="true" outlineLevel="0" collapsed="false">
      <c r="B17" s="17" t="s">
        <v>26</v>
      </c>
      <c r="C17" s="17" t="s">
        <v>27</v>
      </c>
      <c r="D17" s="17" t="s">
        <v>28</v>
      </c>
      <c r="E17" s="17" t="s">
        <v>29</v>
      </c>
      <c r="F17" s="17" t="s">
        <v>30</v>
      </c>
      <c r="G17" s="17" t="s">
        <v>31</v>
      </c>
      <c r="H17" s="17" t="s">
        <v>32</v>
      </c>
      <c r="I17" s="17" t="s">
        <v>33</v>
      </c>
      <c r="J17" s="17" t="s">
        <v>34</v>
      </c>
      <c r="K17" s="17" t="s">
        <v>35</v>
      </c>
      <c r="L17" s="17" t="s">
        <v>36</v>
      </c>
      <c r="M17" s="17" t="s">
        <v>37</v>
      </c>
      <c r="N17" s="17" t="s">
        <v>38</v>
      </c>
      <c r="O17" s="17" t="s">
        <v>39</v>
      </c>
      <c r="P17" s="17" t="s">
        <v>40</v>
      </c>
      <c r="Q17" s="17" t="s">
        <v>41</v>
      </c>
      <c r="R17" s="17" t="s">
        <v>42</v>
      </c>
    </row>
    <row r="18" customFormat="false" ht="19.5" hidden="false" customHeight="true" outlineLevel="0" collapsed="false">
      <c r="B18" s="18" t="n">
        <f aca="false">IF(C18&lt;&gt;"",COUNTA(C$18:C18),"")</f>
        <v>1</v>
      </c>
      <c r="C18" s="19" t="s">
        <v>43</v>
      </c>
      <c r="D18" s="20" t="n">
        <v>46037</v>
      </c>
      <c r="E18" s="20" t="n">
        <v>46067</v>
      </c>
      <c r="F18" s="21" t="s">
        <v>44</v>
      </c>
      <c r="G18" s="18" t="s">
        <v>45</v>
      </c>
      <c r="H18" s="22" t="s">
        <v>46</v>
      </c>
      <c r="I18" s="23" t="n">
        <v>4500</v>
      </c>
      <c r="J18" s="24" t="n">
        <v>0.19</v>
      </c>
      <c r="K18" s="25" t="n">
        <f aca="false">IF(I18="","",ROUND(I18*J18,2))</f>
        <v>855</v>
      </c>
      <c r="L18" s="26" t="n">
        <f aca="false">IF(I18="","",I18+K18)</f>
        <v>5355</v>
      </c>
      <c r="M18" s="23" t="n">
        <v>5355</v>
      </c>
      <c r="N18" s="26" t="n">
        <f aca="false">IF(L18="","",MAX(0,L18-IF(M18="",0,M18)))</f>
        <v>0</v>
      </c>
      <c r="O18" s="27" t="n">
        <f aca="false">IF(OR(E18="",N18=0),0,MAX(0,Stichtag-E18))</f>
        <v>0</v>
      </c>
      <c r="P18" s="28" t="str">
        <f aca="false">IF(C18="","",IF(OR(N18="",N18=0),"—",IF(O18=0,"—",IF(O18&lt;=10,"Zahlungserinnerung",IF(O18&lt;=30,"1. Mahnung",IF(O18&lt;=60,"2. Mahnung","3. Mahnung / Inkasso"))))))</f>
        <v>—</v>
      </c>
      <c r="Q18" s="29" t="str">
        <f aca="false">IF(L18="","",IF(N18=0,"Bezahlt",IF(O18&gt;0,"Überfällig",IF(M18&gt;0,"Teilzahlung","Offen"))))</f>
        <v>Bezahlt</v>
      </c>
      <c r="R18" s="22"/>
    </row>
    <row r="19" customFormat="false" ht="19.5" hidden="false" customHeight="true" outlineLevel="0" collapsed="false">
      <c r="B19" s="30" t="n">
        <f aca="false">IF(C19&lt;&gt;"",COUNTA(C$18:C19),"")</f>
        <v>2</v>
      </c>
      <c r="C19" s="31" t="s">
        <v>47</v>
      </c>
      <c r="D19" s="32" t="n">
        <v>46042</v>
      </c>
      <c r="E19" s="32" t="n">
        <v>46072</v>
      </c>
      <c r="F19" s="33" t="s">
        <v>48</v>
      </c>
      <c r="G19" s="30" t="s">
        <v>49</v>
      </c>
      <c r="H19" s="34" t="s">
        <v>50</v>
      </c>
      <c r="I19" s="23" t="n">
        <v>12800</v>
      </c>
      <c r="J19" s="24" t="n">
        <v>0.19</v>
      </c>
      <c r="K19" s="25" t="n">
        <f aca="false">IF(I19="","",ROUND(I19*J19,2))</f>
        <v>2432</v>
      </c>
      <c r="L19" s="26" t="n">
        <f aca="false">IF(I19="","",I19+K19)</f>
        <v>15232</v>
      </c>
      <c r="M19" s="23" t="n">
        <v>15232</v>
      </c>
      <c r="N19" s="26" t="n">
        <f aca="false">IF(L19="","",MAX(0,L19-IF(M19="",0,M19)))</f>
        <v>0</v>
      </c>
      <c r="O19" s="27" t="n">
        <f aca="false">IF(OR(E19="",N19=0),0,MAX(0,Stichtag-E19))</f>
        <v>0</v>
      </c>
      <c r="P19" s="28" t="str">
        <f aca="false">IF(C19="","",IF(OR(N19="",N19=0),"—",IF(O19=0,"—",IF(O19&lt;=10,"Zahlungserinnerung",IF(O19&lt;=30,"1. Mahnung",IF(O19&lt;=60,"2. Mahnung","3. Mahnung / Inkasso"))))))</f>
        <v>—</v>
      </c>
      <c r="Q19" s="29" t="str">
        <f aca="false">IF(L19="","",IF(N19=0,"Bezahlt",IF(O19&gt;0,"Überfällig",IF(M19&gt;0,"Teilzahlung","Offen"))))</f>
        <v>Bezahlt</v>
      </c>
      <c r="R19" s="34"/>
    </row>
    <row r="20" customFormat="false" ht="19.5" hidden="false" customHeight="true" outlineLevel="0" collapsed="false">
      <c r="B20" s="18" t="n">
        <f aca="false">IF(C20&lt;&gt;"",COUNTA(C$18:C20),"")</f>
        <v>3</v>
      </c>
      <c r="C20" s="19" t="s">
        <v>51</v>
      </c>
      <c r="D20" s="20" t="n">
        <v>46055</v>
      </c>
      <c r="E20" s="20" t="n">
        <v>46085</v>
      </c>
      <c r="F20" s="21" t="s">
        <v>52</v>
      </c>
      <c r="G20" s="18" t="s">
        <v>53</v>
      </c>
      <c r="H20" s="22" t="s">
        <v>54</v>
      </c>
      <c r="I20" s="23" t="n">
        <v>3200</v>
      </c>
      <c r="J20" s="24" t="n">
        <v>0.19</v>
      </c>
      <c r="K20" s="25" t="n">
        <f aca="false">IF(I20="","",ROUND(I20*J20,2))</f>
        <v>608</v>
      </c>
      <c r="L20" s="26" t="n">
        <f aca="false">IF(I20="","",I20+K20)</f>
        <v>3808</v>
      </c>
      <c r="M20" s="23" t="n">
        <v>3808</v>
      </c>
      <c r="N20" s="26" t="n">
        <f aca="false">IF(L20="","",MAX(0,L20-IF(M20="",0,M20)))</f>
        <v>0</v>
      </c>
      <c r="O20" s="27" t="n">
        <f aca="false">IF(OR(E20="",N20=0),0,MAX(0,Stichtag-E20))</f>
        <v>0</v>
      </c>
      <c r="P20" s="28" t="str">
        <f aca="false">IF(C20="","",IF(OR(N20="",N20=0),"—",IF(O20=0,"—",IF(O20&lt;=10,"Zahlungserinnerung",IF(O20&lt;=30,"1. Mahnung",IF(O20&lt;=60,"2. Mahnung","3. Mahnung / Inkasso"))))))</f>
        <v>—</v>
      </c>
      <c r="Q20" s="29" t="str">
        <f aca="false">IF(L20="","",IF(N20=0,"Bezahlt",IF(O20&gt;0,"Überfällig",IF(M20&gt;0,"Teilzahlung","Offen"))))</f>
        <v>Bezahlt</v>
      </c>
      <c r="R20" s="22"/>
    </row>
    <row r="21" customFormat="false" ht="19.5" hidden="false" customHeight="true" outlineLevel="0" collapsed="false">
      <c r="B21" s="30" t="n">
        <f aca="false">IF(C21&lt;&gt;"",COUNTA(C$18:C21),"")</f>
        <v>4</v>
      </c>
      <c r="C21" s="31" t="s">
        <v>55</v>
      </c>
      <c r="D21" s="32" t="n">
        <v>46068</v>
      </c>
      <c r="E21" s="32" t="n">
        <v>46098</v>
      </c>
      <c r="F21" s="33" t="s">
        <v>56</v>
      </c>
      <c r="G21" s="30" t="s">
        <v>57</v>
      </c>
      <c r="H21" s="34" t="s">
        <v>50</v>
      </c>
      <c r="I21" s="23" t="n">
        <v>8900</v>
      </c>
      <c r="J21" s="24" t="n">
        <v>0.19</v>
      </c>
      <c r="K21" s="25" t="n">
        <f aca="false">IF(I21="","",ROUND(I21*J21,2))</f>
        <v>1691</v>
      </c>
      <c r="L21" s="26" t="n">
        <f aca="false">IF(I21="","",I21+K21)</f>
        <v>10591</v>
      </c>
      <c r="M21" s="23" t="n">
        <v>10591</v>
      </c>
      <c r="N21" s="26" t="n">
        <f aca="false">IF(L21="","",MAX(0,L21-IF(M21="",0,M21)))</f>
        <v>0</v>
      </c>
      <c r="O21" s="27" t="n">
        <f aca="false">IF(OR(E21="",N21=0),0,MAX(0,Stichtag-E21))</f>
        <v>0</v>
      </c>
      <c r="P21" s="28" t="str">
        <f aca="false">IF(C21="","",IF(OR(N21="",N21=0),"—",IF(O21=0,"—",IF(O21&lt;=10,"Zahlungserinnerung",IF(O21&lt;=30,"1. Mahnung",IF(O21&lt;=60,"2. Mahnung","3. Mahnung / Inkasso"))))))</f>
        <v>—</v>
      </c>
      <c r="Q21" s="29" t="str">
        <f aca="false">IF(L21="","",IF(N21=0,"Bezahlt",IF(O21&gt;0,"Überfällig",IF(M21&gt;0,"Teilzahlung","Offen"))))</f>
        <v>Bezahlt</v>
      </c>
      <c r="R21" s="34"/>
    </row>
    <row r="22" customFormat="false" ht="19.5" hidden="false" customHeight="true" outlineLevel="0" collapsed="false">
      <c r="B22" s="18" t="n">
        <f aca="false">IF(C22&lt;&gt;"",COUNTA(C$18:C22),"")</f>
        <v>5</v>
      </c>
      <c r="C22" s="19" t="s">
        <v>58</v>
      </c>
      <c r="D22" s="20" t="n">
        <v>46078</v>
      </c>
      <c r="E22" s="20" t="n">
        <v>46108</v>
      </c>
      <c r="F22" s="21" t="s">
        <v>59</v>
      </c>
      <c r="G22" s="18" t="s">
        <v>60</v>
      </c>
      <c r="H22" s="22" t="s">
        <v>46</v>
      </c>
      <c r="I22" s="23" t="n">
        <v>5400</v>
      </c>
      <c r="J22" s="24" t="n">
        <v>0.19</v>
      </c>
      <c r="K22" s="25" t="n">
        <f aca="false">IF(I22="","",ROUND(I22*J22,2))</f>
        <v>1026</v>
      </c>
      <c r="L22" s="26" t="n">
        <f aca="false">IF(I22="","",I22+K22)</f>
        <v>6426</v>
      </c>
      <c r="M22" s="23" t="n">
        <v>6426</v>
      </c>
      <c r="N22" s="26" t="n">
        <f aca="false">IF(L22="","",MAX(0,L22-IF(M22="",0,M22)))</f>
        <v>0</v>
      </c>
      <c r="O22" s="27" t="n">
        <f aca="false">IF(OR(E22="",N22=0),0,MAX(0,Stichtag-E22))</f>
        <v>0</v>
      </c>
      <c r="P22" s="28" t="str">
        <f aca="false">IF(C22="","",IF(OR(N22="",N22=0),"—",IF(O22=0,"—",IF(O22&lt;=10,"Zahlungserinnerung",IF(O22&lt;=30,"1. Mahnung",IF(O22&lt;=60,"2. Mahnung","3. Mahnung / Inkasso"))))))</f>
        <v>—</v>
      </c>
      <c r="Q22" s="29" t="str">
        <f aca="false">IF(L22="","",IF(N22=0,"Bezahlt",IF(O22&gt;0,"Überfällig",IF(M22&gt;0,"Teilzahlung","Offen"))))</f>
        <v>Bezahlt</v>
      </c>
      <c r="R22" s="22"/>
    </row>
    <row r="23" customFormat="false" ht="19.5" hidden="false" customHeight="true" outlineLevel="0" collapsed="false">
      <c r="B23" s="30" t="n">
        <f aca="false">IF(C23&lt;&gt;"",COUNTA(C$18:C23),"")</f>
        <v>6</v>
      </c>
      <c r="C23" s="31" t="s">
        <v>61</v>
      </c>
      <c r="D23" s="32" t="n">
        <v>46086</v>
      </c>
      <c r="E23" s="32" t="n">
        <v>46116</v>
      </c>
      <c r="F23" s="33" t="s">
        <v>62</v>
      </c>
      <c r="G23" s="30" t="s">
        <v>63</v>
      </c>
      <c r="H23" s="34" t="s">
        <v>64</v>
      </c>
      <c r="I23" s="23" t="n">
        <v>2850</v>
      </c>
      <c r="J23" s="24" t="n">
        <v>0.19</v>
      </c>
      <c r="K23" s="25" t="n">
        <f aca="false">IF(I23="","",ROUND(I23*J23,2))</f>
        <v>541.5</v>
      </c>
      <c r="L23" s="26" t="n">
        <f aca="false">IF(I23="","",I23+K23)</f>
        <v>3391.5</v>
      </c>
      <c r="M23" s="23" t="n">
        <v>1000</v>
      </c>
      <c r="N23" s="26" t="n">
        <f aca="false">IF(L23="","",MAX(0,L23-IF(M23="",0,M23)))</f>
        <v>2391.5</v>
      </c>
      <c r="O23" s="27" t="n">
        <f aca="false">IF(OR(E23="",N23=0),0,MAX(0,Stichtag-E23))</f>
        <v>87</v>
      </c>
      <c r="P23" s="28" t="str">
        <f aca="false">IF(C23="","",IF(OR(N23="",N23=0),"—",IF(O23=0,"—",IF(O23&lt;=10,"Zahlungserinnerung",IF(O23&lt;=30,"1. Mahnung",IF(O23&lt;=60,"2. Mahnung","3. Mahnung / Inkasso"))))))</f>
        <v>3. Mahnung / Inkasso</v>
      </c>
      <c r="Q23" s="29" t="str">
        <f aca="false">IF(L23="","",IF(N23=0,"Bezahlt",IF(O23&gt;0,"Überfällig",IF(M23&gt;0,"Teilzahlung","Offen"))))</f>
        <v>Überfällig</v>
      </c>
      <c r="R23" s="34" t="s">
        <v>65</v>
      </c>
    </row>
    <row r="24" customFormat="false" ht="19.5" hidden="false" customHeight="true" outlineLevel="0" collapsed="false">
      <c r="B24" s="18" t="n">
        <f aca="false">IF(C24&lt;&gt;"",COUNTA(C$18:C24),"")</f>
        <v>7</v>
      </c>
      <c r="C24" s="19" t="s">
        <v>66</v>
      </c>
      <c r="D24" s="20" t="n">
        <v>46093</v>
      </c>
      <c r="E24" s="20" t="n">
        <v>46123</v>
      </c>
      <c r="F24" s="21" t="s">
        <v>67</v>
      </c>
      <c r="G24" s="18" t="s">
        <v>68</v>
      </c>
      <c r="H24" s="22" t="s">
        <v>50</v>
      </c>
      <c r="I24" s="23" t="n">
        <v>7600</v>
      </c>
      <c r="J24" s="24" t="n">
        <v>0.19</v>
      </c>
      <c r="K24" s="25" t="n">
        <f aca="false">IF(I24="","",ROUND(I24*J24,2))</f>
        <v>1444</v>
      </c>
      <c r="L24" s="26" t="n">
        <f aca="false">IF(I24="","",I24+K24)</f>
        <v>9044</v>
      </c>
      <c r="M24" s="23" t="n">
        <v>9044</v>
      </c>
      <c r="N24" s="26" t="n">
        <f aca="false">IF(L24="","",MAX(0,L24-IF(M24="",0,M24)))</f>
        <v>0</v>
      </c>
      <c r="O24" s="27" t="n">
        <f aca="false">IF(OR(E24="",N24=0),0,MAX(0,Stichtag-E24))</f>
        <v>0</v>
      </c>
      <c r="P24" s="28" t="str">
        <f aca="false">IF(C24="","",IF(OR(N24="",N24=0),"—",IF(O24=0,"—",IF(O24&lt;=10,"Zahlungserinnerung",IF(O24&lt;=30,"1. Mahnung",IF(O24&lt;=60,"2. Mahnung","3. Mahnung / Inkasso"))))))</f>
        <v>—</v>
      </c>
      <c r="Q24" s="29" t="str">
        <f aca="false">IF(L24="","",IF(N24=0,"Bezahlt",IF(O24&gt;0,"Überfällig",IF(M24&gt;0,"Teilzahlung","Offen"))))</f>
        <v>Bezahlt</v>
      </c>
      <c r="R24" s="22"/>
    </row>
    <row r="25" customFormat="false" ht="19.5" hidden="false" customHeight="true" outlineLevel="0" collapsed="false">
      <c r="B25" s="30" t="n">
        <f aca="false">IF(C25&lt;&gt;"",COUNTA(C$18:C25),"")</f>
        <v>8</v>
      </c>
      <c r="C25" s="31" t="s">
        <v>69</v>
      </c>
      <c r="D25" s="32" t="n">
        <v>46103</v>
      </c>
      <c r="E25" s="32" t="n">
        <v>46133</v>
      </c>
      <c r="F25" s="33" t="s">
        <v>70</v>
      </c>
      <c r="G25" s="30" t="s">
        <v>71</v>
      </c>
      <c r="H25" s="34" t="s">
        <v>54</v>
      </c>
      <c r="I25" s="23" t="n">
        <v>4150</v>
      </c>
      <c r="J25" s="24" t="n">
        <v>0.19</v>
      </c>
      <c r="K25" s="25" t="n">
        <f aca="false">IF(I25="","",ROUND(I25*J25,2))</f>
        <v>788.5</v>
      </c>
      <c r="L25" s="26" t="n">
        <f aca="false">IF(I25="","",I25+K25)</f>
        <v>4938.5</v>
      </c>
      <c r="M25" s="23" t="n">
        <v>0</v>
      </c>
      <c r="N25" s="26" t="n">
        <f aca="false">IF(L25="","",MAX(0,L25-IF(M25="",0,M25)))</f>
        <v>4938.5</v>
      </c>
      <c r="O25" s="27" t="n">
        <f aca="false">IF(OR(E25="",N25=0),0,MAX(0,Stichtag-E25))</f>
        <v>70</v>
      </c>
      <c r="P25" s="28" t="str">
        <f aca="false">IF(C25="","",IF(OR(N25="",N25=0),"—",IF(O25=0,"—",IF(O25&lt;=10,"Zahlungserinnerung",IF(O25&lt;=30,"1. Mahnung",IF(O25&lt;=60,"2. Mahnung","3. Mahnung / Inkasso"))))))</f>
        <v>3. Mahnung / Inkasso</v>
      </c>
      <c r="Q25" s="29" t="str">
        <f aca="false">IF(L25="","",IF(N25=0,"Bezahlt",IF(O25&gt;0,"Überfällig",IF(M25&gt;0,"Teilzahlung","Offen"))))</f>
        <v>Überfällig</v>
      </c>
      <c r="R25" s="34" t="s">
        <v>72</v>
      </c>
    </row>
    <row r="26" customFormat="false" ht="19.5" hidden="false" customHeight="true" outlineLevel="0" collapsed="false">
      <c r="B26" s="18" t="n">
        <f aca="false">IF(C26&lt;&gt;"",COUNTA(C$18:C26),"")</f>
        <v>9</v>
      </c>
      <c r="C26" s="19" t="s">
        <v>73</v>
      </c>
      <c r="D26" s="20" t="n">
        <v>46115</v>
      </c>
      <c r="E26" s="20" t="n">
        <v>46145</v>
      </c>
      <c r="F26" s="21" t="s">
        <v>44</v>
      </c>
      <c r="G26" s="18" t="s">
        <v>45</v>
      </c>
      <c r="H26" s="22" t="s">
        <v>46</v>
      </c>
      <c r="I26" s="23" t="n">
        <v>3800</v>
      </c>
      <c r="J26" s="24" t="n">
        <v>0.19</v>
      </c>
      <c r="K26" s="25" t="n">
        <f aca="false">IF(I26="","",ROUND(I26*J26,2))</f>
        <v>722</v>
      </c>
      <c r="L26" s="26" t="n">
        <f aca="false">IF(I26="","",I26+K26)</f>
        <v>4522</v>
      </c>
      <c r="M26" s="23" t="n">
        <v>4522</v>
      </c>
      <c r="N26" s="26" t="n">
        <f aca="false">IF(L26="","",MAX(0,L26-IF(M26="",0,M26)))</f>
        <v>0</v>
      </c>
      <c r="O26" s="27" t="n">
        <f aca="false">IF(OR(E26="",N26=0),0,MAX(0,Stichtag-E26))</f>
        <v>0</v>
      </c>
      <c r="P26" s="28" t="str">
        <f aca="false">IF(C26="","",IF(OR(N26="",N26=0),"—",IF(O26=0,"—",IF(O26&lt;=10,"Zahlungserinnerung",IF(O26&lt;=30,"1. Mahnung",IF(O26&lt;=60,"2. Mahnung","3. Mahnung / Inkasso"))))))</f>
        <v>—</v>
      </c>
      <c r="Q26" s="29" t="str">
        <f aca="false">IF(L26="","",IF(N26=0,"Bezahlt",IF(O26&gt;0,"Überfällig",IF(M26&gt;0,"Teilzahlung","Offen"))))</f>
        <v>Bezahlt</v>
      </c>
      <c r="R26" s="22"/>
    </row>
    <row r="27" customFormat="false" ht="19.5" hidden="false" customHeight="true" outlineLevel="0" collapsed="false">
      <c r="B27" s="30" t="n">
        <f aca="false">IF(C27&lt;&gt;"",COUNTA(C$18:C27),"")</f>
        <v>10</v>
      </c>
      <c r="C27" s="31" t="s">
        <v>74</v>
      </c>
      <c r="D27" s="32" t="n">
        <v>46124</v>
      </c>
      <c r="E27" s="32" t="n">
        <v>46154</v>
      </c>
      <c r="F27" s="33" t="s">
        <v>48</v>
      </c>
      <c r="G27" s="30" t="s">
        <v>49</v>
      </c>
      <c r="H27" s="34" t="s">
        <v>50</v>
      </c>
      <c r="I27" s="23" t="n">
        <v>15400</v>
      </c>
      <c r="J27" s="24" t="n">
        <v>0.19</v>
      </c>
      <c r="K27" s="25" t="n">
        <f aca="false">IF(I27="","",ROUND(I27*J27,2))</f>
        <v>2926</v>
      </c>
      <c r="L27" s="26" t="n">
        <f aca="false">IF(I27="","",I27+K27)</f>
        <v>18326</v>
      </c>
      <c r="M27" s="23" t="n">
        <v>0</v>
      </c>
      <c r="N27" s="26" t="n">
        <f aca="false">IF(L27="","",MAX(0,L27-IF(M27="",0,M27)))</f>
        <v>18326</v>
      </c>
      <c r="O27" s="27" t="n">
        <f aca="false">IF(OR(E27="",N27=0),0,MAX(0,Stichtag-E27))</f>
        <v>49</v>
      </c>
      <c r="P27" s="28" t="str">
        <f aca="false">IF(C27="","",IF(OR(N27="",N27=0),"—",IF(O27=0,"—",IF(O27&lt;=10,"Zahlungserinnerung",IF(O27&lt;=30,"1. Mahnung",IF(O27&lt;=60,"2. Mahnung","3. Mahnung / Inkasso"))))))</f>
        <v>2. Mahnung</v>
      </c>
      <c r="Q27" s="29" t="str">
        <f aca="false">IF(L27="","",IF(N27=0,"Bezahlt",IF(O27&gt;0,"Überfällig",IF(M27&gt;0,"Teilzahlung","Offen"))))</f>
        <v>Überfällig</v>
      </c>
      <c r="R27" s="34" t="s">
        <v>75</v>
      </c>
    </row>
    <row r="28" customFormat="false" ht="19.5" hidden="false" customHeight="true" outlineLevel="0" collapsed="false">
      <c r="B28" s="18" t="n">
        <f aca="false">IF(C28&lt;&gt;"",COUNTA(C$18:C28),"")</f>
        <v>11</v>
      </c>
      <c r="C28" s="19" t="s">
        <v>76</v>
      </c>
      <c r="D28" s="20" t="n">
        <v>46137</v>
      </c>
      <c r="E28" s="20" t="n">
        <v>46167</v>
      </c>
      <c r="F28" s="21" t="s">
        <v>59</v>
      </c>
      <c r="G28" s="18" t="s">
        <v>60</v>
      </c>
      <c r="H28" s="22" t="s">
        <v>77</v>
      </c>
      <c r="I28" s="23" t="n">
        <v>6900</v>
      </c>
      <c r="J28" s="24" t="n">
        <v>0.19</v>
      </c>
      <c r="K28" s="25" t="n">
        <f aca="false">IF(I28="","",ROUND(I28*J28,2))</f>
        <v>1311</v>
      </c>
      <c r="L28" s="26" t="n">
        <f aca="false">IF(I28="","",I28+K28)</f>
        <v>8211</v>
      </c>
      <c r="M28" s="23" t="n">
        <v>0</v>
      </c>
      <c r="N28" s="26" t="n">
        <f aca="false">IF(L28="","",MAX(0,L28-IF(M28="",0,M28)))</f>
        <v>8211</v>
      </c>
      <c r="O28" s="27" t="n">
        <f aca="false">IF(OR(E28="",N28=0),0,MAX(0,Stichtag-E28))</f>
        <v>36</v>
      </c>
      <c r="P28" s="28" t="str">
        <f aca="false">IF(C28="","",IF(OR(N28="",N28=0),"—",IF(O28=0,"—",IF(O28&lt;=10,"Zahlungserinnerung",IF(O28&lt;=30,"1. Mahnung",IF(O28&lt;=60,"2. Mahnung","3. Mahnung / Inkasso"))))))</f>
        <v>2. Mahnung</v>
      </c>
      <c r="Q28" s="29" t="str">
        <f aca="false">IF(L28="","",IF(N28=0,"Bezahlt",IF(O28&gt;0,"Überfällig",IF(M28&gt;0,"Teilzahlung","Offen"))))</f>
        <v>Überfällig</v>
      </c>
      <c r="R28" s="22" t="s">
        <v>78</v>
      </c>
    </row>
    <row r="29" customFormat="false" ht="19.5" hidden="false" customHeight="true" outlineLevel="0" collapsed="false">
      <c r="B29" s="30" t="n">
        <f aca="false">IF(C29&lt;&gt;"",COUNTA(C$18:C29),"")</f>
        <v>12</v>
      </c>
      <c r="C29" s="31" t="s">
        <v>79</v>
      </c>
      <c r="D29" s="32" t="n">
        <v>46147</v>
      </c>
      <c r="E29" s="32" t="n">
        <v>46177</v>
      </c>
      <c r="F29" s="33" t="s">
        <v>52</v>
      </c>
      <c r="G29" s="30" t="s">
        <v>53</v>
      </c>
      <c r="H29" s="34" t="s">
        <v>54</v>
      </c>
      <c r="I29" s="23" t="n">
        <v>2750</v>
      </c>
      <c r="J29" s="24" t="n">
        <v>0.19</v>
      </c>
      <c r="K29" s="25" t="n">
        <f aca="false">IF(I29="","",ROUND(I29*J29,2))</f>
        <v>522.5</v>
      </c>
      <c r="L29" s="26" t="n">
        <f aca="false">IF(I29="","",I29+K29)</f>
        <v>3272.5</v>
      </c>
      <c r="M29" s="23" t="n">
        <v>0</v>
      </c>
      <c r="N29" s="26" t="n">
        <f aca="false">IF(L29="","",MAX(0,L29-IF(M29="",0,M29)))</f>
        <v>3272.5</v>
      </c>
      <c r="O29" s="27" t="n">
        <f aca="false">IF(OR(E29="",N29=0),0,MAX(0,Stichtag-E29))</f>
        <v>26</v>
      </c>
      <c r="P29" s="28" t="str">
        <f aca="false">IF(C29="","",IF(OR(N29="",N29=0),"—",IF(O29=0,"—",IF(O29&lt;=10,"Zahlungserinnerung",IF(O29&lt;=30,"1. Mahnung",IF(O29&lt;=60,"2. Mahnung","3. Mahnung / Inkasso"))))))</f>
        <v>1. Mahnung</v>
      </c>
      <c r="Q29" s="29" t="str">
        <f aca="false">IF(L29="","",IF(N29=0,"Bezahlt",IF(O29&gt;0,"Überfällig",IF(M29&gt;0,"Teilzahlung","Offen"))))</f>
        <v>Überfällig</v>
      </c>
      <c r="R29" s="34"/>
    </row>
    <row r="30" customFormat="false" ht="19.5" hidden="false" customHeight="true" outlineLevel="0" collapsed="false">
      <c r="B30" s="18" t="n">
        <f aca="false">IF(C30&lt;&gt;"",COUNTA(C$18:C30),"")</f>
        <v>13</v>
      </c>
      <c r="C30" s="19" t="s">
        <v>80</v>
      </c>
      <c r="D30" s="20" t="n">
        <v>46157</v>
      </c>
      <c r="E30" s="20" t="n">
        <v>46187</v>
      </c>
      <c r="F30" s="21" t="s">
        <v>62</v>
      </c>
      <c r="G30" s="18" t="s">
        <v>63</v>
      </c>
      <c r="H30" s="22" t="s">
        <v>64</v>
      </c>
      <c r="I30" s="23" t="n">
        <v>3200</v>
      </c>
      <c r="J30" s="24" t="n">
        <v>0.19</v>
      </c>
      <c r="K30" s="25" t="n">
        <f aca="false">IF(I30="","",ROUND(I30*J30,2))</f>
        <v>608</v>
      </c>
      <c r="L30" s="26" t="n">
        <f aca="false">IF(I30="","",I30+K30)</f>
        <v>3808</v>
      </c>
      <c r="M30" s="23" t="n">
        <v>0</v>
      </c>
      <c r="N30" s="26" t="n">
        <f aca="false">IF(L30="","",MAX(0,L30-IF(M30="",0,M30)))</f>
        <v>3808</v>
      </c>
      <c r="O30" s="27" t="n">
        <f aca="false">IF(OR(E30="",N30=0),0,MAX(0,Stichtag-E30))</f>
        <v>16</v>
      </c>
      <c r="P30" s="28" t="str">
        <f aca="false">IF(C30="","",IF(OR(N30="",N30=0),"—",IF(O30=0,"—",IF(O30&lt;=10,"Zahlungserinnerung",IF(O30&lt;=30,"1. Mahnung",IF(O30&lt;=60,"2. Mahnung","3. Mahnung / Inkasso"))))))</f>
        <v>1. Mahnung</v>
      </c>
      <c r="Q30" s="29" t="str">
        <f aca="false">IF(L30="","",IF(N30=0,"Bezahlt",IF(O30&gt;0,"Überfällig",IF(M30&gt;0,"Teilzahlung","Offen"))))</f>
        <v>Überfällig</v>
      </c>
      <c r="R30" s="22"/>
    </row>
    <row r="31" customFormat="false" ht="19.5" hidden="false" customHeight="true" outlineLevel="0" collapsed="false">
      <c r="B31" s="30" t="n">
        <f aca="false">IF(C31&lt;&gt;"",COUNTA(C$18:C31),"")</f>
        <v>14</v>
      </c>
      <c r="C31" s="31" t="s">
        <v>81</v>
      </c>
      <c r="D31" s="32" t="n">
        <v>46164</v>
      </c>
      <c r="E31" s="32" t="n">
        <v>46194</v>
      </c>
      <c r="F31" s="33" t="s">
        <v>67</v>
      </c>
      <c r="G31" s="30" t="s">
        <v>68</v>
      </c>
      <c r="H31" s="34" t="s">
        <v>50</v>
      </c>
      <c r="I31" s="23" t="n">
        <v>9100</v>
      </c>
      <c r="J31" s="24" t="n">
        <v>0.19</v>
      </c>
      <c r="K31" s="25" t="n">
        <f aca="false">IF(I31="","",ROUND(I31*J31,2))</f>
        <v>1729</v>
      </c>
      <c r="L31" s="26" t="n">
        <f aca="false">IF(I31="","",I31+K31)</f>
        <v>10829</v>
      </c>
      <c r="M31" s="23" t="n">
        <v>10829</v>
      </c>
      <c r="N31" s="26" t="n">
        <f aca="false">IF(L31="","",MAX(0,L31-IF(M31="",0,M31)))</f>
        <v>0</v>
      </c>
      <c r="O31" s="27" t="n">
        <f aca="false">IF(OR(E31="",N31=0),0,MAX(0,Stichtag-E31))</f>
        <v>0</v>
      </c>
      <c r="P31" s="28" t="str">
        <f aca="false">IF(C31="","",IF(OR(N31="",N31=0),"—",IF(O31=0,"—",IF(O31&lt;=10,"Zahlungserinnerung",IF(O31&lt;=30,"1. Mahnung",IF(O31&lt;=60,"2. Mahnung","3. Mahnung / Inkasso"))))))</f>
        <v>—</v>
      </c>
      <c r="Q31" s="29" t="str">
        <f aca="false">IF(L31="","",IF(N31=0,"Bezahlt",IF(O31&gt;0,"Überfällig",IF(M31&gt;0,"Teilzahlung","Offen"))))</f>
        <v>Bezahlt</v>
      </c>
      <c r="R31" s="34"/>
    </row>
    <row r="32" customFormat="false" ht="19.5" hidden="false" customHeight="true" outlineLevel="0" collapsed="false">
      <c r="B32" s="18" t="n">
        <f aca="false">IF(C32&lt;&gt;"",COUNTA(C$18:C32),"")</f>
        <v>15</v>
      </c>
      <c r="C32" s="19" t="s">
        <v>82</v>
      </c>
      <c r="D32" s="20" t="n">
        <v>46170</v>
      </c>
      <c r="E32" s="20" t="n">
        <v>46200</v>
      </c>
      <c r="F32" s="21" t="s">
        <v>56</v>
      </c>
      <c r="G32" s="18" t="s">
        <v>57</v>
      </c>
      <c r="H32" s="22" t="s">
        <v>50</v>
      </c>
      <c r="I32" s="23" t="n">
        <v>4500</v>
      </c>
      <c r="J32" s="24" t="n">
        <v>0.19</v>
      </c>
      <c r="K32" s="25" t="n">
        <f aca="false">IF(I32="","",ROUND(I32*J32,2))</f>
        <v>855</v>
      </c>
      <c r="L32" s="26" t="n">
        <f aca="false">IF(I32="","",I32+K32)</f>
        <v>5355</v>
      </c>
      <c r="M32" s="23" t="n">
        <v>0</v>
      </c>
      <c r="N32" s="26" t="n">
        <f aca="false">IF(L32="","",MAX(0,L32-IF(M32="",0,M32)))</f>
        <v>5355</v>
      </c>
      <c r="O32" s="27" t="n">
        <f aca="false">IF(OR(E32="",N32=0),0,MAX(0,Stichtag-E32))</f>
        <v>3</v>
      </c>
      <c r="P32" s="28" t="str">
        <f aca="false">IF(C32="","",IF(OR(N32="",N32=0),"—",IF(O32=0,"—",IF(O32&lt;=10,"Zahlungserinnerung",IF(O32&lt;=30,"1. Mahnung",IF(O32&lt;=60,"2. Mahnung","3. Mahnung / Inkasso"))))))</f>
        <v>Zahlungserinnerung</v>
      </c>
      <c r="Q32" s="29" t="str">
        <f aca="false">IF(L32="","",IF(N32=0,"Bezahlt",IF(O32&gt;0,"Überfällig",IF(M32&gt;0,"Teilzahlung","Offen"))))</f>
        <v>Überfällig</v>
      </c>
      <c r="R32" s="22"/>
    </row>
    <row r="33" customFormat="false" ht="19.5" hidden="false" customHeight="true" outlineLevel="0" collapsed="false">
      <c r="B33" s="30" t="n">
        <f aca="false">IF(C33&lt;&gt;"",COUNTA(C$18:C33),"")</f>
        <v>16</v>
      </c>
      <c r="C33" s="31" t="s">
        <v>83</v>
      </c>
      <c r="D33" s="32" t="n">
        <v>46177</v>
      </c>
      <c r="E33" s="32" t="n">
        <v>46207</v>
      </c>
      <c r="F33" s="33" t="s">
        <v>44</v>
      </c>
      <c r="G33" s="30" t="s">
        <v>45</v>
      </c>
      <c r="H33" s="34" t="s">
        <v>46</v>
      </c>
      <c r="I33" s="23" t="n">
        <v>5200</v>
      </c>
      <c r="J33" s="24" t="n">
        <v>0.19</v>
      </c>
      <c r="K33" s="25" t="n">
        <f aca="false">IF(I33="","",ROUND(I33*J33,2))</f>
        <v>988</v>
      </c>
      <c r="L33" s="26" t="n">
        <f aca="false">IF(I33="","",I33+K33)</f>
        <v>6188</v>
      </c>
      <c r="M33" s="23" t="n">
        <v>0</v>
      </c>
      <c r="N33" s="26" t="n">
        <f aca="false">IF(L33="","",MAX(0,L33-IF(M33="",0,M33)))</f>
        <v>6188</v>
      </c>
      <c r="O33" s="27" t="n">
        <f aca="false">IF(OR(E33="",N33=0),0,MAX(0,Stichtag-E33))</f>
        <v>0</v>
      </c>
      <c r="P33" s="28" t="str">
        <f aca="false">IF(C33="","",IF(OR(N33="",N33=0),"—",IF(O33=0,"—",IF(O33&lt;=10,"Zahlungserinnerung",IF(O33&lt;=30,"1. Mahnung",IF(O33&lt;=60,"2. Mahnung","3. Mahnung / Inkasso"))))))</f>
        <v>—</v>
      </c>
      <c r="Q33" s="29" t="str">
        <f aca="false">IF(L33="","",IF(N33=0,"Bezahlt",IF(O33&gt;0,"Überfällig",IF(M33&gt;0,"Teilzahlung","Offen"))))</f>
        <v>Offen</v>
      </c>
      <c r="R33" s="34"/>
    </row>
    <row r="34" customFormat="false" ht="19.5" hidden="false" customHeight="true" outlineLevel="0" collapsed="false">
      <c r="B34" s="18" t="n">
        <f aca="false">IF(C34&lt;&gt;"",COUNTA(C$18:C34),"")</f>
        <v>17</v>
      </c>
      <c r="C34" s="19" t="s">
        <v>84</v>
      </c>
      <c r="D34" s="20" t="n">
        <v>46181</v>
      </c>
      <c r="E34" s="20" t="n">
        <v>46211</v>
      </c>
      <c r="F34" s="21" t="s">
        <v>48</v>
      </c>
      <c r="G34" s="18" t="s">
        <v>49</v>
      </c>
      <c r="H34" s="22" t="s">
        <v>50</v>
      </c>
      <c r="I34" s="23" t="n">
        <v>11300</v>
      </c>
      <c r="J34" s="24" t="n">
        <v>0.19</v>
      </c>
      <c r="K34" s="25" t="n">
        <f aca="false">IF(I34="","",ROUND(I34*J34,2))</f>
        <v>2147</v>
      </c>
      <c r="L34" s="26" t="n">
        <f aca="false">IF(I34="","",I34+K34)</f>
        <v>13447</v>
      </c>
      <c r="M34" s="23" t="n">
        <v>0</v>
      </c>
      <c r="N34" s="26" t="n">
        <f aca="false">IF(L34="","",MAX(0,L34-IF(M34="",0,M34)))</f>
        <v>13447</v>
      </c>
      <c r="O34" s="27" t="n">
        <f aca="false">IF(OR(E34="",N34=0),0,MAX(0,Stichtag-E34))</f>
        <v>0</v>
      </c>
      <c r="P34" s="28" t="str">
        <f aca="false">IF(C34="","",IF(OR(N34="",N34=0),"—",IF(O34=0,"—",IF(O34&lt;=10,"Zahlungserinnerung",IF(O34&lt;=30,"1. Mahnung",IF(O34&lt;=60,"2. Mahnung","3. Mahnung / Inkasso"))))))</f>
        <v>—</v>
      </c>
      <c r="Q34" s="29" t="str">
        <f aca="false">IF(L34="","",IF(N34=0,"Bezahlt",IF(O34&gt;0,"Überfällig",IF(M34&gt;0,"Teilzahlung","Offen"))))</f>
        <v>Offen</v>
      </c>
      <c r="R34" s="22"/>
    </row>
    <row r="35" customFormat="false" ht="19.5" hidden="false" customHeight="true" outlineLevel="0" collapsed="false">
      <c r="B35" s="30" t="n">
        <f aca="false">IF(C35&lt;&gt;"",COUNTA(C$18:C35),"")</f>
        <v>18</v>
      </c>
      <c r="C35" s="31" t="s">
        <v>85</v>
      </c>
      <c r="D35" s="32" t="n">
        <v>46185</v>
      </c>
      <c r="E35" s="32" t="n">
        <v>46215</v>
      </c>
      <c r="F35" s="33" t="s">
        <v>86</v>
      </c>
      <c r="G35" s="30" t="s">
        <v>87</v>
      </c>
      <c r="H35" s="34" t="s">
        <v>64</v>
      </c>
      <c r="I35" s="23" t="n">
        <v>3850</v>
      </c>
      <c r="J35" s="24" t="n">
        <v>0.19</v>
      </c>
      <c r="K35" s="25" t="n">
        <f aca="false">IF(I35="","",ROUND(I35*J35,2))</f>
        <v>731.5</v>
      </c>
      <c r="L35" s="26" t="n">
        <f aca="false">IF(I35="","",I35+K35)</f>
        <v>4581.5</v>
      </c>
      <c r="M35" s="23" t="n">
        <v>0</v>
      </c>
      <c r="N35" s="26" t="n">
        <f aca="false">IF(L35="","",MAX(0,L35-IF(M35="",0,M35)))</f>
        <v>4581.5</v>
      </c>
      <c r="O35" s="27" t="n">
        <f aca="false">IF(OR(E35="",N35=0),0,MAX(0,Stichtag-E35))</f>
        <v>0</v>
      </c>
      <c r="P35" s="28" t="str">
        <f aca="false">IF(C35="","",IF(OR(N35="",N35=0),"—",IF(O35=0,"—",IF(O35&lt;=10,"Zahlungserinnerung",IF(O35&lt;=30,"1. Mahnung",IF(O35&lt;=60,"2. Mahnung","3. Mahnung / Inkasso"))))))</f>
        <v>—</v>
      </c>
      <c r="Q35" s="29" t="str">
        <f aca="false">IF(L35="","",IF(N35=0,"Bezahlt",IF(O35&gt;0,"Überfällig",IF(M35&gt;0,"Teilzahlung","Offen"))))</f>
        <v>Offen</v>
      </c>
      <c r="R35" s="34"/>
    </row>
    <row r="36" customFormat="false" ht="19.5" hidden="false" customHeight="true" outlineLevel="0" collapsed="false">
      <c r="B36" s="18" t="n">
        <f aca="false">IF(C36&lt;&gt;"",COUNTA(C$18:C36),"")</f>
        <v>19</v>
      </c>
      <c r="C36" s="19" t="s">
        <v>88</v>
      </c>
      <c r="D36" s="20" t="n">
        <v>46188</v>
      </c>
      <c r="E36" s="20" t="n">
        <v>46218</v>
      </c>
      <c r="F36" s="21" t="s">
        <v>70</v>
      </c>
      <c r="G36" s="18" t="s">
        <v>71</v>
      </c>
      <c r="H36" s="22" t="s">
        <v>54</v>
      </c>
      <c r="I36" s="23" t="n">
        <v>2400</v>
      </c>
      <c r="J36" s="24" t="n">
        <v>0.19</v>
      </c>
      <c r="K36" s="25" t="n">
        <f aca="false">IF(I36="","",ROUND(I36*J36,2))</f>
        <v>456</v>
      </c>
      <c r="L36" s="26" t="n">
        <f aca="false">IF(I36="","",I36+K36)</f>
        <v>2856</v>
      </c>
      <c r="M36" s="23" t="n">
        <v>0</v>
      </c>
      <c r="N36" s="26" t="n">
        <f aca="false">IF(L36="","",MAX(0,L36-IF(M36="",0,M36)))</f>
        <v>2856</v>
      </c>
      <c r="O36" s="27" t="n">
        <f aca="false">IF(OR(E36="",N36=0),0,MAX(0,Stichtag-E36))</f>
        <v>0</v>
      </c>
      <c r="P36" s="28" t="str">
        <f aca="false">IF(C36="","",IF(OR(N36="",N36=0),"—",IF(O36=0,"—",IF(O36&lt;=10,"Zahlungserinnerung",IF(O36&lt;=30,"1. Mahnung",IF(O36&lt;=60,"2. Mahnung","3. Mahnung / Inkasso"))))))</f>
        <v>—</v>
      </c>
      <c r="Q36" s="29" t="str">
        <f aca="false">IF(L36="","",IF(N36=0,"Bezahlt",IF(O36&gt;0,"Überfällig",IF(M36&gt;0,"Teilzahlung","Offen"))))</f>
        <v>Offen</v>
      </c>
      <c r="R36" s="22"/>
    </row>
    <row r="37" customFormat="false" ht="19.5" hidden="false" customHeight="true" outlineLevel="0" collapsed="false">
      <c r="B37" s="30" t="n">
        <f aca="false">IF(C37&lt;&gt;"",COUNTA(C$18:C37),"")</f>
        <v>20</v>
      </c>
      <c r="C37" s="31" t="s">
        <v>89</v>
      </c>
      <c r="D37" s="32" t="n">
        <v>46191</v>
      </c>
      <c r="E37" s="32" t="n">
        <v>46221</v>
      </c>
      <c r="F37" s="33" t="s">
        <v>59</v>
      </c>
      <c r="G37" s="30" t="s">
        <v>60</v>
      </c>
      <c r="H37" s="34" t="s">
        <v>46</v>
      </c>
      <c r="I37" s="23" t="n">
        <v>4100</v>
      </c>
      <c r="J37" s="24" t="n">
        <v>0.19</v>
      </c>
      <c r="K37" s="25" t="n">
        <f aca="false">IF(I37="","",ROUND(I37*J37,2))</f>
        <v>779</v>
      </c>
      <c r="L37" s="26" t="n">
        <f aca="false">IF(I37="","",I37+K37)</f>
        <v>4879</v>
      </c>
      <c r="M37" s="23" t="n">
        <v>0</v>
      </c>
      <c r="N37" s="26" t="n">
        <f aca="false">IF(L37="","",MAX(0,L37-IF(M37="",0,M37)))</f>
        <v>4879</v>
      </c>
      <c r="O37" s="27" t="n">
        <f aca="false">IF(OR(E37="",N37=0),0,MAX(0,Stichtag-E37))</f>
        <v>0</v>
      </c>
      <c r="P37" s="28" t="str">
        <f aca="false">IF(C37="","",IF(OR(N37="",N37=0),"—",IF(O37=0,"—",IF(O37&lt;=10,"Zahlungserinnerung",IF(O37&lt;=30,"1. Mahnung",IF(O37&lt;=60,"2. Mahnung","3. Mahnung / Inkasso"))))))</f>
        <v>—</v>
      </c>
      <c r="Q37" s="29" t="str">
        <f aca="false">IF(L37="","",IF(N37=0,"Bezahlt",IF(O37&gt;0,"Überfällig",IF(M37&gt;0,"Teilzahlung","Offen"))))</f>
        <v>Offen</v>
      </c>
      <c r="R37" s="34"/>
    </row>
    <row r="38" customFormat="false" ht="19.5" hidden="false" customHeight="true" outlineLevel="0" collapsed="false">
      <c r="B38" s="18" t="n">
        <f aca="false">IF(C38&lt;&gt;"",COUNTA(C$18:C38),"")</f>
        <v>21</v>
      </c>
      <c r="C38" s="19" t="s">
        <v>90</v>
      </c>
      <c r="D38" s="20" t="n">
        <v>46195</v>
      </c>
      <c r="E38" s="20" t="n">
        <v>46225</v>
      </c>
      <c r="F38" s="21" t="s">
        <v>91</v>
      </c>
      <c r="G38" s="18" t="s">
        <v>92</v>
      </c>
      <c r="H38" s="22" t="s">
        <v>50</v>
      </c>
      <c r="I38" s="23" t="n">
        <v>6750</v>
      </c>
      <c r="J38" s="24" t="n">
        <v>0.19</v>
      </c>
      <c r="K38" s="25" t="n">
        <f aca="false">IF(I38="","",ROUND(I38*J38,2))</f>
        <v>1282.5</v>
      </c>
      <c r="L38" s="26" t="n">
        <f aca="false">IF(I38="","",I38+K38)</f>
        <v>8032.5</v>
      </c>
      <c r="M38" s="23" t="n">
        <v>0</v>
      </c>
      <c r="N38" s="26" t="n">
        <f aca="false">IF(L38="","",MAX(0,L38-IF(M38="",0,M38)))</f>
        <v>8032.5</v>
      </c>
      <c r="O38" s="27" t="n">
        <f aca="false">IF(OR(E38="",N38=0),0,MAX(0,Stichtag-E38))</f>
        <v>0</v>
      </c>
      <c r="P38" s="28" t="str">
        <f aca="false">IF(C38="","",IF(OR(N38="",N38=0),"—",IF(O38=0,"—",IF(O38&lt;=10,"Zahlungserinnerung",IF(O38&lt;=30,"1. Mahnung",IF(O38&lt;=60,"2. Mahnung","3. Mahnung / Inkasso"))))))</f>
        <v>—</v>
      </c>
      <c r="Q38" s="29" t="str">
        <f aca="false">IF(L38="","",IF(N38=0,"Bezahlt",IF(O38&gt;0,"Überfällig",IF(M38&gt;0,"Teilzahlung","Offen"))))</f>
        <v>Offen</v>
      </c>
      <c r="R38" s="22"/>
    </row>
    <row r="39" customFormat="false" ht="19.5" hidden="false" customHeight="true" outlineLevel="0" collapsed="false">
      <c r="B39" s="30" t="n">
        <f aca="false">IF(C39&lt;&gt;"",COUNTA(C$18:C39),"")</f>
        <v>22</v>
      </c>
      <c r="C39" s="31" t="s">
        <v>93</v>
      </c>
      <c r="D39" s="32" t="n">
        <v>46198</v>
      </c>
      <c r="E39" s="32" t="n">
        <v>46228</v>
      </c>
      <c r="F39" s="33" t="s">
        <v>67</v>
      </c>
      <c r="G39" s="30" t="s">
        <v>68</v>
      </c>
      <c r="H39" s="34" t="s">
        <v>50</v>
      </c>
      <c r="I39" s="23" t="n">
        <v>5900</v>
      </c>
      <c r="J39" s="24" t="n">
        <v>0.19</v>
      </c>
      <c r="K39" s="25" t="n">
        <f aca="false">IF(I39="","",ROUND(I39*J39,2))</f>
        <v>1121</v>
      </c>
      <c r="L39" s="26" t="n">
        <f aca="false">IF(I39="","",I39+K39)</f>
        <v>7021</v>
      </c>
      <c r="M39" s="23" t="n">
        <v>0</v>
      </c>
      <c r="N39" s="26" t="n">
        <f aca="false">IF(L39="","",MAX(0,L39-IF(M39="",0,M39)))</f>
        <v>7021</v>
      </c>
      <c r="O39" s="27" t="n">
        <f aca="false">IF(OR(E39="",N39=0),0,MAX(0,Stichtag-E39))</f>
        <v>0</v>
      </c>
      <c r="P39" s="28" t="str">
        <f aca="false">IF(C39="","",IF(OR(N39="",N39=0),"—",IF(O39=0,"—",IF(O39&lt;=10,"Zahlungserinnerung",IF(O39&lt;=30,"1. Mahnung",IF(O39&lt;=60,"2. Mahnung","3. Mahnung / Inkasso"))))))</f>
        <v>—</v>
      </c>
      <c r="Q39" s="29" t="str">
        <f aca="false">IF(L39="","",IF(N39=0,"Bezahlt",IF(O39&gt;0,"Überfällig",IF(M39&gt;0,"Teilzahlung","Offen"))))</f>
        <v>Offen</v>
      </c>
      <c r="R39" s="34"/>
    </row>
    <row r="40" customFormat="false" ht="19.5" hidden="false" customHeight="true" outlineLevel="0" collapsed="false">
      <c r="B40" s="18" t="n">
        <f aca="false">IF(C40&lt;&gt;"",COUNTA(C$18:C40),"")</f>
        <v>23</v>
      </c>
      <c r="C40" s="19" t="s">
        <v>94</v>
      </c>
      <c r="D40" s="20" t="n">
        <v>45973</v>
      </c>
      <c r="E40" s="20" t="n">
        <v>46003</v>
      </c>
      <c r="F40" s="21" t="s">
        <v>95</v>
      </c>
      <c r="G40" s="18" t="s">
        <v>96</v>
      </c>
      <c r="H40" s="22" t="s">
        <v>46</v>
      </c>
      <c r="I40" s="23" t="n">
        <v>4800</v>
      </c>
      <c r="J40" s="24" t="n">
        <v>0.19</v>
      </c>
      <c r="K40" s="25" t="n">
        <f aca="false">IF(I40="","",ROUND(I40*J40,2))</f>
        <v>912</v>
      </c>
      <c r="L40" s="26" t="n">
        <f aca="false">IF(I40="","",I40+K40)</f>
        <v>5712</v>
      </c>
      <c r="M40" s="23" t="n">
        <v>0</v>
      </c>
      <c r="N40" s="26" t="n">
        <f aca="false">IF(L40="","",MAX(0,L40-IF(M40="",0,M40)))</f>
        <v>5712</v>
      </c>
      <c r="O40" s="27" t="n">
        <f aca="false">IF(OR(E40="",N40=0),0,MAX(0,Stichtag-E40))</f>
        <v>200</v>
      </c>
      <c r="P40" s="28" t="str">
        <f aca="false">IF(C40="","",IF(OR(N40="",N40=0),"—",IF(O40=0,"—",IF(O40&lt;=10,"Zahlungserinnerung",IF(O40&lt;=30,"1. Mahnung",IF(O40&lt;=60,"2. Mahnung","3. Mahnung / Inkasso"))))))</f>
        <v>3. Mahnung / Inkasso</v>
      </c>
      <c r="Q40" s="29" t="str">
        <f aca="false">IF(L40="","",IF(N40=0,"Bezahlt",IF(O40&gt;0,"Überfällig",IF(M40&gt;0,"Teilzahlung","Offen"))))</f>
        <v>Überfällig</v>
      </c>
      <c r="R40" s="22" t="s">
        <v>97</v>
      </c>
    </row>
    <row r="41" customFormat="false" ht="19.5" hidden="false" customHeight="true" outlineLevel="0" collapsed="false">
      <c r="B41" s="30" t="n">
        <f aca="false">IF(C41&lt;&gt;"",COUNTA(C$18:C41),"")</f>
        <v>24</v>
      </c>
      <c r="C41" s="31" t="s">
        <v>98</v>
      </c>
      <c r="D41" s="32" t="n">
        <v>45989</v>
      </c>
      <c r="E41" s="32" t="n">
        <v>46019</v>
      </c>
      <c r="F41" s="33" t="s">
        <v>52</v>
      </c>
      <c r="G41" s="30" t="s">
        <v>53</v>
      </c>
      <c r="H41" s="34" t="s">
        <v>54</v>
      </c>
      <c r="I41" s="23" t="n">
        <v>2150</v>
      </c>
      <c r="J41" s="24" t="n">
        <v>0.19</v>
      </c>
      <c r="K41" s="25" t="n">
        <f aca="false">IF(I41="","",ROUND(I41*J41,2))</f>
        <v>408.5</v>
      </c>
      <c r="L41" s="26" t="n">
        <f aca="false">IF(I41="","",I41+K41)</f>
        <v>2558.5</v>
      </c>
      <c r="M41" s="23" t="n">
        <v>1000</v>
      </c>
      <c r="N41" s="26" t="n">
        <f aca="false">IF(L41="","",MAX(0,L41-IF(M41="",0,M41)))</f>
        <v>1558.5</v>
      </c>
      <c r="O41" s="27" t="n">
        <f aca="false">IF(OR(E41="",N41=0),0,MAX(0,Stichtag-E41))</f>
        <v>184</v>
      </c>
      <c r="P41" s="28" t="str">
        <f aca="false">IF(C41="","",IF(OR(N41="",N41=0),"—",IF(O41=0,"—",IF(O41&lt;=10,"Zahlungserinnerung",IF(O41&lt;=30,"1. Mahnung",IF(O41&lt;=60,"2. Mahnung","3. Mahnung / Inkasso"))))))</f>
        <v>3. Mahnung / Inkasso</v>
      </c>
      <c r="Q41" s="29" t="str">
        <f aca="false">IF(L41="","",IF(N41=0,"Bezahlt",IF(O41&gt;0,"Überfällig",IF(M41&gt;0,"Teilzahlung","Offen"))))</f>
        <v>Überfällig</v>
      </c>
      <c r="R41" s="34" t="s">
        <v>99</v>
      </c>
    </row>
    <row r="42" customFormat="false" ht="19.5" hidden="false" customHeight="true" outlineLevel="0" collapsed="false">
      <c r="B42" s="18" t="n">
        <f aca="false">IF(C42&lt;&gt;"",COUNTA(C$18:C42),"")</f>
        <v>25</v>
      </c>
      <c r="C42" s="19" t="s">
        <v>100</v>
      </c>
      <c r="D42" s="20" t="n">
        <v>46006</v>
      </c>
      <c r="E42" s="20" t="n">
        <v>46036</v>
      </c>
      <c r="F42" s="21" t="s">
        <v>95</v>
      </c>
      <c r="G42" s="18" t="s">
        <v>96</v>
      </c>
      <c r="H42" s="22" t="s">
        <v>46</v>
      </c>
      <c r="I42" s="23" t="n">
        <v>3400</v>
      </c>
      <c r="J42" s="24" t="n">
        <v>0.19</v>
      </c>
      <c r="K42" s="25" t="n">
        <f aca="false">IF(I42="","",ROUND(I42*J42,2))</f>
        <v>646</v>
      </c>
      <c r="L42" s="26" t="n">
        <f aca="false">IF(I42="","",I42+K42)</f>
        <v>4046</v>
      </c>
      <c r="M42" s="23" t="n">
        <v>0</v>
      </c>
      <c r="N42" s="26" t="n">
        <f aca="false">IF(L42="","",MAX(0,L42-IF(M42="",0,M42)))</f>
        <v>4046</v>
      </c>
      <c r="O42" s="27" t="n">
        <f aca="false">IF(OR(E42="",N42=0),0,MAX(0,Stichtag-E42))</f>
        <v>167</v>
      </c>
      <c r="P42" s="28" t="str">
        <f aca="false">IF(C42="","",IF(OR(N42="",N42=0),"—",IF(O42=0,"—",IF(O42&lt;=10,"Zahlungserinnerung",IF(O42&lt;=30,"1. Mahnung",IF(O42&lt;=60,"2. Mahnung","3. Mahnung / Inkasso"))))))</f>
        <v>3. Mahnung / Inkasso</v>
      </c>
      <c r="Q42" s="29" t="str">
        <f aca="false">IF(L42="","",IF(N42=0,"Bezahlt",IF(O42&gt;0,"Überfällig",IF(M42&gt;0,"Teilzahlung","Offen"))))</f>
        <v>Überfällig</v>
      </c>
      <c r="R42" s="22" t="s">
        <v>101</v>
      </c>
    </row>
    <row r="43" customFormat="false" ht="19.5" hidden="false" customHeight="true" outlineLevel="0" collapsed="false">
      <c r="B43" s="30" t="str">
        <f aca="false">IF(C43&lt;&gt;"",COUNTA(C$18:C43),"")</f>
        <v/>
      </c>
      <c r="C43" s="31"/>
      <c r="D43" s="32"/>
      <c r="E43" s="32"/>
      <c r="F43" s="33"/>
      <c r="G43" s="30"/>
      <c r="H43" s="34"/>
      <c r="I43" s="23"/>
      <c r="J43" s="24"/>
      <c r="K43" s="25" t="str">
        <f aca="false">IF(I43="","",ROUND(I43*J43,2))</f>
        <v/>
      </c>
      <c r="L43" s="26" t="str">
        <f aca="false">IF(I43="","",I43+K43)</f>
        <v/>
      </c>
      <c r="M43" s="23"/>
      <c r="N43" s="26" t="str">
        <f aca="false">IF(L43="","",MAX(0,L43-IF(M43="",0,M43)))</f>
        <v/>
      </c>
      <c r="O43" s="27" t="n">
        <f aca="false">IF(OR(E43="",N43=0),0,MAX(0,Stichtag-E43))</f>
        <v>0</v>
      </c>
      <c r="P43" s="28" t="str">
        <f aca="false">IF(C43="","",IF(OR(N43="",N43=0),"—",IF(O43=0,"—",IF(O43&lt;=10,"Zahlungserinnerung",IF(O43&lt;=30,"1. Mahnung",IF(O43&lt;=60,"2. Mahnung","3. Mahnung / Inkasso"))))))</f>
        <v/>
      </c>
      <c r="Q43" s="29" t="str">
        <f aca="false">IF(L43="","",IF(N43=0,"Bezahlt",IF(O43&gt;0,"Überfällig",IF(M43&gt;0,"Teilzahlung","Offen"))))</f>
        <v/>
      </c>
      <c r="R43" s="34"/>
    </row>
    <row r="44" customFormat="false" ht="19.5" hidden="false" customHeight="true" outlineLevel="0" collapsed="false">
      <c r="B44" s="18" t="str">
        <f aca="false">IF(C44&lt;&gt;"",COUNTA(C$18:C44),"")</f>
        <v/>
      </c>
      <c r="C44" s="19"/>
      <c r="D44" s="20"/>
      <c r="E44" s="20"/>
      <c r="F44" s="21"/>
      <c r="G44" s="18"/>
      <c r="H44" s="22"/>
      <c r="I44" s="23"/>
      <c r="J44" s="24"/>
      <c r="K44" s="25" t="str">
        <f aca="false">IF(I44="","",ROUND(I44*J44,2))</f>
        <v/>
      </c>
      <c r="L44" s="26" t="str">
        <f aca="false">IF(I44="","",I44+K44)</f>
        <v/>
      </c>
      <c r="M44" s="23"/>
      <c r="N44" s="26" t="str">
        <f aca="false">IF(L44="","",MAX(0,L44-IF(M44="",0,M44)))</f>
        <v/>
      </c>
      <c r="O44" s="27" t="n">
        <f aca="false">IF(OR(E44="",N44=0),0,MAX(0,Stichtag-E44))</f>
        <v>0</v>
      </c>
      <c r="P44" s="28" t="str">
        <f aca="false">IF(C44="","",IF(OR(N44="",N44=0),"—",IF(O44=0,"—",IF(O44&lt;=10,"Zahlungserinnerung",IF(O44&lt;=30,"1. Mahnung",IF(O44&lt;=60,"2. Mahnung","3. Mahnung / Inkasso"))))))</f>
        <v/>
      </c>
      <c r="Q44" s="29" t="str">
        <f aca="false">IF(L44="","",IF(N44=0,"Bezahlt",IF(O44&gt;0,"Überfällig",IF(M44&gt;0,"Teilzahlung","Offen"))))</f>
        <v/>
      </c>
      <c r="R44" s="22"/>
    </row>
    <row r="45" customFormat="false" ht="19.5" hidden="false" customHeight="true" outlineLevel="0" collapsed="false">
      <c r="B45" s="30" t="str">
        <f aca="false">IF(C45&lt;&gt;"",COUNTA(C$18:C45),"")</f>
        <v/>
      </c>
      <c r="C45" s="31"/>
      <c r="D45" s="32"/>
      <c r="E45" s="32"/>
      <c r="F45" s="33"/>
      <c r="G45" s="30"/>
      <c r="H45" s="34"/>
      <c r="I45" s="23"/>
      <c r="J45" s="24"/>
      <c r="K45" s="25" t="str">
        <f aca="false">IF(I45="","",ROUND(I45*J45,2))</f>
        <v/>
      </c>
      <c r="L45" s="26" t="str">
        <f aca="false">IF(I45="","",I45+K45)</f>
        <v/>
      </c>
      <c r="M45" s="23"/>
      <c r="N45" s="26" t="str">
        <f aca="false">IF(L45="","",MAX(0,L45-IF(M45="",0,M45)))</f>
        <v/>
      </c>
      <c r="O45" s="27" t="n">
        <f aca="false">IF(OR(E45="",N45=0),0,MAX(0,Stichtag-E45))</f>
        <v>0</v>
      </c>
      <c r="P45" s="28" t="str">
        <f aca="false">IF(C45="","",IF(OR(N45="",N45=0),"—",IF(O45=0,"—",IF(O45&lt;=10,"Zahlungserinnerung",IF(O45&lt;=30,"1. Mahnung",IF(O45&lt;=60,"2. Mahnung","3. Mahnung / Inkasso"))))))</f>
        <v/>
      </c>
      <c r="Q45" s="29" t="str">
        <f aca="false">IF(L45="","",IF(N45=0,"Bezahlt",IF(O45&gt;0,"Überfällig",IF(M45&gt;0,"Teilzahlung","Offen"))))</f>
        <v/>
      </c>
      <c r="R45" s="34"/>
    </row>
    <row r="46" customFormat="false" ht="19.5" hidden="false" customHeight="true" outlineLevel="0" collapsed="false">
      <c r="B46" s="18" t="str">
        <f aca="false">IF(C46&lt;&gt;"",COUNTA(C$18:C46),"")</f>
        <v/>
      </c>
      <c r="C46" s="19"/>
      <c r="D46" s="20"/>
      <c r="E46" s="20"/>
      <c r="F46" s="21"/>
      <c r="G46" s="18"/>
      <c r="H46" s="22"/>
      <c r="I46" s="23"/>
      <c r="J46" s="24"/>
      <c r="K46" s="25" t="str">
        <f aca="false">IF(I46="","",ROUND(I46*J46,2))</f>
        <v/>
      </c>
      <c r="L46" s="26" t="str">
        <f aca="false">IF(I46="","",I46+K46)</f>
        <v/>
      </c>
      <c r="M46" s="23"/>
      <c r="N46" s="26" t="str">
        <f aca="false">IF(L46="","",MAX(0,L46-IF(M46="",0,M46)))</f>
        <v/>
      </c>
      <c r="O46" s="27" t="n">
        <f aca="false">IF(OR(E46="",N46=0),0,MAX(0,Stichtag-E46))</f>
        <v>0</v>
      </c>
      <c r="P46" s="28" t="str">
        <f aca="false">IF(C46="","",IF(OR(N46="",N46=0),"—",IF(O46=0,"—",IF(O46&lt;=10,"Zahlungserinnerung",IF(O46&lt;=30,"1. Mahnung",IF(O46&lt;=60,"2. Mahnung","3. Mahnung / Inkasso"))))))</f>
        <v/>
      </c>
      <c r="Q46" s="29" t="str">
        <f aca="false">IF(L46="","",IF(N46=0,"Bezahlt",IF(O46&gt;0,"Überfällig",IF(M46&gt;0,"Teilzahlung","Offen"))))</f>
        <v/>
      </c>
      <c r="R46" s="22"/>
    </row>
    <row r="47" customFormat="false" ht="19.5" hidden="false" customHeight="true" outlineLevel="0" collapsed="false">
      <c r="B47" s="30" t="str">
        <f aca="false">IF(C47&lt;&gt;"",COUNTA(C$18:C47),"")</f>
        <v/>
      </c>
      <c r="C47" s="31"/>
      <c r="D47" s="32"/>
      <c r="E47" s="32"/>
      <c r="F47" s="33"/>
      <c r="G47" s="30"/>
      <c r="H47" s="34"/>
      <c r="I47" s="23"/>
      <c r="J47" s="24"/>
      <c r="K47" s="25" t="str">
        <f aca="false">IF(I47="","",ROUND(I47*J47,2))</f>
        <v/>
      </c>
      <c r="L47" s="26" t="str">
        <f aca="false">IF(I47="","",I47+K47)</f>
        <v/>
      </c>
      <c r="M47" s="23"/>
      <c r="N47" s="26" t="str">
        <f aca="false">IF(L47="","",MAX(0,L47-IF(M47="",0,M47)))</f>
        <v/>
      </c>
      <c r="O47" s="27" t="n">
        <f aca="false">IF(OR(E47="",N47=0),0,MAX(0,Stichtag-E47))</f>
        <v>0</v>
      </c>
      <c r="P47" s="28" t="str">
        <f aca="false">IF(C47="","",IF(OR(N47="",N47=0),"—",IF(O47=0,"—",IF(O47&lt;=10,"Zahlungserinnerung",IF(O47&lt;=30,"1. Mahnung",IF(O47&lt;=60,"2. Mahnung","3. Mahnung / Inkasso"))))))</f>
        <v/>
      </c>
      <c r="Q47" s="29" t="str">
        <f aca="false">IF(L47="","",IF(N47=0,"Bezahlt",IF(O47&gt;0,"Überfällig",IF(M47&gt;0,"Teilzahlung","Offen"))))</f>
        <v/>
      </c>
      <c r="R47" s="34"/>
    </row>
    <row r="48" customFormat="false" ht="25.5" hidden="false" customHeight="true" outlineLevel="0" collapsed="false">
      <c r="B48" s="35" t="s">
        <v>102</v>
      </c>
      <c r="C48" s="36" t="str">
        <f aca="false">COUNTA(C18:C47)&amp;" Forderungen  ·  "&amp;COUNTIF(Q18:Q47,"Bezahlt")&amp;" bezahlt  ·  "&amp;COUNTIF(Q18:Q47,"Überfällig")&amp;" überfällig"</f>
        <v>25 Forderungen  ·  8 bezahlt  ·  10 überfällig</v>
      </c>
      <c r="D48" s="36"/>
      <c r="E48" s="36"/>
      <c r="F48" s="36"/>
      <c r="G48" s="36"/>
      <c r="H48" s="36"/>
      <c r="I48" s="37" t="n">
        <f aca="false">SUM(I18:I47)</f>
        <v>144900</v>
      </c>
      <c r="J48" s="38"/>
      <c r="K48" s="37" t="n">
        <f aca="false">SUM(K18:K47)</f>
        <v>27531</v>
      </c>
      <c r="L48" s="37" t="n">
        <f aca="false">SUM(L18:L47)</f>
        <v>172431</v>
      </c>
      <c r="M48" s="37" t="n">
        <f aca="false">SUM(M18:M47)</f>
        <v>67807</v>
      </c>
      <c r="N48" s="39" t="n">
        <f aca="false">SUM(N18:N47)</f>
        <v>104624</v>
      </c>
      <c r="O48" s="40" t="str">
        <f aca="false">IF(SUM(N18:N47)=0,"◆ Alle Forderungen ausgeglichen","Offen: "&amp;TEXT(SUM(N18:N47),"#,##0.00")&amp;" € ("&amp;TEXT(SUM(N18:N47)/MAX(SUM(L18:L47),0.01),"0,0%")&amp;" der Umsätze)")</f>
        <v>Offen: 104,624.00 € (61% der Umsätze)</v>
      </c>
      <c r="P48" s="40"/>
      <c r="Q48" s="40"/>
      <c r="R48" s="40"/>
    </row>
    <row r="49" customFormat="false" ht="9.75" hidden="false" customHeight="true" outlineLevel="0" collapsed="false"/>
    <row r="50" customFormat="false" ht="21.75" hidden="false" customHeight="true" outlineLevel="0" collapsed="false">
      <c r="B50" s="5" t="s">
        <v>103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customFormat="false" ht="19.5" hidden="false" customHeight="true" outlineLevel="0" collapsed="false">
      <c r="B51" s="41" t="s">
        <v>104</v>
      </c>
      <c r="C51" s="42" t="s">
        <v>105</v>
      </c>
      <c r="D51" s="42"/>
      <c r="E51" s="42"/>
      <c r="F51" s="43" t="s">
        <v>106</v>
      </c>
      <c r="G51" s="42" t="s">
        <v>107</v>
      </c>
      <c r="H51" s="42"/>
      <c r="I51" s="42"/>
      <c r="J51" s="44" t="s">
        <v>108</v>
      </c>
      <c r="K51" s="42" t="s">
        <v>109</v>
      </c>
      <c r="L51" s="42"/>
      <c r="M51" s="42"/>
      <c r="N51" s="45" t="s">
        <v>110</v>
      </c>
      <c r="O51" s="42" t="s">
        <v>111</v>
      </c>
      <c r="P51" s="42"/>
      <c r="Q51" s="42"/>
    </row>
    <row r="52" customFormat="false" ht="19.5" hidden="false" customHeight="true" outlineLevel="0" collapsed="false">
      <c r="B52" s="46" t="s">
        <v>112</v>
      </c>
      <c r="C52" s="42" t="s">
        <v>113</v>
      </c>
      <c r="D52" s="42"/>
      <c r="E52" s="42"/>
      <c r="F52" s="47" t="s">
        <v>114</v>
      </c>
      <c r="G52" s="42" t="s">
        <v>115</v>
      </c>
      <c r="H52" s="42"/>
      <c r="I52" s="42"/>
      <c r="J52" s="48" t="s">
        <v>116</v>
      </c>
      <c r="K52" s="42" t="s">
        <v>117</v>
      </c>
      <c r="L52" s="42"/>
      <c r="M52" s="42"/>
      <c r="N52" s="49" t="s">
        <v>118</v>
      </c>
      <c r="O52" s="42" t="s">
        <v>119</v>
      </c>
      <c r="P52" s="42"/>
      <c r="Q52" s="42"/>
    </row>
  </sheetData>
  <autoFilter ref="B17:R47"/>
  <mergeCells count="45">
    <mergeCell ref="B1:R1"/>
    <mergeCell ref="B2:R2"/>
    <mergeCell ref="B6:R6"/>
    <mergeCell ref="B7:C7"/>
    <mergeCell ref="D7:H7"/>
    <mergeCell ref="I7:J7"/>
    <mergeCell ref="K7:M7"/>
    <mergeCell ref="N7:O7"/>
    <mergeCell ref="P7:R7"/>
    <mergeCell ref="B8:C8"/>
    <mergeCell ref="D8:H8"/>
    <mergeCell ref="I8:J8"/>
    <mergeCell ref="K8:M8"/>
    <mergeCell ref="N8:O8"/>
    <mergeCell ref="P8:R8"/>
    <mergeCell ref="B9:C9"/>
    <mergeCell ref="D9:H9"/>
    <mergeCell ref="I9:J9"/>
    <mergeCell ref="K9:M9"/>
    <mergeCell ref="N9:O9"/>
    <mergeCell ref="P9:R9"/>
    <mergeCell ref="B11:R11"/>
    <mergeCell ref="B12:E12"/>
    <mergeCell ref="F12:H12"/>
    <mergeCell ref="I12:K12"/>
    <mergeCell ref="L12:N12"/>
    <mergeCell ref="O12:R12"/>
    <mergeCell ref="B13:E13"/>
    <mergeCell ref="F13:H13"/>
    <mergeCell ref="I13:K13"/>
    <mergeCell ref="L13:N13"/>
    <mergeCell ref="O13:R13"/>
    <mergeCell ref="B15:R15"/>
    <mergeCell ref="B16:R16"/>
    <mergeCell ref="C48:H48"/>
    <mergeCell ref="O48:R48"/>
    <mergeCell ref="B50:R50"/>
    <mergeCell ref="C51:E51"/>
    <mergeCell ref="G51:I51"/>
    <mergeCell ref="K51:M51"/>
    <mergeCell ref="O51:Q51"/>
    <mergeCell ref="C52:E52"/>
    <mergeCell ref="G52:I52"/>
    <mergeCell ref="K52:M52"/>
    <mergeCell ref="O52:Q52"/>
  </mergeCells>
  <conditionalFormatting sqref="Q18:Q47">
    <cfRule type="cellIs" priority="2" operator="equal" aboveAverage="0" equalAverage="0" bottom="0" percent="0" rank="0" text="" dxfId="20">
      <formula>"Bezahlt"</formula>
    </cfRule>
    <cfRule type="cellIs" priority="3" operator="equal" aboveAverage="0" equalAverage="0" bottom="0" percent="0" rank="0" text="" dxfId="21">
      <formula>"Offen"</formula>
    </cfRule>
    <cfRule type="cellIs" priority="4" operator="equal" aboveAverage="0" equalAverage="0" bottom="0" percent="0" rank="0" text="" dxfId="22">
      <formula>"Teilzahlung"</formula>
    </cfRule>
    <cfRule type="cellIs" priority="5" operator="equal" aboveAverage="0" equalAverage="0" bottom="0" percent="0" rank="0" text="" dxfId="23">
      <formula>"Überfällig"</formula>
    </cfRule>
  </conditionalFormatting>
  <conditionalFormatting sqref="P18:P47">
    <cfRule type="cellIs" priority="6" operator="equal" aboveAverage="0" equalAverage="0" bottom="0" percent="0" rank="0" text="" dxfId="24">
      <formula>"Zahlungserinnerung"</formula>
    </cfRule>
    <cfRule type="cellIs" priority="7" operator="equal" aboveAverage="0" equalAverage="0" bottom="0" percent="0" rank="0" text="" dxfId="25">
      <formula>"1. Mahnung"</formula>
    </cfRule>
    <cfRule type="cellIs" priority="8" operator="equal" aboveAverage="0" equalAverage="0" bottom="0" percent="0" rank="0" text="" dxfId="26">
      <formula>"2. Mahnung"</formula>
    </cfRule>
    <cfRule type="cellIs" priority="9" operator="equal" aboveAverage="0" equalAverage="0" bottom="0" percent="0" rank="0" text="" dxfId="27">
      <formula>"3. Mahnung / Inkasso"</formula>
    </cfRule>
  </conditionalFormatting>
  <conditionalFormatting sqref="O18:O47">
    <cfRule type="expression" priority="10" aboveAverage="0" equalAverage="0" bottom="0" percent="0" rank="0" text="" dxfId="28">
      <formula>AND(O18&gt;0,O18&lt;&gt;"")</formula>
    </cfRule>
  </conditionalFormatting>
  <conditionalFormatting sqref="N18:N47">
    <cfRule type="expression" priority="11" aboveAverage="0" equalAverage="0" bottom="0" percent="0" rank="0" text="" dxfId="29">
      <formula>AND(N18&gt;0,N18&lt;&gt;"")</formula>
    </cfRule>
  </conditionalFormatting>
  <dataValidations count="2">
    <dataValidation allowBlank="true" errorStyle="stop" operator="between" showDropDown="false" showErrorMessage="false" showInputMessage="false" sqref="H18:H47" type="list">
      <formula1>"Beratung,Handelsware,Dienstleistung,Wartung,Lizenz,Sonstiges"</formula1>
      <formula2>0</formula2>
    </dataValidation>
    <dataValidation allowBlank="true" errorStyle="stop" operator="between" showDropDown="false" showErrorMessage="false" showInputMessage="false" sqref="J18:J47" type="list">
      <formula1>"0,0.07,0.19"</formula1>
      <formula2>0</formula2>
    </dataValidation>
  </dataValidations>
  <printOptions headings="false" gridLines="false" gridLinesSet="true" horizontalCentered="true" verticalCentered="false"/>
  <pageMargins left="0.3" right="0.3" top="0.3" bottom="0.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2"/>
    <col collapsed="false" customWidth="true" hidden="false" outlineLevel="0" max="7" min="3" style="0" width="14"/>
    <col collapsed="false" customWidth="true" hidden="false" outlineLevel="0" max="8" min="8" style="0" width="3"/>
    <col collapsed="false" customWidth="true" hidden="false" outlineLevel="0" max="9" min="9" style="0" width="22"/>
    <col collapsed="false" customWidth="true" hidden="false" outlineLevel="0" max="14" min="10" style="0" width="13"/>
  </cols>
  <sheetData>
    <row r="1" customFormat="false" ht="31.5" hidden="false" customHeight="true" outlineLevel="0" collapsed="false">
      <c r="B1" s="1" t="s">
        <v>120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1.75" hidden="false" customHeight="true" outlineLevel="0" collapsed="false">
      <c r="B2" s="2" t="s">
        <v>121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6" hidden="false" customHeight="true" outlineLevel="0" collapsed="false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6" hidden="false" customHeight="true" outlineLevel="0" collapsed="false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7.5" hidden="false" customHeight="true" outlineLevel="0" collapsed="false"/>
    <row r="6" customFormat="false" ht="21.75" hidden="false" customHeight="true" outlineLevel="0" collapsed="false">
      <c r="B6" s="5" t="s">
        <v>122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customFormat="false" ht="18" hidden="false" customHeight="true" outlineLevel="0" collapsed="false">
      <c r="B7" s="10" t="s">
        <v>123</v>
      </c>
      <c r="C7" s="10"/>
      <c r="D7" s="10"/>
      <c r="E7" s="10"/>
      <c r="F7" s="10" t="s">
        <v>124</v>
      </c>
      <c r="G7" s="10"/>
      <c r="H7" s="10"/>
      <c r="I7" s="10"/>
      <c r="J7" s="10" t="s">
        <v>125</v>
      </c>
      <c r="K7" s="10"/>
      <c r="L7" s="10"/>
      <c r="M7" s="10"/>
      <c r="N7" s="10"/>
    </row>
    <row r="8" customFormat="false" ht="42" hidden="false" customHeight="true" outlineLevel="0" collapsed="false">
      <c r="B8" s="50" t="n">
        <f aca="false">COUNTA(Forderungsaufstellung!$C$18:$C$47)</f>
        <v>25</v>
      </c>
      <c r="C8" s="50"/>
      <c r="D8" s="50"/>
      <c r="E8" s="50"/>
      <c r="F8" s="51" t="n">
        <f aca="false">SUM(Forderungsaufstellung!$L$18:$L$47)</f>
        <v>172431</v>
      </c>
      <c r="G8" s="51"/>
      <c r="H8" s="51"/>
      <c r="I8" s="51"/>
      <c r="J8" s="52" t="n">
        <f aca="false">SUM(Forderungsaufstellung!$M$18:$M$47)</f>
        <v>67807</v>
      </c>
      <c r="K8" s="52"/>
      <c r="L8" s="52"/>
      <c r="M8" s="52"/>
      <c r="N8" s="52"/>
    </row>
    <row r="9" customFormat="false" ht="7.5" hidden="false" customHeight="true" outlineLevel="0" collapsed="false"/>
    <row r="10" customFormat="false" ht="18" hidden="false" customHeight="true" outlineLevel="0" collapsed="false">
      <c r="B10" s="10" t="s">
        <v>20</v>
      </c>
      <c r="C10" s="10"/>
      <c r="D10" s="10"/>
      <c r="E10" s="10"/>
      <c r="F10" s="10" t="s">
        <v>110</v>
      </c>
      <c r="G10" s="10"/>
      <c r="H10" s="10"/>
      <c r="I10" s="10"/>
      <c r="J10" s="10" t="s">
        <v>126</v>
      </c>
      <c r="K10" s="10"/>
      <c r="L10" s="10"/>
      <c r="M10" s="10"/>
      <c r="N10" s="10"/>
    </row>
    <row r="11" customFormat="false" ht="42" hidden="false" customHeight="true" outlineLevel="0" collapsed="false">
      <c r="B11" s="53" t="n">
        <f aca="false">SUM(Forderungsaufstellung!$N$18:$N$47)</f>
        <v>104624</v>
      </c>
      <c r="C11" s="53"/>
      <c r="D11" s="53"/>
      <c r="E11" s="53"/>
      <c r="F11" s="54" t="n">
        <f aca="false">SUMIFS(Forderungsaufstellung!$N$18:$N$47,Forderungsaufstellung!$N$18:$N$47,"&gt;0",Forderungsaufstellung!$O$18:$O$47,"&gt;0")</f>
        <v>57619</v>
      </c>
      <c r="G11" s="54"/>
      <c r="H11" s="54"/>
      <c r="I11" s="54"/>
      <c r="J11" s="55" t="n">
        <f aca="false">IFERROR(SUM(Forderungsaufstellung!$M$18:$M$47)/SUM(Forderungsaufstellung!$L$18:$L$47),0)</f>
        <v>0.39324135451282</v>
      </c>
      <c r="K11" s="55"/>
      <c r="L11" s="55"/>
      <c r="M11" s="55"/>
      <c r="N11" s="55"/>
    </row>
    <row r="13" customFormat="false" ht="24" hidden="false" customHeight="true" outlineLevel="0" collapsed="false">
      <c r="B13" s="5" t="s">
        <v>127</v>
      </c>
      <c r="C13" s="5"/>
      <c r="D13" s="5"/>
      <c r="E13" s="5"/>
      <c r="F13" s="5"/>
      <c r="G13" s="5"/>
      <c r="I13" s="5" t="s">
        <v>128</v>
      </c>
      <c r="J13" s="5"/>
      <c r="K13" s="5"/>
      <c r="L13" s="5"/>
      <c r="M13" s="5"/>
      <c r="N13" s="5"/>
    </row>
    <row r="14" customFormat="false" ht="21.75" hidden="false" customHeight="true" outlineLevel="0" collapsed="false">
      <c r="B14" s="56" t="s">
        <v>129</v>
      </c>
      <c r="C14" s="56" t="s">
        <v>130</v>
      </c>
      <c r="D14" s="56" t="s">
        <v>131</v>
      </c>
      <c r="E14" s="56" t="s">
        <v>132</v>
      </c>
      <c r="F14" s="56" t="s">
        <v>133</v>
      </c>
      <c r="I14" s="56" t="s">
        <v>40</v>
      </c>
      <c r="J14" s="56" t="s">
        <v>131</v>
      </c>
      <c r="K14" s="56" t="s">
        <v>132</v>
      </c>
      <c r="L14" s="56" t="s">
        <v>133</v>
      </c>
      <c r="M14" s="57"/>
      <c r="N14" s="57"/>
    </row>
    <row r="15" customFormat="false" ht="21.75" hidden="false" customHeight="true" outlineLevel="0" collapsed="false">
      <c r="B15" s="58" t="s">
        <v>134</v>
      </c>
      <c r="C15" s="18" t="s">
        <v>135</v>
      </c>
      <c r="D15" s="59" t="n">
        <f aca="false">COUNTIFS(Forderungsaufstellung!$N$18:$N$47,"&gt;0",Forderungsaufstellung!$O$18:$O$47,"=0")</f>
        <v>7</v>
      </c>
      <c r="E15" s="60" t="n">
        <f aca="false">SUMIFS(Forderungsaufstellung!$N$18:$N$47,Forderungsaufstellung!$N$18:$N$47,"&gt;0",Forderungsaufstellung!$O$18:$O$47,"=0")</f>
        <v>47005</v>
      </c>
      <c r="F15" s="61" t="n">
        <f aca="false">IFERROR(E15/SUM($E$15:$E$19),0)</f>
        <v>0.449275500841107</v>
      </c>
      <c r="G15" s="62" t="n">
        <f aca="false">E15</f>
        <v>47005</v>
      </c>
      <c r="I15" s="58" t="s">
        <v>136</v>
      </c>
      <c r="J15" s="59" t="n">
        <f aca="false">COUNTIF(Forderungsaufstellung!$P$18:$P$47,"—")</f>
        <v>15</v>
      </c>
      <c r="K15" s="60" t="n">
        <f aca="false">SUMIFS(Forderungsaufstellung!$N$18:$N$47,Forderungsaufstellung!$P$18:$P$47,"—")</f>
        <v>47005</v>
      </c>
      <c r="L15" s="61" t="n">
        <f aca="false">IFERROR(K15/SUM($K$15:$K$19),0)</f>
        <v>0.449275500841107</v>
      </c>
      <c r="M15" s="62" t="n">
        <f aca="false">K15</f>
        <v>47005</v>
      </c>
      <c r="N15" s="63"/>
    </row>
    <row r="16" customFormat="false" ht="21.75" hidden="false" customHeight="true" outlineLevel="0" collapsed="false">
      <c r="B16" s="64" t="s">
        <v>137</v>
      </c>
      <c r="C16" s="30" t="s">
        <v>138</v>
      </c>
      <c r="D16" s="65" t="n">
        <f aca="false">COUNTIFS(Forderungsaufstellung!$N$18:$N$47,"&gt;0",Forderungsaufstellung!$O$18:$O$47,"&gt;0",Forderungsaufstellung!$O$18:$O$47,"&lt;=30")</f>
        <v>3</v>
      </c>
      <c r="E16" s="66" t="n">
        <f aca="false">SUMIFS(Forderungsaufstellung!$N$18:$N$47,Forderungsaufstellung!$N$18:$N$47,"&gt;0",Forderungsaufstellung!$O$18:$O$47,"&gt;0",Forderungsaufstellung!$O$18:$O$47,"&lt;=30")</f>
        <v>12435.5</v>
      </c>
      <c r="F16" s="67" t="n">
        <f aca="false">IFERROR(E16/SUM($E$15:$E$19),0)</f>
        <v>0.118858961614926</v>
      </c>
      <c r="G16" s="62" t="n">
        <f aca="false">E16</f>
        <v>12435.5</v>
      </c>
      <c r="I16" s="64" t="s">
        <v>112</v>
      </c>
      <c r="J16" s="65" t="n">
        <f aca="false">COUNTIF(Forderungsaufstellung!$P$18:$P$47,"Zahlungserinnerung")</f>
        <v>1</v>
      </c>
      <c r="K16" s="66" t="n">
        <f aca="false">SUMIFS(Forderungsaufstellung!$N$18:$N$47,Forderungsaufstellung!$P$18:$P$47,"Zahlungserinnerung")</f>
        <v>5355</v>
      </c>
      <c r="L16" s="67" t="n">
        <f aca="false">IFERROR(K16/SUM($K$15:$K$19),0)</f>
        <v>0.0511832849059489</v>
      </c>
      <c r="M16" s="62" t="n">
        <f aca="false">K16</f>
        <v>5355</v>
      </c>
      <c r="N16" s="63"/>
    </row>
    <row r="17" customFormat="false" ht="21.75" hidden="false" customHeight="true" outlineLevel="0" collapsed="false">
      <c r="B17" s="68" t="s">
        <v>139</v>
      </c>
      <c r="C17" s="18" t="s">
        <v>140</v>
      </c>
      <c r="D17" s="59" t="n">
        <f aca="false">COUNTIFS(Forderungsaufstellung!$N$18:$N$47,"&gt;0",Forderungsaufstellung!$O$18:$O$47,"&gt;30",Forderungsaufstellung!$O$18:$O$47,"&lt;=60")</f>
        <v>2</v>
      </c>
      <c r="E17" s="60" t="n">
        <f aca="false">SUMIFS(Forderungsaufstellung!$N$18:$N$47,Forderungsaufstellung!$N$18:$N$47,"&gt;0",Forderungsaufstellung!$O$18:$O$47,"&gt;30",Forderungsaufstellung!$O$18:$O$47,"&lt;=60")</f>
        <v>26537</v>
      </c>
      <c r="F17" s="61" t="n">
        <f aca="false">IFERROR(E17/SUM($E$15:$E$19),0)</f>
        <v>0.253641611867258</v>
      </c>
      <c r="G17" s="62" t="n">
        <f aca="false">E17</f>
        <v>26537</v>
      </c>
      <c r="I17" s="68" t="s">
        <v>114</v>
      </c>
      <c r="J17" s="59" t="n">
        <f aca="false">COUNTIF(Forderungsaufstellung!$P$18:$P$47,"1. Mahnung")</f>
        <v>2</v>
      </c>
      <c r="K17" s="60" t="n">
        <f aca="false">SUMIFS(Forderungsaufstellung!$N$18:$N$47,Forderungsaufstellung!$P$18:$P$47,"1. Mahnung")</f>
        <v>7080.5</v>
      </c>
      <c r="L17" s="61" t="n">
        <f aca="false">IFERROR(K17/SUM($K$15:$K$19),0)</f>
        <v>0.0676756767089769</v>
      </c>
      <c r="M17" s="62" t="n">
        <f aca="false">K17</f>
        <v>7080.5</v>
      </c>
      <c r="N17" s="63"/>
    </row>
    <row r="18" customFormat="false" ht="21.75" hidden="false" customHeight="true" outlineLevel="0" collapsed="false">
      <c r="B18" s="69" t="s">
        <v>141</v>
      </c>
      <c r="C18" s="30" t="s">
        <v>142</v>
      </c>
      <c r="D18" s="65" t="n">
        <f aca="false">COUNTIFS(Forderungsaufstellung!$N$18:$N$47,"&gt;0",Forderungsaufstellung!$O$18:$O$47,"&gt;60",Forderungsaufstellung!$O$18:$O$47,"&lt;=90")</f>
        <v>2</v>
      </c>
      <c r="E18" s="66" t="n">
        <f aca="false">SUMIFS(Forderungsaufstellung!$N$18:$N$47,Forderungsaufstellung!$N$18:$N$47,"&gt;0",Forderungsaufstellung!$O$18:$O$47,"&gt;60",Forderungsaufstellung!$O$18:$O$47,"&lt;=90")</f>
        <v>7330</v>
      </c>
      <c r="F18" s="67" t="n">
        <f aca="false">IFERROR(E18/SUM($E$15:$E$19),0)</f>
        <v>0.0700604067900291</v>
      </c>
      <c r="G18" s="62" t="n">
        <f aca="false">E18</f>
        <v>7330</v>
      </c>
      <c r="I18" s="69" t="s">
        <v>116</v>
      </c>
      <c r="J18" s="65" t="n">
        <f aca="false">COUNTIF(Forderungsaufstellung!$P$18:$P$47,"2. Mahnung")</f>
        <v>2</v>
      </c>
      <c r="K18" s="66" t="n">
        <f aca="false">SUMIFS(Forderungsaufstellung!$N$18:$N$47,Forderungsaufstellung!$P$18:$P$47,"2. Mahnung")</f>
        <v>26537</v>
      </c>
      <c r="L18" s="67" t="n">
        <f aca="false">IFERROR(K18/SUM($K$15:$K$19),0)</f>
        <v>0.253641611867258</v>
      </c>
      <c r="M18" s="62" t="n">
        <f aca="false">K18</f>
        <v>26537</v>
      </c>
      <c r="N18" s="63"/>
    </row>
    <row r="19" customFormat="false" ht="21.75" hidden="false" customHeight="true" outlineLevel="0" collapsed="false">
      <c r="B19" s="70" t="s">
        <v>143</v>
      </c>
      <c r="C19" s="18" t="s">
        <v>144</v>
      </c>
      <c r="D19" s="59" t="n">
        <f aca="false">COUNTIFS(Forderungsaufstellung!$N$18:$N$47,"&gt;0",Forderungsaufstellung!$O$18:$O$47,"&gt;90")</f>
        <v>3</v>
      </c>
      <c r="E19" s="60" t="n">
        <f aca="false">SUMIFS(Forderungsaufstellung!$N$18:$N$47,Forderungsaufstellung!$N$18:$N$47,"&gt;0",Forderungsaufstellung!$O$18:$O$47,"&gt;90")</f>
        <v>11316.5</v>
      </c>
      <c r="F19" s="61" t="n">
        <f aca="false">IFERROR(E19/SUM($E$15:$E$19),0)</f>
        <v>0.10816351888668</v>
      </c>
      <c r="G19" s="62" t="n">
        <f aca="false">E19</f>
        <v>11316.5</v>
      </c>
      <c r="I19" s="70" t="s">
        <v>118</v>
      </c>
      <c r="J19" s="59" t="n">
        <f aca="false">COUNTIF(Forderungsaufstellung!$P$18:$P$47,"3. Mahnung / Inkasso")</f>
        <v>5</v>
      </c>
      <c r="K19" s="60" t="n">
        <f aca="false">SUMIFS(Forderungsaufstellung!$N$18:$N$47,Forderungsaufstellung!$P$18:$P$47,"3. Mahnung / Inkasso")</f>
        <v>18646.5</v>
      </c>
      <c r="L19" s="61" t="n">
        <f aca="false">IFERROR(K19/SUM($K$15:$K$19),0)</f>
        <v>0.178223925676709</v>
      </c>
      <c r="M19" s="62" t="n">
        <f aca="false">K19</f>
        <v>18646.5</v>
      </c>
      <c r="N19" s="63"/>
    </row>
    <row r="20" customFormat="false" ht="21.75" hidden="false" customHeight="true" outlineLevel="0" collapsed="false">
      <c r="B20" s="71" t="s">
        <v>102</v>
      </c>
      <c r="C20" s="72" t="s">
        <v>145</v>
      </c>
      <c r="D20" s="73" t="n">
        <f aca="false">SUM(D15:D19)</f>
        <v>17</v>
      </c>
      <c r="E20" s="37" t="n">
        <f aca="false">SUM(E15:E19)</f>
        <v>104624</v>
      </c>
      <c r="F20" s="74" t="n">
        <f aca="false">IFERROR(SUM(F15:F19),0)</f>
        <v>1</v>
      </c>
      <c r="G20" s="75"/>
      <c r="I20" s="76" t="s">
        <v>146</v>
      </c>
      <c r="J20" s="73" t="n">
        <f aca="false">SUM(J15:J19)</f>
        <v>25</v>
      </c>
      <c r="K20" s="37" t="n">
        <f aca="false">SUM(K15:K19)</f>
        <v>104624</v>
      </c>
      <c r="L20" s="74" t="n">
        <f aca="false">SUM(L15:L19)</f>
        <v>1</v>
      </c>
      <c r="M20" s="75"/>
      <c r="N20" s="75"/>
    </row>
    <row r="22" customFormat="false" ht="24" hidden="false" customHeight="true" outlineLevel="0" collapsed="false">
      <c r="B22" s="5" t="s">
        <v>147</v>
      </c>
      <c r="C22" s="5"/>
      <c r="D22" s="5"/>
      <c r="E22" s="5"/>
      <c r="F22" s="5"/>
      <c r="G22" s="5"/>
      <c r="I22" s="5" t="s">
        <v>148</v>
      </c>
      <c r="J22" s="5"/>
      <c r="K22" s="5"/>
      <c r="L22" s="5"/>
      <c r="M22" s="5"/>
      <c r="N22" s="5"/>
    </row>
    <row r="23" customFormat="false" ht="21.75" hidden="false" customHeight="true" outlineLevel="0" collapsed="false">
      <c r="B23" s="56" t="s">
        <v>30</v>
      </c>
      <c r="C23" s="56" t="s">
        <v>149</v>
      </c>
      <c r="D23" s="56" t="s">
        <v>150</v>
      </c>
      <c r="E23" s="56" t="s">
        <v>151</v>
      </c>
      <c r="F23" s="56" t="s">
        <v>38</v>
      </c>
      <c r="G23" s="56" t="s">
        <v>152</v>
      </c>
      <c r="I23" s="77" t="s">
        <v>153</v>
      </c>
      <c r="J23" s="77"/>
      <c r="K23" s="77"/>
      <c r="L23" s="77"/>
      <c r="M23" s="77"/>
      <c r="N23" s="56" t="s">
        <v>41</v>
      </c>
    </row>
    <row r="24" customFormat="false" ht="19.5" hidden="false" customHeight="true" outlineLevel="0" collapsed="false">
      <c r="B24" s="19" t="s">
        <v>44</v>
      </c>
      <c r="C24" s="78" t="n">
        <f aca="false">COUNTIF(Forderungsaufstellung!$F$18:$F$47,"Mustermann GmbH")</f>
        <v>3</v>
      </c>
      <c r="D24" s="79" t="n">
        <f aca="false">SUMIFS(Forderungsaufstellung!$L$18:$L$47,Forderungsaufstellung!$F$18:$F$47,"Mustermann GmbH")</f>
        <v>16065</v>
      </c>
      <c r="E24" s="80" t="n">
        <f aca="false">SUMIFS(Forderungsaufstellung!$M$18:$M$47,Forderungsaufstellung!$F$18:$F$47,"Mustermann GmbH")</f>
        <v>9877</v>
      </c>
      <c r="F24" s="81" t="n">
        <f aca="false">SUMIFS(Forderungsaufstellung!$N$18:$N$47,Forderungsaufstellung!$F$18:$F$47,"Mustermann GmbH")</f>
        <v>6188</v>
      </c>
      <c r="G24" s="61" t="n">
        <f aca="false">IFERROR(F24/SUM($F$24:$F$31),0)</f>
        <v>0.0752322131984633</v>
      </c>
      <c r="I24" s="82" t="s">
        <v>154</v>
      </c>
      <c r="J24" s="82"/>
      <c r="K24" s="82"/>
      <c r="L24" s="82"/>
      <c r="M24" s="82"/>
      <c r="N24" s="83" t="str">
        <f aca="false">IF(COUNTBLANK(Forderungsaufstellung!$F$18:$F$47)-(30-COUNTA(Forderungsaufstellung!$C$18:$C$47))=0,"OK","PRÜFEN")</f>
        <v>OK</v>
      </c>
    </row>
    <row r="25" customFormat="false" ht="19.5" hidden="false" customHeight="true" outlineLevel="0" collapsed="false">
      <c r="B25" s="31" t="s">
        <v>48</v>
      </c>
      <c r="C25" s="84" t="n">
        <f aca="false">COUNTIF(Forderungsaufstellung!$F$18:$F$47,"Nordwind AG")</f>
        <v>3</v>
      </c>
      <c r="D25" s="85" t="n">
        <f aca="false">SUMIFS(Forderungsaufstellung!$L$18:$L$47,Forderungsaufstellung!$F$18:$F$47,"Nordwind AG")</f>
        <v>47005</v>
      </c>
      <c r="E25" s="86" t="n">
        <f aca="false">SUMIFS(Forderungsaufstellung!$M$18:$M$47,Forderungsaufstellung!$F$18:$F$47,"Nordwind AG")</f>
        <v>15232</v>
      </c>
      <c r="F25" s="87" t="n">
        <f aca="false">SUMIFS(Forderungsaufstellung!$N$18:$N$47,Forderungsaufstellung!$F$18:$F$47,"Nordwind AG")</f>
        <v>31773</v>
      </c>
      <c r="G25" s="67" t="n">
        <f aca="false">IFERROR(F25/SUM($F$24:$F$31),0)</f>
        <v>0.386288479307494</v>
      </c>
      <c r="I25" s="88" t="s">
        <v>155</v>
      </c>
      <c r="J25" s="88"/>
      <c r="K25" s="88"/>
      <c r="L25" s="88"/>
      <c r="M25" s="88"/>
      <c r="N25" s="89" t="str">
        <f aca="false">IF(SUMPRODUCT((Forderungsaufstellung!D18:D47&lt;&gt;"")*(Forderungsaufstellung!E18:E47&lt;Forderungsaufstellung!D18:D47))=0,"OK","PRÜFEN")</f>
        <v>OK</v>
      </c>
    </row>
    <row r="26" customFormat="false" ht="19.5" hidden="false" customHeight="true" outlineLevel="0" collapsed="false">
      <c r="B26" s="19" t="s">
        <v>52</v>
      </c>
      <c r="C26" s="78" t="n">
        <f aca="false">COUNTIF(Forderungsaufstellung!$F$18:$F$47,"Hansa Handel KG")</f>
        <v>3</v>
      </c>
      <c r="D26" s="79" t="n">
        <f aca="false">SUMIFS(Forderungsaufstellung!$L$18:$L$47,Forderungsaufstellung!$F$18:$F$47,"Hansa Handel KG")</f>
        <v>9639</v>
      </c>
      <c r="E26" s="80" t="n">
        <f aca="false">SUMIFS(Forderungsaufstellung!$M$18:$M$47,Forderungsaufstellung!$F$18:$F$47,"Hansa Handel KG")</f>
        <v>4808</v>
      </c>
      <c r="F26" s="81" t="n">
        <f aca="false">SUMIFS(Forderungsaufstellung!$N$18:$N$47,Forderungsaufstellung!$F$18:$F$47,"Hansa Handel KG")</f>
        <v>4831</v>
      </c>
      <c r="G26" s="61" t="n">
        <f aca="false">IFERROR(F26/SUM($F$24:$F$31),0)</f>
        <v>0.0587341341243982</v>
      </c>
      <c r="I26" s="82" t="s">
        <v>156</v>
      </c>
      <c r="J26" s="82"/>
      <c r="K26" s="82"/>
      <c r="L26" s="82"/>
      <c r="M26" s="82"/>
      <c r="N26" s="83" t="str">
        <f aca="false">IF(SUMPRODUCT((Forderungsaufstellung!$L$18:$L$47&lt;&gt;"")*(Forderungsaufstellung!$M$18:$M$47&gt;Forderungsaufstellung!$L$18:$L$47))=0,"OK","PRÜFEN")</f>
        <v>OK</v>
      </c>
    </row>
    <row r="27" customFormat="false" ht="19.5" hidden="false" customHeight="true" outlineLevel="0" collapsed="false">
      <c r="B27" s="31" t="s">
        <v>56</v>
      </c>
      <c r="C27" s="84" t="n">
        <f aca="false">COUNTIF(Forderungsaufstellung!$F$18:$F$47,"Berger &amp; Söhne GmbH")</f>
        <v>2</v>
      </c>
      <c r="D27" s="85" t="n">
        <f aca="false">SUMIFS(Forderungsaufstellung!$L$18:$L$47,Forderungsaufstellung!$F$18:$F$47,"Berger &amp; Söhne GmbH")</f>
        <v>15946</v>
      </c>
      <c r="E27" s="86" t="n">
        <f aca="false">SUMIFS(Forderungsaufstellung!$M$18:$M$47,Forderungsaufstellung!$F$18:$F$47,"Berger &amp; Söhne GmbH")</f>
        <v>10591</v>
      </c>
      <c r="F27" s="87" t="n">
        <f aca="false">SUMIFS(Forderungsaufstellung!$N$18:$N$47,Forderungsaufstellung!$F$18:$F$47,"Berger &amp; Söhne GmbH")</f>
        <v>5355</v>
      </c>
      <c r="G27" s="67" t="n">
        <f aca="false">IFERROR(F27/SUM($F$24:$F$31),0)</f>
        <v>0.0651047998832855</v>
      </c>
      <c r="I27" s="88" t="s">
        <v>157</v>
      </c>
      <c r="J27" s="88"/>
      <c r="K27" s="88"/>
      <c r="L27" s="88"/>
      <c r="M27" s="88"/>
      <c r="N27" s="89" t="str">
        <f aca="false">IF(IFERROR(AVERAGEIFS(Forderungsaufstellung!$O$18:$O$47,Forderungsaufstellung!$N$18:$N$47,"&gt;0",Forderungsaufstellung!$O$18:$O$47,"&gt;0"),0)&lt;=45,"OK","PRÜFEN")</f>
        <v>PRÜFEN</v>
      </c>
    </row>
    <row r="28" customFormat="false" ht="19.5" hidden="false" customHeight="true" outlineLevel="0" collapsed="false">
      <c r="B28" s="19" t="s">
        <v>59</v>
      </c>
      <c r="C28" s="78" t="n">
        <f aca="false">COUNTIF(Forderungsaufstellung!$F$18:$F$47,"Kramer Consulting")</f>
        <v>3</v>
      </c>
      <c r="D28" s="79" t="n">
        <f aca="false">SUMIFS(Forderungsaufstellung!$L$18:$L$47,Forderungsaufstellung!$F$18:$F$47,"Kramer Consulting")</f>
        <v>19516</v>
      </c>
      <c r="E28" s="80" t="n">
        <f aca="false">SUMIFS(Forderungsaufstellung!$M$18:$M$47,Forderungsaufstellung!$F$18:$F$47,"Kramer Consulting")</f>
        <v>6426</v>
      </c>
      <c r="F28" s="81" t="n">
        <f aca="false">SUMIFS(Forderungsaufstellung!$N$18:$N$47,Forderungsaufstellung!$F$18:$F$47,"Kramer Consulting")</f>
        <v>13090</v>
      </c>
      <c r="G28" s="61" t="n">
        <f aca="false">IFERROR(F28/SUM($F$24:$F$31),0)</f>
        <v>0.159145066381365</v>
      </c>
      <c r="I28" s="82" t="s">
        <v>158</v>
      </c>
      <c r="J28" s="82"/>
      <c r="K28" s="82"/>
      <c r="L28" s="82"/>
      <c r="M28" s="82"/>
      <c r="N28" s="83" t="str">
        <f aca="false">IF(IFERROR(SUMIFS(Forderungsaufstellung!$N$18:$N$47,Forderungsaufstellung!$N$18:$N$47,"&gt;0",Forderungsaufstellung!$O$18:$O$47,"&gt;0")/SUM(Forderungsaufstellung!$L$18:$L$47),0)&lt;=0.25,"OK","INFO")</f>
        <v>INFO</v>
      </c>
    </row>
    <row r="29" customFormat="false" ht="19.5" hidden="false" customHeight="true" outlineLevel="0" collapsed="false">
      <c r="B29" s="31" t="s">
        <v>62</v>
      </c>
      <c r="C29" s="84" t="n">
        <f aca="false">COUNTIF(Forderungsaufstellung!$F$18:$F$47,"Baumann Bau GmbH")</f>
        <v>2</v>
      </c>
      <c r="D29" s="85" t="n">
        <f aca="false">SUMIFS(Forderungsaufstellung!$L$18:$L$47,Forderungsaufstellung!$F$18:$F$47,"Baumann Bau GmbH")</f>
        <v>7199.5</v>
      </c>
      <c r="E29" s="86" t="n">
        <f aca="false">SUMIFS(Forderungsaufstellung!$M$18:$M$47,Forderungsaufstellung!$F$18:$F$47,"Baumann Bau GmbH")</f>
        <v>1000</v>
      </c>
      <c r="F29" s="87" t="n">
        <f aca="false">SUMIFS(Forderungsaufstellung!$N$18:$N$47,Forderungsaufstellung!$F$18:$F$47,"Baumann Bau GmbH")</f>
        <v>6199.5</v>
      </c>
      <c r="G29" s="67" t="n">
        <f aca="false">IFERROR(F29/SUM($F$24:$F$31),0)</f>
        <v>0.0753720274279045</v>
      </c>
      <c r="I29" s="88" t="s">
        <v>159</v>
      </c>
      <c r="J29" s="88"/>
      <c r="K29" s="88"/>
      <c r="L29" s="88"/>
      <c r="M29" s="88"/>
      <c r="N29" s="89" t="str">
        <f aca="false">IF(COUNTIFS(Forderungsaufstellung!$N$18:$N$47,"&gt;0",Forderungsaufstellung!$O$18:$O$47,"&gt;90")=0,"OK","INFO")</f>
        <v>INFO</v>
      </c>
    </row>
    <row r="30" customFormat="false" ht="19.5" hidden="false" customHeight="true" outlineLevel="0" collapsed="false">
      <c r="B30" s="19" t="s">
        <v>67</v>
      </c>
      <c r="C30" s="78" t="n">
        <f aca="false">COUNTIF(Forderungsaufstellung!$F$18:$F$47,"Delta Vertriebs GmbH")</f>
        <v>3</v>
      </c>
      <c r="D30" s="79" t="n">
        <f aca="false">SUMIFS(Forderungsaufstellung!$L$18:$L$47,Forderungsaufstellung!$F$18:$F$47,"Delta Vertriebs GmbH")</f>
        <v>26894</v>
      </c>
      <c r="E30" s="80" t="n">
        <f aca="false">SUMIFS(Forderungsaufstellung!$M$18:$M$47,Forderungsaufstellung!$F$18:$F$47,"Delta Vertriebs GmbH")</f>
        <v>19873</v>
      </c>
      <c r="F30" s="81" t="n">
        <f aca="false">SUMIFS(Forderungsaufstellung!$N$18:$N$47,Forderungsaufstellung!$F$18:$F$47,"Delta Vertriebs GmbH")</f>
        <v>7021</v>
      </c>
      <c r="G30" s="61" t="n">
        <f aca="false">IFERROR(F30/SUM($F$24:$F$31),0)</f>
        <v>0.085359626513641</v>
      </c>
    </row>
    <row r="31" customFormat="false" ht="19.5" hidden="false" customHeight="true" outlineLevel="0" collapsed="false">
      <c r="B31" s="31" t="s">
        <v>70</v>
      </c>
      <c r="C31" s="84" t="n">
        <f aca="false">COUNTIF(Forderungsaufstellung!$F$18:$F$47,"Fischer Logistik")</f>
        <v>2</v>
      </c>
      <c r="D31" s="85" t="n">
        <f aca="false">SUMIFS(Forderungsaufstellung!$L$18:$L$47,Forderungsaufstellung!$F$18:$F$47,"Fischer Logistik")</f>
        <v>7794.5</v>
      </c>
      <c r="E31" s="86" t="n">
        <f aca="false">SUMIFS(Forderungsaufstellung!$M$18:$M$47,Forderungsaufstellung!$F$18:$F$47,"Fischer Logistik")</f>
        <v>0</v>
      </c>
      <c r="F31" s="87" t="n">
        <f aca="false">SUMIFS(Forderungsaufstellung!$N$18:$N$47,Forderungsaufstellung!$F$18:$F$47,"Fischer Logistik")</f>
        <v>7794.5</v>
      </c>
      <c r="G31" s="67" t="n">
        <f aca="false">IFERROR(F31/SUM($F$24:$F$31),0)</f>
        <v>0.0947636531634489</v>
      </c>
    </row>
    <row r="32" customFormat="false" ht="21.75" hidden="false" customHeight="true" outlineLevel="0" collapsed="false">
      <c r="B32" s="76" t="s">
        <v>146</v>
      </c>
      <c r="C32" s="73" t="n">
        <f aca="false">SUM(C24:C31)</f>
        <v>21</v>
      </c>
      <c r="D32" s="37" t="n">
        <f aca="false">SUM(D24:D31)</f>
        <v>150059</v>
      </c>
      <c r="E32" s="37" t="n">
        <f aca="false">SUM(E24:E31)</f>
        <v>67807</v>
      </c>
      <c r="F32" s="39" t="n">
        <f aca="false">SUM(F24:F31)</f>
        <v>82252</v>
      </c>
      <c r="G32" s="90" t="n">
        <f aca="false">SUM(G24:G31)</f>
        <v>1</v>
      </c>
    </row>
    <row r="34" customFormat="false" ht="24" hidden="false" customHeight="true" outlineLevel="0" collapsed="false">
      <c r="B34" s="5" t="s">
        <v>160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customFormat="false" ht="19.5" hidden="false" customHeight="true" outlineLevel="0" collapsed="false">
      <c r="B35" s="91" t="s">
        <v>3</v>
      </c>
      <c r="C35" s="92" t="s">
        <v>4</v>
      </c>
      <c r="D35" s="92"/>
      <c r="F35" s="93" t="s">
        <v>161</v>
      </c>
      <c r="G35" s="93"/>
      <c r="I35" s="93" t="s">
        <v>162</v>
      </c>
      <c r="J35" s="93"/>
      <c r="K35" s="93"/>
      <c r="L35" s="93"/>
      <c r="M35" s="93"/>
      <c r="N35" s="93"/>
    </row>
    <row r="36" customFormat="false" ht="19.5" hidden="false" customHeight="true" outlineLevel="0" collapsed="false">
      <c r="B36" s="91" t="s">
        <v>7</v>
      </c>
      <c r="C36" s="94" t="n">
        <f aca="false">Stichtag</f>
        <v>46203</v>
      </c>
      <c r="D36" s="94"/>
      <c r="F36" s="42" t="s">
        <v>163</v>
      </c>
      <c r="G36" s="42"/>
      <c r="I36" s="42" t="s">
        <v>164</v>
      </c>
      <c r="J36" s="42"/>
      <c r="K36" s="42"/>
      <c r="L36" s="42"/>
      <c r="M36" s="42"/>
      <c r="N36" s="42"/>
    </row>
    <row r="37" customFormat="false" ht="19.5" hidden="false" customHeight="true" outlineLevel="0" collapsed="false">
      <c r="B37" s="91" t="s">
        <v>10</v>
      </c>
      <c r="C37" s="95" t="n">
        <f aca="false">Zahlungsziel</f>
        <v>30</v>
      </c>
      <c r="D37" s="95"/>
      <c r="F37" s="42" t="s">
        <v>165</v>
      </c>
      <c r="G37" s="42"/>
      <c r="I37" s="42" t="s">
        <v>166</v>
      </c>
      <c r="J37" s="42"/>
      <c r="K37" s="42"/>
      <c r="L37" s="42"/>
      <c r="M37" s="42"/>
      <c r="N37" s="42"/>
    </row>
    <row r="38" customFormat="false" ht="19.5" hidden="false" customHeight="true" outlineLevel="0" collapsed="false">
      <c r="B38" s="91" t="s">
        <v>14</v>
      </c>
      <c r="C38" s="92" t="s">
        <v>15</v>
      </c>
      <c r="D38" s="92"/>
      <c r="F38" s="42" t="s">
        <v>167</v>
      </c>
      <c r="G38" s="42"/>
      <c r="I38" s="42" t="s">
        <v>168</v>
      </c>
      <c r="J38" s="42"/>
      <c r="K38" s="42"/>
      <c r="L38" s="42"/>
      <c r="M38" s="42"/>
      <c r="N38" s="42"/>
    </row>
    <row r="39" customFormat="false" ht="19.5" hidden="false" customHeight="true" outlineLevel="0" collapsed="false">
      <c r="F39" s="42" t="s">
        <v>169</v>
      </c>
      <c r="G39" s="42"/>
      <c r="I39" s="42" t="s">
        <v>170</v>
      </c>
      <c r="J39" s="42"/>
      <c r="K39" s="42"/>
      <c r="L39" s="42"/>
      <c r="M39" s="42"/>
      <c r="N39" s="42"/>
    </row>
    <row r="40" customFormat="false" ht="19.5" hidden="false" customHeight="true" outlineLevel="0" collapsed="false">
      <c r="F40" s="42" t="s">
        <v>171</v>
      </c>
      <c r="G40" s="42"/>
      <c r="I40" s="42" t="s">
        <v>172</v>
      </c>
      <c r="J40" s="42"/>
      <c r="K40" s="42"/>
      <c r="L40" s="42"/>
      <c r="M40" s="42"/>
      <c r="N40" s="42"/>
    </row>
    <row r="41" customFormat="false" ht="19.5" hidden="false" customHeight="true" outlineLevel="0" collapsed="false">
      <c r="F41" s="42" t="s">
        <v>173</v>
      </c>
      <c r="G41" s="42"/>
      <c r="I41" s="42" t="s">
        <v>174</v>
      </c>
      <c r="J41" s="42"/>
      <c r="K41" s="42"/>
      <c r="L41" s="42"/>
      <c r="M41" s="42"/>
      <c r="N41" s="42"/>
    </row>
    <row r="42" customFormat="false" ht="19.5" hidden="false" customHeight="true" outlineLevel="0" collapsed="false">
      <c r="I42" s="42" t="s">
        <v>175</v>
      </c>
      <c r="J42" s="42"/>
      <c r="K42" s="42"/>
      <c r="L42" s="42"/>
      <c r="M42" s="42"/>
      <c r="N42" s="42"/>
    </row>
    <row r="43" customFormat="false" ht="19.5" hidden="false" customHeight="true" outlineLevel="0" collapsed="false"/>
  </sheetData>
  <mergeCells count="46">
    <mergeCell ref="B1:N1"/>
    <mergeCell ref="B2:N2"/>
    <mergeCell ref="B6:N6"/>
    <mergeCell ref="B7:E7"/>
    <mergeCell ref="F7:I7"/>
    <mergeCell ref="J7:N7"/>
    <mergeCell ref="B8:E8"/>
    <mergeCell ref="F8:I8"/>
    <mergeCell ref="J8:N8"/>
    <mergeCell ref="B10:E10"/>
    <mergeCell ref="F10:I10"/>
    <mergeCell ref="J10:N10"/>
    <mergeCell ref="B11:E11"/>
    <mergeCell ref="F11:I11"/>
    <mergeCell ref="J11:N11"/>
    <mergeCell ref="B13:G13"/>
    <mergeCell ref="I13:N13"/>
    <mergeCell ref="B22:G22"/>
    <mergeCell ref="I22:N22"/>
    <mergeCell ref="I23:M23"/>
    <mergeCell ref="I24:M24"/>
    <mergeCell ref="I25:M25"/>
    <mergeCell ref="I26:M26"/>
    <mergeCell ref="I27:M27"/>
    <mergeCell ref="I28:M28"/>
    <mergeCell ref="I29:M29"/>
    <mergeCell ref="B34:N34"/>
    <mergeCell ref="C35:D35"/>
    <mergeCell ref="F35:G35"/>
    <mergeCell ref="I35:N35"/>
    <mergeCell ref="C36:D36"/>
    <mergeCell ref="F36:G36"/>
    <mergeCell ref="I36:N36"/>
    <mergeCell ref="C37:D37"/>
    <mergeCell ref="F37:G37"/>
    <mergeCell ref="I37:N37"/>
    <mergeCell ref="C38:D38"/>
    <mergeCell ref="F38:G38"/>
    <mergeCell ref="I38:N38"/>
    <mergeCell ref="F39:G39"/>
    <mergeCell ref="I39:N39"/>
    <mergeCell ref="F40:G40"/>
    <mergeCell ref="I40:N40"/>
    <mergeCell ref="F41:G41"/>
    <mergeCell ref="I41:N41"/>
    <mergeCell ref="I42:N42"/>
  </mergeCells>
  <conditionalFormatting sqref="G15:G19">
    <cfRule type="dataBar" priority="2">
      <dataBar showValue="0" minLength="10" maxLength="90">
        <cfvo type="num" val="0"/>
        <cfvo type="max" val="0"/>
        <color rgb="FFB45B3E"/>
      </dataBar>
      <extLst>
        <ext xmlns:x14="http://schemas.microsoft.com/office/spreadsheetml/2009/9/main" uri="{B025F937-C7B1-47D3-B67F-A62EFF666E3E}">
          <x14:id>{D6F64E4B-C0D6-45E2-A318-1977C76D48E7}</x14:id>
        </ext>
      </extLst>
    </cfRule>
  </conditionalFormatting>
  <conditionalFormatting sqref="M15:M19">
    <cfRule type="dataBar" priority="3">
      <dataBar showValue="0" minLength="10" maxLength="90">
        <cfvo type="num" val="0"/>
        <cfvo type="max" val="0"/>
        <color rgb="FFC99B4A"/>
      </dataBar>
      <extLst>
        <ext xmlns:x14="http://schemas.microsoft.com/office/spreadsheetml/2009/9/main" uri="{B025F937-C7B1-47D3-B67F-A62EFF666E3E}">
          <x14:id>{B4B12D30-9FBC-47F9-B2C0-389AA6596588}</x14:id>
        </ext>
      </extLst>
    </cfRule>
  </conditionalFormatting>
  <conditionalFormatting sqref="G24:G31">
    <cfRule type="dataBar" priority="4">
      <dataBar showValue="1" minLength="10" maxLength="90">
        <cfvo type="num" val="0"/>
        <cfvo type="max" val="0"/>
        <color rgb="FFB45B3E"/>
      </dataBar>
      <extLst>
        <ext xmlns:x14="http://schemas.microsoft.com/office/spreadsheetml/2009/9/main" uri="{B025F937-C7B1-47D3-B67F-A62EFF666E3E}">
          <x14:id>{BC384760-7AFF-466C-89AC-FE237AEBC758}</x14:id>
        </ext>
      </extLst>
    </cfRule>
  </conditionalFormatting>
  <conditionalFormatting sqref="N24:N29">
    <cfRule type="cellIs" priority="5" operator="equal" aboveAverage="0" equalAverage="0" bottom="0" percent="0" rank="0" text="" dxfId="30">
      <formula>"OK"</formula>
    </cfRule>
    <cfRule type="cellIs" priority="6" operator="equal" aboveAverage="0" equalAverage="0" bottom="0" percent="0" rank="0" text="" dxfId="26">
      <formula>"PRÜFEN"</formula>
    </cfRule>
    <cfRule type="cellIs" priority="7" operator="equal" aboveAverage="0" equalAverage="0" bottom="0" percent="0" rank="0" text="" dxfId="24">
      <formula>"INFO"</formula>
    </cfRule>
  </conditionalFormatting>
  <printOptions headings="false" gridLines="false" gridLinesSet="true" horizontalCentered="true" verticalCentered="false"/>
  <pageMargins left="0.3" right="0.3" top="0.3" bottom="0.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F64E4B-C0D6-45E2-A318-1977C76D48E7}">
            <x14:dataBar minLength="10" maxLength="90" axisPosition="none" gradient="true">
              <x14:cfvo type="num">
                <xm:f>0</xm:f>
              </x14:cfvo>
              <x14:cfvo type="max"/>
              <x14:negativeFillColor rgb="FFB45B3E"/>
              <x14:axisColor rgb="FF000000"/>
            </x14:dataBar>
          </x14:cfRule>
          <xm:sqref>G15:G19</xm:sqref>
        </x14:conditionalFormatting>
        <x14:conditionalFormatting xmlns:xm="http://schemas.microsoft.com/office/excel/2006/main">
          <x14:cfRule type="dataBar" id="{B4B12D30-9FBC-47F9-B2C0-389AA6596588}">
            <x14:dataBar minLength="10" maxLength="90" axisPosition="none" gradient="true">
              <x14:cfvo type="num">
                <xm:f>0</xm:f>
              </x14:cfvo>
              <x14:cfvo type="max"/>
              <x14:negativeFillColor rgb="FFC99B4A"/>
              <x14:axisColor rgb="FF000000"/>
            </x14:dataBar>
          </x14:cfRule>
          <xm:sqref>M15:M19</xm:sqref>
        </x14:conditionalFormatting>
        <x14:conditionalFormatting xmlns:xm="http://schemas.microsoft.com/office/excel/2006/main">
          <x14:cfRule type="dataBar" id="{BC384760-7AFF-466C-89AC-FE237AEBC758}">
            <x14:dataBar minLength="10" maxLength="90" axisPosition="none" gradient="true">
              <x14:cfvo type="num">
                <xm:f>0</xm:f>
              </x14:cfvo>
              <x14:cfvo type="max"/>
              <x14:negativeFillColor rgb="FFB45B3E"/>
              <x14:axisColor rgb="FF000000"/>
            </x14:dataBar>
          </x14:cfRule>
          <xm:sqref>G24:G31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2026-07-21T11:10:03Z</dcterms:created>
  <dc:creator>openpyxl</dc:creator>
  <dc:description/>
  <dc:language>en-US</dc:language>
  <cp:lastModifiedBy/>
  <dcterms:modified xsi:type="dcterms:W3CDTF">2026-07-21T11:10:05Z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