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ntnahmeschein" sheetId="1" state="visible" r:id="rId3"/>
    <sheet name="Artikelstamm &amp; Auswertung" sheetId="2" state="visible" r:id="rId4"/>
    <sheet name="Entnahmejournal" sheetId="3" state="visible" r:id="rId5"/>
  </sheets>
  <definedNames>
    <definedName function="false" hidden="true" localSheetId="1" name="_xlnm._FilterDatabase" vbProcedure="false">'Artikelstamm &amp; Auswertung'!$B$28:$Q$48</definedName>
    <definedName function="false" hidden="true" localSheetId="2" name="_xlnm._FilterDatabase" vbProcedure="false">Entnahmejournal!$B$13:$P$63</definedName>
    <definedName function="false" hidden="false" localSheetId="0" name="_xlnm.Print_Area" vbProcedure="false">Entnahmeschein!$A$1:$K$41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<sst xmlns="http://schemas.openxmlformats.org/spreadsheetml/2006/main" count="447" uniqueCount="250">
  <si>
    <t xml:space="preserve">MATERIALENTNAHMESCHEIN</t>
  </si>
  <si>
    <t xml:space="preserve">Interner Beleg │ Lagerausgang</t>
  </si>
  <si>
    <t xml:space="preserve">01 │ KOPFDATEN</t>
  </si>
  <si>
    <t xml:space="preserve">Schein-Nr.</t>
  </si>
  <si>
    <t xml:space="preserve">ME-2026-016</t>
  </si>
  <si>
    <t xml:space="preserve">Datum</t>
  </si>
  <si>
    <t xml:space="preserve">Auftrags-Nr.</t>
  </si>
  <si>
    <t xml:space="preserve">AUF-2026-085</t>
  </si>
  <si>
    <t xml:space="preserve">Kostenstelle</t>
  </si>
  <si>
    <t xml:space="preserve">KST-2010 Fertigung Halle 1</t>
  </si>
  <si>
    <t xml:space="preserve">Abteilung</t>
  </si>
  <si>
    <t xml:space="preserve">Fertigung Halle 1</t>
  </si>
  <si>
    <t xml:space="preserve">Lagerort</t>
  </si>
  <si>
    <t xml:space="preserve">L4-R02</t>
  </si>
  <si>
    <t xml:space="preserve">Bearbeiter</t>
  </si>
  <si>
    <t xml:space="preserve">T. Ahrens</t>
  </si>
  <si>
    <t xml:space="preserve">Anford.-Datum</t>
  </si>
  <si>
    <t xml:space="preserve">Priorität</t>
  </si>
  <si>
    <t xml:space="preserve">Normal</t>
  </si>
  <si>
    <t xml:space="preserve">02 │ ARTIKELDATEN</t>
  </si>
  <si>
    <t xml:space="preserve">Pos.</t>
  </si>
  <si>
    <t xml:space="preserve">Artikel-Nr.</t>
  </si>
  <si>
    <t xml:space="preserve">Bezeichnung</t>
  </si>
  <si>
    <t xml:space="preserve">ME</t>
  </si>
  <si>
    <t xml:space="preserve">Soll</t>
  </si>
  <si>
    <t xml:space="preserve">Ist</t>
  </si>
  <si>
    <t xml:space="preserve">Diff.</t>
  </si>
  <si>
    <t xml:space="preserve">Rest.-Best.</t>
  </si>
  <si>
    <t xml:space="preserve">Bemerkung</t>
  </si>
  <si>
    <t xml:space="preserve">M-70004</t>
  </si>
  <si>
    <t xml:space="preserve">M-70009</t>
  </si>
  <si>
    <t xml:space="preserve">Monatsausgabe PSA</t>
  </si>
  <si>
    <t xml:space="preserve">M-40012</t>
  </si>
  <si>
    <t xml:space="preserve">M-10021</t>
  </si>
  <si>
    <t xml:space="preserve">2 defekt</t>
  </si>
  <si>
    <t xml:space="preserve">M-30051</t>
  </si>
  <si>
    <t xml:space="preserve">SUMME</t>
  </si>
  <si>
    <t xml:space="preserve">03 │ VERWENDUNGSZWECK &amp; BEMERKUNGEN</t>
  </si>
  <si>
    <t xml:space="preserve">Verwendungszweck:</t>
  </si>
  <si>
    <t xml:space="preserve">PSA-Nachversorgung Fertigung Halle 1 sowie Nachschub Verbindungselemente für laufenden Auftrag AUF-2026-085</t>
  </si>
  <si>
    <t xml:space="preserve">Bemerkungen:</t>
  </si>
  <si>
    <t xml:space="preserve">Rückgabe nicht verbrauchter Ware bis 22.07.2026 an das Lager. Positionen 4: 2 Stk. defekt, wurden aussortiert und der QS gemeldet.</t>
  </si>
  <si>
    <t xml:space="preserve">04 │ AUTORISIERUNG (Vier-Augen-Prinzip)</t>
  </si>
  <si>
    <t xml:space="preserve">Entnehmer / Anforderer</t>
  </si>
  <si>
    <t xml:space="preserve">Lagerist / Ausgabe</t>
  </si>
  <si>
    <t xml:space="preserve">Freigabe Vorgesetzter</t>
  </si>
  <si>
    <t xml:space="preserve">Ort, Datum: __________________</t>
  </si>
  <si>
    <t xml:space="preserve">Hinweis: Blaue/gelbe Felder = Eingabe durch Benutzer. Graue Felder = automatisch berechnet. Nach Ausgabe im Blatt „Entnahmejournal“ verbuchen (Status = „Gebucht“) — der Aktuelle Bestand im Artikelstamm reduziert sich dann automatisch.</t>
  </si>
  <si>
    <t xml:space="preserve">STATUS_WERTE</t>
  </si>
  <si>
    <t xml:space="preserve">KOSTENSTELLEN</t>
  </si>
  <si>
    <t xml:space="preserve">ABTEILUNGEN</t>
  </si>
  <si>
    <t xml:space="preserve">ARTIKELSTAMM &amp; BESTANDSAUSWERTUNG</t>
  </si>
  <si>
    <t xml:space="preserve">Zentrale Datenbasis für Entnahmescheine │ Bestandsführung │ Meldebestand-Analyse</t>
  </si>
  <si>
    <t xml:space="preserve">Entwurf</t>
  </si>
  <si>
    <t xml:space="preserve">KST-1010 Produktion</t>
  </si>
  <si>
    <t xml:space="preserve">Produktion</t>
  </si>
  <si>
    <t xml:space="preserve">Genehmigt</t>
  </si>
  <si>
    <t xml:space="preserve">KST-1020 Montage</t>
  </si>
  <si>
    <t xml:space="preserve">Montage</t>
  </si>
  <si>
    <t xml:space="preserve">Ausgegeben</t>
  </si>
  <si>
    <t xml:space="preserve">KST-1030 Instandhaltung</t>
  </si>
  <si>
    <t xml:space="preserve">Instandhaltung</t>
  </si>
  <si>
    <t xml:space="preserve">Gebucht</t>
  </si>
  <si>
    <t xml:space="preserve">Werkstatt</t>
  </si>
  <si>
    <t xml:space="preserve">01 │ UNTERNEHMENSDATEN &amp; PARAMETER</t>
  </si>
  <si>
    <t xml:space="preserve">Storniert</t>
  </si>
  <si>
    <t xml:space="preserve">KST-2020 Fertigung Halle 2</t>
  </si>
  <si>
    <t xml:space="preserve">Elektrowerkstatt</t>
  </si>
  <si>
    <t xml:space="preserve">KST-3010 Werkstatt</t>
  </si>
  <si>
    <t xml:space="preserve">Firma</t>
  </si>
  <si>
    <t xml:space="preserve">Nordmark Betriebs- und Werktechnik GmbH</t>
  </si>
  <si>
    <t xml:space="preserve">Anschrift</t>
  </si>
  <si>
    <t xml:space="preserve">Hafenstraße 47, 26721 Musterstadt</t>
  </si>
  <si>
    <t xml:space="preserve">KST-3020 Elektrowerkstatt</t>
  </si>
  <si>
    <t xml:space="preserve">Fertigung Halle 2</t>
  </si>
  <si>
    <t xml:space="preserve">USt-IdNr.</t>
  </si>
  <si>
    <t xml:space="preserve">DE 812 345 678</t>
  </si>
  <si>
    <t xml:space="preserve">Ansprechpartner Lager</t>
  </si>
  <si>
    <t xml:space="preserve">M. Rickels (Lagerleitung)</t>
  </si>
  <si>
    <t xml:space="preserve">KST-4010 Versand</t>
  </si>
  <si>
    <t xml:space="preserve">Versand</t>
  </si>
  <si>
    <t xml:space="preserve">Wirtschaftsjahr</t>
  </si>
  <si>
    <t xml:space="preserve">2026</t>
  </si>
  <si>
    <t xml:space="preserve">Stichtag Bestand</t>
  </si>
  <si>
    <t xml:space="preserve">31.12.2026</t>
  </si>
  <si>
    <t xml:space="preserve">KST-5010 Verwaltung</t>
  </si>
  <si>
    <t xml:space="preserve">Qualitätssicherung</t>
  </si>
  <si>
    <t xml:space="preserve">Verwaltung</t>
  </si>
  <si>
    <t xml:space="preserve">PARAMETER</t>
  </si>
  <si>
    <t xml:space="preserve">Standard-Lieferzeit (Tage)</t>
  </si>
  <si>
    <t xml:space="preserve">Sicherheitsfaktor (%)</t>
  </si>
  <si>
    <t xml:space="preserve">Verantwortlich</t>
  </si>
  <si>
    <t xml:space="preserve">Lagerleitung</t>
  </si>
  <si>
    <t xml:space="preserve">Warnschwelle Meldebestand</t>
  </si>
  <si>
    <t xml:space="preserve">02 │ KENNZAHLEN AUF EINEN BLICK</t>
  </si>
  <si>
    <t xml:space="preserve">Artikel gesamt</t>
  </si>
  <si>
    <t xml:space="preserve">Bestandswert (€)</t>
  </si>
  <si>
    <t xml:space="preserve">Unter Meldebestand</t>
  </si>
  <si>
    <t xml:space="preserve">Kritische Artikel</t>
  </si>
  <si>
    <t xml:space="preserve">Ø Reichweite (Tage)</t>
  </si>
  <si>
    <t xml:space="preserve">Entnahmen im Journal</t>
  </si>
  <si>
    <t xml:space="preserve">03 │ ARTIKELSTAMM</t>
  </si>
  <si>
    <t xml:space="preserve">Kategorie</t>
  </si>
  <si>
    <t xml:space="preserve">Einheit</t>
  </si>
  <si>
    <t xml:space="preserve">Anfangs- bestand</t>
  </si>
  <si>
    <t xml:space="preserve">Entnommen</t>
  </si>
  <si>
    <t xml:space="preserve">Aktueller Bestand</t>
  </si>
  <si>
    <t xml:space="preserve">Melde- bestand</t>
  </si>
  <si>
    <t xml:space="preserve">Sicherheits- bestand</t>
  </si>
  <si>
    <t xml:space="preserve">Ø Verbr./Tag</t>
  </si>
  <si>
    <t xml:space="preserve">Liefer- zeit (T)</t>
  </si>
  <si>
    <t xml:space="preserve">Preis (€)</t>
  </si>
  <si>
    <t xml:space="preserve">Wert (€)</t>
  </si>
  <si>
    <t xml:space="preserve">Reichweite (T)</t>
  </si>
  <si>
    <t xml:space="preserve">Status</t>
  </si>
  <si>
    <t xml:space="preserve">Sechskantschraube M8 × 40 verzinkt</t>
  </si>
  <si>
    <t xml:space="preserve">Verbindungselemente</t>
  </si>
  <si>
    <t xml:space="preserve">Stk.</t>
  </si>
  <si>
    <t xml:space="preserve">L1-R03-F02</t>
  </si>
  <si>
    <t xml:space="preserve">M-10024</t>
  </si>
  <si>
    <t xml:space="preserve">Sechskantschraube M10 × 60 verzinkt</t>
  </si>
  <si>
    <t xml:space="preserve">L1-R03-F03</t>
  </si>
  <si>
    <t xml:space="preserve">M-10035</t>
  </si>
  <si>
    <t xml:space="preserve">Unterlegscheibe DIN 125 M8 verzinkt</t>
  </si>
  <si>
    <t xml:space="preserve">L1-R03-F05</t>
  </si>
  <si>
    <t xml:space="preserve">M-11002</t>
  </si>
  <si>
    <t xml:space="preserve">Blechschraube 4,2 × 25 Torx</t>
  </si>
  <si>
    <t xml:space="preserve">L1-R04-F01</t>
  </si>
  <si>
    <t xml:space="preserve">M-20015</t>
  </si>
  <si>
    <t xml:space="preserve">Dichtungsring FPM Ø 24 × 3</t>
  </si>
  <si>
    <t xml:space="preserve">Dichtungen</t>
  </si>
  <si>
    <t xml:space="preserve">L1-R07-F02</t>
  </si>
  <si>
    <t xml:space="preserve">M-20018</t>
  </si>
  <si>
    <t xml:space="preserve">O-Ring NBR Ø 40 × 4</t>
  </si>
  <si>
    <t xml:space="preserve">L1-R07-F04</t>
  </si>
  <si>
    <t xml:space="preserve">M-30044</t>
  </si>
  <si>
    <t xml:space="preserve">Hydrauliköl HLP 46</t>
  </si>
  <si>
    <t xml:space="preserve">Betriebsstoffe</t>
  </si>
  <si>
    <t xml:space="preserve">Liter</t>
  </si>
  <si>
    <t xml:space="preserve">L2-G01-F01</t>
  </si>
  <si>
    <t xml:space="preserve">M-30046</t>
  </si>
  <si>
    <t xml:space="preserve">Getriebeöl 80W-90</t>
  </si>
  <si>
    <t xml:space="preserve">L2-G01-F02</t>
  </si>
  <si>
    <t xml:space="preserve">Universalfett Lithium 400 g</t>
  </si>
  <si>
    <t xml:space="preserve">L2-G02-F01</t>
  </si>
  <si>
    <t xml:space="preserve">Kabelbinder 200 × 3,5 mm schwarz</t>
  </si>
  <si>
    <t xml:space="preserve">Elektro</t>
  </si>
  <si>
    <t xml:space="preserve">L2-R11-F03</t>
  </si>
  <si>
    <t xml:space="preserve">M-40027</t>
  </si>
  <si>
    <t xml:space="preserve">Aderendhülse 1,5 mm² isoliert</t>
  </si>
  <si>
    <t xml:space="preserve">L2-R11-F05</t>
  </si>
  <si>
    <t xml:space="preserve">M-40031</t>
  </si>
  <si>
    <t xml:space="preserve">Litze H07V-K 2,5 mm² grün-gelb</t>
  </si>
  <si>
    <t xml:space="preserve">Meter</t>
  </si>
  <si>
    <t xml:space="preserve">L2-R12-F01</t>
  </si>
  <si>
    <t xml:space="preserve">M-50008</t>
  </si>
  <si>
    <t xml:space="preserve">Schweißdraht MAG G3Si1 Ø 1,0 mm</t>
  </si>
  <si>
    <t xml:space="preserve">Schweißtechnik</t>
  </si>
  <si>
    <t xml:space="preserve">kg</t>
  </si>
  <si>
    <t xml:space="preserve">L3-R05-F01</t>
  </si>
  <si>
    <t xml:space="preserve">M-50011</t>
  </si>
  <si>
    <t xml:space="preserve">Schutzgas Argon 4.6 (Flasche 20 L)</t>
  </si>
  <si>
    <t xml:space="preserve">L3-G03-F01</t>
  </si>
  <si>
    <t xml:space="preserve">M-60003</t>
  </si>
  <si>
    <t xml:space="preserve">Trennscheibe Ø 125 × 1,6 mm</t>
  </si>
  <si>
    <t xml:space="preserve">Werkzeug</t>
  </si>
  <si>
    <t xml:space="preserve">L3-R08-F02</t>
  </si>
  <si>
    <t xml:space="preserve">M-60007</t>
  </si>
  <si>
    <t xml:space="preserve">Bohrer HSS-Co Ø 6,0 mm</t>
  </si>
  <si>
    <t xml:space="preserve">L3-R08-F04</t>
  </si>
  <si>
    <t xml:space="preserve">Arbeitshandschuh Nitril Gr. 10</t>
  </si>
  <si>
    <t xml:space="preserve">Arbeitsschutz</t>
  </si>
  <si>
    <t xml:space="preserve">Paar</t>
  </si>
  <si>
    <t xml:space="preserve">L4-R02-F01</t>
  </si>
  <si>
    <t xml:space="preserve">Gehörschutzstöpsel SNR 32 dB</t>
  </si>
  <si>
    <t xml:space="preserve">L4-R02-F03</t>
  </si>
  <si>
    <t xml:space="preserve">M-80002</t>
  </si>
  <si>
    <t xml:space="preserve">Putzlappen weiß 10 kg Ballen</t>
  </si>
  <si>
    <t xml:space="preserve">Reinigung</t>
  </si>
  <si>
    <t xml:space="preserve">L4-R14-F02</t>
  </si>
  <si>
    <t xml:space="preserve">M-80005</t>
  </si>
  <si>
    <t xml:space="preserve">Reinigungsspiritus 1 L</t>
  </si>
  <si>
    <t xml:space="preserve">L4-R14-F04</t>
  </si>
  <si>
    <t xml:space="preserve">SUMME / DURCHSCHNITT</t>
  </si>
  <si>
    <t xml:space="preserve">04 │ VERTEILUNG NACH KATEGORIE</t>
  </si>
  <si>
    <t xml:space="preserve">Artikel</t>
  </si>
  <si>
    <t xml:space="preserve">Anteil (%)</t>
  </si>
  <si>
    <t xml:space="preserve">05 │ ANLEITUNG &amp; FARBLEGENDE</t>
  </si>
  <si>
    <t xml:space="preserve">1. Artikelstamm im Bereich B:N pflegen. Neue Artikel unten anfügen — Formeln in Spalten H, I, O, P, Q ziehen sich automatisch.</t>
  </si>
  <si>
    <t xml:space="preserve">2. Anfangsbestand (Spalte G) einmalig zum Stichtag 01.01.2026 eintragen. Alle folgenden Bewegungen laufen über das Entnahmejournal.</t>
  </si>
  <si>
    <t xml:space="preserve">3. Meldebestand (J) und Sicherheitsbestand (K) je Artikel definieren. Formel: Meldebestand = (Ø Verbrauch × Lieferzeit) + Sicherheitsbestand.</t>
  </si>
  <si>
    <t xml:space="preserve">4. Für jede Materialentnahme das Blatt „Entnahmeschein“ ausfüllen, ausdrucken, unterschreiben lassen und die Positionen ins „Entnahmejournal“ übernehmen.</t>
  </si>
  <si>
    <t xml:space="preserve">5. Nach jeder Buchung im Journal (Status = „Gebucht“) wird der Aktuelle Bestand (I) automatisch reduziert und der Status-Ampel (Q) aktualisiert.</t>
  </si>
  <si>
    <t xml:space="preserve">6. Kritische und nachzubestellende Artikel farblich hervorgehoben → Basis für Bestellvorschläge an den Einkauf.</t>
  </si>
  <si>
    <t xml:space="preserve">FARBLEGENDE</t>
  </si>
  <si>
    <t xml:space="preserve">Eingabefeld</t>
  </si>
  <si>
    <t xml:space="preserve">Automatisch berechnet</t>
  </si>
  <si>
    <t xml:space="preserve">Status OK — kein Handlungsbedarf</t>
  </si>
  <si>
    <t xml:space="preserve">Status NACHBESTELLEN — Meldebestand erreicht</t>
  </si>
  <si>
    <t xml:space="preserve">Status KRITISCH — Sicherheitsbestand unterschritten</t>
  </si>
  <si>
    <t xml:space="preserve">Hinweis: Diese Vorlage ist ein internes Formular ohne rechtliche Verbindlichkeit. Für revisionssichere Bestandsführung wird der Einsatz eines Warenwirtschaftssystems (WaWi/ERP) empfohlen.</t>
  </si>
  <si>
    <t xml:space="preserve">ENTNAHMEJOURNAL</t>
  </si>
  <si>
    <t xml:space="preserve">Lückenlose Erfassung aller Materialbewegungen 2026</t>
  </si>
  <si>
    <t xml:space="preserve">01 │ KENNZAHLEN JOURNAL</t>
  </si>
  <si>
    <t xml:space="preserve">Anzahl Scheine</t>
  </si>
  <si>
    <t xml:space="preserve">Positionen gesamt</t>
  </si>
  <si>
    <t xml:space="preserve">Menge Ist gesamt</t>
  </si>
  <si>
    <t xml:space="preserve">Differenzen (Stk.)</t>
  </si>
  <si>
    <t xml:space="preserve">Wert Ist gesamt (€)</t>
  </si>
  <si>
    <t xml:space="preserve">02 │ BEWEGUNGSDATEN</t>
  </si>
  <si>
    <t xml:space="preserve">Nr.</t>
  </si>
  <si>
    <t xml:space="preserve">Auftrag</t>
  </si>
  <si>
    <t xml:space="preserve">Wert Ist (€)</t>
  </si>
  <si>
    <t xml:space="preserve">ME-2026-001</t>
  </si>
  <si>
    <t xml:space="preserve">AUF-2026-014</t>
  </si>
  <si>
    <t xml:space="preserve">ME-2026-002</t>
  </si>
  <si>
    <t xml:space="preserve">AUF-2026-016</t>
  </si>
  <si>
    <t xml:space="preserve">Ölwechsel Hydraulikpresse</t>
  </si>
  <si>
    <t xml:space="preserve">ME-2026-003</t>
  </si>
  <si>
    <t xml:space="preserve">AUF-2026-021</t>
  </si>
  <si>
    <t xml:space="preserve">5 defekt</t>
  </si>
  <si>
    <t xml:space="preserve">ME-2026-004</t>
  </si>
  <si>
    <t xml:space="preserve">AUF-2026-027</t>
  </si>
  <si>
    <t xml:space="preserve">2 beschädigt entsorgt</t>
  </si>
  <si>
    <t xml:space="preserve">ME-2026-005</t>
  </si>
  <si>
    <t xml:space="preserve">AUF-2026-030</t>
  </si>
  <si>
    <t xml:space="preserve">ME-2026-006</t>
  </si>
  <si>
    <t xml:space="preserve">AUF-2026-034</t>
  </si>
  <si>
    <t xml:space="preserve">ME-2026-007</t>
  </si>
  <si>
    <t xml:space="preserve">-</t>
  </si>
  <si>
    <t xml:space="preserve">ME-2026-008</t>
  </si>
  <si>
    <t xml:space="preserve">AUF-2026-041</t>
  </si>
  <si>
    <t xml:space="preserve">ME-2026-009</t>
  </si>
  <si>
    <t xml:space="preserve">AUF-2026-047</t>
  </si>
  <si>
    <t xml:space="preserve">ME-2026-010</t>
  </si>
  <si>
    <t xml:space="preserve">Grundreinigung Halle</t>
  </si>
  <si>
    <t xml:space="preserve">ME-2026-011</t>
  </si>
  <si>
    <t xml:space="preserve">AUF-2026-055</t>
  </si>
  <si>
    <t xml:space="preserve">3 fehlerhaft</t>
  </si>
  <si>
    <t xml:space="preserve">ME-2026-012</t>
  </si>
  <si>
    <t xml:space="preserve">AUF-2026-061</t>
  </si>
  <si>
    <t xml:space="preserve">Schutzgasflasche</t>
  </si>
  <si>
    <t xml:space="preserve">ME-2026-013</t>
  </si>
  <si>
    <t xml:space="preserve">AUF-2026-068</t>
  </si>
  <si>
    <t xml:space="preserve">ME-2026-014</t>
  </si>
  <si>
    <t xml:space="preserve">AUF-2026-074</t>
  </si>
  <si>
    <t xml:space="preserve">ME-2026-015</t>
  </si>
  <si>
    <t xml:space="preserve">AUF-2026-081</t>
  </si>
  <si>
    <t xml:space="preserve">Wartung Anlage L-04</t>
  </si>
  <si>
    <t xml:space="preserve">PSA-Nachbestellung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</si>
</sst>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dd\.mm\.yyyy"/>
    <numFmt numFmtId="166" formatCode="#,##0"/>
    <numFmt numFmtId="167" formatCode="\+#,##0;\-#,##0;0"/>
    <numFmt numFmtId="168" formatCode="0"/>
    <numFmt numFmtId="169" formatCode="0.0%"/>
    <numFmt numFmtId="170" formatCode="#,##0.00&quot; €&quot;"/>
    <numFmt numFmtId="171" formatCode="0.0"/>
    <numFmt numFmtId="172" formatCode="#,##0.0"/>
  </numFmts>
  <fonts count="3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FFFFFF"/>
      <name val="Calibri"/>
      <family val="0"/>
      <charset val="1"/>
    </font>
    <font>
      <i val="true"/>
      <sz val="10"/>
      <color rgb="FFD06E52"/>
      <name val="Calibri"/>
      <family val="0"/>
      <charset val="1"/>
    </font>
    <font>
      <b val="true"/>
      <sz val="11"/>
      <color rgb="FF2C3B47"/>
      <name val="Calibri"/>
      <family val="0"/>
      <charset val="1"/>
    </font>
    <font>
      <sz val="9"/>
      <color rgb="FF6B6B6B"/>
      <name val="Calibri"/>
      <family val="0"/>
      <charset val="1"/>
    </font>
    <font>
      <b val="true"/>
      <sz val="10"/>
      <color rgb="FF111111"/>
      <name val="Calibri"/>
      <family val="0"/>
      <charset val="1"/>
    </font>
    <font>
      <sz val="10"/>
      <color rgb="FF111111"/>
      <name val="Calibri"/>
      <family val="0"/>
      <charset val="1"/>
    </font>
    <font>
      <b val="true"/>
      <sz val="9"/>
      <color rgb="FFFFFFFF"/>
      <name val="Calibri"/>
      <family val="0"/>
      <charset val="1"/>
    </font>
    <font>
      <b val="true"/>
      <sz val="9"/>
      <color rgb="FF6B6B6B"/>
      <name val="Calibri"/>
      <family val="0"/>
      <charset val="1"/>
    </font>
    <font>
      <b val="true"/>
      <sz val="9"/>
      <color rgb="FF2C3B47"/>
      <name val="Calibri"/>
      <family val="0"/>
      <charset val="1"/>
    </font>
    <font>
      <sz val="9"/>
      <color rgb="FF111111"/>
      <name val="Calibri"/>
      <family val="0"/>
      <charset val="1"/>
    </font>
    <font>
      <b val="true"/>
      <sz val="9"/>
      <color rgb="FF111111"/>
      <name val="Calibri"/>
      <family val="0"/>
      <charset val="1"/>
    </font>
    <font>
      <i val="true"/>
      <sz val="9"/>
      <color rgb="FF6B6B6B"/>
      <name val="Calibri"/>
      <family val="0"/>
      <charset val="1"/>
    </font>
    <font>
      <i val="true"/>
      <sz val="9"/>
      <color rgb="FF111111"/>
      <name val="Calibri"/>
      <family val="0"/>
      <charset val="1"/>
    </font>
    <font>
      <sz val="9"/>
      <color rgb="FF2C3B47"/>
      <name val="Calibri"/>
      <family val="0"/>
      <charset val="1"/>
    </font>
    <font>
      <i val="true"/>
      <sz val="8"/>
      <color rgb="FF6B6B6B"/>
      <name val="Calibri"/>
      <family val="0"/>
      <charset val="1"/>
    </font>
    <font>
      <b val="true"/>
      <sz val="9"/>
      <color rgb="FFB04A2E"/>
      <name val="Calibri"/>
      <family val="0"/>
      <charset val="1"/>
    </font>
    <font>
      <b val="true"/>
      <sz val="20"/>
      <color rgb="FF2C3B47"/>
      <name val="Calibri"/>
      <family val="0"/>
      <charset val="1"/>
    </font>
    <font>
      <b val="true"/>
      <sz val="20"/>
      <color rgb="FF5F7A4A"/>
      <name val="Calibri"/>
      <family val="0"/>
      <charset val="1"/>
    </font>
    <font>
      <b val="true"/>
      <sz val="20"/>
      <color rgb="FFC08A2A"/>
      <name val="Calibri"/>
      <family val="0"/>
      <charset val="1"/>
    </font>
    <font>
      <b val="true"/>
      <sz val="20"/>
      <color rgb="FF9C2E23"/>
      <name val="Calibri"/>
      <family val="0"/>
      <charset val="1"/>
    </font>
    <font>
      <b val="true"/>
      <sz val="20"/>
      <color rgb="FFB04A2E"/>
      <name val="Calibri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8"/>
      <color rgb="FF2C3B47"/>
      <name val="Calibri"/>
      <family val="0"/>
      <charset val="1"/>
    </font>
    <font>
      <b val="true"/>
      <sz val="18"/>
      <color rgb="FFB04A2E"/>
      <name val="Calibri"/>
      <family val="0"/>
      <charset val="1"/>
    </font>
    <font>
      <b val="true"/>
      <sz val="18"/>
      <color rgb="FF5F7A4A"/>
      <name val="Calibri"/>
      <family val="0"/>
      <charset val="1"/>
    </font>
    <font>
      <b val="true"/>
      <sz val="18"/>
      <color rgb="FFC08A2A"/>
      <name val="Calibri"/>
      <family val="0"/>
      <charset val="1"/>
    </font>
    <font>
      <b val="true"/>
      <sz val="18"/>
      <color rgb="FF9C2E23"/>
      <name val="Calibri"/>
      <family val="0"/>
      <charset val="1"/>
    </font>
  </fonts>
  <fills count="12">
    <fill>
      <patternFill patternType="none"/>
    </fill>
    <fill>
      <patternFill patternType="gray125"/>
    </fill>
    <fill>
      <patternFill patternType="solid">
        <fgColor rgb="FF2C3B47"/>
        <bgColor rgb="FF333300"/>
      </patternFill>
    </fill>
    <fill>
      <patternFill patternType="solid">
        <fgColor rgb="FFB04A2E"/>
        <bgColor rgb="FF9C2E23"/>
      </patternFill>
    </fill>
    <fill>
      <patternFill patternType="solid">
        <fgColor rgb="FFFFF6DE"/>
        <bgColor rgb="FFFDF7EA"/>
      </patternFill>
    </fill>
    <fill>
      <patternFill patternType="solid">
        <fgColor rgb="FFF1EFEA"/>
        <bgColor rgb="FFF2ECDF"/>
      </patternFill>
    </fill>
    <fill>
      <patternFill patternType="solid">
        <fgColor rgb="FFF2ECDF"/>
        <bgColor rgb="FFF1EFEA"/>
      </patternFill>
    </fill>
    <fill>
      <patternFill patternType="solid">
        <fgColor rgb="FFFDF7EA"/>
        <bgColor rgb="FFFFF6DE"/>
      </patternFill>
    </fill>
    <fill>
      <patternFill patternType="solid">
        <fgColor rgb="FF435568"/>
        <bgColor rgb="FF2C3B47"/>
      </patternFill>
    </fill>
    <fill>
      <patternFill patternType="solid">
        <fgColor rgb="FFE1EAD6"/>
        <bgColor rgb="FFF2ECDF"/>
      </patternFill>
    </fill>
    <fill>
      <patternFill patternType="solid">
        <fgColor rgb="FFF6E9C6"/>
        <bgColor rgb="FFF2ECDF"/>
      </patternFill>
    </fill>
    <fill>
      <patternFill patternType="solid">
        <fgColor rgb="FFF1D3CE"/>
        <bgColor rgb="FFD9D9D9"/>
      </patternFill>
    </fill>
  </fills>
  <borders count="11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2C3B47"/>
      </bottom>
      <diagonal/>
    </border>
    <border diagonalUp="false" diagonalDown="false">
      <left/>
      <right/>
      <top/>
      <bottom style="thin">
        <color rgb="FFBDB8AC"/>
      </bottom>
      <diagonal/>
    </border>
    <border diagonalUp="false" diagonalDown="false">
      <left/>
      <right/>
      <top style="medium">
        <color rgb="FF2C3B47"/>
      </top>
      <bottom style="thin">
        <color rgb="FFB04A2E"/>
      </bottom>
      <diagonal/>
    </border>
    <border diagonalUp="false" diagonalDown="false">
      <left style="thin">
        <color rgb="FFBDB8AC"/>
      </left>
      <right/>
      <top style="thin">
        <color rgb="FFBDB8AC"/>
      </top>
      <bottom/>
      <diagonal/>
    </border>
    <border diagonalUp="false" diagonalDown="false">
      <left/>
      <right/>
      <top style="medium">
        <color rgb="FF2C3B47"/>
      </top>
      <bottom/>
      <diagonal/>
    </border>
    <border diagonalUp="false" diagonalDown="false">
      <left/>
      <right/>
      <top style="medium">
        <color rgb="FF5F7A4A"/>
      </top>
      <bottom/>
      <diagonal/>
    </border>
    <border diagonalUp="false" diagonalDown="false">
      <left/>
      <right/>
      <top style="medium">
        <color rgb="FFC08A2A"/>
      </top>
      <bottom/>
      <diagonal/>
    </border>
    <border diagonalUp="false" diagonalDown="false">
      <left/>
      <right/>
      <top style="medium">
        <color rgb="FF9C2E23"/>
      </top>
      <bottom/>
      <diagonal/>
    </border>
    <border diagonalUp="false" diagonalDown="false">
      <left/>
      <right/>
      <top style="medium">
        <color rgb="FFB04A2E"/>
      </top>
      <bottom/>
      <diagonal/>
    </border>
    <border diagonalUp="false" diagonalDown="false">
      <left style="thin">
        <color rgb="FFD0CFC7"/>
      </left>
      <right style="thin">
        <color rgb="FFD0CFC7"/>
      </right>
      <top style="thin">
        <color rgb="FFD0CFC7"/>
      </top>
      <bottom style="thin">
        <color rgb="FFD0CFC7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2" borderId="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4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9" fillId="4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9" fillId="4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0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2" fillId="4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13" fillId="5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13" fillId="5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13" fillId="4" borderId="0" xfId="0" applyFont="true" applyBorder="false" applyAlignment="true" applyProtection="false">
      <alignment horizontal="right" vertical="center" textRotation="0" wrapText="false" indent="1" shrinkToFit="false"/>
      <protection locked="true" hidden="false"/>
    </xf>
    <xf numFmtId="166" fontId="14" fillId="4" borderId="0" xfId="0" applyFont="true" applyBorder="false" applyAlignment="true" applyProtection="false">
      <alignment horizontal="right" vertical="center" textRotation="0" wrapText="false" indent="1" shrinkToFit="false"/>
      <protection locked="true" hidden="false"/>
    </xf>
    <xf numFmtId="167" fontId="13" fillId="5" borderId="0" xfId="0" applyFont="true" applyBorder="false" applyAlignment="true" applyProtection="false">
      <alignment horizontal="right" vertical="center" textRotation="0" wrapText="false" indent="1" shrinkToFit="false"/>
      <protection locked="true" hidden="false"/>
    </xf>
    <xf numFmtId="166" fontId="13" fillId="5" borderId="0" xfId="0" applyFont="true" applyBorder="false" applyAlignment="true" applyProtection="false">
      <alignment horizontal="right" vertical="center" textRotation="0" wrapText="false" indent="1" shrinkToFit="false"/>
      <protection locked="true" hidden="false"/>
    </xf>
    <xf numFmtId="164" fontId="15" fillId="4" borderId="0" xfId="0" applyFont="true" applyBorder="false" applyAlignment="true" applyProtection="false">
      <alignment horizontal="left" vertical="center" textRotation="0" wrapText="true" indent="1" shrinkToFit="false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6" fontId="10" fillId="2" borderId="0" xfId="0" applyFont="true" applyBorder="false" applyAlignment="true" applyProtection="false">
      <alignment horizontal="right" vertical="center" textRotation="0" wrapText="false" indent="1" shrinkToFit="false"/>
      <protection locked="true" hidden="false"/>
    </xf>
    <xf numFmtId="167" fontId="10" fillId="2" borderId="0" xfId="0" applyFont="true" applyBorder="false" applyAlignment="true" applyProtection="false">
      <alignment horizontal="right" vertical="center" textRotation="0" wrapText="false" indent="1" shrinkToFit="false"/>
      <protection locked="true" hidden="false"/>
    </xf>
    <xf numFmtId="164" fontId="13" fillId="4" borderId="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16" fillId="4" borderId="4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8" fillId="4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9" fontId="8" fillId="4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1" fillId="6" borderId="5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1" fillId="6" borderId="6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1" fillId="6" borderId="7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8" fontId="20" fillId="6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70" fontId="21" fillId="6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8" fontId="22" fillId="6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0" fillId="6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6" borderId="8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1" fillId="6" borderId="9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8" fontId="23" fillId="6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71" fontId="20" fillId="6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8" fontId="24" fillId="6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2" fillId="0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13" fillId="7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7" fillId="7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13" fillId="7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7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12" fillId="0" borderId="0" xfId="0" applyFont="true" applyBorder="false" applyAlignment="true" applyProtection="false">
      <alignment horizontal="right" vertical="center" textRotation="0" wrapText="false" indent="1" shrinkToFit="false"/>
      <protection locked="true" hidden="false"/>
    </xf>
    <xf numFmtId="172" fontId="13" fillId="4" borderId="0" xfId="0" applyFont="true" applyBorder="false" applyAlignment="true" applyProtection="false">
      <alignment horizontal="right" vertical="center" textRotation="0" wrapText="false" indent="1" shrinkToFit="false"/>
      <protection locked="true" hidden="false"/>
    </xf>
    <xf numFmtId="168" fontId="13" fillId="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70" fontId="13" fillId="4" borderId="0" xfId="0" applyFont="true" applyBorder="false" applyAlignment="true" applyProtection="false">
      <alignment horizontal="right" vertical="center" textRotation="0" wrapText="false" indent="1" shrinkToFit="false"/>
      <protection locked="true" hidden="false"/>
    </xf>
    <xf numFmtId="170" fontId="13" fillId="5" borderId="0" xfId="0" applyFont="true" applyBorder="false" applyAlignment="true" applyProtection="false">
      <alignment horizontal="right" vertical="center" textRotation="0" wrapText="false" indent="1" shrinkToFit="false"/>
      <protection locked="true" hidden="false"/>
    </xf>
    <xf numFmtId="171" fontId="13" fillId="5" borderId="0" xfId="0" applyFont="true" applyBorder="false" applyAlignment="true" applyProtection="false">
      <alignment horizontal="right" vertical="center" textRotation="0" wrapText="false" indent="1" shrinkToFit="false"/>
      <protection locked="true" hidden="false"/>
    </xf>
    <xf numFmtId="164" fontId="1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13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70" fontId="10" fillId="2" borderId="0" xfId="0" applyFont="true" applyBorder="false" applyAlignment="true" applyProtection="false">
      <alignment horizontal="right" vertical="center" textRotation="0" wrapText="false" indent="1" shrinkToFit="false"/>
      <protection locked="true" hidden="false"/>
    </xf>
    <xf numFmtId="171" fontId="10" fillId="2" borderId="0" xfId="0" applyFont="true" applyBorder="false" applyAlignment="true" applyProtection="false">
      <alignment horizontal="right" vertical="center" textRotation="0" wrapText="false" indent="1" shrinkToFit="false"/>
      <protection locked="true" hidden="false"/>
    </xf>
    <xf numFmtId="164" fontId="10" fillId="8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8" fontId="13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13" fillId="0" borderId="0" xfId="0" applyFont="true" applyBorder="false" applyAlignment="true" applyProtection="false">
      <alignment horizontal="right" vertical="center" textRotation="0" wrapText="false" indent="1" shrinkToFit="false"/>
      <protection locked="true" hidden="false"/>
    </xf>
    <xf numFmtId="170" fontId="13" fillId="0" borderId="0" xfId="0" applyFont="true" applyBorder="false" applyAlignment="true" applyProtection="false">
      <alignment horizontal="right" vertical="center" textRotation="0" wrapText="false" indent="1" shrinkToFit="false"/>
      <protection locked="true" hidden="false"/>
    </xf>
    <xf numFmtId="169" fontId="13" fillId="0" borderId="0" xfId="0" applyFont="true" applyBorder="false" applyAlignment="true" applyProtection="false">
      <alignment horizontal="right" vertical="center" textRotation="0" wrapText="false" indent="1" shrinkToFit="false"/>
      <protection locked="true" hidden="false"/>
    </xf>
    <xf numFmtId="168" fontId="10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9" fontId="10" fillId="2" borderId="0" xfId="0" applyFont="true" applyBorder="false" applyAlignment="true" applyProtection="false">
      <alignment horizontal="right" vertical="center" textRotation="0" wrapText="false" indent="1" shrinkToFit="false"/>
      <protection locked="true" hidden="false"/>
    </xf>
    <xf numFmtId="164" fontId="17" fillId="0" borderId="0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0" fillId="4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0" fillId="5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1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27" fillId="6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8" fontId="28" fillId="6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6" fontId="29" fillId="6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8" fontId="30" fillId="6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70" fontId="31" fillId="6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8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13" fillId="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7" fillId="4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13" fillId="4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7" fillId="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4" fillId="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3">
    <dxf>
      <font>
        <name val="Calibri"/>
        <charset val="1"/>
        <family val="0"/>
        <b val="1"/>
        <color rgb="FF9C2E23"/>
        <sz val="9"/>
      </font>
    </dxf>
    <dxf>
      <fill>
        <patternFill patternType="solid">
          <fgColor rgb="FF2C3B47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FDF7EA"/>
          <bgColor rgb="FF000000"/>
        </patternFill>
      </fill>
    </dxf>
    <dxf>
      <fill>
        <patternFill patternType="solid">
          <fgColor rgb="FF111111"/>
          <bgColor rgb="FF000000"/>
        </patternFill>
      </fill>
    </dxf>
    <dxf>
      <fill>
        <patternFill patternType="solid">
          <fgColor rgb="FF6B6B6B"/>
          <bgColor rgb="FF000000"/>
        </patternFill>
      </fill>
    </dxf>
    <dxf>
      <fill>
        <patternFill patternType="solid">
          <fgColor rgb="FFFFF6DE"/>
          <bgColor rgb="FF000000"/>
        </patternFill>
      </fill>
    </dxf>
    <dxf>
      <fill>
        <patternFill patternType="solid">
          <fgColor rgb="FFF1EFEA"/>
          <bgColor rgb="FF000000"/>
        </patternFill>
      </fill>
    </dxf>
    <dxf>
      <fill>
        <patternFill patternType="solid">
          <fgColor rgb="FF9C2E23"/>
          <bgColor rgb="FF000000"/>
        </patternFill>
      </fill>
    </dxf>
    <dxf>
      <fill>
        <patternFill patternType="solid">
          <fgColor rgb="FFE1EAD6"/>
          <bgColor rgb="FF000000"/>
        </patternFill>
      </fill>
    </dxf>
    <dxf>
      <fill>
        <patternFill patternType="solid">
          <fgColor rgb="FFF1D3CE"/>
          <bgColor rgb="FF000000"/>
        </patternFill>
      </fill>
    </dxf>
    <dxf>
      <fill>
        <patternFill patternType="solid">
          <fgColor rgb="FFF6E9C6"/>
          <bgColor rgb="FF000000"/>
        </patternFill>
      </fill>
    </dxf>
    <dxf>
      <fill>
        <patternFill patternType="solid">
          <fgColor rgb="FF5F7A4A"/>
          <bgColor rgb="FF000000"/>
        </patternFill>
      </fill>
    </dxf>
    <dxf>
      <fill>
        <patternFill patternType="solid">
          <fgColor rgb="FFC08A2A"/>
          <bgColor rgb="FF000000"/>
        </patternFill>
      </fill>
    </dxf>
    <dxf>
      <font>
        <name val="Calibri"/>
        <charset val="1"/>
        <family val="0"/>
        <b val="1"/>
        <color rgb="FF5F7A4A"/>
        <sz val="9"/>
      </font>
      <fill>
        <patternFill>
          <bgColor rgb="FFE1EAD6"/>
        </patternFill>
      </fill>
    </dxf>
    <dxf>
      <font>
        <name val="Calibri"/>
        <charset val="1"/>
        <family val="0"/>
        <b val="1"/>
        <color rgb="FFC08A2A"/>
        <sz val="9"/>
      </font>
      <fill>
        <patternFill>
          <bgColor rgb="FFF6E9C6"/>
        </patternFill>
      </fill>
    </dxf>
    <dxf>
      <font>
        <name val="Calibri"/>
        <charset val="1"/>
        <family val="0"/>
        <b val="1"/>
        <color rgb="FF9C2E23"/>
        <sz val="9"/>
      </font>
      <fill>
        <patternFill>
          <bgColor rgb="FFF1D3CE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2ECDF"/>
          <bgColor rgb="FF000000"/>
        </patternFill>
      </fill>
    </dxf>
    <dxf>
      <font>
        <name val="Calibri"/>
        <charset val="1"/>
        <family val="0"/>
        <b val="1"/>
        <color rgb="FF2C3B47"/>
        <sz val="9"/>
      </font>
      <fill>
        <patternFill>
          <bgColor rgb="FFF2ECDF"/>
        </patternFill>
      </fill>
    </dxf>
    <dxf>
      <font>
        <name val="Calibri"/>
        <charset val="1"/>
        <family val="0"/>
        <i val="1"/>
        <color rgb="FF6B6B6B"/>
        <sz val="9"/>
      </font>
      <fill>
        <patternFill>
          <bgColor rgb="FFF1EFEA"/>
        </patternFill>
      </fill>
    </dxf>
    <dxf>
      <font>
        <name val="Calibri"/>
        <charset val="1"/>
        <family val="0"/>
        <b val="1"/>
        <color rgb="FF5F7A4A"/>
        <sz val="9"/>
      </font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5F7A4A"/>
      <rgbColor rgb="FF800080"/>
      <rgbColor rgb="FF008080"/>
      <rgbColor rgb="FFBDB8AC"/>
      <rgbColor rgb="FF8A8A8A"/>
      <rgbColor rgb="FF9999FF"/>
      <rgbColor rgb="FFB04A2E"/>
      <rgbColor rgb="FFFFF6DE"/>
      <rgbColor rgb="FFF1EFEA"/>
      <rgbColor rgb="FF660066"/>
      <rgbColor rgb="FFD06E52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ECDF"/>
      <rgbColor rgb="FFE1EAD6"/>
      <rgbColor rgb="FFF6E9C6"/>
      <rgbColor rgb="FFD0CFC7"/>
      <rgbColor rgb="FFFDF7EA"/>
      <rgbColor rgb="FFCC99FF"/>
      <rgbColor rgb="FFF1D3CE"/>
      <rgbColor rgb="FF4F81BD"/>
      <rgbColor rgb="FF33CCCC"/>
      <rgbColor rgb="FF99CC00"/>
      <rgbColor rgb="FFFFCC00"/>
      <rgbColor rgb="FFC08A2A"/>
      <rgbColor rgb="FFFF6600"/>
      <rgbColor rgb="FF6B6B6B"/>
      <rgbColor rgb="FF6D6D6D"/>
      <rgbColor rgb="FF003366"/>
      <rgbColor rgb="FF339966"/>
      <rgbColor rgb="FF111111"/>
      <rgbColor rgb="FF333300"/>
      <rgbColor rgb="FF9C2E23"/>
      <rgbColor rgb="FF993366"/>
      <rgbColor rgb="FF435568"/>
      <rgbColor rgb="FF2C3B4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Bestandswert nach Kategorie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pieChart>
        <c:varyColors val="1"/>
        <c:ser>
          <c:idx val="0"/>
          <c:order val="0"/>
          <c:tx>
            <c:strRef>
              <c:f>'Artikelstamm &amp; Auswertung'!E53</c:f>
              <c:strCache>
                <c:ptCount val="1"/>
                <c:pt idx="0">
                  <c:v>Bestandswert (€)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explosion val="0"/>
          <c:dPt>
            <c:idx val="0"/>
            <c:spPr>
              <a:solidFill>
                <a:srgbClr val="2c3b47"/>
              </a:solidFill>
              <a:ln w="0">
                <a:noFill/>
              </a:ln>
            </c:spPr>
          </c:dPt>
          <c:dPt>
            <c:idx val="1"/>
            <c:spPr>
              <a:solidFill>
                <a:srgbClr val="b04a2e"/>
              </a:solidFill>
              <a:ln w="0">
                <a:noFill/>
              </a:ln>
            </c:spPr>
          </c:dPt>
          <c:dPt>
            <c:idx val="2"/>
            <c:spPr>
              <a:solidFill>
                <a:srgbClr val="5f7a4a"/>
              </a:solidFill>
              <a:ln w="0">
                <a:noFill/>
              </a:ln>
            </c:spPr>
          </c:dPt>
          <c:dPt>
            <c:idx val="3"/>
            <c:spPr>
              <a:solidFill>
                <a:srgbClr val="c08a2a"/>
              </a:solidFill>
              <a:ln w="0">
                <a:noFill/>
              </a:ln>
            </c:spPr>
          </c:dPt>
          <c:dPt>
            <c:idx val="4"/>
            <c:spPr>
              <a:solidFill>
                <a:srgbClr val="435568"/>
              </a:solidFill>
              <a:ln w="0">
                <a:noFill/>
              </a:ln>
            </c:spPr>
          </c:dPt>
          <c:dPt>
            <c:idx val="5"/>
            <c:spPr>
              <a:solidFill>
                <a:srgbClr val="d06e52"/>
              </a:solidFill>
              <a:ln w="0">
                <a:noFill/>
              </a:ln>
            </c:spPr>
          </c:dPt>
          <c:dPt>
            <c:idx val="6"/>
            <c:spPr>
              <a:solidFill>
                <a:srgbClr val="8a8a8a"/>
              </a:solidFill>
              <a:ln w="0">
                <a:noFill/>
              </a:ln>
            </c:spPr>
          </c:dPt>
          <c:dPt>
            <c:idx val="7"/>
            <c:spPr>
              <a:solidFill>
                <a:srgbClr val="6d6d6d"/>
              </a:solidFill>
              <a:ln w="0">
                <a:noFill/>
              </a:ln>
            </c:spPr>
          </c:dPt>
          <c:dLbls>
            <c:dLbl>
              <c:idx val="0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2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3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4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5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6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7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bestFit"/>
            <c:showLegendKey val="1"/>
            <c:showVal val="1"/>
            <c:showCatName val="1"/>
            <c:showSerName val="1"/>
            <c:showPercent val="1"/>
            <c:separator>; </c:separator>
            <c:showLeaderLines val="1"/>
          </c:dLbls>
          <c:cat>
            <c:strRef>
              <c:f>'Artikelstamm &amp; Auswertung'!$B$54:$B$61</c:f>
              <c:strCache>
                <c:ptCount val="8"/>
                <c:pt idx="0">
                  <c:v>Verbindungselemente</c:v>
                </c:pt>
                <c:pt idx="1">
                  <c:v>Dichtungen</c:v>
                </c:pt>
                <c:pt idx="2">
                  <c:v>Betriebsstoffe</c:v>
                </c:pt>
                <c:pt idx="3">
                  <c:v>Elektro</c:v>
                </c:pt>
                <c:pt idx="4">
                  <c:v>Schweißtechnik</c:v>
                </c:pt>
                <c:pt idx="5">
                  <c:v>Werkzeug</c:v>
                </c:pt>
                <c:pt idx="6">
                  <c:v>Arbeitsschutz</c:v>
                </c:pt>
                <c:pt idx="7">
                  <c:v>Reinigung</c:v>
                </c:pt>
              </c:strCache>
            </c:strRef>
          </c:cat>
          <c:val>
            <c:numRef>
              <c:f>'Artikelstamm &amp; Auswertung'!$E$54:$E$61</c:f>
              <c:numCache>
                <c:formatCode>#,##0.00" €"</c:formatCode>
                <c:ptCount val="8"/>
                <c:pt idx="0">
                  <c:v>1062.6</c:v>
                </c:pt>
                <c:pt idx="1">
                  <c:v>306.09</c:v>
                </c:pt>
                <c:pt idx="2">
                  <c:v>1472.4</c:v>
                </c:pt>
                <c:pt idx="3">
                  <c:v>630.4</c:v>
                </c:pt>
                <c:pt idx="4">
                  <c:v>456.2</c:v>
                </c:pt>
                <c:pt idx="5">
                  <c:v>470.3</c:v>
                </c:pt>
                <c:pt idx="6">
                  <c:v>231.2</c:v>
                </c:pt>
                <c:pt idx="7">
                  <c:v>728.7</c:v>
                </c:pt>
              </c:numCache>
            </c:numRef>
          </c:val>
        </c:ser>
        <c:firstSliceAng val="0"/>
      </c:pie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7</xdr:col>
      <xdr:colOff>0</xdr:colOff>
      <xdr:row>50</xdr:row>
      <xdr:rowOff>146880</xdr:rowOff>
    </xdr:from>
    <xdr:to>
      <xdr:col>12</xdr:col>
      <xdr:colOff>231480</xdr:colOff>
      <xdr:row>65</xdr:row>
      <xdr:rowOff>168840</xdr:rowOff>
    </xdr:to>
    <xdr:graphicFrame>
      <xdr:nvGraphicFramePr>
        <xdr:cNvPr id="0" name="Chart 1"/>
        <xdr:cNvGraphicFramePr/>
      </xdr:nvGraphicFramePr>
      <xdr:xfrm>
        <a:off x="6696000" y="9715680"/>
        <a:ext cx="4319640" cy="287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J4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"/>
    <col collapsed="false" customWidth="true" hidden="false" outlineLevel="0" max="2" min="2" style="0" width="5"/>
    <col collapsed="false" customWidth="true" hidden="false" outlineLevel="0" max="3" min="3" style="0" width="14"/>
    <col collapsed="false" customWidth="true" hidden="false" outlineLevel="0" max="4" min="4" style="0" width="30"/>
    <col collapsed="false" customWidth="true" hidden="false" outlineLevel="0" max="5" min="5" style="0" width="6"/>
    <col collapsed="false" customWidth="true" hidden="false" outlineLevel="0" max="8" min="6" style="0" width="9"/>
    <col collapsed="false" customWidth="true" hidden="false" outlineLevel="0" max="9" min="9" style="0" width="10"/>
    <col collapsed="false" customWidth="true" hidden="false" outlineLevel="0" max="10" min="10" style="0" width="13"/>
    <col collapsed="false" customWidth="true" hidden="false" outlineLevel="0" max="11" min="11" style="0" width="2"/>
  </cols>
  <sheetData>
    <row r="1" customFormat="false" ht="7.5" hidden="false" customHeight="true" outlineLevel="0" collapsed="false"/>
    <row r="2" customFormat="false" ht="31.5" hidden="false" customHeight="true" outlineLevel="0" collapsed="false">
      <c r="B2" s="1" t="s">
        <v>0</v>
      </c>
      <c r="C2" s="1"/>
      <c r="D2" s="1"/>
      <c r="E2" s="1"/>
      <c r="F2" s="1"/>
      <c r="G2" s="2" t="s">
        <v>1</v>
      </c>
      <c r="H2" s="2"/>
      <c r="I2" s="2"/>
      <c r="J2" s="2"/>
    </row>
    <row r="3" customFormat="false" ht="19.5" hidden="false" customHeight="true" outlineLevel="0" collapsed="false">
      <c r="B3" s="1"/>
      <c r="C3" s="1"/>
      <c r="D3" s="1"/>
      <c r="E3" s="1"/>
      <c r="F3" s="1"/>
      <c r="G3" s="2"/>
      <c r="H3" s="2"/>
      <c r="I3" s="2"/>
      <c r="J3" s="2"/>
    </row>
    <row r="4" customFormat="false" ht="3.75" hidden="false" customHeight="true" outlineLevel="0" collapsed="false">
      <c r="B4" s="3"/>
      <c r="C4" s="3"/>
      <c r="D4" s="3"/>
      <c r="E4" s="3"/>
      <c r="F4" s="3"/>
      <c r="G4" s="3"/>
      <c r="H4" s="3"/>
      <c r="I4" s="3"/>
      <c r="J4" s="3"/>
    </row>
    <row r="5" customFormat="false" ht="7.5" hidden="false" customHeight="true" outlineLevel="0" collapsed="false"/>
    <row r="6" customFormat="false" ht="15" hidden="false" customHeight="false" outlineLevel="0" collapsed="false">
      <c r="B6" s="4" t="str">
        <f aca="false">'Artikelstamm &amp; Auswertung'!C10</f>
        <v>2026</v>
      </c>
      <c r="C6" s="4"/>
      <c r="D6" s="4"/>
      <c r="E6" s="4"/>
      <c r="F6" s="4"/>
      <c r="G6" s="5" t="str">
        <f aca="false">'Artikelstamm &amp; Auswertung'!J10</f>
        <v>31.12.2026</v>
      </c>
      <c r="H6" s="5"/>
      <c r="I6" s="5"/>
      <c r="J6" s="5"/>
    </row>
    <row r="7" customFormat="false" ht="7.5" hidden="false" customHeight="true" outlineLevel="0" collapsed="false"/>
    <row r="8" customFormat="false" ht="15" hidden="false" customHeight="false" outlineLevel="0" collapsed="false">
      <c r="B8" s="6" t="s">
        <v>2</v>
      </c>
      <c r="C8" s="6"/>
      <c r="D8" s="6"/>
      <c r="E8" s="6"/>
      <c r="F8" s="6"/>
      <c r="G8" s="6"/>
      <c r="H8" s="6"/>
      <c r="I8" s="6"/>
      <c r="J8" s="6"/>
    </row>
    <row r="9" customFormat="false" ht="6" hidden="false" customHeight="true" outlineLevel="0" collapsed="false"/>
    <row r="10" customFormat="false" ht="15" hidden="false" customHeight="false" outlineLevel="0" collapsed="false">
      <c r="B10" s="7" t="s">
        <v>3</v>
      </c>
      <c r="C10" s="8" t="s">
        <v>4</v>
      </c>
      <c r="D10" s="8"/>
      <c r="F10" s="7" t="s">
        <v>5</v>
      </c>
      <c r="G10" s="9" t="n">
        <v>46218</v>
      </c>
      <c r="H10" s="9"/>
      <c r="I10" s="7" t="s">
        <v>6</v>
      </c>
      <c r="J10" s="10" t="s">
        <v>7</v>
      </c>
    </row>
    <row r="11" customFormat="false" ht="15" hidden="false" customHeight="false" outlineLevel="0" collapsed="false">
      <c r="B11" s="7" t="s">
        <v>8</v>
      </c>
      <c r="C11" s="10" t="s">
        <v>9</v>
      </c>
      <c r="D11" s="10"/>
      <c r="F11" s="7" t="s">
        <v>10</v>
      </c>
      <c r="G11" s="10" t="s">
        <v>11</v>
      </c>
      <c r="H11" s="10"/>
      <c r="I11" s="7" t="s">
        <v>12</v>
      </c>
      <c r="J11" s="10" t="s">
        <v>13</v>
      </c>
    </row>
    <row r="12" customFormat="false" ht="15" hidden="false" customHeight="false" outlineLevel="0" collapsed="false">
      <c r="B12" s="7" t="s">
        <v>14</v>
      </c>
      <c r="C12" s="10" t="s">
        <v>15</v>
      </c>
      <c r="D12" s="10"/>
      <c r="F12" s="7" t="s">
        <v>16</v>
      </c>
      <c r="G12" s="9" t="n">
        <v>46217</v>
      </c>
      <c r="H12" s="9"/>
      <c r="I12" s="7" t="s">
        <v>17</v>
      </c>
      <c r="J12" s="10" t="s">
        <v>18</v>
      </c>
    </row>
    <row r="14" customFormat="false" ht="15" hidden="false" customHeight="false" outlineLevel="0" collapsed="false">
      <c r="B14" s="6" t="s">
        <v>19</v>
      </c>
      <c r="C14" s="6"/>
      <c r="D14" s="6"/>
      <c r="E14" s="6"/>
      <c r="F14" s="6"/>
      <c r="G14" s="6"/>
      <c r="H14" s="6"/>
      <c r="I14" s="6"/>
      <c r="J14" s="6"/>
    </row>
    <row r="15" customFormat="false" ht="6" hidden="false" customHeight="true" outlineLevel="0" collapsed="false"/>
    <row r="16" customFormat="false" ht="25.5" hidden="false" customHeight="true" outlineLevel="0" collapsed="false">
      <c r="B16" s="11" t="s">
        <v>20</v>
      </c>
      <c r="C16" s="11" t="s">
        <v>21</v>
      </c>
      <c r="D16" s="11" t="s">
        <v>22</v>
      </c>
      <c r="E16" s="11" t="s">
        <v>23</v>
      </c>
      <c r="F16" s="11" t="s">
        <v>24</v>
      </c>
      <c r="G16" s="11" t="s">
        <v>25</v>
      </c>
      <c r="H16" s="11" t="s">
        <v>26</v>
      </c>
      <c r="I16" s="11" t="s">
        <v>27</v>
      </c>
      <c r="J16" s="11" t="s">
        <v>28</v>
      </c>
    </row>
    <row r="17" customFormat="false" ht="18" hidden="false" customHeight="true" outlineLevel="0" collapsed="false">
      <c r="B17" s="12" t="n">
        <v>1</v>
      </c>
      <c r="C17" s="13" t="s">
        <v>29</v>
      </c>
      <c r="D17" s="14" t="str">
        <f aca="false">IFERROR(VLOOKUP(C17,'Artikelstamm &amp; Auswertung'!B:E,2,FALSE()),"")</f>
        <v>Arbeitshandschuh Nitril Gr. 10</v>
      </c>
      <c r="E17" s="15" t="str">
        <f aca="false">IFERROR(VLOOKUP(C17,'Artikelstamm &amp; Auswertung'!B:E,4,FALSE()),"")</f>
        <v>Paar</v>
      </c>
      <c r="F17" s="16" t="n">
        <v>20</v>
      </c>
      <c r="G17" s="17" t="n">
        <v>20</v>
      </c>
      <c r="H17" s="18" t="n">
        <f aca="false">IF(F17="","",G17-F17)</f>
        <v>0</v>
      </c>
      <c r="I17" s="19" t="n">
        <f aca="false">IFERROR(VLOOKUP(C17,'Artikelstamm &amp; Auswertung'!B:I,8,FALSE())-G17,"")</f>
        <v>30</v>
      </c>
      <c r="J17" s="20"/>
    </row>
    <row r="18" customFormat="false" ht="18" hidden="false" customHeight="true" outlineLevel="0" collapsed="false">
      <c r="B18" s="12" t="n">
        <v>2</v>
      </c>
      <c r="C18" s="13" t="s">
        <v>30</v>
      </c>
      <c r="D18" s="14" t="str">
        <f aca="false">IFERROR(VLOOKUP(C18,'Artikelstamm &amp; Auswertung'!B:E,2,FALSE()),"")</f>
        <v>Gehörschutzstöpsel SNR 32 dB</v>
      </c>
      <c r="E18" s="15" t="str">
        <f aca="false">IFERROR(VLOOKUP(C18,'Artikelstamm &amp; Auswertung'!B:E,4,FALSE()),"")</f>
        <v>Paar</v>
      </c>
      <c r="F18" s="16" t="n">
        <v>25</v>
      </c>
      <c r="G18" s="17" t="n">
        <v>25</v>
      </c>
      <c r="H18" s="18" t="n">
        <f aca="false">IF(F18="","",G18-F18)</f>
        <v>0</v>
      </c>
      <c r="I18" s="19" t="n">
        <f aca="false">IFERROR(VLOOKUP(C18,'Artikelstamm &amp; Auswertung'!B:I,8,FALSE())-G18,"")</f>
        <v>515</v>
      </c>
      <c r="J18" s="20" t="s">
        <v>31</v>
      </c>
    </row>
    <row r="19" customFormat="false" ht="18" hidden="false" customHeight="true" outlineLevel="0" collapsed="false">
      <c r="B19" s="12" t="n">
        <v>3</v>
      </c>
      <c r="C19" s="13" t="s">
        <v>32</v>
      </c>
      <c r="D19" s="14" t="str">
        <f aca="false">IFERROR(VLOOKUP(C19,'Artikelstamm &amp; Auswertung'!B:E,2,FALSE()),"")</f>
        <v>Kabelbinder 200 × 3,5 mm schwarz</v>
      </c>
      <c r="E19" s="15" t="str">
        <f aca="false">IFERROR(VLOOKUP(C19,'Artikelstamm &amp; Auswertung'!B:E,4,FALSE()),"")</f>
        <v>Stk.</v>
      </c>
      <c r="F19" s="16" t="n">
        <v>100</v>
      </c>
      <c r="G19" s="17" t="n">
        <v>100</v>
      </c>
      <c r="H19" s="18" t="n">
        <f aca="false">IF(F19="","",G19-F19)</f>
        <v>0</v>
      </c>
      <c r="I19" s="19" t="n">
        <f aca="false">IFERROR(VLOOKUP(C19,'Artikelstamm &amp; Auswertung'!B:I,8,FALSE())-G19,"")</f>
        <v>4750</v>
      </c>
      <c r="J19" s="20"/>
    </row>
    <row r="20" customFormat="false" ht="18" hidden="false" customHeight="true" outlineLevel="0" collapsed="false">
      <c r="B20" s="12" t="n">
        <v>4</v>
      </c>
      <c r="C20" s="13" t="s">
        <v>33</v>
      </c>
      <c r="D20" s="14" t="str">
        <f aca="false">IFERROR(VLOOKUP(C20,'Artikelstamm &amp; Auswertung'!B:E,2,FALSE()),"")</f>
        <v>Sechskantschraube M8 × 40 verzinkt</v>
      </c>
      <c r="E20" s="15" t="str">
        <f aca="false">IFERROR(VLOOKUP(C20,'Artikelstamm &amp; Auswertung'!B:E,4,FALSE()),"")</f>
        <v>Stk.</v>
      </c>
      <c r="F20" s="16" t="n">
        <v>150</v>
      </c>
      <c r="G20" s="17" t="n">
        <v>148</v>
      </c>
      <c r="H20" s="18" t="n">
        <f aca="false">IF(F20="","",G20-F20)</f>
        <v>-2</v>
      </c>
      <c r="I20" s="19" t="n">
        <f aca="false">IFERROR(VLOOKUP(C20,'Artikelstamm &amp; Auswertung'!B:I,8,FALSE())-G20,"")</f>
        <v>2807</v>
      </c>
      <c r="J20" s="20" t="s">
        <v>34</v>
      </c>
    </row>
    <row r="21" customFormat="false" ht="18" hidden="false" customHeight="true" outlineLevel="0" collapsed="false">
      <c r="B21" s="12" t="n">
        <v>5</v>
      </c>
      <c r="C21" s="13" t="s">
        <v>35</v>
      </c>
      <c r="D21" s="14" t="str">
        <f aca="false">IFERROR(VLOOKUP(C21,'Artikelstamm &amp; Auswertung'!B:E,2,FALSE()),"")</f>
        <v>Universalfett Lithium 400 g</v>
      </c>
      <c r="E21" s="15" t="str">
        <f aca="false">IFERROR(VLOOKUP(C21,'Artikelstamm &amp; Auswertung'!B:E,4,FALSE()),"")</f>
        <v>Stk.</v>
      </c>
      <c r="F21" s="16" t="n">
        <v>4</v>
      </c>
      <c r="G21" s="17" t="n">
        <v>4</v>
      </c>
      <c r="H21" s="18" t="n">
        <f aca="false">IF(F21="","",G21-F21)</f>
        <v>0</v>
      </c>
      <c r="I21" s="19" t="n">
        <f aca="false">IFERROR(VLOOKUP(C21,'Artikelstamm &amp; Auswertung'!B:I,8,FALSE())-G21,"")</f>
        <v>112</v>
      </c>
      <c r="J21" s="20"/>
    </row>
    <row r="22" customFormat="false" ht="18" hidden="false" customHeight="true" outlineLevel="0" collapsed="false">
      <c r="B22" s="12" t="n">
        <v>6</v>
      </c>
      <c r="C22" s="21"/>
      <c r="D22" s="14" t="str">
        <f aca="false">IFERROR(VLOOKUP(C22,'Artikelstamm &amp; Auswertung'!B:E,2,FALSE()),"")</f>
        <v/>
      </c>
      <c r="E22" s="15" t="str">
        <f aca="false">IFERROR(VLOOKUP(C22,'Artikelstamm &amp; Auswertung'!B:E,4,FALSE()),"")</f>
        <v/>
      </c>
      <c r="F22" s="21"/>
      <c r="G22" s="21"/>
      <c r="H22" s="18" t="str">
        <f aca="false">IF(F22="","",G22-F22)</f>
        <v/>
      </c>
      <c r="I22" s="19" t="str">
        <f aca="false">IFERROR(VLOOKUP(C22,'Artikelstamm &amp; Auswertung'!B:I,8,FALSE())-G22,"")</f>
        <v/>
      </c>
      <c r="J22" s="21"/>
    </row>
    <row r="23" customFormat="false" ht="18" hidden="false" customHeight="true" outlineLevel="0" collapsed="false">
      <c r="B23" s="12" t="n">
        <v>7</v>
      </c>
      <c r="C23" s="21"/>
      <c r="D23" s="14" t="str">
        <f aca="false">IFERROR(VLOOKUP(C23,'Artikelstamm &amp; Auswertung'!B:E,2,FALSE()),"")</f>
        <v/>
      </c>
      <c r="E23" s="15" t="str">
        <f aca="false">IFERROR(VLOOKUP(C23,'Artikelstamm &amp; Auswertung'!B:E,4,FALSE()),"")</f>
        <v/>
      </c>
      <c r="F23" s="21"/>
      <c r="G23" s="21"/>
      <c r="H23" s="18" t="str">
        <f aca="false">IF(F23="","",G23-F23)</f>
        <v/>
      </c>
      <c r="I23" s="19" t="str">
        <f aca="false">IFERROR(VLOOKUP(C23,'Artikelstamm &amp; Auswertung'!B:I,8,FALSE())-G23,"")</f>
        <v/>
      </c>
      <c r="J23" s="21"/>
    </row>
    <row r="24" customFormat="false" ht="18" hidden="false" customHeight="true" outlineLevel="0" collapsed="false">
      <c r="B24" s="12" t="n">
        <v>8</v>
      </c>
      <c r="C24" s="21"/>
      <c r="D24" s="14" t="str">
        <f aca="false">IFERROR(VLOOKUP(C24,'Artikelstamm &amp; Auswertung'!B:E,2,FALSE()),"")</f>
        <v/>
      </c>
      <c r="E24" s="15" t="str">
        <f aca="false">IFERROR(VLOOKUP(C24,'Artikelstamm &amp; Auswertung'!B:E,4,FALSE()),"")</f>
        <v/>
      </c>
      <c r="F24" s="21"/>
      <c r="G24" s="21"/>
      <c r="H24" s="18" t="str">
        <f aca="false">IF(F24="","",G24-F24)</f>
        <v/>
      </c>
      <c r="I24" s="19" t="str">
        <f aca="false">IFERROR(VLOOKUP(C24,'Artikelstamm &amp; Auswertung'!B:I,8,FALSE())-G24,"")</f>
        <v/>
      </c>
      <c r="J24" s="21"/>
    </row>
    <row r="25" customFormat="false" ht="18" hidden="false" customHeight="true" outlineLevel="0" collapsed="false">
      <c r="B25" s="12" t="n">
        <v>9</v>
      </c>
      <c r="C25" s="21"/>
      <c r="D25" s="14" t="str">
        <f aca="false">IFERROR(VLOOKUP(C25,'Artikelstamm &amp; Auswertung'!B:E,2,FALSE()),"")</f>
        <v/>
      </c>
      <c r="E25" s="15" t="str">
        <f aca="false">IFERROR(VLOOKUP(C25,'Artikelstamm &amp; Auswertung'!B:E,4,FALSE()),"")</f>
        <v/>
      </c>
      <c r="F25" s="21"/>
      <c r="G25" s="21"/>
      <c r="H25" s="18" t="str">
        <f aca="false">IF(F25="","",G25-F25)</f>
        <v/>
      </c>
      <c r="I25" s="19" t="str">
        <f aca="false">IFERROR(VLOOKUP(C25,'Artikelstamm &amp; Auswertung'!B:I,8,FALSE())-G25,"")</f>
        <v/>
      </c>
      <c r="J25" s="21"/>
    </row>
    <row r="26" customFormat="false" ht="18" hidden="false" customHeight="true" outlineLevel="0" collapsed="false">
      <c r="B26" s="12" t="n">
        <v>10</v>
      </c>
      <c r="C26" s="21"/>
      <c r="D26" s="14" t="str">
        <f aca="false">IFERROR(VLOOKUP(C26,'Artikelstamm &amp; Auswertung'!B:E,2,FALSE()),"")</f>
        <v/>
      </c>
      <c r="E26" s="15" t="str">
        <f aca="false">IFERROR(VLOOKUP(C26,'Artikelstamm &amp; Auswertung'!B:E,4,FALSE()),"")</f>
        <v/>
      </c>
      <c r="F26" s="21"/>
      <c r="G26" s="21"/>
      <c r="H26" s="18" t="str">
        <f aca="false">IF(F26="","",G26-F26)</f>
        <v/>
      </c>
      <c r="I26" s="19" t="str">
        <f aca="false">IFERROR(VLOOKUP(C26,'Artikelstamm &amp; Auswertung'!B:I,8,FALSE())-G26,"")</f>
        <v/>
      </c>
      <c r="J26" s="21"/>
    </row>
    <row r="27" customFormat="false" ht="19.5" hidden="false" customHeight="true" outlineLevel="0" collapsed="false">
      <c r="B27" s="22"/>
      <c r="C27" s="23" t="s">
        <v>36</v>
      </c>
      <c r="D27" s="22"/>
      <c r="E27" s="22"/>
      <c r="F27" s="24" t="n">
        <f aca="false">SUM(F17:F26)</f>
        <v>299</v>
      </c>
      <c r="G27" s="24" t="n">
        <f aca="false">SUM(G17:G26)</f>
        <v>297</v>
      </c>
      <c r="H27" s="25" t="n">
        <f aca="false">SUM(H17:H26)</f>
        <v>-2</v>
      </c>
      <c r="I27" s="22"/>
      <c r="J27" s="22"/>
    </row>
    <row r="29" customFormat="false" ht="15" hidden="false" customHeight="false" outlineLevel="0" collapsed="false">
      <c r="B29" s="6" t="s">
        <v>37</v>
      </c>
      <c r="C29" s="6"/>
      <c r="D29" s="6"/>
      <c r="E29" s="6"/>
      <c r="F29" s="6"/>
      <c r="G29" s="6"/>
      <c r="H29" s="6"/>
      <c r="I29" s="6"/>
      <c r="J29" s="6"/>
    </row>
    <row r="30" customFormat="false" ht="6" hidden="false" customHeight="true" outlineLevel="0" collapsed="false"/>
    <row r="31" customFormat="false" ht="21.75" hidden="false" customHeight="true" outlineLevel="0" collapsed="false">
      <c r="B31" s="7" t="s">
        <v>38</v>
      </c>
      <c r="D31" s="26" t="s">
        <v>39</v>
      </c>
      <c r="E31" s="26"/>
      <c r="F31" s="26"/>
      <c r="G31" s="26"/>
      <c r="H31" s="26"/>
      <c r="I31" s="26"/>
      <c r="J31" s="26"/>
    </row>
    <row r="32" customFormat="false" ht="19.5" hidden="false" customHeight="true" outlineLevel="0" collapsed="false">
      <c r="B32" s="7" t="s">
        <v>40</v>
      </c>
      <c r="D32" s="27" t="s">
        <v>41</v>
      </c>
      <c r="E32" s="27"/>
      <c r="F32" s="27"/>
      <c r="G32" s="27"/>
      <c r="H32" s="27"/>
      <c r="I32" s="27"/>
      <c r="J32" s="27"/>
    </row>
    <row r="33" customFormat="false" ht="19.5" hidden="false" customHeight="true" outlineLevel="0" collapsed="false">
      <c r="D33" s="27"/>
      <c r="E33" s="27"/>
      <c r="F33" s="27"/>
      <c r="G33" s="27"/>
      <c r="H33" s="27"/>
      <c r="I33" s="27"/>
      <c r="J33" s="27"/>
    </row>
    <row r="35" customFormat="false" ht="15" hidden="false" customHeight="false" outlineLevel="0" collapsed="false">
      <c r="B35" s="6" t="s">
        <v>42</v>
      </c>
      <c r="C35" s="6"/>
      <c r="D35" s="6"/>
      <c r="E35" s="6"/>
      <c r="F35" s="6"/>
      <c r="G35" s="6"/>
      <c r="H35" s="6"/>
      <c r="I35" s="6"/>
      <c r="J35" s="6"/>
    </row>
    <row r="36" customFormat="false" ht="6" hidden="false" customHeight="true" outlineLevel="0" collapsed="false"/>
    <row r="37" customFormat="false" ht="36" hidden="false" customHeight="true" outlineLevel="0" collapsed="false">
      <c r="B37" s="28"/>
      <c r="C37" s="28"/>
      <c r="D37" s="28"/>
      <c r="E37" s="28"/>
      <c r="F37" s="28"/>
      <c r="G37" s="28"/>
      <c r="H37" s="28"/>
      <c r="I37" s="28"/>
      <c r="J37" s="28"/>
    </row>
    <row r="38" customFormat="false" ht="15" hidden="false" customHeight="false" outlineLevel="0" collapsed="false">
      <c r="B38" s="29" t="s">
        <v>43</v>
      </c>
      <c r="C38" s="29"/>
      <c r="D38" s="29"/>
      <c r="E38" s="29" t="s">
        <v>44</v>
      </c>
      <c r="F38" s="29"/>
      <c r="G38" s="29"/>
      <c r="H38" s="29" t="s">
        <v>45</v>
      </c>
      <c r="I38" s="29"/>
      <c r="J38" s="29"/>
    </row>
    <row r="39" customFormat="false" ht="15" hidden="false" customHeight="false" outlineLevel="0" collapsed="false">
      <c r="B39" s="30" t="s">
        <v>46</v>
      </c>
      <c r="C39" s="30"/>
      <c r="D39" s="30"/>
      <c r="E39" s="30" t="s">
        <v>46</v>
      </c>
      <c r="F39" s="30"/>
      <c r="G39" s="30"/>
      <c r="H39" s="30" t="s">
        <v>46</v>
      </c>
      <c r="I39" s="30"/>
      <c r="J39" s="30"/>
    </row>
    <row r="41" customFormat="false" ht="25.5" hidden="false" customHeight="true" outlineLevel="0" collapsed="false">
      <c r="B41" s="31" t="s">
        <v>47</v>
      </c>
      <c r="C41" s="31"/>
      <c r="D41" s="31"/>
      <c r="E41" s="31"/>
      <c r="F41" s="31"/>
      <c r="G41" s="31"/>
      <c r="H41" s="31"/>
      <c r="I41" s="31"/>
      <c r="J41" s="31"/>
    </row>
  </sheetData>
  <mergeCells count="23">
    <mergeCell ref="B2:F3"/>
    <mergeCell ref="G2:J3"/>
    <mergeCell ref="B6:F6"/>
    <mergeCell ref="G6:J6"/>
    <mergeCell ref="B8:J8"/>
    <mergeCell ref="C10:D10"/>
    <mergeCell ref="G10:H10"/>
    <mergeCell ref="C11:D11"/>
    <mergeCell ref="G11:H11"/>
    <mergeCell ref="C12:D12"/>
    <mergeCell ref="G12:H12"/>
    <mergeCell ref="B14:J14"/>
    <mergeCell ref="B29:J29"/>
    <mergeCell ref="D31:J31"/>
    <mergeCell ref="D32:J33"/>
    <mergeCell ref="B35:J35"/>
    <mergeCell ref="B38:D38"/>
    <mergeCell ref="E38:G38"/>
    <mergeCell ref="H38:J38"/>
    <mergeCell ref="B39:D39"/>
    <mergeCell ref="E39:G39"/>
    <mergeCell ref="H39:J39"/>
    <mergeCell ref="B41:J41"/>
  </mergeCells>
  <conditionalFormatting sqref="H17:H26">
    <cfRule type="cellIs" priority="2" operator="lessThan" aboveAverage="0" equalAverage="0" bottom="0" percent="0" rank="0" text="" dxfId="0">
      <formula>0</formula>
    </cfRule>
  </conditionalFormatting>
  <conditionalFormatting sqref="I17">
    <cfRule type="expression" priority="3" aboveAverage="0" equalAverage="0" bottom="0" percent="0" rank="0" text="" dxfId="0">
      <formula>AND(C17&lt;&gt;"",I17&lt;&gt;"",I17&lt;=IFERROR(VLOOKUP(C17,'Artikelstamm &amp; Auswertung'!B:J,9,0),0))</formula>
    </cfRule>
  </conditionalFormatting>
  <conditionalFormatting sqref="I18">
    <cfRule type="expression" priority="4" aboveAverage="0" equalAverage="0" bottom="0" percent="0" rank="0" text="" dxfId="0">
      <formula>AND(C18&lt;&gt;"",I18&lt;&gt;"",I18&lt;=IFERROR(VLOOKUP(C18,'Artikelstamm &amp; Auswertung'!B:J,9,0),0))</formula>
    </cfRule>
  </conditionalFormatting>
  <conditionalFormatting sqref="I19">
    <cfRule type="expression" priority="5" aboveAverage="0" equalAverage="0" bottom="0" percent="0" rank="0" text="" dxfId="0">
      <formula>AND(C19&lt;&gt;"",I19&lt;&gt;"",I19&lt;=IFERROR(VLOOKUP(C19,'Artikelstamm &amp; Auswertung'!B:J,9,0),0))</formula>
    </cfRule>
  </conditionalFormatting>
  <conditionalFormatting sqref="I20">
    <cfRule type="expression" priority="6" aboveAverage="0" equalAverage="0" bottom="0" percent="0" rank="0" text="" dxfId="0">
      <formula>AND(C20&lt;&gt;"",I20&lt;&gt;"",I20&lt;=IFERROR(VLOOKUP(C20,'Artikelstamm &amp; Auswertung'!B:J,9,0),0))</formula>
    </cfRule>
  </conditionalFormatting>
  <conditionalFormatting sqref="I21">
    <cfRule type="expression" priority="7" aboveAverage="0" equalAverage="0" bottom="0" percent="0" rank="0" text="" dxfId="0">
      <formula>AND(C21&lt;&gt;"",I21&lt;&gt;"",I21&lt;=IFERROR(VLOOKUP(C21,'Artikelstamm &amp; Auswertung'!B:J,9,0),0))</formula>
    </cfRule>
  </conditionalFormatting>
  <conditionalFormatting sqref="I22">
    <cfRule type="expression" priority="8" aboveAverage="0" equalAverage="0" bottom="0" percent="0" rank="0" text="" dxfId="0">
      <formula>AND(C22&lt;&gt;"",I22&lt;&gt;"",I22&lt;=IFERROR(VLOOKUP(C22,'Artikelstamm &amp; Auswertung'!B:J,9,0),0))</formula>
    </cfRule>
  </conditionalFormatting>
  <conditionalFormatting sqref="I23">
    <cfRule type="expression" priority="9" aboveAverage="0" equalAverage="0" bottom="0" percent="0" rank="0" text="" dxfId="0">
      <formula>AND(C23&lt;&gt;"",I23&lt;&gt;"",I23&lt;=IFERROR(VLOOKUP(C23,'Artikelstamm &amp; Auswertung'!B:J,9,0),0))</formula>
    </cfRule>
  </conditionalFormatting>
  <conditionalFormatting sqref="I24">
    <cfRule type="expression" priority="10" aboveAverage="0" equalAverage="0" bottom="0" percent="0" rank="0" text="" dxfId="0">
      <formula>AND(C24&lt;&gt;"",I24&lt;&gt;"",I24&lt;=IFERROR(VLOOKUP(C24,'Artikelstamm &amp; Auswertung'!B:J,9,0),0))</formula>
    </cfRule>
  </conditionalFormatting>
  <conditionalFormatting sqref="I25">
    <cfRule type="expression" priority="11" aboveAverage="0" equalAverage="0" bottom="0" percent="0" rank="0" text="" dxfId="0">
      <formula>AND(C25&lt;&gt;"",I25&lt;&gt;"",I25&lt;=IFERROR(VLOOKUP(C25,'Artikelstamm &amp; Auswertung'!B:J,9,0),0))</formula>
    </cfRule>
  </conditionalFormatting>
  <conditionalFormatting sqref="I26">
    <cfRule type="expression" priority="12" aboveAverage="0" equalAverage="0" bottom="0" percent="0" rank="0" text="" dxfId="0">
      <formula>AND(C26&lt;&gt;"",I26&lt;&gt;"",I26&lt;=IFERROR(VLOOKUP(C26,'Artikelstamm &amp; Auswertung'!B:J,9,0),0))</formula>
    </cfRule>
  </conditionalFormatting>
  <dataValidations count="1">
    <dataValidation allowBlank="true" errorStyle="stop" operator="between" showDropDown="false" showErrorMessage="false" showInputMessage="false" sqref="C17:C26" type="list">
      <formula1>'Artikelstamm &amp; Auswertung'!$B$29:$B$48</formula1>
      <formula2>0</formula2>
    </dataValidation>
  </dataValidations>
  <printOptions headings="false" gridLines="false" gridLinesSet="true" horizontalCentered="false" verticalCentered="false"/>
  <pageMargins left="0.5" right="0.5" top="0.5" bottom="0.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V8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"/>
    <col collapsed="false" customWidth="true" hidden="false" outlineLevel="0" max="2" min="2" style="0" width="14"/>
    <col collapsed="false" customWidth="true" hidden="false" outlineLevel="0" max="3" min="3" style="0" width="34"/>
    <col collapsed="false" customWidth="true" hidden="false" outlineLevel="0" max="4" min="4" style="0" width="16"/>
    <col collapsed="false" customWidth="true" hidden="false" outlineLevel="0" max="5" min="5" style="0" width="8"/>
    <col collapsed="false" customWidth="true" hidden="false" outlineLevel="0" max="6" min="6" style="0" width="10"/>
    <col collapsed="false" customWidth="true" hidden="false" outlineLevel="0" max="11" min="7" style="0" width="12"/>
    <col collapsed="false" customWidth="true" hidden="false" outlineLevel="0" max="13" min="12" style="0" width="10"/>
    <col collapsed="false" customWidth="true" hidden="false" outlineLevel="0" max="14" min="14" style="0" width="12"/>
    <col collapsed="false" customWidth="true" hidden="false" outlineLevel="0" max="15" min="15" style="0" width="10"/>
    <col collapsed="false" customWidth="true" hidden="false" outlineLevel="0" max="16" min="16" style="0" width="12"/>
    <col collapsed="false" customWidth="true" hidden="false" outlineLevel="0" max="17" min="17" style="0" width="16"/>
    <col collapsed="false" customWidth="true" hidden="false" outlineLevel="0" max="18" min="18" style="0" width="2"/>
    <col collapsed="false" customWidth="true" hidden="true" outlineLevel="0" max="20" min="20" style="0" width="20"/>
    <col collapsed="false" customWidth="true" hidden="true" outlineLevel="0" max="21" min="21" style="0" width="30"/>
    <col collapsed="false" customWidth="true" hidden="true" outlineLevel="0" max="22" min="22" style="0" width="25"/>
  </cols>
  <sheetData>
    <row r="1" customFormat="false" ht="7.5" hidden="false" customHeight="true" outlineLevel="0" collapsed="false">
      <c r="T1" s="0" t="s">
        <v>48</v>
      </c>
      <c r="U1" s="0" t="s">
        <v>49</v>
      </c>
      <c r="V1" s="0" t="s">
        <v>50</v>
      </c>
    </row>
    <row r="2" customFormat="false" ht="27.75" hidden="false" customHeight="true" outlineLevel="0" collapsed="false">
      <c r="B2" s="1" t="s">
        <v>51</v>
      </c>
      <c r="C2" s="1"/>
      <c r="D2" s="1"/>
      <c r="E2" s="1"/>
      <c r="F2" s="1"/>
      <c r="G2" s="1"/>
      <c r="H2" s="1"/>
      <c r="I2" s="2" t="s">
        <v>52</v>
      </c>
      <c r="J2" s="2"/>
      <c r="K2" s="2"/>
      <c r="L2" s="2"/>
      <c r="M2" s="2"/>
      <c r="N2" s="2"/>
      <c r="O2" s="2"/>
      <c r="P2" s="2"/>
      <c r="Q2" s="2"/>
      <c r="T2" s="32" t="s">
        <v>53</v>
      </c>
      <c r="U2" s="32" t="s">
        <v>54</v>
      </c>
      <c r="V2" s="32" t="s">
        <v>55</v>
      </c>
    </row>
    <row r="3" customFormat="false" ht="19.5" hidden="false" customHeight="true" outlineLevel="0" collapsed="false">
      <c r="B3" s="1"/>
      <c r="C3" s="1"/>
      <c r="D3" s="1"/>
      <c r="E3" s="1"/>
      <c r="F3" s="1"/>
      <c r="G3" s="1"/>
      <c r="H3" s="1"/>
      <c r="I3" s="2"/>
      <c r="J3" s="2"/>
      <c r="K3" s="2"/>
      <c r="L3" s="2"/>
      <c r="M3" s="2"/>
      <c r="N3" s="2"/>
      <c r="O3" s="2"/>
      <c r="P3" s="2"/>
      <c r="Q3" s="2"/>
      <c r="T3" s="32" t="s">
        <v>56</v>
      </c>
      <c r="U3" s="32" t="s">
        <v>57</v>
      </c>
      <c r="V3" s="32" t="s">
        <v>58</v>
      </c>
    </row>
    <row r="4" customFormat="false" ht="3.75" hidden="false" customHeight="true" outlineLevel="0" collapsed="false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T4" s="32" t="s">
        <v>59</v>
      </c>
      <c r="U4" s="32" t="s">
        <v>60</v>
      </c>
      <c r="V4" s="32" t="s">
        <v>61</v>
      </c>
    </row>
    <row r="5" customFormat="false" ht="7.5" hidden="false" customHeight="true" outlineLevel="0" collapsed="false">
      <c r="T5" s="0" t="s">
        <v>62</v>
      </c>
      <c r="U5" s="0" t="s">
        <v>9</v>
      </c>
      <c r="V5" s="0" t="s">
        <v>63</v>
      </c>
    </row>
    <row r="6" customFormat="false" ht="15" hidden="false" customHeight="false" outlineLevel="0" collapsed="false">
      <c r="B6" s="6" t="s">
        <v>64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T6" s="32" t="s">
        <v>65</v>
      </c>
      <c r="U6" s="32" t="s">
        <v>66</v>
      </c>
      <c r="V6" s="32" t="s">
        <v>67</v>
      </c>
    </row>
    <row r="7" customFormat="false" ht="6" hidden="false" customHeight="true" outlineLevel="0" collapsed="false">
      <c r="U7" s="0" t="s">
        <v>68</v>
      </c>
      <c r="V7" s="0" t="s">
        <v>11</v>
      </c>
    </row>
    <row r="8" customFormat="false" ht="15" hidden="false" customHeight="false" outlineLevel="0" collapsed="false">
      <c r="B8" s="7" t="s">
        <v>69</v>
      </c>
      <c r="C8" s="8" t="s">
        <v>70</v>
      </c>
      <c r="I8" s="7" t="s">
        <v>71</v>
      </c>
      <c r="J8" s="8" t="s">
        <v>72</v>
      </c>
      <c r="U8" s="32" t="s">
        <v>73</v>
      </c>
      <c r="V8" s="32" t="s">
        <v>74</v>
      </c>
    </row>
    <row r="9" customFormat="false" ht="15" hidden="false" customHeight="false" outlineLevel="0" collapsed="false">
      <c r="B9" s="7" t="s">
        <v>75</v>
      </c>
      <c r="C9" s="8" t="s">
        <v>76</v>
      </c>
      <c r="I9" s="7" t="s">
        <v>77</v>
      </c>
      <c r="J9" s="8" t="s">
        <v>78</v>
      </c>
      <c r="U9" s="32" t="s">
        <v>79</v>
      </c>
      <c r="V9" s="32" t="s">
        <v>80</v>
      </c>
    </row>
    <row r="10" customFormat="false" ht="15" hidden="false" customHeight="false" outlineLevel="0" collapsed="false">
      <c r="B10" s="7" t="s">
        <v>81</v>
      </c>
      <c r="C10" s="8" t="s">
        <v>82</v>
      </c>
      <c r="I10" s="7" t="s">
        <v>83</v>
      </c>
      <c r="J10" s="8" t="s">
        <v>84</v>
      </c>
      <c r="U10" s="32" t="s">
        <v>85</v>
      </c>
      <c r="V10" s="32" t="s">
        <v>86</v>
      </c>
    </row>
    <row r="11" customFormat="false" ht="6" hidden="false" customHeight="true" outlineLevel="0" collapsed="false">
      <c r="V11" s="0" t="s">
        <v>87</v>
      </c>
    </row>
    <row r="12" customFormat="false" ht="15" hidden="false" customHeight="false" outlineLevel="0" collapsed="false">
      <c r="B12" s="33" t="s">
        <v>88</v>
      </c>
    </row>
    <row r="13" customFormat="false" ht="15" hidden="false" customHeight="false" outlineLevel="0" collapsed="false">
      <c r="B13" s="7" t="s">
        <v>89</v>
      </c>
      <c r="C13" s="34" t="n">
        <v>7</v>
      </c>
      <c r="I13" s="7" t="s">
        <v>90</v>
      </c>
      <c r="J13" s="35" t="n">
        <v>0.15</v>
      </c>
    </row>
    <row r="14" customFormat="false" ht="15" hidden="false" customHeight="false" outlineLevel="0" collapsed="false">
      <c r="B14" s="7" t="s">
        <v>91</v>
      </c>
      <c r="C14" s="8" t="s">
        <v>92</v>
      </c>
      <c r="I14" s="7" t="s">
        <v>93</v>
      </c>
      <c r="J14" s="35" t="n">
        <v>1.1</v>
      </c>
    </row>
    <row r="16" customFormat="false" ht="15" hidden="false" customHeight="false" outlineLevel="0" collapsed="false">
      <c r="B16" s="6" t="s">
        <v>94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customFormat="false" ht="6" hidden="false" customHeight="true" outlineLevel="0" collapsed="false"/>
    <row r="18" customFormat="false" ht="15.75" hidden="false" customHeight="true" outlineLevel="0" collapsed="false">
      <c r="B18" s="36" t="s">
        <v>95</v>
      </c>
      <c r="C18" s="36"/>
      <c r="D18" s="36"/>
      <c r="E18" s="36"/>
      <c r="F18" s="36"/>
      <c r="G18" s="37" t="s">
        <v>96</v>
      </c>
      <c r="H18" s="37"/>
      <c r="I18" s="37"/>
      <c r="J18" s="37"/>
      <c r="K18" s="37"/>
      <c r="L18" s="38" t="s">
        <v>97</v>
      </c>
      <c r="M18" s="38"/>
      <c r="N18" s="38"/>
      <c r="O18" s="38"/>
      <c r="P18" s="38"/>
    </row>
    <row r="19" customFormat="false" ht="27.75" hidden="false" customHeight="true" outlineLevel="0" collapsed="false">
      <c r="B19" s="39" t="n">
        <f aca="false">COUNTA(B29:B48)</f>
        <v>20</v>
      </c>
      <c r="C19" s="39"/>
      <c r="D19" s="39"/>
      <c r="E19" s="39"/>
      <c r="F19" s="39"/>
      <c r="G19" s="40" t="n">
        <f aca="false">SUMPRODUCT(I29:I48,N29:N48)</f>
        <v>5357.89</v>
      </c>
      <c r="H19" s="40"/>
      <c r="I19" s="40"/>
      <c r="J19" s="40"/>
      <c r="K19" s="40"/>
      <c r="L19" s="41" t="n">
        <f aca="false">COUNTIF(Q29:Q48,"NACHBESTELLEN")+COUNTIF(Q29:Q48,"KRITISCH")</f>
        <v>6</v>
      </c>
      <c r="M19" s="41"/>
      <c r="N19" s="41"/>
      <c r="O19" s="41"/>
      <c r="P19" s="41"/>
    </row>
    <row r="20" customFormat="false" ht="13.5" hidden="false" customHeight="true" outlineLevel="0" collapsed="false"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</row>
    <row r="21" customFormat="false" ht="7.5" hidden="false" customHeight="true" outlineLevel="0" collapsed="false"/>
    <row r="22" customFormat="false" ht="15" hidden="false" customHeight="false" outlineLevel="0" collapsed="false">
      <c r="B22" s="43" t="s">
        <v>98</v>
      </c>
      <c r="C22" s="43"/>
      <c r="D22" s="43"/>
      <c r="E22" s="43"/>
      <c r="F22" s="43"/>
      <c r="G22" s="36" t="s">
        <v>99</v>
      </c>
      <c r="H22" s="36"/>
      <c r="I22" s="36"/>
      <c r="J22" s="36"/>
      <c r="K22" s="36"/>
      <c r="L22" s="44" t="s">
        <v>100</v>
      </c>
      <c r="M22" s="44"/>
      <c r="N22" s="44"/>
      <c r="O22" s="44"/>
      <c r="P22" s="44"/>
    </row>
    <row r="23" customFormat="false" ht="24.45" hidden="false" customHeight="false" outlineLevel="0" collapsed="false">
      <c r="B23" s="45" t="n">
        <f aca="false">COUNTIF(Q29:Q48,"KRITISCH")</f>
        <v>4</v>
      </c>
      <c r="C23" s="45"/>
      <c r="D23" s="45"/>
      <c r="E23" s="45"/>
      <c r="F23" s="45"/>
      <c r="G23" s="46" t="n">
        <f aca="false">IFERROR(AVERAGEIFS(P29:P48,P29:P48,"&gt;0"),0)</f>
        <v>38.3565674603175</v>
      </c>
      <c r="H23" s="46"/>
      <c r="I23" s="46"/>
      <c r="J23" s="46"/>
      <c r="K23" s="46"/>
      <c r="L23" s="47" t="n">
        <f aca="false">COUNTA(Entnahmejournal!E14:E63)-1</f>
        <v>31</v>
      </c>
      <c r="M23" s="47"/>
      <c r="N23" s="47"/>
      <c r="O23" s="47"/>
      <c r="P23" s="47"/>
    </row>
    <row r="24" customFormat="false" ht="15" hidden="false" customHeight="false" outlineLevel="0" collapsed="false"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</row>
    <row r="26" customFormat="false" ht="15" hidden="false" customHeight="false" outlineLevel="0" collapsed="false">
      <c r="B26" s="6" t="s">
        <v>101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</row>
    <row r="27" customFormat="false" ht="6" hidden="false" customHeight="true" outlineLevel="0" collapsed="false"/>
    <row r="28" customFormat="false" ht="30" hidden="false" customHeight="true" outlineLevel="0" collapsed="false">
      <c r="B28" s="11" t="s">
        <v>21</v>
      </c>
      <c r="C28" s="11" t="s">
        <v>22</v>
      </c>
      <c r="D28" s="11" t="s">
        <v>102</v>
      </c>
      <c r="E28" s="11" t="s">
        <v>103</v>
      </c>
      <c r="F28" s="11" t="s">
        <v>12</v>
      </c>
      <c r="G28" s="11" t="s">
        <v>104</v>
      </c>
      <c r="H28" s="11" t="s">
        <v>105</v>
      </c>
      <c r="I28" s="11" t="s">
        <v>106</v>
      </c>
      <c r="J28" s="11" t="s">
        <v>107</v>
      </c>
      <c r="K28" s="11" t="s">
        <v>108</v>
      </c>
      <c r="L28" s="11" t="s">
        <v>109</v>
      </c>
      <c r="M28" s="11" t="s">
        <v>110</v>
      </c>
      <c r="N28" s="11" t="s">
        <v>111</v>
      </c>
      <c r="O28" s="11" t="s">
        <v>112</v>
      </c>
      <c r="P28" s="11" t="s">
        <v>113</v>
      </c>
      <c r="Q28" s="11" t="s">
        <v>114</v>
      </c>
    </row>
    <row r="29" customFormat="false" ht="15.75" hidden="false" customHeight="true" outlineLevel="0" collapsed="false">
      <c r="B29" s="48" t="s">
        <v>33</v>
      </c>
      <c r="C29" s="49" t="s">
        <v>115</v>
      </c>
      <c r="D29" s="50" t="s">
        <v>116</v>
      </c>
      <c r="E29" s="51" t="s">
        <v>117</v>
      </c>
      <c r="F29" s="52" t="s">
        <v>118</v>
      </c>
      <c r="G29" s="16" t="n">
        <v>3500</v>
      </c>
      <c r="H29" s="19" t="n">
        <f aca="false">IFERROR(SUMIFS(Entnahmejournal!I:I,Entnahmejournal!E:E,B29,Entnahmejournal!O:O,"Gebucht"),0)</f>
        <v>545</v>
      </c>
      <c r="I29" s="53" t="n">
        <f aca="false">G29-H29</f>
        <v>2955</v>
      </c>
      <c r="J29" s="16" t="n">
        <v>850</v>
      </c>
      <c r="K29" s="16" t="n">
        <v>200</v>
      </c>
      <c r="L29" s="54" t="n">
        <v>35</v>
      </c>
      <c r="M29" s="55" t="n">
        <v>6</v>
      </c>
      <c r="N29" s="56" t="n">
        <v>0.14</v>
      </c>
      <c r="O29" s="57" t="n">
        <f aca="false">I29*N29</f>
        <v>413.7</v>
      </c>
      <c r="P29" s="58" t="n">
        <f aca="false">IFERROR(I29/L29,0)</f>
        <v>84.4285714285714</v>
      </c>
      <c r="Q29" s="59" t="str">
        <f aca="false">IF(I29&lt;=K29,"KRITISCH",IF(I29&lt;=J29,"NACHBESTELLEN","OK"))</f>
        <v>OK</v>
      </c>
    </row>
    <row r="30" customFormat="false" ht="15.75" hidden="false" customHeight="true" outlineLevel="0" collapsed="false">
      <c r="B30" s="48" t="s">
        <v>119</v>
      </c>
      <c r="C30" s="60" t="s">
        <v>120</v>
      </c>
      <c r="D30" s="61" t="s">
        <v>116</v>
      </c>
      <c r="E30" s="62" t="s">
        <v>117</v>
      </c>
      <c r="F30" s="63" t="s">
        <v>121</v>
      </c>
      <c r="G30" s="16" t="n">
        <v>1800</v>
      </c>
      <c r="H30" s="19" t="n">
        <f aca="false">IFERROR(SUMIFS(Entnahmejournal!I:I,Entnahmejournal!E:E,B30,Entnahmejournal!O:O,"Gebucht"),0)</f>
        <v>180</v>
      </c>
      <c r="I30" s="53" t="n">
        <f aca="false">G30-H30</f>
        <v>1620</v>
      </c>
      <c r="J30" s="16" t="n">
        <v>320</v>
      </c>
      <c r="K30" s="16" t="n">
        <v>150</v>
      </c>
      <c r="L30" s="54" t="n">
        <v>25</v>
      </c>
      <c r="M30" s="55" t="n">
        <v>6</v>
      </c>
      <c r="N30" s="56" t="n">
        <v>0.22</v>
      </c>
      <c r="O30" s="57" t="n">
        <f aca="false">I30*N30</f>
        <v>356.4</v>
      </c>
      <c r="P30" s="58" t="n">
        <f aca="false">IFERROR(I30/L30,0)</f>
        <v>64.8</v>
      </c>
      <c r="Q30" s="59" t="str">
        <f aca="false">IF(I30&lt;=K30,"KRITISCH",IF(I30&lt;=J30,"NACHBESTELLEN","OK"))</f>
        <v>OK</v>
      </c>
    </row>
    <row r="31" customFormat="false" ht="15.75" hidden="false" customHeight="true" outlineLevel="0" collapsed="false">
      <c r="B31" s="48" t="s">
        <v>122</v>
      </c>
      <c r="C31" s="49" t="s">
        <v>123</v>
      </c>
      <c r="D31" s="50" t="s">
        <v>116</v>
      </c>
      <c r="E31" s="51" t="s">
        <v>117</v>
      </c>
      <c r="F31" s="52" t="s">
        <v>124</v>
      </c>
      <c r="G31" s="16" t="n">
        <v>4200</v>
      </c>
      <c r="H31" s="19" t="n">
        <f aca="false">IFERROR(SUMIFS(Entnahmejournal!I:I,Entnahmejournal!E:E,B31,Entnahmejournal!O:O,"Gebucht"),0)</f>
        <v>900</v>
      </c>
      <c r="I31" s="53" t="n">
        <f aca="false">G31-H31</f>
        <v>3300</v>
      </c>
      <c r="J31" s="16" t="n">
        <v>480</v>
      </c>
      <c r="K31" s="16" t="n">
        <v>100</v>
      </c>
      <c r="L31" s="54" t="n">
        <v>40</v>
      </c>
      <c r="M31" s="55" t="n">
        <v>6</v>
      </c>
      <c r="N31" s="56" t="n">
        <v>0.03</v>
      </c>
      <c r="O31" s="57" t="n">
        <f aca="false">I31*N31</f>
        <v>99</v>
      </c>
      <c r="P31" s="58" t="n">
        <f aca="false">IFERROR(I31/L31,0)</f>
        <v>82.5</v>
      </c>
      <c r="Q31" s="59" t="str">
        <f aca="false">IF(I31&lt;=K31,"KRITISCH",IF(I31&lt;=J31,"NACHBESTELLEN","OK"))</f>
        <v>OK</v>
      </c>
    </row>
    <row r="32" customFormat="false" ht="15.75" hidden="false" customHeight="true" outlineLevel="0" collapsed="false">
      <c r="B32" s="48" t="s">
        <v>125</v>
      </c>
      <c r="C32" s="60" t="s">
        <v>126</v>
      </c>
      <c r="D32" s="61" t="s">
        <v>116</v>
      </c>
      <c r="E32" s="62" t="s">
        <v>117</v>
      </c>
      <c r="F32" s="63" t="s">
        <v>127</v>
      </c>
      <c r="G32" s="16" t="n">
        <v>2600</v>
      </c>
      <c r="H32" s="19" t="n">
        <f aca="false">IFERROR(SUMIFS(Entnahmejournal!I:I,Entnahmejournal!E:E,B32,Entnahmejournal!O:O,"Gebucht"),0)</f>
        <v>450</v>
      </c>
      <c r="I32" s="53" t="n">
        <f aca="false">G32-H32</f>
        <v>2150</v>
      </c>
      <c r="J32" s="16" t="n">
        <v>620</v>
      </c>
      <c r="K32" s="16" t="n">
        <v>180</v>
      </c>
      <c r="L32" s="54" t="n">
        <v>30</v>
      </c>
      <c r="M32" s="55" t="n">
        <v>6</v>
      </c>
      <c r="N32" s="56" t="n">
        <v>0.09</v>
      </c>
      <c r="O32" s="57" t="n">
        <f aca="false">I32*N32</f>
        <v>193.5</v>
      </c>
      <c r="P32" s="58" t="n">
        <f aca="false">IFERROR(I32/L32,0)</f>
        <v>71.6666666666667</v>
      </c>
      <c r="Q32" s="59" t="str">
        <f aca="false">IF(I32&lt;=K32,"KRITISCH",IF(I32&lt;=J32,"NACHBESTELLEN","OK"))</f>
        <v>OK</v>
      </c>
    </row>
    <row r="33" customFormat="false" ht="15.75" hidden="false" customHeight="true" outlineLevel="0" collapsed="false">
      <c r="B33" s="48" t="s">
        <v>128</v>
      </c>
      <c r="C33" s="49" t="s">
        <v>129</v>
      </c>
      <c r="D33" s="50" t="s">
        <v>130</v>
      </c>
      <c r="E33" s="51" t="s">
        <v>117</v>
      </c>
      <c r="F33" s="52" t="s">
        <v>131</v>
      </c>
      <c r="G33" s="16" t="n">
        <v>480</v>
      </c>
      <c r="H33" s="19" t="n">
        <f aca="false">IFERROR(SUMIFS(Entnahmejournal!I:I,Entnahmejournal!E:E,B33,Entnahmejournal!O:O,"Gebucht"),0)</f>
        <v>125</v>
      </c>
      <c r="I33" s="53" t="n">
        <f aca="false">G33-H33</f>
        <v>355</v>
      </c>
      <c r="J33" s="16" t="n">
        <v>210</v>
      </c>
      <c r="K33" s="16" t="n">
        <v>85</v>
      </c>
      <c r="L33" s="54" t="n">
        <v>12</v>
      </c>
      <c r="M33" s="55" t="n">
        <v>8</v>
      </c>
      <c r="N33" s="56" t="n">
        <v>0.85</v>
      </c>
      <c r="O33" s="57" t="n">
        <f aca="false">I33*N33</f>
        <v>301.75</v>
      </c>
      <c r="P33" s="58" t="n">
        <f aca="false">IFERROR(I33/L33,0)</f>
        <v>29.5833333333333</v>
      </c>
      <c r="Q33" s="59" t="str">
        <f aca="false">IF(I33&lt;=K33,"KRITISCH",IF(I33&lt;=J33,"NACHBESTELLEN","OK"))</f>
        <v>OK</v>
      </c>
    </row>
    <row r="34" customFormat="false" ht="15.75" hidden="false" customHeight="true" outlineLevel="0" collapsed="false">
      <c r="B34" s="48" t="s">
        <v>132</v>
      </c>
      <c r="C34" s="60" t="s">
        <v>133</v>
      </c>
      <c r="D34" s="61" t="s">
        <v>130</v>
      </c>
      <c r="E34" s="62" t="s">
        <v>117</v>
      </c>
      <c r="F34" s="63" t="s">
        <v>134</v>
      </c>
      <c r="G34" s="16" t="n">
        <v>45</v>
      </c>
      <c r="H34" s="19" t="n">
        <f aca="false">IFERROR(SUMIFS(Entnahmejournal!I:I,Entnahmejournal!E:E,B34,Entnahmejournal!O:O,"Gebucht"),0)</f>
        <v>38</v>
      </c>
      <c r="I34" s="53" t="n">
        <f aca="false">G34-H34</f>
        <v>7</v>
      </c>
      <c r="J34" s="16" t="n">
        <v>120</v>
      </c>
      <c r="K34" s="16" t="n">
        <v>55</v>
      </c>
      <c r="L34" s="54" t="n">
        <v>9</v>
      </c>
      <c r="M34" s="55" t="n">
        <v>8</v>
      </c>
      <c r="N34" s="56" t="n">
        <v>0.62</v>
      </c>
      <c r="O34" s="57" t="n">
        <f aca="false">I34*N34</f>
        <v>4.34</v>
      </c>
      <c r="P34" s="58" t="n">
        <f aca="false">IFERROR(I34/L34,0)</f>
        <v>0.777777777777778</v>
      </c>
      <c r="Q34" s="59" t="str">
        <f aca="false">IF(I34&lt;=K34,"KRITISCH",IF(I34&lt;=J34,"NACHBESTELLEN","OK"))</f>
        <v>KRITISCH</v>
      </c>
    </row>
    <row r="35" customFormat="false" ht="15.75" hidden="false" customHeight="true" outlineLevel="0" collapsed="false">
      <c r="B35" s="48" t="s">
        <v>135</v>
      </c>
      <c r="C35" s="49" t="s">
        <v>136</v>
      </c>
      <c r="D35" s="50" t="s">
        <v>137</v>
      </c>
      <c r="E35" s="51" t="s">
        <v>138</v>
      </c>
      <c r="F35" s="52" t="s">
        <v>139</v>
      </c>
      <c r="G35" s="16" t="n">
        <v>260</v>
      </c>
      <c r="H35" s="19" t="n">
        <f aca="false">IFERROR(SUMIFS(Entnahmejournal!I:I,Entnahmejournal!E:E,B35,Entnahmejournal!O:O,"Gebucht"),0)</f>
        <v>70</v>
      </c>
      <c r="I35" s="53" t="n">
        <f aca="false">G35-H35</f>
        <v>190</v>
      </c>
      <c r="J35" s="16" t="n">
        <v>95</v>
      </c>
      <c r="K35" s="16" t="n">
        <v>20</v>
      </c>
      <c r="L35" s="54" t="n">
        <v>4</v>
      </c>
      <c r="M35" s="55" t="n">
        <v>7</v>
      </c>
      <c r="N35" s="56" t="n">
        <v>4.3</v>
      </c>
      <c r="O35" s="57" t="n">
        <f aca="false">I35*N35</f>
        <v>817</v>
      </c>
      <c r="P35" s="58" t="n">
        <f aca="false">IFERROR(I35/L35,0)</f>
        <v>47.5</v>
      </c>
      <c r="Q35" s="59" t="str">
        <f aca="false">IF(I35&lt;=K35,"KRITISCH",IF(I35&lt;=J35,"NACHBESTELLEN","OK"))</f>
        <v>OK</v>
      </c>
    </row>
    <row r="36" customFormat="false" ht="15.75" hidden="false" customHeight="true" outlineLevel="0" collapsed="false">
      <c r="B36" s="48" t="s">
        <v>140</v>
      </c>
      <c r="C36" s="60" t="s">
        <v>141</v>
      </c>
      <c r="D36" s="61" t="s">
        <v>137</v>
      </c>
      <c r="E36" s="62" t="s">
        <v>138</v>
      </c>
      <c r="F36" s="63" t="s">
        <v>142</v>
      </c>
      <c r="G36" s="16" t="n">
        <v>55</v>
      </c>
      <c r="H36" s="19" t="n">
        <f aca="false">IFERROR(SUMIFS(Entnahmejournal!I:I,Entnahmejournal!E:E,B36,Entnahmejournal!O:O,"Gebucht"),0)</f>
        <v>20</v>
      </c>
      <c r="I36" s="53" t="n">
        <f aca="false">G36-H36</f>
        <v>35</v>
      </c>
      <c r="J36" s="16" t="n">
        <v>40</v>
      </c>
      <c r="K36" s="16" t="n">
        <v>15</v>
      </c>
      <c r="L36" s="54" t="n">
        <v>3</v>
      </c>
      <c r="M36" s="55" t="n">
        <v>7</v>
      </c>
      <c r="N36" s="56" t="n">
        <v>5.8</v>
      </c>
      <c r="O36" s="57" t="n">
        <f aca="false">I36*N36</f>
        <v>203</v>
      </c>
      <c r="P36" s="58" t="n">
        <f aca="false">IFERROR(I36/L36,0)</f>
        <v>11.6666666666667</v>
      </c>
      <c r="Q36" s="59" t="str">
        <f aca="false">IF(I36&lt;=K36,"KRITISCH",IF(I36&lt;=J36,"NACHBESTELLEN","OK"))</f>
        <v>NACHBESTELLEN</v>
      </c>
    </row>
    <row r="37" customFormat="false" ht="15.75" hidden="false" customHeight="true" outlineLevel="0" collapsed="false">
      <c r="B37" s="48" t="s">
        <v>35</v>
      </c>
      <c r="C37" s="49" t="s">
        <v>143</v>
      </c>
      <c r="D37" s="50" t="s">
        <v>137</v>
      </c>
      <c r="E37" s="51" t="s">
        <v>117</v>
      </c>
      <c r="F37" s="52" t="s">
        <v>144</v>
      </c>
      <c r="G37" s="16" t="n">
        <v>120</v>
      </c>
      <c r="H37" s="19" t="n">
        <f aca="false">IFERROR(SUMIFS(Entnahmejournal!I:I,Entnahmejournal!E:E,B37,Entnahmejournal!O:O,"Gebucht"),0)</f>
        <v>4</v>
      </c>
      <c r="I37" s="53" t="n">
        <f aca="false">G37-H37</f>
        <v>116</v>
      </c>
      <c r="J37" s="16" t="n">
        <v>22</v>
      </c>
      <c r="K37" s="16" t="n">
        <v>10</v>
      </c>
      <c r="L37" s="54" t="n">
        <v>2</v>
      </c>
      <c r="M37" s="55" t="n">
        <v>7</v>
      </c>
      <c r="N37" s="56" t="n">
        <v>3.9</v>
      </c>
      <c r="O37" s="57" t="n">
        <f aca="false">I37*N37</f>
        <v>452.4</v>
      </c>
      <c r="P37" s="58" t="n">
        <f aca="false">IFERROR(I37/L37,0)</f>
        <v>58</v>
      </c>
      <c r="Q37" s="59" t="str">
        <f aca="false">IF(I37&lt;=K37,"KRITISCH",IF(I37&lt;=J37,"NACHBESTELLEN","OK"))</f>
        <v>OK</v>
      </c>
    </row>
    <row r="38" customFormat="false" ht="15.75" hidden="false" customHeight="true" outlineLevel="0" collapsed="false">
      <c r="B38" s="48" t="s">
        <v>32</v>
      </c>
      <c r="C38" s="60" t="s">
        <v>145</v>
      </c>
      <c r="D38" s="61" t="s">
        <v>146</v>
      </c>
      <c r="E38" s="62" t="s">
        <v>117</v>
      </c>
      <c r="F38" s="63" t="s">
        <v>147</v>
      </c>
      <c r="G38" s="16" t="n">
        <v>5000</v>
      </c>
      <c r="H38" s="19" t="n">
        <f aca="false">IFERROR(SUMIFS(Entnahmejournal!I:I,Entnahmejournal!E:E,B38,Entnahmejournal!O:O,"Gebucht"),0)</f>
        <v>150</v>
      </c>
      <c r="I38" s="53" t="n">
        <f aca="false">G38-H38</f>
        <v>4850</v>
      </c>
      <c r="J38" s="16" t="n">
        <v>350</v>
      </c>
      <c r="K38" s="16" t="n">
        <v>400</v>
      </c>
      <c r="L38" s="54" t="n">
        <v>60</v>
      </c>
      <c r="M38" s="55" t="n">
        <v>5</v>
      </c>
      <c r="N38" s="56" t="n">
        <v>0.02</v>
      </c>
      <c r="O38" s="57" t="n">
        <f aca="false">I38*N38</f>
        <v>97</v>
      </c>
      <c r="P38" s="58" t="n">
        <f aca="false">IFERROR(I38/L38,0)</f>
        <v>80.8333333333333</v>
      </c>
      <c r="Q38" s="59" t="str">
        <f aca="false">IF(I38&lt;=K38,"KRITISCH",IF(I38&lt;=J38,"NACHBESTELLEN","OK"))</f>
        <v>OK</v>
      </c>
    </row>
    <row r="39" customFormat="false" ht="15.75" hidden="false" customHeight="true" outlineLevel="0" collapsed="false">
      <c r="B39" s="48" t="s">
        <v>148</v>
      </c>
      <c r="C39" s="49" t="s">
        <v>149</v>
      </c>
      <c r="D39" s="50" t="s">
        <v>146</v>
      </c>
      <c r="E39" s="51" t="s">
        <v>117</v>
      </c>
      <c r="F39" s="52" t="s">
        <v>150</v>
      </c>
      <c r="G39" s="16" t="n">
        <v>3200</v>
      </c>
      <c r="H39" s="19" t="n">
        <f aca="false">IFERROR(SUMIFS(Entnahmejournal!I:I,Entnahmejournal!E:E,B39,Entnahmejournal!O:O,"Gebucht"),0)</f>
        <v>315</v>
      </c>
      <c r="I39" s="53" t="n">
        <f aca="false">G39-H39</f>
        <v>2885</v>
      </c>
      <c r="J39" s="16" t="n">
        <v>480</v>
      </c>
      <c r="K39" s="16" t="n">
        <v>250</v>
      </c>
      <c r="L39" s="54" t="n">
        <v>40</v>
      </c>
      <c r="M39" s="55" t="n">
        <v>5</v>
      </c>
      <c r="N39" s="56" t="n">
        <v>0.04</v>
      </c>
      <c r="O39" s="57" t="n">
        <f aca="false">I39*N39</f>
        <v>115.4</v>
      </c>
      <c r="P39" s="58" t="n">
        <f aca="false">IFERROR(I39/L39,0)</f>
        <v>72.125</v>
      </c>
      <c r="Q39" s="59" t="str">
        <f aca="false">IF(I39&lt;=K39,"KRITISCH",IF(I39&lt;=J39,"NACHBESTELLEN","OK"))</f>
        <v>OK</v>
      </c>
    </row>
    <row r="40" customFormat="false" ht="15.75" hidden="false" customHeight="true" outlineLevel="0" collapsed="false">
      <c r="B40" s="48" t="s">
        <v>151</v>
      </c>
      <c r="C40" s="60" t="s">
        <v>152</v>
      </c>
      <c r="D40" s="61" t="s">
        <v>146</v>
      </c>
      <c r="E40" s="62" t="s">
        <v>153</v>
      </c>
      <c r="F40" s="63" t="s">
        <v>154</v>
      </c>
      <c r="G40" s="16" t="n">
        <v>480</v>
      </c>
      <c r="H40" s="19" t="n">
        <f aca="false">IFERROR(SUMIFS(Entnahmejournal!I:I,Entnahmejournal!E:E,B40,Entnahmejournal!O:O,"Gebucht"),0)</f>
        <v>100</v>
      </c>
      <c r="I40" s="53" t="n">
        <f aca="false">G40-H40</f>
        <v>380</v>
      </c>
      <c r="J40" s="16" t="n">
        <v>130</v>
      </c>
      <c r="K40" s="16" t="n">
        <v>50</v>
      </c>
      <c r="L40" s="54" t="n">
        <v>10</v>
      </c>
      <c r="M40" s="55" t="n">
        <v>9</v>
      </c>
      <c r="N40" s="56" t="n">
        <v>1.1</v>
      </c>
      <c r="O40" s="57" t="n">
        <f aca="false">I40*N40</f>
        <v>418</v>
      </c>
      <c r="P40" s="58" t="n">
        <f aca="false">IFERROR(I40/L40,0)</f>
        <v>38</v>
      </c>
      <c r="Q40" s="59" t="str">
        <f aca="false">IF(I40&lt;=K40,"KRITISCH",IF(I40&lt;=J40,"NACHBESTELLEN","OK"))</f>
        <v>OK</v>
      </c>
    </row>
    <row r="41" customFormat="false" ht="15.75" hidden="false" customHeight="true" outlineLevel="0" collapsed="false">
      <c r="B41" s="48" t="s">
        <v>155</v>
      </c>
      <c r="C41" s="49" t="s">
        <v>156</v>
      </c>
      <c r="D41" s="50" t="s">
        <v>157</v>
      </c>
      <c r="E41" s="51" t="s">
        <v>158</v>
      </c>
      <c r="F41" s="52" t="s">
        <v>159</v>
      </c>
      <c r="G41" s="16" t="n">
        <v>85</v>
      </c>
      <c r="H41" s="19" t="n">
        <f aca="false">IFERROR(SUMIFS(Entnahmejournal!I:I,Entnahmejournal!E:E,B41,Entnahmejournal!O:O,"Gebucht"),0)</f>
        <v>12</v>
      </c>
      <c r="I41" s="53" t="n">
        <f aca="false">G41-H41</f>
        <v>73</v>
      </c>
      <c r="J41" s="16" t="n">
        <v>28</v>
      </c>
      <c r="K41" s="16" t="n">
        <v>15</v>
      </c>
      <c r="L41" s="54" t="n">
        <v>3</v>
      </c>
      <c r="M41" s="55" t="n">
        <v>10</v>
      </c>
      <c r="N41" s="56" t="n">
        <v>5.4</v>
      </c>
      <c r="O41" s="57" t="n">
        <f aca="false">I41*N41</f>
        <v>394.2</v>
      </c>
      <c r="P41" s="58" t="n">
        <f aca="false">IFERROR(I41/L41,0)</f>
        <v>24.3333333333333</v>
      </c>
      <c r="Q41" s="59" t="str">
        <f aca="false">IF(I41&lt;=K41,"KRITISCH",IF(I41&lt;=J41,"NACHBESTELLEN","OK"))</f>
        <v>OK</v>
      </c>
    </row>
    <row r="42" customFormat="false" ht="15.75" hidden="false" customHeight="true" outlineLevel="0" collapsed="false">
      <c r="B42" s="48" t="s">
        <v>160</v>
      </c>
      <c r="C42" s="60" t="s">
        <v>161</v>
      </c>
      <c r="D42" s="61" t="s">
        <v>157</v>
      </c>
      <c r="E42" s="62" t="s">
        <v>117</v>
      </c>
      <c r="F42" s="63" t="s">
        <v>162</v>
      </c>
      <c r="G42" s="16" t="n">
        <v>3</v>
      </c>
      <c r="H42" s="19" t="n">
        <f aca="false">IFERROR(SUMIFS(Entnahmejournal!I:I,Entnahmejournal!E:E,B42,Entnahmejournal!O:O,"Gebucht"),0)</f>
        <v>2</v>
      </c>
      <c r="I42" s="53" t="n">
        <f aca="false">G42-H42</f>
        <v>1</v>
      </c>
      <c r="J42" s="16" t="n">
        <v>3</v>
      </c>
      <c r="K42" s="16" t="n">
        <v>2</v>
      </c>
      <c r="L42" s="54" t="n">
        <v>1</v>
      </c>
      <c r="M42" s="55" t="n">
        <v>14</v>
      </c>
      <c r="N42" s="56" t="n">
        <v>62</v>
      </c>
      <c r="O42" s="57" t="n">
        <f aca="false">I42*N42</f>
        <v>62</v>
      </c>
      <c r="P42" s="58" t="n">
        <f aca="false">IFERROR(I42/L42,0)</f>
        <v>1</v>
      </c>
      <c r="Q42" s="59" t="str">
        <f aca="false">IF(I42&lt;=K42,"KRITISCH",IF(I42&lt;=J42,"NACHBESTELLEN","OK"))</f>
        <v>KRITISCH</v>
      </c>
    </row>
    <row r="43" customFormat="false" ht="15.75" hidden="false" customHeight="true" outlineLevel="0" collapsed="false">
      <c r="B43" s="48" t="s">
        <v>163</v>
      </c>
      <c r="C43" s="49" t="s">
        <v>164</v>
      </c>
      <c r="D43" s="50" t="s">
        <v>165</v>
      </c>
      <c r="E43" s="51" t="s">
        <v>117</v>
      </c>
      <c r="F43" s="52" t="s">
        <v>166</v>
      </c>
      <c r="G43" s="16" t="n">
        <v>260</v>
      </c>
      <c r="H43" s="19" t="n">
        <f aca="false">IFERROR(SUMIFS(Entnahmejournal!I:I,Entnahmejournal!E:E,B43,Entnahmejournal!O:O,"Gebucht"),0)</f>
        <v>30</v>
      </c>
      <c r="I43" s="53" t="n">
        <f aca="false">G43-H43</f>
        <v>230</v>
      </c>
      <c r="J43" s="16" t="n">
        <v>75</v>
      </c>
      <c r="K43" s="16" t="n">
        <v>40</v>
      </c>
      <c r="L43" s="54" t="n">
        <v>8</v>
      </c>
      <c r="M43" s="55" t="n">
        <v>7</v>
      </c>
      <c r="N43" s="56" t="n">
        <v>1.85</v>
      </c>
      <c r="O43" s="57" t="n">
        <f aca="false">I43*N43</f>
        <v>425.5</v>
      </c>
      <c r="P43" s="58" t="n">
        <f aca="false">IFERROR(I43/L43,0)</f>
        <v>28.75</v>
      </c>
      <c r="Q43" s="59" t="str">
        <f aca="false">IF(I43&lt;=K43,"KRITISCH",IF(I43&lt;=J43,"NACHBESTELLEN","OK"))</f>
        <v>OK</v>
      </c>
    </row>
    <row r="44" customFormat="false" ht="15.75" hidden="false" customHeight="true" outlineLevel="0" collapsed="false">
      <c r="B44" s="48" t="s">
        <v>167</v>
      </c>
      <c r="C44" s="60" t="s">
        <v>168</v>
      </c>
      <c r="D44" s="61" t="s">
        <v>165</v>
      </c>
      <c r="E44" s="62" t="s">
        <v>117</v>
      </c>
      <c r="F44" s="63" t="s">
        <v>169</v>
      </c>
      <c r="G44" s="16" t="n">
        <v>22</v>
      </c>
      <c r="H44" s="19" t="n">
        <f aca="false">IFERROR(SUMIFS(Entnahmejournal!I:I,Entnahmejournal!E:E,B44,Entnahmejournal!O:O,"Gebucht"),0)</f>
        <v>8</v>
      </c>
      <c r="I44" s="53" t="n">
        <f aca="false">G44-H44</f>
        <v>14</v>
      </c>
      <c r="J44" s="16" t="n">
        <v>18</v>
      </c>
      <c r="K44" s="16" t="n">
        <v>15</v>
      </c>
      <c r="L44" s="54" t="n">
        <v>3</v>
      </c>
      <c r="M44" s="55" t="n">
        <v>9</v>
      </c>
      <c r="N44" s="56" t="n">
        <v>3.2</v>
      </c>
      <c r="O44" s="57" t="n">
        <f aca="false">I44*N44</f>
        <v>44.8</v>
      </c>
      <c r="P44" s="58" t="n">
        <f aca="false">IFERROR(I44/L44,0)</f>
        <v>4.66666666666667</v>
      </c>
      <c r="Q44" s="59" t="str">
        <f aca="false">IF(I44&lt;=K44,"KRITISCH",IF(I44&lt;=J44,"NACHBESTELLEN","OK"))</f>
        <v>KRITISCH</v>
      </c>
    </row>
    <row r="45" customFormat="false" ht="15.75" hidden="false" customHeight="true" outlineLevel="0" collapsed="false">
      <c r="B45" s="48" t="s">
        <v>29</v>
      </c>
      <c r="C45" s="49" t="s">
        <v>170</v>
      </c>
      <c r="D45" s="50" t="s">
        <v>171</v>
      </c>
      <c r="E45" s="51" t="s">
        <v>172</v>
      </c>
      <c r="F45" s="52" t="s">
        <v>173</v>
      </c>
      <c r="G45" s="16" t="n">
        <v>75</v>
      </c>
      <c r="H45" s="19" t="n">
        <f aca="false">IFERROR(SUMIFS(Entnahmejournal!I:I,Entnahmejournal!E:E,B45,Entnahmejournal!O:O,"Gebucht"),0)</f>
        <v>25</v>
      </c>
      <c r="I45" s="53" t="n">
        <f aca="false">G45-H45</f>
        <v>50</v>
      </c>
      <c r="J45" s="16" t="n">
        <v>55</v>
      </c>
      <c r="K45" s="16" t="n">
        <v>25</v>
      </c>
      <c r="L45" s="54" t="n">
        <v>5</v>
      </c>
      <c r="M45" s="55" t="n">
        <v>6</v>
      </c>
      <c r="N45" s="56" t="n">
        <v>1.6</v>
      </c>
      <c r="O45" s="57" t="n">
        <f aca="false">I45*N45</f>
        <v>80</v>
      </c>
      <c r="P45" s="58" t="n">
        <f aca="false">IFERROR(I45/L45,0)</f>
        <v>10</v>
      </c>
      <c r="Q45" s="59" t="str">
        <f aca="false">IF(I45&lt;=K45,"KRITISCH",IF(I45&lt;=J45,"NACHBESTELLEN","OK"))</f>
        <v>NACHBESTELLEN</v>
      </c>
    </row>
    <row r="46" customFormat="false" ht="15.75" hidden="false" customHeight="true" outlineLevel="0" collapsed="false">
      <c r="B46" s="48" t="s">
        <v>30</v>
      </c>
      <c r="C46" s="60" t="s">
        <v>174</v>
      </c>
      <c r="D46" s="61" t="s">
        <v>171</v>
      </c>
      <c r="E46" s="62" t="s">
        <v>172</v>
      </c>
      <c r="F46" s="63" t="s">
        <v>175</v>
      </c>
      <c r="G46" s="16" t="n">
        <v>600</v>
      </c>
      <c r="H46" s="19" t="n">
        <f aca="false">IFERROR(SUMIFS(Entnahmejournal!I:I,Entnahmejournal!E:E,B46,Entnahmejournal!O:O,"Gebucht"),0)</f>
        <v>60</v>
      </c>
      <c r="I46" s="53" t="n">
        <f aca="false">G46-H46</f>
        <v>540</v>
      </c>
      <c r="J46" s="16" t="n">
        <v>140</v>
      </c>
      <c r="K46" s="16" t="n">
        <v>80</v>
      </c>
      <c r="L46" s="54" t="n">
        <v>15</v>
      </c>
      <c r="M46" s="55" t="n">
        <v>6</v>
      </c>
      <c r="N46" s="56" t="n">
        <v>0.28</v>
      </c>
      <c r="O46" s="57" t="n">
        <f aca="false">I46*N46</f>
        <v>151.2</v>
      </c>
      <c r="P46" s="58" t="n">
        <f aca="false">IFERROR(I46/L46,0)</f>
        <v>36</v>
      </c>
      <c r="Q46" s="59" t="str">
        <f aca="false">IF(I46&lt;=K46,"KRITISCH",IF(I46&lt;=J46,"NACHBESTELLEN","OK"))</f>
        <v>OK</v>
      </c>
    </row>
    <row r="47" customFormat="false" ht="15.75" hidden="false" customHeight="true" outlineLevel="0" collapsed="false">
      <c r="B47" s="48" t="s">
        <v>176</v>
      </c>
      <c r="C47" s="49" t="s">
        <v>177</v>
      </c>
      <c r="D47" s="50" t="s">
        <v>178</v>
      </c>
      <c r="E47" s="51" t="s">
        <v>117</v>
      </c>
      <c r="F47" s="52" t="s">
        <v>179</v>
      </c>
      <c r="G47" s="16" t="n">
        <v>45</v>
      </c>
      <c r="H47" s="19" t="n">
        <f aca="false">IFERROR(SUMIFS(Entnahmejournal!I:I,Entnahmejournal!E:E,B47,Entnahmejournal!O:O,"Gebucht"),0)</f>
        <v>6</v>
      </c>
      <c r="I47" s="53" t="n">
        <f aca="false">G47-H47</f>
        <v>39</v>
      </c>
      <c r="J47" s="16" t="n">
        <v>12</v>
      </c>
      <c r="K47" s="16" t="n">
        <v>6</v>
      </c>
      <c r="L47" s="54" t="n">
        <v>2</v>
      </c>
      <c r="M47" s="55" t="n">
        <v>8</v>
      </c>
      <c r="N47" s="56" t="n">
        <v>18.5</v>
      </c>
      <c r="O47" s="57" t="n">
        <f aca="false">I47*N47</f>
        <v>721.5</v>
      </c>
      <c r="P47" s="58" t="n">
        <f aca="false">IFERROR(I47/L47,0)</f>
        <v>19.5</v>
      </c>
      <c r="Q47" s="59" t="str">
        <f aca="false">IF(I47&lt;=K47,"KRITISCH",IF(I47&lt;=J47,"NACHBESTELLEN","OK"))</f>
        <v>OK</v>
      </c>
    </row>
    <row r="48" customFormat="false" ht="15.75" hidden="false" customHeight="true" outlineLevel="0" collapsed="false">
      <c r="B48" s="48" t="s">
        <v>180</v>
      </c>
      <c r="C48" s="60" t="s">
        <v>181</v>
      </c>
      <c r="D48" s="61" t="s">
        <v>178</v>
      </c>
      <c r="E48" s="62" t="s">
        <v>138</v>
      </c>
      <c r="F48" s="63" t="s">
        <v>182</v>
      </c>
      <c r="G48" s="16" t="n">
        <v>15</v>
      </c>
      <c r="H48" s="19" t="n">
        <f aca="false">IFERROR(SUMIFS(Entnahmejournal!I:I,Entnahmejournal!E:E,B48,Entnahmejournal!O:O,"Gebucht"),0)</f>
        <v>12</v>
      </c>
      <c r="I48" s="53" t="n">
        <f aca="false">G48-H48</f>
        <v>3</v>
      </c>
      <c r="J48" s="16" t="n">
        <v>25</v>
      </c>
      <c r="K48" s="16" t="n">
        <v>15</v>
      </c>
      <c r="L48" s="54" t="n">
        <v>3</v>
      </c>
      <c r="M48" s="55" t="n">
        <v>7</v>
      </c>
      <c r="N48" s="56" t="n">
        <v>2.4</v>
      </c>
      <c r="O48" s="57" t="n">
        <f aca="false">I48*N48</f>
        <v>7.2</v>
      </c>
      <c r="P48" s="58" t="n">
        <f aca="false">IFERROR(I48/L48,0)</f>
        <v>1</v>
      </c>
      <c r="Q48" s="59" t="str">
        <f aca="false">IF(I48&lt;=K48,"KRITISCH",IF(I48&lt;=J48,"NACHBESTELLEN","OK"))</f>
        <v>KRITISCH</v>
      </c>
    </row>
    <row r="49" customFormat="false" ht="19.5" hidden="false" customHeight="true" outlineLevel="0" collapsed="false">
      <c r="B49" s="23" t="s">
        <v>183</v>
      </c>
      <c r="C49" s="22"/>
      <c r="D49" s="22"/>
      <c r="E49" s="22"/>
      <c r="F49" s="22"/>
      <c r="G49" s="24" t="n">
        <f aca="false">SUM(G29:G48)</f>
        <v>22845</v>
      </c>
      <c r="H49" s="24" t="n">
        <f aca="false">SUM(H29:H48)</f>
        <v>3052</v>
      </c>
      <c r="I49" s="24" t="n">
        <f aca="false">SUM(I29:I48)</f>
        <v>19793</v>
      </c>
      <c r="J49" s="22"/>
      <c r="K49" s="22"/>
      <c r="L49" s="22"/>
      <c r="M49" s="22"/>
      <c r="N49" s="22"/>
      <c r="O49" s="64" t="n">
        <f aca="false">SUM(O29:O48)</f>
        <v>5357.89</v>
      </c>
      <c r="P49" s="65" t="n">
        <f aca="false">IFERROR(AVERAGEIFS(P29:P48,P29:P48,"&gt;0"),0)</f>
        <v>38.3565674603175</v>
      </c>
      <c r="Q49" s="22"/>
    </row>
    <row r="51" customFormat="false" ht="15" hidden="false" customHeight="false" outlineLevel="0" collapsed="false">
      <c r="B51" s="6" t="s">
        <v>184</v>
      </c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</row>
    <row r="52" customFormat="false" ht="6" hidden="false" customHeight="true" outlineLevel="0" collapsed="false"/>
    <row r="53" customFormat="false" ht="24" hidden="false" customHeight="true" outlineLevel="0" collapsed="false">
      <c r="B53" s="66" t="s">
        <v>102</v>
      </c>
      <c r="C53" s="66" t="s">
        <v>185</v>
      </c>
      <c r="D53" s="66" t="s">
        <v>106</v>
      </c>
      <c r="E53" s="66" t="s">
        <v>96</v>
      </c>
      <c r="F53" s="66" t="s">
        <v>186</v>
      </c>
    </row>
    <row r="54" customFormat="false" ht="15" hidden="false" customHeight="false" outlineLevel="0" collapsed="false">
      <c r="B54" s="60" t="s">
        <v>116</v>
      </c>
      <c r="C54" s="67" t="n">
        <f aca="false">COUNTIF(D29:D48,B54)</f>
        <v>4</v>
      </c>
      <c r="D54" s="68" t="n">
        <f aca="false">SUMIF(D29:D48,B54,I29:I48)</f>
        <v>10025</v>
      </c>
      <c r="E54" s="69" t="n">
        <f aca="false">SUMIF(D29:D48,B54,O29:O48)</f>
        <v>1062.6</v>
      </c>
      <c r="F54" s="70" t="n">
        <f aca="false">IFERROR(E54/SUM(E$54:E$61),0)</f>
        <v>0.19832434036533</v>
      </c>
    </row>
    <row r="55" customFormat="false" ht="15" hidden="false" customHeight="false" outlineLevel="0" collapsed="false">
      <c r="B55" s="60" t="s">
        <v>130</v>
      </c>
      <c r="C55" s="67" t="n">
        <f aca="false">COUNTIF(D29:D48,B55)</f>
        <v>2</v>
      </c>
      <c r="D55" s="68" t="n">
        <f aca="false">SUMIF(D29:D48,B55,I29:I48)</f>
        <v>362</v>
      </c>
      <c r="E55" s="69" t="n">
        <f aca="false">SUMIF(D29:D48,B55,O29:O48)</f>
        <v>306.09</v>
      </c>
      <c r="F55" s="70" t="n">
        <f aca="false">IFERROR(E55/SUM(E$54:E$61),0)</f>
        <v>0.0571288324321701</v>
      </c>
    </row>
    <row r="56" customFormat="false" ht="15" hidden="false" customHeight="false" outlineLevel="0" collapsed="false">
      <c r="B56" s="60" t="s">
        <v>137</v>
      </c>
      <c r="C56" s="67" t="n">
        <f aca="false">COUNTIF(D29:D48,B56)</f>
        <v>3</v>
      </c>
      <c r="D56" s="68" t="n">
        <f aca="false">SUMIF(D29:D48,B56,I29:I48)</f>
        <v>341</v>
      </c>
      <c r="E56" s="69" t="n">
        <f aca="false">SUMIF(D29:D48,B56,O29:O48)</f>
        <v>1472.4</v>
      </c>
      <c r="F56" s="70" t="n">
        <f aca="false">IFERROR(E56/SUM(E$54:E$61),0)</f>
        <v>0.27480967321091</v>
      </c>
    </row>
    <row r="57" customFormat="false" ht="15" hidden="false" customHeight="false" outlineLevel="0" collapsed="false">
      <c r="B57" s="60" t="s">
        <v>146</v>
      </c>
      <c r="C57" s="67" t="n">
        <f aca="false">COUNTIF(D29:D48,B57)</f>
        <v>3</v>
      </c>
      <c r="D57" s="68" t="n">
        <f aca="false">SUMIF(D29:D48,B57,I29:I48)</f>
        <v>8115</v>
      </c>
      <c r="E57" s="69" t="n">
        <f aca="false">SUMIF(D29:D48,B57,O29:O48)</f>
        <v>630.4</v>
      </c>
      <c r="F57" s="70" t="n">
        <f aca="false">IFERROR(E57/SUM(E$54:E$61),0)</f>
        <v>0.117658257261721</v>
      </c>
    </row>
    <row r="58" customFormat="false" ht="15" hidden="false" customHeight="false" outlineLevel="0" collapsed="false">
      <c r="B58" s="60" t="s">
        <v>157</v>
      </c>
      <c r="C58" s="67" t="n">
        <f aca="false">COUNTIF(D29:D48,B58)</f>
        <v>2</v>
      </c>
      <c r="D58" s="68" t="n">
        <f aca="false">SUMIF(D29:D48,B58,I29:I48)</f>
        <v>74</v>
      </c>
      <c r="E58" s="69" t="n">
        <f aca="false">SUMIF(D29:D48,B58,O29:O48)</f>
        <v>456.2</v>
      </c>
      <c r="F58" s="70" t="n">
        <f aca="false">IFERROR(E58/SUM(E$54:E$61),0)</f>
        <v>0.0851454583800713</v>
      </c>
    </row>
    <row r="59" customFormat="false" ht="15" hidden="false" customHeight="false" outlineLevel="0" collapsed="false">
      <c r="B59" s="60" t="s">
        <v>165</v>
      </c>
      <c r="C59" s="67" t="n">
        <f aca="false">COUNTIF(D29:D48,B59)</f>
        <v>2</v>
      </c>
      <c r="D59" s="68" t="n">
        <f aca="false">SUMIF(D29:D48,B59,I29:I48)</f>
        <v>244</v>
      </c>
      <c r="E59" s="69" t="n">
        <f aca="false">SUMIF(D29:D48,B59,O29:O48)</f>
        <v>470.3</v>
      </c>
      <c r="F59" s="70" t="n">
        <f aca="false">IFERROR(E59/SUM(E$54:E$61),0)</f>
        <v>0.0877770913549924</v>
      </c>
    </row>
    <row r="60" customFormat="false" ht="15" hidden="false" customHeight="false" outlineLevel="0" collapsed="false">
      <c r="B60" s="60" t="s">
        <v>171</v>
      </c>
      <c r="C60" s="67" t="n">
        <f aca="false">COUNTIF(D29:D48,B60)</f>
        <v>2</v>
      </c>
      <c r="D60" s="68" t="n">
        <f aca="false">SUMIF(D29:D48,B60,I29:I48)</f>
        <v>590</v>
      </c>
      <c r="E60" s="69" t="n">
        <f aca="false">SUMIF(D29:D48,B60,O29:O48)</f>
        <v>231.2</v>
      </c>
      <c r="F60" s="70" t="n">
        <f aca="false">IFERROR(E60/SUM(E$54:E$61),0)</f>
        <v>0.0431513151632452</v>
      </c>
    </row>
    <row r="61" customFormat="false" ht="15" hidden="false" customHeight="false" outlineLevel="0" collapsed="false">
      <c r="B61" s="60" t="s">
        <v>178</v>
      </c>
      <c r="C61" s="67" t="n">
        <f aca="false">COUNTIF(D29:D48,B61)</f>
        <v>2</v>
      </c>
      <c r="D61" s="68" t="n">
        <f aca="false">SUMIF(D29:D48,B61,I29:I48)</f>
        <v>42</v>
      </c>
      <c r="E61" s="69" t="n">
        <f aca="false">SUMIF(D29:D48,B61,O29:O48)</f>
        <v>728.7</v>
      </c>
      <c r="F61" s="70" t="n">
        <f aca="false">IFERROR(E61/SUM(E$54:E$61),0)</f>
        <v>0.136005031831561</v>
      </c>
    </row>
    <row r="62" customFormat="false" ht="15" hidden="false" customHeight="false" outlineLevel="0" collapsed="false">
      <c r="B62" s="23" t="s">
        <v>36</v>
      </c>
      <c r="C62" s="71" t="n">
        <f aca="false">SUM(C54:C61)</f>
        <v>20</v>
      </c>
      <c r="D62" s="24" t="n">
        <f aca="false">SUM(D54:D61)</f>
        <v>19793</v>
      </c>
      <c r="E62" s="64" t="n">
        <f aca="false">SUM(E54:E61)</f>
        <v>5357.89</v>
      </c>
      <c r="F62" s="72" t="n">
        <f aca="false">SUM(F54:F61)</f>
        <v>1</v>
      </c>
    </row>
    <row r="69" customFormat="false" ht="15" hidden="false" customHeight="false" outlineLevel="0" collapsed="false">
      <c r="B69" s="6" t="s">
        <v>187</v>
      </c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</row>
    <row r="70" customFormat="false" ht="6" hidden="false" customHeight="true" outlineLevel="0" collapsed="false"/>
    <row r="71" customFormat="false" ht="19.5" hidden="false" customHeight="true" outlineLevel="0" collapsed="false">
      <c r="B71" s="73" t="s">
        <v>188</v>
      </c>
      <c r="C71" s="73"/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73"/>
      <c r="O71" s="73"/>
      <c r="P71" s="73"/>
      <c r="Q71" s="73"/>
    </row>
    <row r="72" customFormat="false" ht="19.5" hidden="false" customHeight="true" outlineLevel="0" collapsed="false">
      <c r="B72" s="73" t="s">
        <v>189</v>
      </c>
      <c r="C72" s="73"/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73"/>
      <c r="O72" s="73"/>
      <c r="P72" s="73"/>
      <c r="Q72" s="73"/>
    </row>
    <row r="73" customFormat="false" ht="19.5" hidden="false" customHeight="true" outlineLevel="0" collapsed="false">
      <c r="B73" s="73" t="s">
        <v>190</v>
      </c>
      <c r="C73" s="73"/>
      <c r="D73" s="73"/>
      <c r="E73" s="73"/>
      <c r="F73" s="73"/>
      <c r="G73" s="73"/>
      <c r="H73" s="73"/>
      <c r="I73" s="73"/>
      <c r="J73" s="73"/>
      <c r="K73" s="73"/>
      <c r="L73" s="73"/>
      <c r="M73" s="73"/>
      <c r="N73" s="73"/>
      <c r="O73" s="73"/>
      <c r="P73" s="73"/>
      <c r="Q73" s="73"/>
    </row>
    <row r="74" customFormat="false" ht="19.5" hidden="false" customHeight="true" outlineLevel="0" collapsed="false">
      <c r="B74" s="73" t="s">
        <v>191</v>
      </c>
      <c r="C74" s="73"/>
      <c r="D74" s="73"/>
      <c r="E74" s="73"/>
      <c r="F74" s="73"/>
      <c r="G74" s="73"/>
      <c r="H74" s="73"/>
      <c r="I74" s="73"/>
      <c r="J74" s="73"/>
      <c r="K74" s="73"/>
      <c r="L74" s="73"/>
      <c r="M74" s="73"/>
      <c r="N74" s="73"/>
      <c r="O74" s="73"/>
      <c r="P74" s="73"/>
      <c r="Q74" s="73"/>
    </row>
    <row r="75" customFormat="false" ht="19.5" hidden="false" customHeight="true" outlineLevel="0" collapsed="false">
      <c r="B75" s="73" t="s">
        <v>192</v>
      </c>
      <c r="C75" s="73"/>
      <c r="D75" s="73"/>
      <c r="E75" s="73"/>
      <c r="F75" s="73"/>
      <c r="G75" s="73"/>
      <c r="H75" s="73"/>
      <c r="I75" s="73"/>
      <c r="J75" s="73"/>
      <c r="K75" s="73"/>
      <c r="L75" s="73"/>
      <c r="M75" s="73"/>
      <c r="N75" s="73"/>
      <c r="O75" s="73"/>
      <c r="P75" s="73"/>
      <c r="Q75" s="73"/>
    </row>
    <row r="76" customFormat="false" ht="19.5" hidden="false" customHeight="true" outlineLevel="0" collapsed="false">
      <c r="B76" s="73" t="s">
        <v>193</v>
      </c>
      <c r="C76" s="73"/>
      <c r="D76" s="73"/>
      <c r="E76" s="73"/>
      <c r="F76" s="73"/>
      <c r="G76" s="73"/>
      <c r="H76" s="73"/>
      <c r="I76" s="73"/>
      <c r="J76" s="73"/>
      <c r="K76" s="73"/>
      <c r="L76" s="73"/>
      <c r="M76" s="73"/>
      <c r="N76" s="73"/>
      <c r="O76" s="73"/>
      <c r="P76" s="73"/>
      <c r="Q76" s="73"/>
    </row>
    <row r="78" customFormat="false" ht="15" hidden="false" customHeight="false" outlineLevel="0" collapsed="false">
      <c r="B78" s="33" t="s">
        <v>194</v>
      </c>
    </row>
    <row r="79" customFormat="false" ht="15" hidden="false" customHeight="false" outlineLevel="0" collapsed="false">
      <c r="B79" s="74"/>
      <c r="C79" s="75" t="s">
        <v>195</v>
      </c>
      <c r="D79" s="75"/>
      <c r="E79" s="75"/>
      <c r="F79" s="75"/>
      <c r="G79" s="75"/>
      <c r="H79" s="75"/>
    </row>
    <row r="80" customFormat="false" ht="15" hidden="false" customHeight="false" outlineLevel="0" collapsed="false">
      <c r="B80" s="76"/>
      <c r="C80" s="75" t="s">
        <v>196</v>
      </c>
      <c r="D80" s="75"/>
      <c r="E80" s="75"/>
      <c r="F80" s="75"/>
      <c r="G80" s="75"/>
      <c r="H80" s="75"/>
    </row>
    <row r="81" customFormat="false" ht="15" hidden="false" customHeight="false" outlineLevel="0" collapsed="false">
      <c r="B81" s="77"/>
      <c r="C81" s="75" t="s">
        <v>197</v>
      </c>
      <c r="D81" s="75"/>
      <c r="E81" s="75"/>
      <c r="F81" s="75"/>
      <c r="G81" s="75"/>
      <c r="H81" s="75"/>
    </row>
    <row r="82" customFormat="false" ht="15" hidden="false" customHeight="false" outlineLevel="0" collapsed="false">
      <c r="B82" s="78"/>
      <c r="C82" s="75" t="s">
        <v>198</v>
      </c>
      <c r="D82" s="75"/>
      <c r="E82" s="75"/>
      <c r="F82" s="75"/>
      <c r="G82" s="75"/>
      <c r="H82" s="75"/>
    </row>
    <row r="83" customFormat="false" ht="15" hidden="false" customHeight="false" outlineLevel="0" collapsed="false">
      <c r="B83" s="79"/>
      <c r="C83" s="75" t="s">
        <v>199</v>
      </c>
      <c r="D83" s="75"/>
      <c r="E83" s="75"/>
      <c r="F83" s="75"/>
      <c r="G83" s="75"/>
      <c r="H83" s="75"/>
    </row>
    <row r="85" customFormat="false" ht="24" hidden="false" customHeight="true" outlineLevel="0" collapsed="false">
      <c r="B85" s="31" t="s">
        <v>200</v>
      </c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</row>
  </sheetData>
  <autoFilter ref="B28:Q48"/>
  <mergeCells count="31">
    <mergeCell ref="B2:H3"/>
    <mergeCell ref="I2:Q3"/>
    <mergeCell ref="B6:Q6"/>
    <mergeCell ref="B16:Q16"/>
    <mergeCell ref="B18:F18"/>
    <mergeCell ref="G18:K18"/>
    <mergeCell ref="L18:P18"/>
    <mergeCell ref="B19:F19"/>
    <mergeCell ref="G19:K19"/>
    <mergeCell ref="L19:P19"/>
    <mergeCell ref="B22:F22"/>
    <mergeCell ref="G22:K22"/>
    <mergeCell ref="L22:P22"/>
    <mergeCell ref="B23:F23"/>
    <mergeCell ref="G23:K23"/>
    <mergeCell ref="L23:P23"/>
    <mergeCell ref="B26:Q26"/>
    <mergeCell ref="B51:Q51"/>
    <mergeCell ref="B69:Q69"/>
    <mergeCell ref="B71:Q71"/>
    <mergeCell ref="B72:Q72"/>
    <mergeCell ref="B73:Q73"/>
    <mergeCell ref="B74:Q74"/>
    <mergeCell ref="B75:Q75"/>
    <mergeCell ref="B76:Q76"/>
    <mergeCell ref="C79:H79"/>
    <mergeCell ref="C80:H80"/>
    <mergeCell ref="C81:H81"/>
    <mergeCell ref="C82:H82"/>
    <mergeCell ref="C83:H83"/>
    <mergeCell ref="B85:Q85"/>
  </mergeCells>
  <conditionalFormatting sqref="Q29:Q48">
    <cfRule type="cellIs" priority="2" operator="equal" aboveAverage="0" equalAverage="0" bottom="0" percent="0" rank="0" text="" dxfId="15">
      <formula>"OK"</formula>
    </cfRule>
    <cfRule type="cellIs" priority="3" operator="equal" aboveAverage="0" equalAverage="0" bottom="0" percent="0" rank="0" text="" dxfId="16">
      <formula>"NACHBESTELLEN"</formula>
    </cfRule>
    <cfRule type="cellIs" priority="4" operator="equal" aboveAverage="0" equalAverage="0" bottom="0" percent="0" rank="0" text="" dxfId="17">
      <formula>"KRITISCH"</formula>
    </cfRule>
  </conditionalFormatting>
  <conditionalFormatting sqref="I29:I48">
    <cfRule type="dataBar" priority="5">
      <dataBar showValue="1" minLength="10" maxLength="90">
        <cfvo type="min" val="0"/>
        <cfvo type="max" val="0"/>
        <color rgb="FF435568"/>
      </dataBar>
      <extLst>
        <ext xmlns:x14="http://schemas.microsoft.com/office/spreadsheetml/2009/9/main" uri="{B025F937-C7B1-47D3-B67F-A62EFF666E3E}">
          <x14:id>{A8904F63-4E80-4ACE-B41A-778FDD894830}</x14:id>
        </ext>
      </extLst>
    </cfRule>
  </conditionalFormatting>
  <conditionalFormatting sqref="P29:P48">
    <cfRule type="cellIs" priority="6" operator="lessThan" aboveAverage="0" equalAverage="0" bottom="0" percent="0" rank="0" text="" dxfId="0">
      <formula>7</formula>
    </cfRule>
  </conditionalFormatting>
  <conditionalFormatting sqref="E54:E61">
    <cfRule type="dataBar" priority="7">
      <dataBar showValue="1" minLength="10" maxLength="90">
        <cfvo type="min" val="0"/>
        <cfvo type="max" val="0"/>
        <color rgb="FFB04A2E"/>
      </dataBar>
      <extLst>
        <ext xmlns:x14="http://schemas.microsoft.com/office/spreadsheetml/2009/9/main" uri="{B025F937-C7B1-47D3-B67F-A62EFF666E3E}">
          <x14:id>{468A8933-12C0-4EF5-82C0-16F8F6C02286}</x14:id>
        </ext>
      </extLst>
    </cfRule>
  </conditionalFormatting>
  <printOptions headings="false" gridLines="false" gridLinesSet="true" horizontalCentered="true" verticalCentered="false"/>
  <pageMargins left="0.4" right="0.4" top="0.4" bottom="0.4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8904F63-4E80-4ACE-B41A-778FDD894830}">
            <x14:dataBar minLength="10" maxLength="90" axisPosition="none" gradient="true">
              <x14:cfvo type="min"/>
              <x14:cfvo type="max"/>
              <x14:negativeFillColor rgb="FF435568"/>
              <x14:axisColor rgb="FF000000"/>
            </x14:dataBar>
          </x14:cfRule>
          <xm:sqref>I29:I48</xm:sqref>
        </x14:conditionalFormatting>
        <x14:conditionalFormatting xmlns:xm="http://schemas.microsoft.com/office/excel/2006/main">
          <x14:cfRule type="dataBar" id="{468A8933-12C0-4EF5-82C0-16F8F6C02286}">
            <x14:dataBar minLength="10" maxLength="90" axisPosition="none" gradient="true">
              <x14:cfvo type="min"/>
              <x14:cfvo type="max"/>
              <x14:negativeFillColor rgb="FFB04A2E"/>
              <x14:axisColor rgb="FF000000"/>
            </x14:dataBar>
          </x14:cfRule>
          <xm:sqref>E54:E61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Q6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13" topLeftCell="B14" activePane="bottomRight" state="frozen"/>
      <selection pane="topLeft" activeCell="A1" activeCellId="0" sqref="A1"/>
      <selection pane="topRight" activeCell="B1" activeCellId="0" sqref="B1"/>
      <selection pane="bottomLeft" activeCell="A14" activeCellId="0" sqref="A14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"/>
    <col collapsed="false" customWidth="true" hidden="false" outlineLevel="0" max="2" min="2" style="0" width="5"/>
    <col collapsed="false" customWidth="true" hidden="false" outlineLevel="0" max="3" min="3" style="0" width="12"/>
    <col collapsed="false" customWidth="true" hidden="false" outlineLevel="0" max="5" min="4" style="0" width="14"/>
    <col collapsed="false" customWidth="true" hidden="false" outlineLevel="0" max="6" min="6" style="0" width="30"/>
    <col collapsed="false" customWidth="true" hidden="false" outlineLevel="0" max="7" min="7" style="0" width="8"/>
    <col collapsed="false" customWidth="true" hidden="false" outlineLevel="0" max="9" min="8" style="0" width="9"/>
    <col collapsed="false" customWidth="true" hidden="false" outlineLevel="0" max="10" min="10" style="0" width="10"/>
    <col collapsed="false" customWidth="true" hidden="false" outlineLevel="0" max="11" min="11" style="0" width="20"/>
    <col collapsed="false" customWidth="true" hidden="false" outlineLevel="0" max="12" min="12" style="0" width="16"/>
    <col collapsed="false" customWidth="true" hidden="false" outlineLevel="0" max="13" min="13" style="0" width="18"/>
    <col collapsed="false" customWidth="true" hidden="false" outlineLevel="0" max="14" min="14" style="0" width="14"/>
    <col collapsed="false" customWidth="true" hidden="false" outlineLevel="0" max="15" min="15" style="0" width="16"/>
    <col collapsed="false" customWidth="true" hidden="false" outlineLevel="0" max="16" min="16" style="0" width="22"/>
    <col collapsed="false" customWidth="true" hidden="false" outlineLevel="0" max="17" min="17" style="0" width="2"/>
  </cols>
  <sheetData>
    <row r="1" customFormat="false" ht="7.5" hidden="false" customHeight="true" outlineLevel="0" collapsed="false"/>
    <row r="2" customFormat="false" ht="27.75" hidden="false" customHeight="true" outlineLevel="0" collapsed="false">
      <c r="B2" s="1" t="s">
        <v>201</v>
      </c>
      <c r="C2" s="1"/>
      <c r="D2" s="1"/>
      <c r="E2" s="1"/>
      <c r="F2" s="1"/>
      <c r="G2" s="1"/>
      <c r="H2" s="1"/>
      <c r="I2" s="2" t="s">
        <v>202</v>
      </c>
      <c r="J2" s="2"/>
      <c r="K2" s="2"/>
      <c r="L2" s="2"/>
      <c r="M2" s="2"/>
      <c r="N2" s="2"/>
      <c r="O2" s="2"/>
      <c r="P2" s="2"/>
    </row>
    <row r="3" customFormat="false" ht="19.5" hidden="false" customHeight="true" outlineLevel="0" collapsed="false">
      <c r="B3" s="1"/>
      <c r="C3" s="1"/>
      <c r="D3" s="1"/>
      <c r="E3" s="1"/>
      <c r="F3" s="1"/>
      <c r="G3" s="1"/>
      <c r="H3" s="1"/>
      <c r="I3" s="2"/>
      <c r="J3" s="2"/>
      <c r="K3" s="2"/>
      <c r="L3" s="2"/>
      <c r="M3" s="2"/>
      <c r="N3" s="2"/>
      <c r="O3" s="2"/>
      <c r="P3" s="2"/>
    </row>
    <row r="4" customFormat="false" ht="3.75" hidden="false" customHeight="true" outlineLevel="0" collapsed="false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customFormat="false" ht="7.5" hidden="false" customHeight="true" outlineLevel="0" collapsed="false"/>
    <row r="6" customFormat="false" ht="15" hidden="false" customHeight="false" outlineLevel="0" collapsed="false">
      <c r="B6" s="6" t="s">
        <v>203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customFormat="false" ht="6" hidden="false" customHeight="true" outlineLevel="0" collapsed="false"/>
    <row r="8" customFormat="false" ht="15.75" hidden="false" customHeight="true" outlineLevel="0" collapsed="false">
      <c r="B8" s="36" t="s">
        <v>204</v>
      </c>
      <c r="C8" s="36"/>
      <c r="D8" s="36"/>
      <c r="E8" s="44" t="s">
        <v>205</v>
      </c>
      <c r="F8" s="44"/>
      <c r="G8" s="44"/>
      <c r="H8" s="37" t="s">
        <v>206</v>
      </c>
      <c r="I8" s="37"/>
      <c r="J8" s="37"/>
      <c r="K8" s="38" t="s">
        <v>207</v>
      </c>
      <c r="L8" s="38"/>
      <c r="M8" s="38"/>
      <c r="N8" s="43" t="s">
        <v>208</v>
      </c>
      <c r="O8" s="43"/>
      <c r="P8" s="43"/>
    </row>
    <row r="9" customFormat="false" ht="27.75" hidden="false" customHeight="true" outlineLevel="0" collapsed="false">
      <c r="B9" s="80" t="n">
        <f aca="false">SUMPRODUCT((D14:D63&lt;&gt;"")/COUNTIF(D14:D63,D14:D63&amp;""))</f>
        <v>16</v>
      </c>
      <c r="C9" s="80"/>
      <c r="D9" s="80"/>
      <c r="E9" s="81" t="n">
        <f aca="false">COUNTA(E14:E63)</f>
        <v>32</v>
      </c>
      <c r="F9" s="81"/>
      <c r="G9" s="81"/>
      <c r="H9" s="82" t="n">
        <f aca="false">SUM(I14:I63)</f>
        <v>3118</v>
      </c>
      <c r="I9" s="82"/>
      <c r="J9" s="82"/>
      <c r="K9" s="83" t="n">
        <f aca="false">SUMPRODUCT(--(J14:J63&lt;0))</f>
        <v>4</v>
      </c>
      <c r="L9" s="83"/>
      <c r="M9" s="83"/>
      <c r="N9" s="84" t="n">
        <f aca="false">SUM(N14:N63)</f>
        <v>1498.41</v>
      </c>
      <c r="O9" s="84"/>
      <c r="P9" s="84"/>
    </row>
    <row r="10" customFormat="false" ht="7.5" hidden="false" customHeight="true" outlineLevel="0" collapsed="false"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</row>
    <row r="12" customFormat="false" ht="15" hidden="false" customHeight="false" outlineLevel="0" collapsed="false">
      <c r="B12" s="6" t="s">
        <v>209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customFormat="false" ht="30" hidden="false" customHeight="true" outlineLevel="0" collapsed="false">
      <c r="B13" s="11" t="s">
        <v>210</v>
      </c>
      <c r="C13" s="11" t="s">
        <v>5</v>
      </c>
      <c r="D13" s="11" t="s">
        <v>3</v>
      </c>
      <c r="E13" s="11" t="s">
        <v>21</v>
      </c>
      <c r="F13" s="11" t="s">
        <v>22</v>
      </c>
      <c r="G13" s="11" t="s">
        <v>23</v>
      </c>
      <c r="H13" s="11" t="s">
        <v>24</v>
      </c>
      <c r="I13" s="11" t="s">
        <v>25</v>
      </c>
      <c r="J13" s="11" t="s">
        <v>26</v>
      </c>
      <c r="K13" s="11" t="s">
        <v>8</v>
      </c>
      <c r="L13" s="11" t="s">
        <v>211</v>
      </c>
      <c r="M13" s="11" t="s">
        <v>10</v>
      </c>
      <c r="N13" s="11" t="s">
        <v>111</v>
      </c>
      <c r="O13" s="11" t="s">
        <v>212</v>
      </c>
      <c r="P13" s="11" t="s">
        <v>114</v>
      </c>
      <c r="Q13" s="11" t="s">
        <v>28</v>
      </c>
    </row>
    <row r="14" customFormat="false" ht="15.75" hidden="false" customHeight="true" outlineLevel="0" collapsed="false">
      <c r="B14" s="85" t="n">
        <f aca="false">IF(C14&lt;&gt;"",1,"")</f>
        <v>1</v>
      </c>
      <c r="C14" s="86" t="n">
        <v>46030</v>
      </c>
      <c r="D14" s="87" t="s">
        <v>213</v>
      </c>
      <c r="E14" s="13" t="s">
        <v>33</v>
      </c>
      <c r="F14" s="14" t="str">
        <f aca="false">IFERROR(VLOOKUP(E14,'Artikelstamm &amp; Auswertung'!B:E,2,FALSE()),"")</f>
        <v>Sechskantschraube M8 × 40 verzinkt</v>
      </c>
      <c r="G14" s="15" t="str">
        <f aca="false">IFERROR(VLOOKUP(E14,'Artikelstamm &amp; Auswertung'!B:E,4,FALSE()),"")</f>
        <v>Stk.</v>
      </c>
      <c r="H14" s="16" t="n">
        <v>250</v>
      </c>
      <c r="I14" s="17" t="n">
        <v>248</v>
      </c>
      <c r="J14" s="18" t="n">
        <f aca="false">IF(H14="","",I14-H14)</f>
        <v>-2</v>
      </c>
      <c r="K14" s="88" t="s">
        <v>54</v>
      </c>
      <c r="L14" s="89" t="s">
        <v>214</v>
      </c>
      <c r="M14" s="57" t="n">
        <f aca="false">IFERROR(VLOOKUP(E14,'Artikelstamm &amp; Auswertung'!B:N,13,FALSE()),0)</f>
        <v>0.14</v>
      </c>
      <c r="N14" s="57" t="n">
        <f aca="false">IF(I14="","",I14*M14)</f>
        <v>34.72</v>
      </c>
      <c r="O14" s="90" t="s">
        <v>62</v>
      </c>
      <c r="P14" s="20"/>
    </row>
    <row r="15" customFormat="false" ht="15.75" hidden="false" customHeight="true" outlineLevel="0" collapsed="false">
      <c r="B15" s="85" t="n">
        <f aca="false">IF(C15&lt;&gt;"",MAX(B$14:B14)+1,"")</f>
        <v>2</v>
      </c>
      <c r="C15" s="86" t="n">
        <v>46030</v>
      </c>
      <c r="D15" s="87" t="s">
        <v>213</v>
      </c>
      <c r="E15" s="13" t="s">
        <v>122</v>
      </c>
      <c r="F15" s="14" t="str">
        <f aca="false">IFERROR(VLOOKUP(E15,'Artikelstamm &amp; Auswertung'!B:E,2,FALSE()),"")</f>
        <v>Unterlegscheibe DIN 125 M8 verzinkt</v>
      </c>
      <c r="G15" s="15" t="str">
        <f aca="false">IFERROR(VLOOKUP(E15,'Artikelstamm &amp; Auswertung'!B:E,4,FALSE()),"")</f>
        <v>Stk.</v>
      </c>
      <c r="H15" s="16" t="n">
        <v>500</v>
      </c>
      <c r="I15" s="17" t="n">
        <v>500</v>
      </c>
      <c r="J15" s="18" t="n">
        <f aca="false">IF(H15="","",I15-H15)</f>
        <v>0</v>
      </c>
      <c r="K15" s="88" t="s">
        <v>54</v>
      </c>
      <c r="L15" s="89" t="s">
        <v>214</v>
      </c>
      <c r="M15" s="57" t="n">
        <f aca="false">IFERROR(VLOOKUP(E15,'Artikelstamm &amp; Auswertung'!B:N,13,FALSE()),0)</f>
        <v>0.03</v>
      </c>
      <c r="N15" s="57" t="n">
        <f aca="false">IF(I15="","",I15*M15)</f>
        <v>15</v>
      </c>
      <c r="O15" s="90" t="s">
        <v>62</v>
      </c>
      <c r="P15" s="20"/>
    </row>
    <row r="16" customFormat="false" ht="15.75" hidden="false" customHeight="true" outlineLevel="0" collapsed="false">
      <c r="B16" s="85" t="n">
        <f aca="false">IF(C16&lt;&gt;"",MAX(B$14:B15)+1,"")</f>
        <v>3</v>
      </c>
      <c r="C16" s="86" t="n">
        <v>46034</v>
      </c>
      <c r="D16" s="87" t="s">
        <v>215</v>
      </c>
      <c r="E16" s="13" t="s">
        <v>135</v>
      </c>
      <c r="F16" s="14" t="str">
        <f aca="false">IFERROR(VLOOKUP(E16,'Artikelstamm &amp; Auswertung'!B:E,2,FALSE()),"")</f>
        <v>Hydrauliköl HLP 46</v>
      </c>
      <c r="G16" s="15" t="str">
        <f aca="false">IFERROR(VLOOKUP(E16,'Artikelstamm &amp; Auswertung'!B:E,4,FALSE()),"")</f>
        <v>Liter</v>
      </c>
      <c r="H16" s="16" t="n">
        <v>30</v>
      </c>
      <c r="I16" s="17" t="n">
        <v>30</v>
      </c>
      <c r="J16" s="18" t="n">
        <f aca="false">IF(H16="","",I16-H16)</f>
        <v>0</v>
      </c>
      <c r="K16" s="88" t="s">
        <v>60</v>
      </c>
      <c r="L16" s="89" t="s">
        <v>216</v>
      </c>
      <c r="M16" s="57" t="n">
        <f aca="false">IFERROR(VLOOKUP(E16,'Artikelstamm &amp; Auswertung'!B:N,13,FALSE()),0)</f>
        <v>4.3</v>
      </c>
      <c r="N16" s="57" t="n">
        <f aca="false">IF(I16="","",I16*M16)</f>
        <v>129</v>
      </c>
      <c r="O16" s="90" t="s">
        <v>62</v>
      </c>
      <c r="P16" s="20" t="s">
        <v>217</v>
      </c>
    </row>
    <row r="17" customFormat="false" ht="15.75" hidden="false" customHeight="true" outlineLevel="0" collapsed="false">
      <c r="B17" s="85" t="n">
        <f aca="false">IF(C17&lt;&gt;"",MAX(B$14:B16)+1,"")</f>
        <v>4</v>
      </c>
      <c r="C17" s="86" t="n">
        <v>46034</v>
      </c>
      <c r="D17" s="87" t="s">
        <v>215</v>
      </c>
      <c r="E17" s="13" t="s">
        <v>35</v>
      </c>
      <c r="F17" s="14" t="str">
        <f aca="false">IFERROR(VLOOKUP(E17,'Artikelstamm &amp; Auswertung'!B:E,2,FALSE()),"")</f>
        <v>Universalfett Lithium 400 g</v>
      </c>
      <c r="G17" s="15" t="str">
        <f aca="false">IFERROR(VLOOKUP(E17,'Artikelstamm &amp; Auswertung'!B:E,4,FALSE()),"")</f>
        <v>Stk.</v>
      </c>
      <c r="H17" s="16" t="n">
        <v>4</v>
      </c>
      <c r="I17" s="17" t="n">
        <v>4</v>
      </c>
      <c r="J17" s="18" t="n">
        <f aca="false">IF(H17="","",I17-H17)</f>
        <v>0</v>
      </c>
      <c r="K17" s="88" t="s">
        <v>60</v>
      </c>
      <c r="L17" s="89" t="s">
        <v>216</v>
      </c>
      <c r="M17" s="57" t="n">
        <f aca="false">IFERROR(VLOOKUP(E17,'Artikelstamm &amp; Auswertung'!B:N,13,FALSE()),0)</f>
        <v>3.9</v>
      </c>
      <c r="N17" s="57" t="n">
        <f aca="false">IF(I17="","",I17*M17)</f>
        <v>15.6</v>
      </c>
      <c r="O17" s="90" t="s">
        <v>62</v>
      </c>
      <c r="P17" s="20"/>
    </row>
    <row r="18" customFormat="false" ht="15.75" hidden="false" customHeight="true" outlineLevel="0" collapsed="false">
      <c r="B18" s="85" t="n">
        <f aca="false">IF(C18&lt;&gt;"",MAX(B$14:B17)+1,"")</f>
        <v>5</v>
      </c>
      <c r="C18" s="86" t="n">
        <v>46041</v>
      </c>
      <c r="D18" s="87" t="s">
        <v>218</v>
      </c>
      <c r="E18" s="13" t="s">
        <v>148</v>
      </c>
      <c r="F18" s="14" t="str">
        <f aca="false">IFERROR(VLOOKUP(E18,'Artikelstamm &amp; Auswertung'!B:E,2,FALSE()),"")</f>
        <v>Aderendhülse 1,5 mm² isoliert</v>
      </c>
      <c r="G18" s="15" t="str">
        <f aca="false">IFERROR(VLOOKUP(E18,'Artikelstamm &amp; Auswertung'!B:E,4,FALSE()),"")</f>
        <v>Stk.</v>
      </c>
      <c r="H18" s="16" t="n">
        <v>200</v>
      </c>
      <c r="I18" s="17" t="n">
        <v>195</v>
      </c>
      <c r="J18" s="18" t="n">
        <f aca="false">IF(H18="","",I18-H18)</f>
        <v>-5</v>
      </c>
      <c r="K18" s="88" t="s">
        <v>73</v>
      </c>
      <c r="L18" s="89" t="s">
        <v>219</v>
      </c>
      <c r="M18" s="57" t="n">
        <f aca="false">IFERROR(VLOOKUP(E18,'Artikelstamm &amp; Auswertung'!B:N,13,FALSE()),0)</f>
        <v>0.04</v>
      </c>
      <c r="N18" s="57" t="n">
        <f aca="false">IF(I18="","",I18*M18)</f>
        <v>7.8</v>
      </c>
      <c r="O18" s="90" t="s">
        <v>62</v>
      </c>
      <c r="P18" s="20" t="s">
        <v>220</v>
      </c>
    </row>
    <row r="19" customFormat="false" ht="15.75" hidden="false" customHeight="true" outlineLevel="0" collapsed="false">
      <c r="B19" s="85" t="n">
        <f aca="false">IF(C19&lt;&gt;"",MAX(B$14:B18)+1,"")</f>
        <v>6</v>
      </c>
      <c r="C19" s="86" t="n">
        <v>46041</v>
      </c>
      <c r="D19" s="87" t="s">
        <v>218</v>
      </c>
      <c r="E19" s="13" t="s">
        <v>151</v>
      </c>
      <c r="F19" s="14" t="str">
        <f aca="false">IFERROR(VLOOKUP(E19,'Artikelstamm &amp; Auswertung'!B:E,2,FALSE()),"")</f>
        <v>Litze H07V-K 2,5 mm² grün-gelb</v>
      </c>
      <c r="G19" s="15" t="str">
        <f aca="false">IFERROR(VLOOKUP(E19,'Artikelstamm &amp; Auswertung'!B:E,4,FALSE()),"")</f>
        <v>Meter</v>
      </c>
      <c r="H19" s="16" t="n">
        <v>60</v>
      </c>
      <c r="I19" s="17" t="n">
        <v>60</v>
      </c>
      <c r="J19" s="18" t="n">
        <f aca="false">IF(H19="","",I19-H19)</f>
        <v>0</v>
      </c>
      <c r="K19" s="88" t="s">
        <v>73</v>
      </c>
      <c r="L19" s="89" t="s">
        <v>219</v>
      </c>
      <c r="M19" s="57" t="n">
        <f aca="false">IFERROR(VLOOKUP(E19,'Artikelstamm &amp; Auswertung'!B:N,13,FALSE()),0)</f>
        <v>1.1</v>
      </c>
      <c r="N19" s="57" t="n">
        <f aca="false">IF(I19="","",I19*M19)</f>
        <v>66</v>
      </c>
      <c r="O19" s="90" t="s">
        <v>62</v>
      </c>
      <c r="P19" s="20"/>
    </row>
    <row r="20" customFormat="false" ht="15.75" hidden="false" customHeight="true" outlineLevel="0" collapsed="false">
      <c r="B20" s="85" t="n">
        <f aca="false">IF(C20&lt;&gt;"",MAX(B$14:B19)+1,"")</f>
        <v>7</v>
      </c>
      <c r="C20" s="86" t="n">
        <v>46056</v>
      </c>
      <c r="D20" s="87" t="s">
        <v>221</v>
      </c>
      <c r="E20" s="13" t="s">
        <v>128</v>
      </c>
      <c r="F20" s="14" t="str">
        <f aca="false">IFERROR(VLOOKUP(E20,'Artikelstamm &amp; Auswertung'!B:E,2,FALSE()),"")</f>
        <v>Dichtungsring FPM Ø 24 × 3</v>
      </c>
      <c r="G20" s="15" t="str">
        <f aca="false">IFERROR(VLOOKUP(E20,'Artikelstamm &amp; Auswertung'!B:E,4,FALSE()),"")</f>
        <v>Stk.</v>
      </c>
      <c r="H20" s="16" t="n">
        <v>80</v>
      </c>
      <c r="I20" s="17" t="n">
        <v>80</v>
      </c>
      <c r="J20" s="18" t="n">
        <f aca="false">IF(H20="","",I20-H20)</f>
        <v>0</v>
      </c>
      <c r="K20" s="88" t="s">
        <v>9</v>
      </c>
      <c r="L20" s="89" t="s">
        <v>222</v>
      </c>
      <c r="M20" s="57" t="n">
        <f aca="false">IFERROR(VLOOKUP(E20,'Artikelstamm &amp; Auswertung'!B:N,13,FALSE()),0)</f>
        <v>0.85</v>
      </c>
      <c r="N20" s="57" t="n">
        <f aca="false">IF(I20="","",I20*M20)</f>
        <v>68</v>
      </c>
      <c r="O20" s="90" t="s">
        <v>62</v>
      </c>
      <c r="P20" s="20"/>
    </row>
    <row r="21" customFormat="false" ht="15.75" hidden="false" customHeight="true" outlineLevel="0" collapsed="false">
      <c r="B21" s="85" t="n">
        <f aca="false">IF(C21&lt;&gt;"",MAX(B$14:B20)+1,"")</f>
        <v>8</v>
      </c>
      <c r="C21" s="86" t="n">
        <v>46056</v>
      </c>
      <c r="D21" s="87" t="s">
        <v>221</v>
      </c>
      <c r="E21" s="13" t="s">
        <v>132</v>
      </c>
      <c r="F21" s="14" t="str">
        <f aca="false">IFERROR(VLOOKUP(E21,'Artikelstamm &amp; Auswertung'!B:E,2,FALSE()),"")</f>
        <v>O-Ring NBR Ø 40 × 4</v>
      </c>
      <c r="G21" s="15" t="str">
        <f aca="false">IFERROR(VLOOKUP(E21,'Artikelstamm &amp; Auswertung'!B:E,4,FALSE()),"")</f>
        <v>Stk.</v>
      </c>
      <c r="H21" s="16" t="n">
        <v>40</v>
      </c>
      <c r="I21" s="17" t="n">
        <v>38</v>
      </c>
      <c r="J21" s="18" t="n">
        <f aca="false">IF(H21="","",I21-H21)</f>
        <v>-2</v>
      </c>
      <c r="K21" s="88" t="s">
        <v>9</v>
      </c>
      <c r="L21" s="89" t="s">
        <v>222</v>
      </c>
      <c r="M21" s="57" t="n">
        <f aca="false">IFERROR(VLOOKUP(E21,'Artikelstamm &amp; Auswertung'!B:N,13,FALSE()),0)</f>
        <v>0.62</v>
      </c>
      <c r="N21" s="57" t="n">
        <f aca="false">IF(I21="","",I21*M21)</f>
        <v>23.56</v>
      </c>
      <c r="O21" s="90" t="s">
        <v>62</v>
      </c>
      <c r="P21" s="20" t="s">
        <v>223</v>
      </c>
    </row>
    <row r="22" customFormat="false" ht="15.75" hidden="false" customHeight="true" outlineLevel="0" collapsed="false">
      <c r="B22" s="85" t="n">
        <f aca="false">IF(C22&lt;&gt;"",MAX(B$14:B21)+1,"")</f>
        <v>9</v>
      </c>
      <c r="C22" s="86" t="n">
        <v>46064</v>
      </c>
      <c r="D22" s="87" t="s">
        <v>224</v>
      </c>
      <c r="E22" s="13" t="s">
        <v>119</v>
      </c>
      <c r="F22" s="14" t="str">
        <f aca="false">IFERROR(VLOOKUP(E22,'Artikelstamm &amp; Auswertung'!B:E,2,FALSE()),"")</f>
        <v>Sechskantschraube M10 × 60 verzinkt</v>
      </c>
      <c r="G22" s="15" t="str">
        <f aca="false">IFERROR(VLOOKUP(E22,'Artikelstamm &amp; Auswertung'!B:E,4,FALSE()),"")</f>
        <v>Stk.</v>
      </c>
      <c r="H22" s="16" t="n">
        <v>100</v>
      </c>
      <c r="I22" s="17" t="n">
        <v>100</v>
      </c>
      <c r="J22" s="18" t="n">
        <f aca="false">IF(H22="","",I22-H22)</f>
        <v>0</v>
      </c>
      <c r="K22" s="88" t="s">
        <v>57</v>
      </c>
      <c r="L22" s="89" t="s">
        <v>225</v>
      </c>
      <c r="M22" s="57" t="n">
        <f aca="false">IFERROR(VLOOKUP(E22,'Artikelstamm &amp; Auswertung'!B:N,13,FALSE()),0)</f>
        <v>0.22</v>
      </c>
      <c r="N22" s="57" t="n">
        <f aca="false">IF(I22="","",I22*M22)</f>
        <v>22</v>
      </c>
      <c r="O22" s="90" t="s">
        <v>62</v>
      </c>
      <c r="P22" s="20"/>
    </row>
    <row r="23" customFormat="false" ht="15.75" hidden="false" customHeight="true" outlineLevel="0" collapsed="false">
      <c r="B23" s="85" t="n">
        <f aca="false">IF(C23&lt;&gt;"",MAX(B$14:B22)+1,"")</f>
        <v>10</v>
      </c>
      <c r="C23" s="86" t="n">
        <v>46064</v>
      </c>
      <c r="D23" s="87" t="s">
        <v>224</v>
      </c>
      <c r="E23" s="13" t="s">
        <v>125</v>
      </c>
      <c r="F23" s="14" t="str">
        <f aca="false">IFERROR(VLOOKUP(E23,'Artikelstamm &amp; Auswertung'!B:E,2,FALSE()),"")</f>
        <v>Blechschraube 4,2 × 25 Torx</v>
      </c>
      <c r="G23" s="15" t="str">
        <f aca="false">IFERROR(VLOOKUP(E23,'Artikelstamm &amp; Auswertung'!B:E,4,FALSE()),"")</f>
        <v>Stk.</v>
      </c>
      <c r="H23" s="16" t="n">
        <v>250</v>
      </c>
      <c r="I23" s="17" t="n">
        <v>250</v>
      </c>
      <c r="J23" s="18" t="n">
        <f aca="false">IF(H23="","",I23-H23)</f>
        <v>0</v>
      </c>
      <c r="K23" s="88" t="s">
        <v>57</v>
      </c>
      <c r="L23" s="89" t="s">
        <v>225</v>
      </c>
      <c r="M23" s="57" t="n">
        <f aca="false">IFERROR(VLOOKUP(E23,'Artikelstamm &amp; Auswertung'!B:N,13,FALSE()),0)</f>
        <v>0.09</v>
      </c>
      <c r="N23" s="57" t="n">
        <f aca="false">IF(I23="","",I23*M23)</f>
        <v>22.5</v>
      </c>
      <c r="O23" s="90" t="s">
        <v>62</v>
      </c>
      <c r="P23" s="20"/>
    </row>
    <row r="24" customFormat="false" ht="15.75" hidden="false" customHeight="true" outlineLevel="0" collapsed="false">
      <c r="B24" s="85" t="n">
        <f aca="false">IF(C24&lt;&gt;"",MAX(B$14:B23)+1,"")</f>
        <v>11</v>
      </c>
      <c r="C24" s="86" t="n">
        <v>46077</v>
      </c>
      <c r="D24" s="87" t="s">
        <v>226</v>
      </c>
      <c r="E24" s="13" t="s">
        <v>155</v>
      </c>
      <c r="F24" s="14" t="str">
        <f aca="false">IFERROR(VLOOKUP(E24,'Artikelstamm &amp; Auswertung'!B:E,2,FALSE()),"")</f>
        <v>Schweißdraht MAG G3Si1 Ø 1,0 mm</v>
      </c>
      <c r="G24" s="15" t="str">
        <f aca="false">IFERROR(VLOOKUP(E24,'Artikelstamm &amp; Auswertung'!B:E,4,FALSE()),"")</f>
        <v>kg</v>
      </c>
      <c r="H24" s="16" t="n">
        <v>12</v>
      </c>
      <c r="I24" s="17" t="n">
        <v>12</v>
      </c>
      <c r="J24" s="18" t="n">
        <f aca="false">IF(H24="","",I24-H24)</f>
        <v>0</v>
      </c>
      <c r="K24" s="88" t="s">
        <v>68</v>
      </c>
      <c r="L24" s="89" t="s">
        <v>227</v>
      </c>
      <c r="M24" s="57" t="n">
        <f aca="false">IFERROR(VLOOKUP(E24,'Artikelstamm &amp; Auswertung'!B:N,13,FALSE()),0)</f>
        <v>5.4</v>
      </c>
      <c r="N24" s="57" t="n">
        <f aca="false">IF(I24="","",I24*M24)</f>
        <v>64.8</v>
      </c>
      <c r="O24" s="90" t="s">
        <v>62</v>
      </c>
      <c r="P24" s="20"/>
    </row>
    <row r="25" customFormat="false" ht="15.75" hidden="false" customHeight="true" outlineLevel="0" collapsed="false">
      <c r="B25" s="85" t="n">
        <f aca="false">IF(C25&lt;&gt;"",MAX(B$14:B24)+1,"")</f>
        <v>12</v>
      </c>
      <c r="C25" s="86" t="n">
        <v>46077</v>
      </c>
      <c r="D25" s="87" t="s">
        <v>226</v>
      </c>
      <c r="E25" s="13" t="s">
        <v>163</v>
      </c>
      <c r="F25" s="14" t="str">
        <f aca="false">IFERROR(VLOOKUP(E25,'Artikelstamm &amp; Auswertung'!B:E,2,FALSE()),"")</f>
        <v>Trennscheibe Ø 125 × 1,6 mm</v>
      </c>
      <c r="G25" s="15" t="str">
        <f aca="false">IFERROR(VLOOKUP(E25,'Artikelstamm &amp; Auswertung'!B:E,4,FALSE()),"")</f>
        <v>Stk.</v>
      </c>
      <c r="H25" s="16" t="n">
        <v>30</v>
      </c>
      <c r="I25" s="17" t="n">
        <v>30</v>
      </c>
      <c r="J25" s="18" t="n">
        <f aca="false">IF(H25="","",I25-H25)</f>
        <v>0</v>
      </c>
      <c r="K25" s="88" t="s">
        <v>68</v>
      </c>
      <c r="L25" s="89" t="s">
        <v>227</v>
      </c>
      <c r="M25" s="57" t="n">
        <f aca="false">IFERROR(VLOOKUP(E25,'Artikelstamm &amp; Auswertung'!B:N,13,FALSE()),0)</f>
        <v>1.85</v>
      </c>
      <c r="N25" s="57" t="n">
        <f aca="false">IF(I25="","",I25*M25)</f>
        <v>55.5</v>
      </c>
      <c r="O25" s="90" t="s">
        <v>62</v>
      </c>
      <c r="P25" s="20"/>
    </row>
    <row r="26" customFormat="false" ht="15.75" hidden="false" customHeight="true" outlineLevel="0" collapsed="false">
      <c r="B26" s="85" t="n">
        <f aca="false">IF(C26&lt;&gt;"",MAX(B$14:B25)+1,"")</f>
        <v>13</v>
      </c>
      <c r="C26" s="86" t="n">
        <v>46087</v>
      </c>
      <c r="D26" s="87" t="s">
        <v>228</v>
      </c>
      <c r="E26" s="13" t="s">
        <v>29</v>
      </c>
      <c r="F26" s="14" t="str">
        <f aca="false">IFERROR(VLOOKUP(E26,'Artikelstamm &amp; Auswertung'!B:E,2,FALSE()),"")</f>
        <v>Arbeitshandschuh Nitril Gr. 10</v>
      </c>
      <c r="G26" s="15" t="str">
        <f aca="false">IFERROR(VLOOKUP(E26,'Artikelstamm &amp; Auswertung'!B:E,4,FALSE()),"")</f>
        <v>Paar</v>
      </c>
      <c r="H26" s="16" t="n">
        <v>25</v>
      </c>
      <c r="I26" s="17" t="n">
        <v>25</v>
      </c>
      <c r="J26" s="18" t="n">
        <f aca="false">IF(H26="","",I26-H26)</f>
        <v>0</v>
      </c>
      <c r="K26" s="88" t="s">
        <v>66</v>
      </c>
      <c r="L26" s="89" t="s">
        <v>229</v>
      </c>
      <c r="M26" s="57" t="n">
        <f aca="false">IFERROR(VLOOKUP(E26,'Artikelstamm &amp; Auswertung'!B:N,13,FALSE()),0)</f>
        <v>1.6</v>
      </c>
      <c r="N26" s="57" t="n">
        <f aca="false">IF(I26="","",I26*M26)</f>
        <v>40</v>
      </c>
      <c r="O26" s="90" t="s">
        <v>62</v>
      </c>
      <c r="P26" s="20" t="s">
        <v>31</v>
      </c>
    </row>
    <row r="27" customFormat="false" ht="15.75" hidden="false" customHeight="true" outlineLevel="0" collapsed="false">
      <c r="B27" s="85" t="n">
        <f aca="false">IF(C27&lt;&gt;"",MAX(B$14:B26)+1,"")</f>
        <v>14</v>
      </c>
      <c r="C27" s="86" t="n">
        <v>46087</v>
      </c>
      <c r="D27" s="87" t="s">
        <v>228</v>
      </c>
      <c r="E27" s="13" t="s">
        <v>30</v>
      </c>
      <c r="F27" s="14" t="str">
        <f aca="false">IFERROR(VLOOKUP(E27,'Artikelstamm &amp; Auswertung'!B:E,2,FALSE()),"")</f>
        <v>Gehörschutzstöpsel SNR 32 dB</v>
      </c>
      <c r="G27" s="15" t="str">
        <f aca="false">IFERROR(VLOOKUP(E27,'Artikelstamm &amp; Auswertung'!B:E,4,FALSE()),"")</f>
        <v>Paar</v>
      </c>
      <c r="H27" s="16" t="n">
        <v>60</v>
      </c>
      <c r="I27" s="17" t="n">
        <v>60</v>
      </c>
      <c r="J27" s="18" t="n">
        <f aca="false">IF(H27="","",I27-H27)</f>
        <v>0</v>
      </c>
      <c r="K27" s="88" t="s">
        <v>66</v>
      </c>
      <c r="L27" s="89" t="s">
        <v>229</v>
      </c>
      <c r="M27" s="57" t="n">
        <f aca="false">IFERROR(VLOOKUP(E27,'Artikelstamm &amp; Auswertung'!B:N,13,FALSE()),0)</f>
        <v>0.28</v>
      </c>
      <c r="N27" s="57" t="n">
        <f aca="false">IF(I27="","",I27*M27)</f>
        <v>16.8</v>
      </c>
      <c r="O27" s="90" t="s">
        <v>62</v>
      </c>
      <c r="P27" s="20"/>
    </row>
    <row r="28" customFormat="false" ht="15.75" hidden="false" customHeight="true" outlineLevel="0" collapsed="false">
      <c r="B28" s="85" t="n">
        <f aca="false">IF(C28&lt;&gt;"",MAX(B$14:B27)+1,"")</f>
        <v>15</v>
      </c>
      <c r="C28" s="86" t="n">
        <v>46097</v>
      </c>
      <c r="D28" s="87" t="s">
        <v>230</v>
      </c>
      <c r="E28" s="13" t="s">
        <v>32</v>
      </c>
      <c r="F28" s="14" t="str">
        <f aca="false">IFERROR(VLOOKUP(E28,'Artikelstamm &amp; Auswertung'!B:E,2,FALSE()),"")</f>
        <v>Kabelbinder 200 × 3,5 mm schwarz</v>
      </c>
      <c r="G28" s="15" t="str">
        <f aca="false">IFERROR(VLOOKUP(E28,'Artikelstamm &amp; Auswertung'!B:E,4,FALSE()),"")</f>
        <v>Stk.</v>
      </c>
      <c r="H28" s="16" t="n">
        <v>150</v>
      </c>
      <c r="I28" s="17" t="n">
        <v>150</v>
      </c>
      <c r="J28" s="18" t="n">
        <f aca="false">IF(H28="","",I28-H28)</f>
        <v>0</v>
      </c>
      <c r="K28" s="88" t="s">
        <v>73</v>
      </c>
      <c r="L28" s="89" t="s">
        <v>231</v>
      </c>
      <c r="M28" s="57" t="n">
        <f aca="false">IFERROR(VLOOKUP(E28,'Artikelstamm &amp; Auswertung'!B:N,13,FALSE()),0)</f>
        <v>0.02</v>
      </c>
      <c r="N28" s="57" t="n">
        <f aca="false">IF(I28="","",I28*M28)</f>
        <v>3</v>
      </c>
      <c r="O28" s="90" t="s">
        <v>62</v>
      </c>
      <c r="P28" s="20"/>
    </row>
    <row r="29" customFormat="false" ht="15.75" hidden="false" customHeight="true" outlineLevel="0" collapsed="false">
      <c r="B29" s="85" t="n">
        <f aca="false">IF(C29&lt;&gt;"",MAX(B$14:B28)+1,"")</f>
        <v>16</v>
      </c>
      <c r="C29" s="86" t="n">
        <v>46097</v>
      </c>
      <c r="D29" s="87" t="s">
        <v>230</v>
      </c>
      <c r="E29" s="13" t="s">
        <v>148</v>
      </c>
      <c r="F29" s="14" t="str">
        <f aca="false">IFERROR(VLOOKUP(E29,'Artikelstamm &amp; Auswertung'!B:E,2,FALSE()),"")</f>
        <v>Aderendhülse 1,5 mm² isoliert</v>
      </c>
      <c r="G29" s="15" t="str">
        <f aca="false">IFERROR(VLOOKUP(E29,'Artikelstamm &amp; Auswertung'!B:E,4,FALSE()),"")</f>
        <v>Stk.</v>
      </c>
      <c r="H29" s="16" t="n">
        <v>120</v>
      </c>
      <c r="I29" s="17" t="n">
        <v>120</v>
      </c>
      <c r="J29" s="18" t="n">
        <f aca="false">IF(H29="","",I29-H29)</f>
        <v>0</v>
      </c>
      <c r="K29" s="88" t="s">
        <v>73</v>
      </c>
      <c r="L29" s="89" t="s">
        <v>231</v>
      </c>
      <c r="M29" s="57" t="n">
        <f aca="false">IFERROR(VLOOKUP(E29,'Artikelstamm &amp; Auswertung'!B:N,13,FALSE()),0)</f>
        <v>0.04</v>
      </c>
      <c r="N29" s="57" t="n">
        <f aca="false">IF(I29="","",I29*M29)</f>
        <v>4.8</v>
      </c>
      <c r="O29" s="90" t="s">
        <v>62</v>
      </c>
      <c r="P29" s="20"/>
    </row>
    <row r="30" customFormat="false" ht="15.75" hidden="false" customHeight="true" outlineLevel="0" collapsed="false">
      <c r="B30" s="85" t="n">
        <f aca="false">IF(C30&lt;&gt;"",MAX(B$14:B29)+1,"")</f>
        <v>17</v>
      </c>
      <c r="C30" s="86" t="n">
        <v>46114</v>
      </c>
      <c r="D30" s="87" t="s">
        <v>232</v>
      </c>
      <c r="E30" s="13" t="s">
        <v>135</v>
      </c>
      <c r="F30" s="14" t="str">
        <f aca="false">IFERROR(VLOOKUP(E30,'Artikelstamm &amp; Auswertung'!B:E,2,FALSE()),"")</f>
        <v>Hydrauliköl HLP 46</v>
      </c>
      <c r="G30" s="15" t="str">
        <f aca="false">IFERROR(VLOOKUP(E30,'Artikelstamm &amp; Auswertung'!B:E,4,FALSE()),"")</f>
        <v>Liter</v>
      </c>
      <c r="H30" s="16" t="n">
        <v>40</v>
      </c>
      <c r="I30" s="17" t="n">
        <v>40</v>
      </c>
      <c r="J30" s="18" t="n">
        <f aca="false">IF(H30="","",I30-H30)</f>
        <v>0</v>
      </c>
      <c r="K30" s="88" t="s">
        <v>60</v>
      </c>
      <c r="L30" s="89" t="s">
        <v>233</v>
      </c>
      <c r="M30" s="57" t="n">
        <f aca="false">IFERROR(VLOOKUP(E30,'Artikelstamm &amp; Auswertung'!B:N,13,FALSE()),0)</f>
        <v>4.3</v>
      </c>
      <c r="N30" s="57" t="n">
        <f aca="false">IF(I30="","",I30*M30)</f>
        <v>172</v>
      </c>
      <c r="O30" s="90" t="s">
        <v>62</v>
      </c>
      <c r="P30" s="20"/>
    </row>
    <row r="31" customFormat="false" ht="15.75" hidden="false" customHeight="true" outlineLevel="0" collapsed="false">
      <c r="B31" s="85" t="n">
        <f aca="false">IF(C31&lt;&gt;"",MAX(B$14:B30)+1,"")</f>
        <v>18</v>
      </c>
      <c r="C31" s="86" t="n">
        <v>46114</v>
      </c>
      <c r="D31" s="87" t="s">
        <v>232</v>
      </c>
      <c r="E31" s="13" t="s">
        <v>140</v>
      </c>
      <c r="F31" s="14" t="str">
        <f aca="false">IFERROR(VLOOKUP(E31,'Artikelstamm &amp; Auswertung'!B:E,2,FALSE()),"")</f>
        <v>Getriebeöl 80W-90</v>
      </c>
      <c r="G31" s="15" t="str">
        <f aca="false">IFERROR(VLOOKUP(E31,'Artikelstamm &amp; Auswertung'!B:E,4,FALSE()),"")</f>
        <v>Liter</v>
      </c>
      <c r="H31" s="16" t="n">
        <v>20</v>
      </c>
      <c r="I31" s="17" t="n">
        <v>20</v>
      </c>
      <c r="J31" s="18" t="n">
        <f aca="false">IF(H31="","",I31-H31)</f>
        <v>0</v>
      </c>
      <c r="K31" s="88" t="s">
        <v>60</v>
      </c>
      <c r="L31" s="89" t="s">
        <v>233</v>
      </c>
      <c r="M31" s="57" t="n">
        <f aca="false">IFERROR(VLOOKUP(E31,'Artikelstamm &amp; Auswertung'!B:N,13,FALSE()),0)</f>
        <v>5.8</v>
      </c>
      <c r="N31" s="57" t="n">
        <f aca="false">IF(I31="","",I31*M31)</f>
        <v>116</v>
      </c>
      <c r="O31" s="90" t="s">
        <v>62</v>
      </c>
      <c r="P31" s="20"/>
    </row>
    <row r="32" customFormat="false" ht="15.75" hidden="false" customHeight="true" outlineLevel="0" collapsed="false">
      <c r="B32" s="85" t="n">
        <f aca="false">IF(C32&lt;&gt;"",MAX(B$14:B31)+1,"")</f>
        <v>19</v>
      </c>
      <c r="C32" s="86" t="n">
        <v>46127</v>
      </c>
      <c r="D32" s="87" t="s">
        <v>234</v>
      </c>
      <c r="E32" s="13" t="s">
        <v>176</v>
      </c>
      <c r="F32" s="14" t="str">
        <f aca="false">IFERROR(VLOOKUP(E32,'Artikelstamm &amp; Auswertung'!B:E,2,FALSE()),"")</f>
        <v>Putzlappen weiß 10 kg Ballen</v>
      </c>
      <c r="G32" s="15" t="str">
        <f aca="false">IFERROR(VLOOKUP(E32,'Artikelstamm &amp; Auswertung'!B:E,4,FALSE()),"")</f>
        <v>Stk.</v>
      </c>
      <c r="H32" s="16" t="n">
        <v>6</v>
      </c>
      <c r="I32" s="17" t="n">
        <v>6</v>
      </c>
      <c r="J32" s="18" t="n">
        <f aca="false">IF(H32="","",I32-H32)</f>
        <v>0</v>
      </c>
      <c r="K32" s="88" t="s">
        <v>68</v>
      </c>
      <c r="L32" s="89" t="s">
        <v>229</v>
      </c>
      <c r="M32" s="57" t="n">
        <f aca="false">IFERROR(VLOOKUP(E32,'Artikelstamm &amp; Auswertung'!B:N,13,FALSE()),0)</f>
        <v>18.5</v>
      </c>
      <c r="N32" s="57" t="n">
        <f aca="false">IF(I32="","",I32*M32)</f>
        <v>111</v>
      </c>
      <c r="O32" s="90" t="s">
        <v>62</v>
      </c>
      <c r="P32" s="20" t="s">
        <v>235</v>
      </c>
    </row>
    <row r="33" customFormat="false" ht="15.75" hidden="false" customHeight="true" outlineLevel="0" collapsed="false">
      <c r="B33" s="85" t="n">
        <f aca="false">IF(C33&lt;&gt;"",MAX(B$14:B32)+1,"")</f>
        <v>20</v>
      </c>
      <c r="C33" s="86" t="n">
        <v>46127</v>
      </c>
      <c r="D33" s="87" t="s">
        <v>234</v>
      </c>
      <c r="E33" s="13" t="s">
        <v>180</v>
      </c>
      <c r="F33" s="14" t="str">
        <f aca="false">IFERROR(VLOOKUP(E33,'Artikelstamm &amp; Auswertung'!B:E,2,FALSE()),"")</f>
        <v>Reinigungsspiritus 1 L</v>
      </c>
      <c r="G33" s="15" t="str">
        <f aca="false">IFERROR(VLOOKUP(E33,'Artikelstamm &amp; Auswertung'!B:E,4,FALSE()),"")</f>
        <v>Liter</v>
      </c>
      <c r="H33" s="16" t="n">
        <v>12</v>
      </c>
      <c r="I33" s="17" t="n">
        <v>12</v>
      </c>
      <c r="J33" s="18" t="n">
        <f aca="false">IF(H33="","",I33-H33)</f>
        <v>0</v>
      </c>
      <c r="K33" s="88" t="s">
        <v>68</v>
      </c>
      <c r="L33" s="89" t="s">
        <v>229</v>
      </c>
      <c r="M33" s="57" t="n">
        <f aca="false">IFERROR(VLOOKUP(E33,'Artikelstamm &amp; Auswertung'!B:N,13,FALSE()),0)</f>
        <v>2.4</v>
      </c>
      <c r="N33" s="57" t="n">
        <f aca="false">IF(I33="","",I33*M33)</f>
        <v>28.8</v>
      </c>
      <c r="O33" s="90" t="s">
        <v>62</v>
      </c>
      <c r="P33" s="20"/>
    </row>
    <row r="34" customFormat="false" ht="15.75" hidden="false" customHeight="true" outlineLevel="0" collapsed="false">
      <c r="B34" s="85" t="n">
        <f aca="false">IF(C34&lt;&gt;"",MAX(B$14:B33)+1,"")</f>
        <v>21</v>
      </c>
      <c r="C34" s="86" t="n">
        <v>46146</v>
      </c>
      <c r="D34" s="87" t="s">
        <v>236</v>
      </c>
      <c r="E34" s="13" t="s">
        <v>33</v>
      </c>
      <c r="F34" s="14" t="str">
        <f aca="false">IFERROR(VLOOKUP(E34,'Artikelstamm &amp; Auswertung'!B:E,2,FALSE()),"")</f>
        <v>Sechskantschraube M8 × 40 verzinkt</v>
      </c>
      <c r="G34" s="15" t="str">
        <f aca="false">IFERROR(VLOOKUP(E34,'Artikelstamm &amp; Auswertung'!B:E,4,FALSE()),"")</f>
        <v>Stk.</v>
      </c>
      <c r="H34" s="16" t="n">
        <v>300</v>
      </c>
      <c r="I34" s="17" t="n">
        <v>297</v>
      </c>
      <c r="J34" s="18" t="n">
        <f aca="false">IF(H34="","",I34-H34)</f>
        <v>-3</v>
      </c>
      <c r="K34" s="88" t="s">
        <v>54</v>
      </c>
      <c r="L34" s="89" t="s">
        <v>237</v>
      </c>
      <c r="M34" s="57" t="n">
        <f aca="false">IFERROR(VLOOKUP(E34,'Artikelstamm &amp; Auswertung'!B:N,13,FALSE()),0)</f>
        <v>0.14</v>
      </c>
      <c r="N34" s="57" t="n">
        <f aca="false">IF(I34="","",I34*M34)</f>
        <v>41.58</v>
      </c>
      <c r="O34" s="90" t="s">
        <v>62</v>
      </c>
      <c r="P34" s="20" t="s">
        <v>238</v>
      </c>
    </row>
    <row r="35" customFormat="false" ht="15.75" hidden="false" customHeight="true" outlineLevel="0" collapsed="false">
      <c r="B35" s="85" t="n">
        <f aca="false">IF(C35&lt;&gt;"",MAX(B$14:B34)+1,"")</f>
        <v>22</v>
      </c>
      <c r="C35" s="86" t="n">
        <v>46146</v>
      </c>
      <c r="D35" s="87" t="s">
        <v>236</v>
      </c>
      <c r="E35" s="13" t="s">
        <v>125</v>
      </c>
      <c r="F35" s="14" t="str">
        <f aca="false">IFERROR(VLOOKUP(E35,'Artikelstamm &amp; Auswertung'!B:E,2,FALSE()),"")</f>
        <v>Blechschraube 4,2 × 25 Torx</v>
      </c>
      <c r="G35" s="15" t="str">
        <f aca="false">IFERROR(VLOOKUP(E35,'Artikelstamm &amp; Auswertung'!B:E,4,FALSE()),"")</f>
        <v>Stk.</v>
      </c>
      <c r="H35" s="16" t="n">
        <v>200</v>
      </c>
      <c r="I35" s="17" t="n">
        <v>200</v>
      </c>
      <c r="J35" s="18" t="n">
        <f aca="false">IF(H35="","",I35-H35)</f>
        <v>0</v>
      </c>
      <c r="K35" s="88" t="s">
        <v>54</v>
      </c>
      <c r="L35" s="89" t="s">
        <v>237</v>
      </c>
      <c r="M35" s="57" t="n">
        <f aca="false">IFERROR(VLOOKUP(E35,'Artikelstamm &amp; Auswertung'!B:N,13,FALSE()),0)</f>
        <v>0.09</v>
      </c>
      <c r="N35" s="57" t="n">
        <f aca="false">IF(I35="","",I35*M35)</f>
        <v>18</v>
      </c>
      <c r="O35" s="90" t="s">
        <v>62</v>
      </c>
      <c r="P35" s="20"/>
    </row>
    <row r="36" customFormat="false" ht="15.75" hidden="false" customHeight="true" outlineLevel="0" collapsed="false">
      <c r="B36" s="85" t="n">
        <f aca="false">IF(C36&lt;&gt;"",MAX(B$14:B35)+1,"")</f>
        <v>23</v>
      </c>
      <c r="C36" s="86" t="n">
        <v>46160</v>
      </c>
      <c r="D36" s="87" t="s">
        <v>239</v>
      </c>
      <c r="E36" s="13" t="s">
        <v>128</v>
      </c>
      <c r="F36" s="14" t="str">
        <f aca="false">IFERROR(VLOOKUP(E36,'Artikelstamm &amp; Auswertung'!B:E,2,FALSE()),"")</f>
        <v>Dichtungsring FPM Ø 24 × 3</v>
      </c>
      <c r="G36" s="15" t="str">
        <f aca="false">IFERROR(VLOOKUP(E36,'Artikelstamm &amp; Auswertung'!B:E,4,FALSE()),"")</f>
        <v>Stk.</v>
      </c>
      <c r="H36" s="16" t="n">
        <v>45</v>
      </c>
      <c r="I36" s="17" t="n">
        <v>45</v>
      </c>
      <c r="J36" s="18" t="n">
        <f aca="false">IF(H36="","",I36-H36)</f>
        <v>0</v>
      </c>
      <c r="K36" s="88" t="s">
        <v>66</v>
      </c>
      <c r="L36" s="89" t="s">
        <v>240</v>
      </c>
      <c r="M36" s="57" t="n">
        <f aca="false">IFERROR(VLOOKUP(E36,'Artikelstamm &amp; Auswertung'!B:N,13,FALSE()),0)</f>
        <v>0.85</v>
      </c>
      <c r="N36" s="57" t="n">
        <f aca="false">IF(I36="","",I36*M36)</f>
        <v>38.25</v>
      </c>
      <c r="O36" s="90" t="s">
        <v>62</v>
      </c>
      <c r="P36" s="20"/>
    </row>
    <row r="37" customFormat="false" ht="15.75" hidden="false" customHeight="true" outlineLevel="0" collapsed="false">
      <c r="B37" s="85" t="n">
        <f aca="false">IF(C37&lt;&gt;"",MAX(B$14:B36)+1,"")</f>
        <v>24</v>
      </c>
      <c r="C37" s="86" t="n">
        <v>46160</v>
      </c>
      <c r="D37" s="87" t="s">
        <v>239</v>
      </c>
      <c r="E37" s="13" t="s">
        <v>160</v>
      </c>
      <c r="F37" s="14" t="str">
        <f aca="false">IFERROR(VLOOKUP(E37,'Artikelstamm &amp; Auswertung'!B:E,2,FALSE()),"")</f>
        <v>Schutzgas Argon 4.6 (Flasche 20 L)</v>
      </c>
      <c r="G37" s="15" t="str">
        <f aca="false">IFERROR(VLOOKUP(E37,'Artikelstamm &amp; Auswertung'!B:E,4,FALSE()),"")</f>
        <v>Stk.</v>
      </c>
      <c r="H37" s="16" t="n">
        <v>2</v>
      </c>
      <c r="I37" s="17" t="n">
        <v>2</v>
      </c>
      <c r="J37" s="18" t="n">
        <f aca="false">IF(H37="","",I37-H37)</f>
        <v>0</v>
      </c>
      <c r="K37" s="88" t="s">
        <v>68</v>
      </c>
      <c r="L37" s="89" t="s">
        <v>240</v>
      </c>
      <c r="M37" s="57" t="n">
        <f aca="false">IFERROR(VLOOKUP(E37,'Artikelstamm &amp; Auswertung'!B:N,13,FALSE()),0)</f>
        <v>62</v>
      </c>
      <c r="N37" s="57" t="n">
        <f aca="false">IF(I37="","",I37*M37)</f>
        <v>124</v>
      </c>
      <c r="O37" s="90" t="s">
        <v>62</v>
      </c>
      <c r="P37" s="20" t="s">
        <v>241</v>
      </c>
    </row>
    <row r="38" customFormat="false" ht="15.75" hidden="false" customHeight="true" outlineLevel="0" collapsed="false">
      <c r="B38" s="85" t="n">
        <f aca="false">IF(C38&lt;&gt;"",MAX(B$14:B37)+1,"")</f>
        <v>25</v>
      </c>
      <c r="C38" s="86" t="n">
        <v>46175</v>
      </c>
      <c r="D38" s="87" t="s">
        <v>242</v>
      </c>
      <c r="E38" s="13" t="s">
        <v>167</v>
      </c>
      <c r="F38" s="14" t="str">
        <f aca="false">IFERROR(VLOOKUP(E38,'Artikelstamm &amp; Auswertung'!B:E,2,FALSE()),"")</f>
        <v>Bohrer HSS-Co Ø 6,0 mm</v>
      </c>
      <c r="G38" s="15" t="str">
        <f aca="false">IFERROR(VLOOKUP(E38,'Artikelstamm &amp; Auswertung'!B:E,4,FALSE()),"")</f>
        <v>Stk.</v>
      </c>
      <c r="H38" s="16" t="n">
        <v>8</v>
      </c>
      <c r="I38" s="17" t="n">
        <v>8</v>
      </c>
      <c r="J38" s="18" t="n">
        <f aca="false">IF(H38="","",I38-H38)</f>
        <v>0</v>
      </c>
      <c r="K38" s="88" t="s">
        <v>68</v>
      </c>
      <c r="L38" s="89" t="s">
        <v>243</v>
      </c>
      <c r="M38" s="57" t="n">
        <f aca="false">IFERROR(VLOOKUP(E38,'Artikelstamm &amp; Auswertung'!B:N,13,FALSE()),0)</f>
        <v>3.2</v>
      </c>
      <c r="N38" s="57" t="n">
        <f aca="false">IF(I38="","",I38*M38)</f>
        <v>25.6</v>
      </c>
      <c r="O38" s="90" t="s">
        <v>62</v>
      </c>
      <c r="P38" s="20"/>
    </row>
    <row r="39" customFormat="false" ht="15.75" hidden="false" customHeight="true" outlineLevel="0" collapsed="false">
      <c r="B39" s="85" t="n">
        <f aca="false">IF(C39&lt;&gt;"",MAX(B$14:B38)+1,"")</f>
        <v>26</v>
      </c>
      <c r="C39" s="86" t="n">
        <v>46175</v>
      </c>
      <c r="D39" s="87" t="s">
        <v>242</v>
      </c>
      <c r="E39" s="13" t="s">
        <v>151</v>
      </c>
      <c r="F39" s="14" t="str">
        <f aca="false">IFERROR(VLOOKUP(E39,'Artikelstamm &amp; Auswertung'!B:E,2,FALSE()),"")</f>
        <v>Litze H07V-K 2,5 mm² grün-gelb</v>
      </c>
      <c r="G39" s="15" t="str">
        <f aca="false">IFERROR(VLOOKUP(E39,'Artikelstamm &amp; Auswertung'!B:E,4,FALSE()),"")</f>
        <v>Meter</v>
      </c>
      <c r="H39" s="16" t="n">
        <v>40</v>
      </c>
      <c r="I39" s="17" t="n">
        <v>40</v>
      </c>
      <c r="J39" s="18" t="n">
        <f aca="false">IF(H39="","",I39-H39)</f>
        <v>0</v>
      </c>
      <c r="K39" s="88" t="s">
        <v>73</v>
      </c>
      <c r="L39" s="89" t="s">
        <v>243</v>
      </c>
      <c r="M39" s="57" t="n">
        <f aca="false">IFERROR(VLOOKUP(E39,'Artikelstamm &amp; Auswertung'!B:N,13,FALSE()),0)</f>
        <v>1.1</v>
      </c>
      <c r="N39" s="57" t="n">
        <f aca="false">IF(I39="","",I39*M39)</f>
        <v>44</v>
      </c>
      <c r="O39" s="90" t="s">
        <v>62</v>
      </c>
      <c r="P39" s="20"/>
    </row>
    <row r="40" customFormat="false" ht="15.75" hidden="false" customHeight="true" outlineLevel="0" collapsed="false">
      <c r="B40" s="85" t="n">
        <f aca="false">IF(C40&lt;&gt;"",MAX(B$14:B39)+1,"")</f>
        <v>27</v>
      </c>
      <c r="C40" s="86" t="n">
        <v>46192</v>
      </c>
      <c r="D40" s="87" t="s">
        <v>244</v>
      </c>
      <c r="E40" s="13" t="s">
        <v>122</v>
      </c>
      <c r="F40" s="14" t="str">
        <f aca="false">IFERROR(VLOOKUP(E40,'Artikelstamm &amp; Auswertung'!B:E,2,FALSE()),"")</f>
        <v>Unterlegscheibe DIN 125 M8 verzinkt</v>
      </c>
      <c r="G40" s="15" t="str">
        <f aca="false">IFERROR(VLOOKUP(E40,'Artikelstamm &amp; Auswertung'!B:E,4,FALSE()),"")</f>
        <v>Stk.</v>
      </c>
      <c r="H40" s="16" t="n">
        <v>400</v>
      </c>
      <c r="I40" s="17" t="n">
        <v>400</v>
      </c>
      <c r="J40" s="18" t="n">
        <f aca="false">IF(H40="","",I40-H40)</f>
        <v>0</v>
      </c>
      <c r="K40" s="88" t="s">
        <v>57</v>
      </c>
      <c r="L40" s="89" t="s">
        <v>245</v>
      </c>
      <c r="M40" s="57" t="n">
        <f aca="false">IFERROR(VLOOKUP(E40,'Artikelstamm &amp; Auswertung'!B:N,13,FALSE()),0)</f>
        <v>0.03</v>
      </c>
      <c r="N40" s="57" t="n">
        <f aca="false">IF(I40="","",I40*M40)</f>
        <v>12</v>
      </c>
      <c r="O40" s="90" t="s">
        <v>62</v>
      </c>
      <c r="P40" s="20"/>
    </row>
    <row r="41" customFormat="false" ht="15.75" hidden="false" customHeight="true" outlineLevel="0" collapsed="false">
      <c r="B41" s="85" t="n">
        <f aca="false">IF(C41&lt;&gt;"",MAX(B$14:B40)+1,"")</f>
        <v>28</v>
      </c>
      <c r="C41" s="86" t="n">
        <v>46192</v>
      </c>
      <c r="D41" s="87" t="s">
        <v>244</v>
      </c>
      <c r="E41" s="13" t="s">
        <v>119</v>
      </c>
      <c r="F41" s="14" t="str">
        <f aca="false">IFERROR(VLOOKUP(E41,'Artikelstamm &amp; Auswertung'!B:E,2,FALSE()),"")</f>
        <v>Sechskantschraube M10 × 60 verzinkt</v>
      </c>
      <c r="G41" s="15" t="str">
        <f aca="false">IFERROR(VLOOKUP(E41,'Artikelstamm &amp; Auswertung'!B:E,4,FALSE()),"")</f>
        <v>Stk.</v>
      </c>
      <c r="H41" s="16" t="n">
        <v>80</v>
      </c>
      <c r="I41" s="17" t="n">
        <v>80</v>
      </c>
      <c r="J41" s="18" t="n">
        <f aca="false">IF(H41="","",I41-H41)</f>
        <v>0</v>
      </c>
      <c r="K41" s="88" t="s">
        <v>57</v>
      </c>
      <c r="L41" s="89" t="s">
        <v>245</v>
      </c>
      <c r="M41" s="57" t="n">
        <f aca="false">IFERROR(VLOOKUP(E41,'Artikelstamm &amp; Auswertung'!B:N,13,FALSE()),0)</f>
        <v>0.22</v>
      </c>
      <c r="N41" s="57" t="n">
        <f aca="false">IF(I41="","",I41*M41)</f>
        <v>17.6</v>
      </c>
      <c r="O41" s="90" t="s">
        <v>62</v>
      </c>
      <c r="P41" s="20"/>
    </row>
    <row r="42" customFormat="false" ht="15.75" hidden="false" customHeight="true" outlineLevel="0" collapsed="false">
      <c r="B42" s="85" t="n">
        <f aca="false">IF(C42&lt;&gt;"",MAX(B$14:B41)+1,"")</f>
        <v>29</v>
      </c>
      <c r="C42" s="86" t="n">
        <v>46211</v>
      </c>
      <c r="D42" s="87" t="s">
        <v>246</v>
      </c>
      <c r="E42" s="13" t="s">
        <v>135</v>
      </c>
      <c r="F42" s="14" t="str">
        <f aca="false">IFERROR(VLOOKUP(E42,'Artikelstamm &amp; Auswertung'!B:E,2,FALSE()),"")</f>
        <v>Hydrauliköl HLP 46</v>
      </c>
      <c r="G42" s="15" t="str">
        <f aca="false">IFERROR(VLOOKUP(E42,'Artikelstamm &amp; Auswertung'!B:E,4,FALSE()),"")</f>
        <v>Liter</v>
      </c>
      <c r="H42" s="16" t="n">
        <v>25</v>
      </c>
      <c r="I42" s="17" t="n">
        <v>25</v>
      </c>
      <c r="J42" s="18" t="n">
        <f aca="false">IF(H42="","",I42-H42)</f>
        <v>0</v>
      </c>
      <c r="K42" s="88" t="s">
        <v>60</v>
      </c>
      <c r="L42" s="89" t="s">
        <v>247</v>
      </c>
      <c r="M42" s="57" t="n">
        <f aca="false">IFERROR(VLOOKUP(E42,'Artikelstamm &amp; Auswertung'!B:N,13,FALSE()),0)</f>
        <v>4.3</v>
      </c>
      <c r="N42" s="57" t="n">
        <f aca="false">IF(I42="","",I42*M42)</f>
        <v>107.5</v>
      </c>
      <c r="O42" s="90" t="s">
        <v>59</v>
      </c>
      <c r="P42" s="20" t="s">
        <v>248</v>
      </c>
    </row>
    <row r="43" customFormat="false" ht="15.75" hidden="false" customHeight="true" outlineLevel="0" collapsed="false">
      <c r="B43" s="85" t="n">
        <f aca="false">IF(C43&lt;&gt;"",MAX(B$14:B42)+1,"")</f>
        <v>30</v>
      </c>
      <c r="C43" s="86" t="n">
        <v>46211</v>
      </c>
      <c r="D43" s="87" t="s">
        <v>246</v>
      </c>
      <c r="E43" s="13" t="s">
        <v>35</v>
      </c>
      <c r="F43" s="14" t="str">
        <f aca="false">IFERROR(VLOOKUP(E43,'Artikelstamm &amp; Auswertung'!B:E,2,FALSE()),"")</f>
        <v>Universalfett Lithium 400 g</v>
      </c>
      <c r="G43" s="15" t="str">
        <f aca="false">IFERROR(VLOOKUP(E43,'Artikelstamm &amp; Auswertung'!B:E,4,FALSE()),"")</f>
        <v>Stk.</v>
      </c>
      <c r="H43" s="16" t="n">
        <v>6</v>
      </c>
      <c r="I43" s="17" t="n">
        <v>6</v>
      </c>
      <c r="J43" s="18" t="n">
        <f aca="false">IF(H43="","",I43-H43)</f>
        <v>0</v>
      </c>
      <c r="K43" s="88" t="s">
        <v>60</v>
      </c>
      <c r="L43" s="89" t="s">
        <v>247</v>
      </c>
      <c r="M43" s="57" t="n">
        <f aca="false">IFERROR(VLOOKUP(E43,'Artikelstamm &amp; Auswertung'!B:N,13,FALSE()),0)</f>
        <v>3.9</v>
      </c>
      <c r="N43" s="57" t="n">
        <f aca="false">IF(I43="","",I43*M43)</f>
        <v>23.4</v>
      </c>
      <c r="O43" s="90" t="s">
        <v>59</v>
      </c>
      <c r="P43" s="20"/>
    </row>
    <row r="44" customFormat="false" ht="15.75" hidden="false" customHeight="true" outlineLevel="0" collapsed="false">
      <c r="B44" s="85" t="n">
        <f aca="false">IF(C44&lt;&gt;"",MAX(B$14:B43)+1,"")</f>
        <v>31</v>
      </c>
      <c r="C44" s="86" t="n">
        <v>46218</v>
      </c>
      <c r="D44" s="87" t="s">
        <v>4</v>
      </c>
      <c r="E44" s="13" t="s">
        <v>29</v>
      </c>
      <c r="F44" s="14" t="str">
        <f aca="false">IFERROR(VLOOKUP(E44,'Artikelstamm &amp; Auswertung'!B:E,2,FALSE()),"")</f>
        <v>Arbeitshandschuh Nitril Gr. 10</v>
      </c>
      <c r="G44" s="15" t="str">
        <f aca="false">IFERROR(VLOOKUP(E44,'Artikelstamm &amp; Auswertung'!B:E,4,FALSE()),"")</f>
        <v>Paar</v>
      </c>
      <c r="H44" s="16" t="n">
        <v>15</v>
      </c>
      <c r="I44" s="17" t="n">
        <v>15</v>
      </c>
      <c r="J44" s="18" t="n">
        <f aca="false">IF(H44="","",I44-H44)</f>
        <v>0</v>
      </c>
      <c r="K44" s="88" t="s">
        <v>9</v>
      </c>
      <c r="L44" s="89" t="s">
        <v>229</v>
      </c>
      <c r="M44" s="57" t="n">
        <f aca="false">IFERROR(VLOOKUP(E44,'Artikelstamm &amp; Auswertung'!B:N,13,FALSE()),0)</f>
        <v>1.6</v>
      </c>
      <c r="N44" s="57" t="n">
        <f aca="false">IF(I44="","",I44*M44)</f>
        <v>24</v>
      </c>
      <c r="O44" s="90" t="s">
        <v>59</v>
      </c>
      <c r="P44" s="20" t="s">
        <v>249</v>
      </c>
    </row>
    <row r="45" customFormat="false" ht="15.75" hidden="false" customHeight="true" outlineLevel="0" collapsed="false">
      <c r="B45" s="85" t="n">
        <f aca="false">IF(C45&lt;&gt;"",MAX(B$14:B44)+1,"")</f>
        <v>32</v>
      </c>
      <c r="C45" s="86" t="n">
        <v>46218</v>
      </c>
      <c r="D45" s="87" t="s">
        <v>4</v>
      </c>
      <c r="E45" s="13" t="s">
        <v>30</v>
      </c>
      <c r="F45" s="14" t="str">
        <f aca="false">IFERROR(VLOOKUP(E45,'Artikelstamm &amp; Auswertung'!B:E,2,FALSE()),"")</f>
        <v>Gehörschutzstöpsel SNR 32 dB</v>
      </c>
      <c r="G45" s="15" t="str">
        <f aca="false">IFERROR(VLOOKUP(E45,'Artikelstamm &amp; Auswertung'!B:E,4,FALSE()),"")</f>
        <v>Paar</v>
      </c>
      <c r="H45" s="16" t="n">
        <v>20</v>
      </c>
      <c r="I45" s="17" t="n">
        <v>20</v>
      </c>
      <c r="J45" s="18" t="n">
        <f aca="false">IF(H45="","",I45-H45)</f>
        <v>0</v>
      </c>
      <c r="K45" s="88" t="s">
        <v>9</v>
      </c>
      <c r="L45" s="89" t="s">
        <v>229</v>
      </c>
      <c r="M45" s="57" t="n">
        <f aca="false">IFERROR(VLOOKUP(E45,'Artikelstamm &amp; Auswertung'!B:N,13,FALSE()),0)</f>
        <v>0.28</v>
      </c>
      <c r="N45" s="57" t="n">
        <f aca="false">IF(I45="","",I45*M45)</f>
        <v>5.6</v>
      </c>
      <c r="O45" s="90" t="s">
        <v>56</v>
      </c>
      <c r="P45" s="20"/>
    </row>
    <row r="46" customFormat="false" ht="15.75" hidden="false" customHeight="true" outlineLevel="0" collapsed="false">
      <c r="B46" s="85" t="str">
        <f aca="false">IF(C46&lt;&gt;"",MAX(B$14:B45)+1,"")</f>
        <v/>
      </c>
      <c r="C46" s="21"/>
      <c r="D46" s="21"/>
      <c r="E46" s="21"/>
      <c r="F46" s="14" t="str">
        <f aca="false">IFERROR(VLOOKUP(E46,'Artikelstamm &amp; Auswertung'!B:E,2,FALSE()),"")</f>
        <v/>
      </c>
      <c r="G46" s="15" t="str">
        <f aca="false">IFERROR(VLOOKUP(E46,'Artikelstamm &amp; Auswertung'!B:E,4,FALSE()),"")</f>
        <v/>
      </c>
      <c r="H46" s="21"/>
      <c r="I46" s="21"/>
      <c r="J46" s="18" t="str">
        <f aca="false">IF(H46="","",I46-H46)</f>
        <v/>
      </c>
      <c r="K46" s="21"/>
      <c r="L46" s="21"/>
      <c r="M46" s="57" t="n">
        <f aca="false">IFERROR(VLOOKUP(E46,'Artikelstamm &amp; Auswertung'!B:N,13,FALSE()),0)</f>
        <v>0</v>
      </c>
      <c r="N46" s="57" t="str">
        <f aca="false">IF(I46="","",I46*M46)</f>
        <v/>
      </c>
      <c r="O46" s="21"/>
      <c r="P46" s="21"/>
    </row>
    <row r="47" customFormat="false" ht="15.75" hidden="false" customHeight="true" outlineLevel="0" collapsed="false">
      <c r="B47" s="85" t="str">
        <f aca="false">IF(C47&lt;&gt;"",MAX(B$14:B46)+1,"")</f>
        <v/>
      </c>
      <c r="C47" s="21"/>
      <c r="D47" s="21"/>
      <c r="E47" s="21"/>
      <c r="F47" s="14" t="str">
        <f aca="false">IFERROR(VLOOKUP(E47,'Artikelstamm &amp; Auswertung'!B:E,2,FALSE()),"")</f>
        <v/>
      </c>
      <c r="G47" s="15" t="str">
        <f aca="false">IFERROR(VLOOKUP(E47,'Artikelstamm &amp; Auswertung'!B:E,4,FALSE()),"")</f>
        <v/>
      </c>
      <c r="H47" s="21"/>
      <c r="I47" s="21"/>
      <c r="J47" s="18" t="str">
        <f aca="false">IF(H47="","",I47-H47)</f>
        <v/>
      </c>
      <c r="K47" s="21"/>
      <c r="L47" s="21"/>
      <c r="M47" s="57" t="n">
        <f aca="false">IFERROR(VLOOKUP(E47,'Artikelstamm &amp; Auswertung'!B:N,13,FALSE()),0)</f>
        <v>0</v>
      </c>
      <c r="N47" s="57" t="str">
        <f aca="false">IF(I47="","",I47*M47)</f>
        <v/>
      </c>
      <c r="O47" s="21"/>
      <c r="P47" s="21"/>
    </row>
    <row r="48" customFormat="false" ht="15.75" hidden="false" customHeight="true" outlineLevel="0" collapsed="false">
      <c r="B48" s="85" t="str">
        <f aca="false">IF(C48&lt;&gt;"",MAX(B$14:B47)+1,"")</f>
        <v/>
      </c>
      <c r="C48" s="21"/>
      <c r="D48" s="21"/>
      <c r="E48" s="21"/>
      <c r="F48" s="14" t="str">
        <f aca="false">IFERROR(VLOOKUP(E48,'Artikelstamm &amp; Auswertung'!B:E,2,FALSE()),"")</f>
        <v/>
      </c>
      <c r="G48" s="15" t="str">
        <f aca="false">IFERROR(VLOOKUP(E48,'Artikelstamm &amp; Auswertung'!B:E,4,FALSE()),"")</f>
        <v/>
      </c>
      <c r="H48" s="21"/>
      <c r="I48" s="21"/>
      <c r="J48" s="18" t="str">
        <f aca="false">IF(H48="","",I48-H48)</f>
        <v/>
      </c>
      <c r="K48" s="21"/>
      <c r="L48" s="21"/>
      <c r="M48" s="57" t="n">
        <f aca="false">IFERROR(VLOOKUP(E48,'Artikelstamm &amp; Auswertung'!B:N,13,FALSE()),0)</f>
        <v>0</v>
      </c>
      <c r="N48" s="57" t="str">
        <f aca="false">IF(I48="","",I48*M48)</f>
        <v/>
      </c>
      <c r="O48" s="21"/>
      <c r="P48" s="21"/>
    </row>
    <row r="49" customFormat="false" ht="15.75" hidden="false" customHeight="true" outlineLevel="0" collapsed="false">
      <c r="B49" s="85" t="str">
        <f aca="false">IF(C49&lt;&gt;"",MAX(B$14:B48)+1,"")</f>
        <v/>
      </c>
      <c r="C49" s="21"/>
      <c r="D49" s="21"/>
      <c r="E49" s="21"/>
      <c r="F49" s="14" t="str">
        <f aca="false">IFERROR(VLOOKUP(E49,'Artikelstamm &amp; Auswertung'!B:E,2,FALSE()),"")</f>
        <v/>
      </c>
      <c r="G49" s="15" t="str">
        <f aca="false">IFERROR(VLOOKUP(E49,'Artikelstamm &amp; Auswertung'!B:E,4,FALSE()),"")</f>
        <v/>
      </c>
      <c r="H49" s="21"/>
      <c r="I49" s="21"/>
      <c r="J49" s="18" t="str">
        <f aca="false">IF(H49="","",I49-H49)</f>
        <v/>
      </c>
      <c r="K49" s="21"/>
      <c r="L49" s="21"/>
      <c r="M49" s="57" t="n">
        <f aca="false">IFERROR(VLOOKUP(E49,'Artikelstamm &amp; Auswertung'!B:N,13,FALSE()),0)</f>
        <v>0</v>
      </c>
      <c r="N49" s="57" t="str">
        <f aca="false">IF(I49="","",I49*M49)</f>
        <v/>
      </c>
      <c r="O49" s="21"/>
      <c r="P49" s="21"/>
    </row>
    <row r="50" customFormat="false" ht="15.75" hidden="false" customHeight="true" outlineLevel="0" collapsed="false">
      <c r="B50" s="85" t="str">
        <f aca="false">IF(C50&lt;&gt;"",MAX(B$14:B49)+1,"")</f>
        <v/>
      </c>
      <c r="C50" s="21"/>
      <c r="D50" s="21"/>
      <c r="E50" s="21"/>
      <c r="F50" s="14" t="str">
        <f aca="false">IFERROR(VLOOKUP(E50,'Artikelstamm &amp; Auswertung'!B:E,2,FALSE()),"")</f>
        <v/>
      </c>
      <c r="G50" s="15" t="str">
        <f aca="false">IFERROR(VLOOKUP(E50,'Artikelstamm &amp; Auswertung'!B:E,4,FALSE()),"")</f>
        <v/>
      </c>
      <c r="H50" s="21"/>
      <c r="I50" s="21"/>
      <c r="J50" s="18" t="str">
        <f aca="false">IF(H50="","",I50-H50)</f>
        <v/>
      </c>
      <c r="K50" s="21"/>
      <c r="L50" s="21"/>
      <c r="M50" s="57" t="n">
        <f aca="false">IFERROR(VLOOKUP(E50,'Artikelstamm &amp; Auswertung'!B:N,13,FALSE()),0)</f>
        <v>0</v>
      </c>
      <c r="N50" s="57" t="str">
        <f aca="false">IF(I50="","",I50*M50)</f>
        <v/>
      </c>
      <c r="O50" s="21"/>
      <c r="P50" s="21"/>
    </row>
    <row r="51" customFormat="false" ht="15.75" hidden="false" customHeight="true" outlineLevel="0" collapsed="false">
      <c r="B51" s="85" t="str">
        <f aca="false">IF(C51&lt;&gt;"",MAX(B$14:B50)+1,"")</f>
        <v/>
      </c>
      <c r="C51" s="21"/>
      <c r="D51" s="21"/>
      <c r="E51" s="21"/>
      <c r="F51" s="14" t="str">
        <f aca="false">IFERROR(VLOOKUP(E51,'Artikelstamm &amp; Auswertung'!B:E,2,FALSE()),"")</f>
        <v/>
      </c>
      <c r="G51" s="15" t="str">
        <f aca="false">IFERROR(VLOOKUP(E51,'Artikelstamm &amp; Auswertung'!B:E,4,FALSE()),"")</f>
        <v/>
      </c>
      <c r="H51" s="21"/>
      <c r="I51" s="21"/>
      <c r="J51" s="18" t="str">
        <f aca="false">IF(H51="","",I51-H51)</f>
        <v/>
      </c>
      <c r="K51" s="21"/>
      <c r="L51" s="21"/>
      <c r="M51" s="57" t="n">
        <f aca="false">IFERROR(VLOOKUP(E51,'Artikelstamm &amp; Auswertung'!B:N,13,FALSE()),0)</f>
        <v>0</v>
      </c>
      <c r="N51" s="57" t="str">
        <f aca="false">IF(I51="","",I51*M51)</f>
        <v/>
      </c>
      <c r="O51" s="21"/>
      <c r="P51" s="21"/>
    </row>
    <row r="52" customFormat="false" ht="15.75" hidden="false" customHeight="true" outlineLevel="0" collapsed="false">
      <c r="B52" s="85" t="str">
        <f aca="false">IF(C52&lt;&gt;"",MAX(B$14:B51)+1,"")</f>
        <v/>
      </c>
      <c r="C52" s="21"/>
      <c r="D52" s="21"/>
      <c r="E52" s="21"/>
      <c r="F52" s="14" t="str">
        <f aca="false">IFERROR(VLOOKUP(E52,'Artikelstamm &amp; Auswertung'!B:E,2,FALSE()),"")</f>
        <v/>
      </c>
      <c r="G52" s="15" t="str">
        <f aca="false">IFERROR(VLOOKUP(E52,'Artikelstamm &amp; Auswertung'!B:E,4,FALSE()),"")</f>
        <v/>
      </c>
      <c r="H52" s="21"/>
      <c r="I52" s="21"/>
      <c r="J52" s="18" t="str">
        <f aca="false">IF(H52="","",I52-H52)</f>
        <v/>
      </c>
      <c r="K52" s="21"/>
      <c r="L52" s="21"/>
      <c r="M52" s="57" t="n">
        <f aca="false">IFERROR(VLOOKUP(E52,'Artikelstamm &amp; Auswertung'!B:N,13,FALSE()),0)</f>
        <v>0</v>
      </c>
      <c r="N52" s="57" t="str">
        <f aca="false">IF(I52="","",I52*M52)</f>
        <v/>
      </c>
      <c r="O52" s="21"/>
      <c r="P52" s="21"/>
    </row>
    <row r="53" customFormat="false" ht="15.75" hidden="false" customHeight="true" outlineLevel="0" collapsed="false">
      <c r="B53" s="85" t="str">
        <f aca="false">IF(C53&lt;&gt;"",MAX(B$14:B52)+1,"")</f>
        <v/>
      </c>
      <c r="C53" s="21"/>
      <c r="D53" s="21"/>
      <c r="E53" s="21"/>
      <c r="F53" s="14" t="str">
        <f aca="false">IFERROR(VLOOKUP(E53,'Artikelstamm &amp; Auswertung'!B:E,2,FALSE()),"")</f>
        <v/>
      </c>
      <c r="G53" s="15" t="str">
        <f aca="false">IFERROR(VLOOKUP(E53,'Artikelstamm &amp; Auswertung'!B:E,4,FALSE()),"")</f>
        <v/>
      </c>
      <c r="H53" s="21"/>
      <c r="I53" s="21"/>
      <c r="J53" s="18" t="str">
        <f aca="false">IF(H53="","",I53-H53)</f>
        <v/>
      </c>
      <c r="K53" s="21"/>
      <c r="L53" s="21"/>
      <c r="M53" s="57" t="n">
        <f aca="false">IFERROR(VLOOKUP(E53,'Artikelstamm &amp; Auswertung'!B:N,13,FALSE()),0)</f>
        <v>0</v>
      </c>
      <c r="N53" s="57" t="str">
        <f aca="false">IF(I53="","",I53*M53)</f>
        <v/>
      </c>
      <c r="O53" s="21"/>
      <c r="P53" s="21"/>
    </row>
    <row r="54" customFormat="false" ht="15.75" hidden="false" customHeight="true" outlineLevel="0" collapsed="false">
      <c r="B54" s="85" t="str">
        <f aca="false">IF(C54&lt;&gt;"",MAX(B$14:B53)+1,"")</f>
        <v/>
      </c>
      <c r="C54" s="21"/>
      <c r="D54" s="21"/>
      <c r="E54" s="21"/>
      <c r="F54" s="14" t="str">
        <f aca="false">IFERROR(VLOOKUP(E54,'Artikelstamm &amp; Auswertung'!B:E,2,FALSE()),"")</f>
        <v/>
      </c>
      <c r="G54" s="15" t="str">
        <f aca="false">IFERROR(VLOOKUP(E54,'Artikelstamm &amp; Auswertung'!B:E,4,FALSE()),"")</f>
        <v/>
      </c>
      <c r="H54" s="21"/>
      <c r="I54" s="21"/>
      <c r="J54" s="18" t="str">
        <f aca="false">IF(H54="","",I54-H54)</f>
        <v/>
      </c>
      <c r="K54" s="21"/>
      <c r="L54" s="21"/>
      <c r="M54" s="57" t="n">
        <f aca="false">IFERROR(VLOOKUP(E54,'Artikelstamm &amp; Auswertung'!B:N,13,FALSE()),0)</f>
        <v>0</v>
      </c>
      <c r="N54" s="57" t="str">
        <f aca="false">IF(I54="","",I54*M54)</f>
        <v/>
      </c>
      <c r="O54" s="21"/>
      <c r="P54" s="21"/>
    </row>
    <row r="55" customFormat="false" ht="15.75" hidden="false" customHeight="true" outlineLevel="0" collapsed="false">
      <c r="B55" s="85" t="str">
        <f aca="false">IF(C55&lt;&gt;"",MAX(B$14:B54)+1,"")</f>
        <v/>
      </c>
      <c r="C55" s="21"/>
      <c r="D55" s="21"/>
      <c r="E55" s="21"/>
      <c r="F55" s="14" t="str">
        <f aca="false">IFERROR(VLOOKUP(E55,'Artikelstamm &amp; Auswertung'!B:E,2,FALSE()),"")</f>
        <v/>
      </c>
      <c r="G55" s="15" t="str">
        <f aca="false">IFERROR(VLOOKUP(E55,'Artikelstamm &amp; Auswertung'!B:E,4,FALSE()),"")</f>
        <v/>
      </c>
      <c r="H55" s="21"/>
      <c r="I55" s="21"/>
      <c r="J55" s="18" t="str">
        <f aca="false">IF(H55="","",I55-H55)</f>
        <v/>
      </c>
      <c r="K55" s="21"/>
      <c r="L55" s="21"/>
      <c r="M55" s="57" t="n">
        <f aca="false">IFERROR(VLOOKUP(E55,'Artikelstamm &amp; Auswertung'!B:N,13,FALSE()),0)</f>
        <v>0</v>
      </c>
      <c r="N55" s="57" t="str">
        <f aca="false">IF(I55="","",I55*M55)</f>
        <v/>
      </c>
      <c r="O55" s="21"/>
      <c r="P55" s="21"/>
    </row>
    <row r="56" customFormat="false" ht="15.75" hidden="false" customHeight="true" outlineLevel="0" collapsed="false">
      <c r="B56" s="85" t="str">
        <f aca="false">IF(C56&lt;&gt;"",MAX(B$14:B55)+1,"")</f>
        <v/>
      </c>
      <c r="C56" s="21"/>
      <c r="D56" s="21"/>
      <c r="E56" s="21"/>
      <c r="F56" s="14" t="str">
        <f aca="false">IFERROR(VLOOKUP(E56,'Artikelstamm &amp; Auswertung'!B:E,2,FALSE()),"")</f>
        <v/>
      </c>
      <c r="G56" s="15" t="str">
        <f aca="false">IFERROR(VLOOKUP(E56,'Artikelstamm &amp; Auswertung'!B:E,4,FALSE()),"")</f>
        <v/>
      </c>
      <c r="H56" s="21"/>
      <c r="I56" s="21"/>
      <c r="J56" s="18" t="str">
        <f aca="false">IF(H56="","",I56-H56)</f>
        <v/>
      </c>
      <c r="K56" s="21"/>
      <c r="L56" s="21"/>
      <c r="M56" s="57" t="n">
        <f aca="false">IFERROR(VLOOKUP(E56,'Artikelstamm &amp; Auswertung'!B:N,13,FALSE()),0)</f>
        <v>0</v>
      </c>
      <c r="N56" s="57" t="str">
        <f aca="false">IF(I56="","",I56*M56)</f>
        <v/>
      </c>
      <c r="O56" s="21"/>
      <c r="P56" s="21"/>
    </row>
    <row r="57" customFormat="false" ht="15.75" hidden="false" customHeight="true" outlineLevel="0" collapsed="false">
      <c r="B57" s="85" t="str">
        <f aca="false">IF(C57&lt;&gt;"",MAX(B$14:B56)+1,"")</f>
        <v/>
      </c>
      <c r="C57" s="21"/>
      <c r="D57" s="21"/>
      <c r="E57" s="21"/>
      <c r="F57" s="14" t="str">
        <f aca="false">IFERROR(VLOOKUP(E57,'Artikelstamm &amp; Auswertung'!B:E,2,FALSE()),"")</f>
        <v/>
      </c>
      <c r="G57" s="15" t="str">
        <f aca="false">IFERROR(VLOOKUP(E57,'Artikelstamm &amp; Auswertung'!B:E,4,FALSE()),"")</f>
        <v/>
      </c>
      <c r="H57" s="21"/>
      <c r="I57" s="21"/>
      <c r="J57" s="18" t="str">
        <f aca="false">IF(H57="","",I57-H57)</f>
        <v/>
      </c>
      <c r="K57" s="21"/>
      <c r="L57" s="21"/>
      <c r="M57" s="57" t="n">
        <f aca="false">IFERROR(VLOOKUP(E57,'Artikelstamm &amp; Auswertung'!B:N,13,FALSE()),0)</f>
        <v>0</v>
      </c>
      <c r="N57" s="57" t="str">
        <f aca="false">IF(I57="","",I57*M57)</f>
        <v/>
      </c>
      <c r="O57" s="21"/>
      <c r="P57" s="21"/>
    </row>
    <row r="58" customFormat="false" ht="15.75" hidden="false" customHeight="true" outlineLevel="0" collapsed="false">
      <c r="B58" s="85" t="str">
        <f aca="false">IF(C58&lt;&gt;"",MAX(B$14:B57)+1,"")</f>
        <v/>
      </c>
      <c r="C58" s="21"/>
      <c r="D58" s="21"/>
      <c r="E58" s="21"/>
      <c r="F58" s="14" t="str">
        <f aca="false">IFERROR(VLOOKUP(E58,'Artikelstamm &amp; Auswertung'!B:E,2,FALSE()),"")</f>
        <v/>
      </c>
      <c r="G58" s="15" t="str">
        <f aca="false">IFERROR(VLOOKUP(E58,'Artikelstamm &amp; Auswertung'!B:E,4,FALSE()),"")</f>
        <v/>
      </c>
      <c r="H58" s="21"/>
      <c r="I58" s="21"/>
      <c r="J58" s="18" t="str">
        <f aca="false">IF(H58="","",I58-H58)</f>
        <v/>
      </c>
      <c r="K58" s="21"/>
      <c r="L58" s="21"/>
      <c r="M58" s="57" t="n">
        <f aca="false">IFERROR(VLOOKUP(E58,'Artikelstamm &amp; Auswertung'!B:N,13,FALSE()),0)</f>
        <v>0</v>
      </c>
      <c r="N58" s="57" t="str">
        <f aca="false">IF(I58="","",I58*M58)</f>
        <v/>
      </c>
      <c r="O58" s="21"/>
      <c r="P58" s="21"/>
    </row>
    <row r="59" customFormat="false" ht="15.75" hidden="false" customHeight="true" outlineLevel="0" collapsed="false">
      <c r="B59" s="85" t="str">
        <f aca="false">IF(C59&lt;&gt;"",MAX(B$14:B58)+1,"")</f>
        <v/>
      </c>
      <c r="C59" s="21"/>
      <c r="D59" s="21"/>
      <c r="E59" s="21"/>
      <c r="F59" s="14" t="str">
        <f aca="false">IFERROR(VLOOKUP(E59,'Artikelstamm &amp; Auswertung'!B:E,2,FALSE()),"")</f>
        <v/>
      </c>
      <c r="G59" s="15" t="str">
        <f aca="false">IFERROR(VLOOKUP(E59,'Artikelstamm &amp; Auswertung'!B:E,4,FALSE()),"")</f>
        <v/>
      </c>
      <c r="H59" s="21"/>
      <c r="I59" s="21"/>
      <c r="J59" s="18" t="str">
        <f aca="false">IF(H59="","",I59-H59)</f>
        <v/>
      </c>
      <c r="K59" s="21"/>
      <c r="L59" s="21"/>
      <c r="M59" s="57" t="n">
        <f aca="false">IFERROR(VLOOKUP(E59,'Artikelstamm &amp; Auswertung'!B:N,13,FALSE()),0)</f>
        <v>0</v>
      </c>
      <c r="N59" s="57" t="str">
        <f aca="false">IF(I59="","",I59*M59)</f>
        <v/>
      </c>
      <c r="O59" s="21"/>
      <c r="P59" s="21"/>
    </row>
    <row r="60" customFormat="false" ht="15.75" hidden="false" customHeight="true" outlineLevel="0" collapsed="false">
      <c r="B60" s="85" t="str">
        <f aca="false">IF(C60&lt;&gt;"",MAX(B$14:B59)+1,"")</f>
        <v/>
      </c>
      <c r="C60" s="21"/>
      <c r="D60" s="21"/>
      <c r="E60" s="21"/>
      <c r="F60" s="14" t="str">
        <f aca="false">IFERROR(VLOOKUP(E60,'Artikelstamm &amp; Auswertung'!B:E,2,FALSE()),"")</f>
        <v/>
      </c>
      <c r="G60" s="15" t="str">
        <f aca="false">IFERROR(VLOOKUP(E60,'Artikelstamm &amp; Auswertung'!B:E,4,FALSE()),"")</f>
        <v/>
      </c>
      <c r="H60" s="21"/>
      <c r="I60" s="21"/>
      <c r="J60" s="18" t="str">
        <f aca="false">IF(H60="","",I60-H60)</f>
        <v/>
      </c>
      <c r="K60" s="21"/>
      <c r="L60" s="21"/>
      <c r="M60" s="57" t="n">
        <f aca="false">IFERROR(VLOOKUP(E60,'Artikelstamm &amp; Auswertung'!B:N,13,FALSE()),0)</f>
        <v>0</v>
      </c>
      <c r="N60" s="57" t="str">
        <f aca="false">IF(I60="","",I60*M60)</f>
        <v/>
      </c>
      <c r="O60" s="21"/>
      <c r="P60" s="21"/>
    </row>
    <row r="61" customFormat="false" ht="15.75" hidden="false" customHeight="true" outlineLevel="0" collapsed="false">
      <c r="B61" s="85" t="str">
        <f aca="false">IF(C61&lt;&gt;"",MAX(B$14:B60)+1,"")</f>
        <v/>
      </c>
      <c r="C61" s="21"/>
      <c r="D61" s="21"/>
      <c r="E61" s="21"/>
      <c r="F61" s="14" t="str">
        <f aca="false">IFERROR(VLOOKUP(E61,'Artikelstamm &amp; Auswertung'!B:E,2,FALSE()),"")</f>
        <v/>
      </c>
      <c r="G61" s="15" t="str">
        <f aca="false">IFERROR(VLOOKUP(E61,'Artikelstamm &amp; Auswertung'!B:E,4,FALSE()),"")</f>
        <v/>
      </c>
      <c r="H61" s="21"/>
      <c r="I61" s="21"/>
      <c r="J61" s="18" t="str">
        <f aca="false">IF(H61="","",I61-H61)</f>
        <v/>
      </c>
      <c r="K61" s="21"/>
      <c r="L61" s="21"/>
      <c r="M61" s="57" t="n">
        <f aca="false">IFERROR(VLOOKUP(E61,'Artikelstamm &amp; Auswertung'!B:N,13,FALSE()),0)</f>
        <v>0</v>
      </c>
      <c r="N61" s="57" t="str">
        <f aca="false">IF(I61="","",I61*M61)</f>
        <v/>
      </c>
      <c r="O61" s="21"/>
      <c r="P61" s="21"/>
    </row>
    <row r="62" customFormat="false" ht="15.75" hidden="false" customHeight="true" outlineLevel="0" collapsed="false">
      <c r="B62" s="85" t="str">
        <f aca="false">IF(C62&lt;&gt;"",MAX(B$14:B61)+1,"")</f>
        <v/>
      </c>
      <c r="C62" s="21"/>
      <c r="D62" s="21"/>
      <c r="E62" s="21"/>
      <c r="F62" s="14" t="str">
        <f aca="false">IFERROR(VLOOKUP(E62,'Artikelstamm &amp; Auswertung'!B:E,2,FALSE()),"")</f>
        <v/>
      </c>
      <c r="G62" s="15" t="str">
        <f aca="false">IFERROR(VLOOKUP(E62,'Artikelstamm &amp; Auswertung'!B:E,4,FALSE()),"")</f>
        <v/>
      </c>
      <c r="H62" s="21"/>
      <c r="I62" s="21"/>
      <c r="J62" s="18" t="str">
        <f aca="false">IF(H62="","",I62-H62)</f>
        <v/>
      </c>
      <c r="K62" s="21"/>
      <c r="L62" s="21"/>
      <c r="M62" s="57" t="n">
        <f aca="false">IFERROR(VLOOKUP(E62,'Artikelstamm &amp; Auswertung'!B:N,13,FALSE()),0)</f>
        <v>0</v>
      </c>
      <c r="N62" s="57" t="str">
        <f aca="false">IF(I62="","",I62*M62)</f>
        <v/>
      </c>
      <c r="O62" s="21"/>
      <c r="P62" s="21"/>
    </row>
    <row r="63" customFormat="false" ht="15.75" hidden="false" customHeight="true" outlineLevel="0" collapsed="false">
      <c r="B63" s="85" t="str">
        <f aca="false">IF(C63&lt;&gt;"",MAX(B$14:B62)+1,"")</f>
        <v/>
      </c>
      <c r="C63" s="21"/>
      <c r="D63" s="21"/>
      <c r="E63" s="21"/>
      <c r="F63" s="14" t="str">
        <f aca="false">IFERROR(VLOOKUP(E63,'Artikelstamm &amp; Auswertung'!B:E,2,FALSE()),"")</f>
        <v/>
      </c>
      <c r="G63" s="15" t="str">
        <f aca="false">IFERROR(VLOOKUP(E63,'Artikelstamm &amp; Auswertung'!B:E,4,FALSE()),"")</f>
        <v/>
      </c>
      <c r="H63" s="21"/>
      <c r="I63" s="21"/>
      <c r="J63" s="18" t="str">
        <f aca="false">IF(H63="","",I63-H63)</f>
        <v/>
      </c>
      <c r="K63" s="21"/>
      <c r="L63" s="21"/>
      <c r="M63" s="57" t="n">
        <f aca="false">IFERROR(VLOOKUP(E63,'Artikelstamm &amp; Auswertung'!B:N,13,FALSE()),0)</f>
        <v>0</v>
      </c>
      <c r="N63" s="57" t="str">
        <f aca="false">IF(I63="","",I63*M63)</f>
        <v/>
      </c>
      <c r="O63" s="21"/>
      <c r="P63" s="21"/>
    </row>
    <row r="64" customFormat="false" ht="19.5" hidden="false" customHeight="true" outlineLevel="0" collapsed="false">
      <c r="B64" s="23" t="s">
        <v>36</v>
      </c>
      <c r="C64" s="22"/>
      <c r="D64" s="22"/>
      <c r="E64" s="22"/>
      <c r="F64" s="22"/>
      <c r="G64" s="22"/>
      <c r="H64" s="24" t="n">
        <f aca="false">SUM(H14:H63)</f>
        <v>3130</v>
      </c>
      <c r="I64" s="24" t="n">
        <f aca="false">SUM(I14:I63)</f>
        <v>3118</v>
      </c>
      <c r="J64" s="25" t="n">
        <f aca="false">SUM(J14:J63)</f>
        <v>-12</v>
      </c>
      <c r="K64" s="22"/>
      <c r="L64" s="22"/>
      <c r="M64" s="22"/>
      <c r="N64" s="64" t="n">
        <f aca="false">SUM(N14:N63)</f>
        <v>1498.41</v>
      </c>
      <c r="O64" s="22"/>
      <c r="P64" s="22"/>
    </row>
  </sheetData>
  <autoFilter ref="B13:P63"/>
  <mergeCells count="14">
    <mergeCell ref="B2:H3"/>
    <mergeCell ref="I2:P3"/>
    <mergeCell ref="B6:P6"/>
    <mergeCell ref="B8:D8"/>
    <mergeCell ref="E8:G8"/>
    <mergeCell ref="H8:J8"/>
    <mergeCell ref="K8:M8"/>
    <mergeCell ref="N8:P8"/>
    <mergeCell ref="B9:D9"/>
    <mergeCell ref="E9:G9"/>
    <mergeCell ref="H9:J9"/>
    <mergeCell ref="K9:M9"/>
    <mergeCell ref="N9:P9"/>
    <mergeCell ref="B12:P12"/>
  </mergeCells>
  <conditionalFormatting sqref="O14:O63">
    <cfRule type="cellIs" priority="2" operator="equal" aboveAverage="0" equalAverage="0" bottom="0" percent="0" rank="0" text="" dxfId="15">
      <formula>"Gebucht"</formula>
    </cfRule>
    <cfRule type="cellIs" priority="3" operator="equal" aboveAverage="0" equalAverage="0" bottom="0" percent="0" rank="0" text="" dxfId="20">
      <formula>"Ausgegeben"</formula>
    </cfRule>
    <cfRule type="cellIs" priority="4" operator="equal" aboveAverage="0" equalAverage="0" bottom="0" percent="0" rank="0" text="" dxfId="16">
      <formula>"Genehmigt"</formula>
    </cfRule>
    <cfRule type="cellIs" priority="5" operator="equal" aboveAverage="0" equalAverage="0" bottom="0" percent="0" rank="0" text="" dxfId="21">
      <formula>"Entwurf"</formula>
    </cfRule>
    <cfRule type="cellIs" priority="6" operator="equal" aboveAverage="0" equalAverage="0" bottom="0" percent="0" rank="0" text="" dxfId="17">
      <formula>"Storniert"</formula>
    </cfRule>
  </conditionalFormatting>
  <conditionalFormatting sqref="J14:J63">
    <cfRule type="cellIs" priority="7" operator="lessThan" aboveAverage="0" equalAverage="0" bottom="0" percent="0" rank="0" text="" dxfId="0">
      <formula>0</formula>
    </cfRule>
    <cfRule type="cellIs" priority="8" operator="greaterThan" aboveAverage="0" equalAverage="0" bottom="0" percent="0" rank="0" text="" dxfId="22">
      <formula>0</formula>
    </cfRule>
  </conditionalFormatting>
  <dataValidations count="4">
    <dataValidation allowBlank="true" errorStyle="stop" operator="between" showDropDown="false" showErrorMessage="false" showInputMessage="false" sqref="O14:O63" type="list">
      <formula1>'Artikelstamm &amp; Auswertung'!$T$2:$T$6</formula1>
      <formula2>0</formula2>
    </dataValidation>
    <dataValidation allowBlank="true" errorStyle="stop" operator="between" showDropDown="false" showErrorMessage="false" showInputMessage="false" sqref="K14:K63" type="list">
      <formula1>'Artikelstamm &amp; Auswertung'!$U$2:$U$10</formula1>
      <formula2>0</formula2>
    </dataValidation>
    <dataValidation allowBlank="true" errorStyle="stop" operator="between" showDropDown="false" showErrorMessage="false" showInputMessage="false" sqref="L14:L63" type="list">
      <formula1>'Artikelstamm &amp; Auswertung'!$V$2:$V$11</formula1>
      <formula2>0</formula2>
    </dataValidation>
    <dataValidation allowBlank="true" errorStyle="stop" operator="between" showDropDown="false" showErrorMessage="false" showInputMessage="false" sqref="E14:E63" type="list">
      <formula1>'Artikelstamm &amp; Auswertung'!$B$29:$B$48</formula1>
      <formula2>0</formula2>
    </dataValidation>
  </dataValidations>
  <printOptions headings="false" gridLines="false" gridLinesSet="true" horizontalCentered="false" verticalCentered="false"/>
  <pageMargins left="0.4" right="0.4" top="0.4" bottom="0.4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2026-07-21T10:23:31Z</dcterms:created>
  <dc:creator>openpyxl</dc:creator>
  <dc:description/>
  <dc:language>en-US</dc:language>
  <cp:lastModifiedBy/>
  <dcterms:modified xsi:type="dcterms:W3CDTF">2026-07-21T10:23:33Z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