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steingangsbuch" sheetId="1" state="visible" r:id="rId3"/>
    <sheet name="Statistik" sheetId="2" state="visible" r:id="rId4"/>
  </sheets>
  <definedNames>
    <definedName function="false" hidden="false" localSheetId="0" name="_xlnm.Print_Titles" vbProcedure="false">Posteingangsbuch!$1:$8</definedName>
    <definedName function="false" hidden="false" localSheetId="1" name="_xlnm.Print_Titles" vbProcedure="false">Statistik!$1:$5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<sst xmlns="http://schemas.openxmlformats.org/spreadsheetml/2006/main" count="517" uniqueCount="230">
  <si>
    <t xml:space="preserve">POSTEINGANGSBUCH</t>
  </si>
  <si>
    <t xml:space="preserve">2026</t>
  </si>
  <si>
    <t xml:space="preserve">Eingangspostregister · Dokumentation der eingehenden Sendungen</t>
  </si>
  <si>
    <t xml:space="preserve">Dienststelle / Abteilung:</t>
  </si>
  <si>
    <t xml:space="preserve">[Abteilungsname eintragen]</t>
  </si>
  <si>
    <t xml:space="preserve">Verantwortlich:</t>
  </si>
  <si>
    <t xml:space="preserve">[Name des Posteingangsleiters]</t>
  </si>
  <si>
    <t xml:space="preserve">Erfasst von:</t>
  </si>
  <si>
    <t xml:space="preserve">[Sachbearbeiter/in]</t>
  </si>
  <si>
    <t xml:space="preserve">Stand:</t>
  </si>
  <si>
    <t xml:space="preserve">25.07.2026</t>
  </si>
  <si>
    <t xml:space="preserve">Zeitraum:</t>
  </si>
  <si>
    <t xml:space="preserve">01.01.2026 – 31.12.2026</t>
  </si>
  <si>
    <t xml:space="preserve">Aktenzeichen:</t>
  </si>
  <si>
    <t xml:space="preserve">[optional]</t>
  </si>
  <si>
    <t xml:space="preserve">Telefon:</t>
  </si>
  <si>
    <t xml:space="preserve">[Telefonnummer]</t>
  </si>
  <si>
    <t xml:space="preserve">Version:</t>
  </si>
  <si>
    <t xml:space="preserve">1.0</t>
  </si>
  <si>
    <t xml:space="preserve">PE-Nr.</t>
  </si>
  <si>
    <t xml:space="preserve">Eingangs-
datum</t>
  </si>
  <si>
    <t xml:space="preserve">ABSENDER</t>
  </si>
  <si>
    <t xml:space="preserve">SENDUNGSART</t>
  </si>
  <si>
    <t xml:space="preserve">Betreff / Inhalt</t>
  </si>
  <si>
    <t xml:space="preserve">Dringlichkeit</t>
  </si>
  <si>
    <t xml:space="preserve">WEITERLEITUNG</t>
  </si>
  <si>
    <t xml:space="preserve">Status</t>
  </si>
  <si>
    <t xml:space="preserve">FRISTEN</t>
  </si>
  <si>
    <t xml:space="preserve">Wiedervorlage</t>
  </si>
  <si>
    <t xml:space="preserve">Bemerkungen</t>
  </si>
  <si>
    <t xml:space="preserve">Name / Firma</t>
  </si>
  <si>
    <t xml:space="preserve">Ort / PLZ</t>
  </si>
  <si>
    <t xml:space="preserve">Postweg</t>
  </si>
  <si>
    <t xml:space="preserve">Dokumentart</t>
  </si>
  <si>
    <t xml:space="preserve">Weitergeleitet an</t>
  </si>
  <si>
    <t xml:space="preserve">Weiterleit.-Dat.</t>
  </si>
  <si>
    <t xml:space="preserve">Fälligkeit</t>
  </si>
  <si>
    <t xml:space="preserve">Erledigt am</t>
  </si>
  <si>
    <t xml:space="preserve">Finanzamt Musterstadt</t>
  </si>
  <si>
    <t xml:space="preserve">12345 Musterstadt</t>
  </si>
  <si>
    <t xml:space="preserve">Brief</t>
  </si>
  <si>
    <t xml:space="preserve">Bescheid</t>
  </si>
  <si>
    <t xml:space="preserve">Körperschaftsteuerbescheid 2024</t>
  </si>
  <si>
    <t xml:space="preserve">Dringend</t>
  </si>
  <si>
    <t xml:space="preserve">K. Bauer / Finanzen</t>
  </si>
  <si>
    <t xml:space="preserve">Erledigt</t>
  </si>
  <si>
    <t xml:space="preserve">–</t>
  </si>
  <si>
    <t xml:space="preserve">Frist beachten – Einspruch bis 28.02.</t>
  </si>
  <si>
    <t xml:space="preserve">Müller &amp; Partner GmbH</t>
  </si>
  <si>
    <t xml:space="preserve">10115 Berlin</t>
  </si>
  <si>
    <t xml:space="preserve">Einschreiben</t>
  </si>
  <si>
    <t xml:space="preserve">Rechnung</t>
  </si>
  <si>
    <t xml:space="preserve">Rechnung Nr. R-2025-4421 über 3.850,00 €</t>
  </si>
  <si>
    <t xml:space="preserve">Normal</t>
  </si>
  <si>
    <t xml:space="preserve">N. Braun / Buchhaltung</t>
  </si>
  <si>
    <t xml:space="preserve">Zahlungsziel 30 Tage</t>
  </si>
  <si>
    <t xml:space="preserve">Vogt Technik GmbH</t>
  </si>
  <si>
    <t xml:space="preserve">70173 Stuttgart</t>
  </si>
  <si>
    <t xml:space="preserve">E-Mail</t>
  </si>
  <si>
    <t xml:space="preserve">Angebot</t>
  </si>
  <si>
    <t xml:space="preserve">Angebot Wartungsvertrag Klimaanlage 2026/27</t>
  </si>
  <si>
    <t xml:space="preserve">F. Vogel / Technik</t>
  </si>
  <si>
    <t xml:space="preserve">Angebot angenommen, Vertrag folgt</t>
  </si>
  <si>
    <t xml:space="preserve">Versicherung Nordwest AG</t>
  </si>
  <si>
    <t xml:space="preserve">20095 Hamburg</t>
  </si>
  <si>
    <t xml:space="preserve">Vertrag</t>
  </si>
  <si>
    <t xml:space="preserve">Verlängerungsangebot Haftpflicht 2026</t>
  </si>
  <si>
    <t xml:space="preserve">L. Richter / Leitung</t>
  </si>
  <si>
    <t xml:space="preserve">Verlängerung beauftragt</t>
  </si>
  <si>
    <t xml:space="preserve">Bundesagentur für Arbeit</t>
  </si>
  <si>
    <t xml:space="preserve">90327 Nürnberg</t>
  </si>
  <si>
    <t xml:space="preserve">Mitteilung</t>
  </si>
  <si>
    <t xml:space="preserve">Beitragsnachweis Januar 2026</t>
  </si>
  <si>
    <t xml:space="preserve">Abgelegt unter SV 2026</t>
  </si>
  <si>
    <t xml:space="preserve">IHK Rhein-Main</t>
  </si>
  <si>
    <t xml:space="preserve">60311 Frankfurt</t>
  </si>
  <si>
    <t xml:space="preserve">Mitgliedsbeitragsrechnung 2026</t>
  </si>
  <si>
    <t xml:space="preserve">Überwiesen 28.01.</t>
  </si>
  <si>
    <t xml:space="preserve">Stadtwerke Musterstadt</t>
  </si>
  <si>
    <t xml:space="preserve">Jahresabrechnung Strom/Gas 2025</t>
  </si>
  <si>
    <t xml:space="preserve">Nachzahlung 842 €</t>
  </si>
  <si>
    <t xml:space="preserve">Weber IT Solutions GmbH</t>
  </si>
  <si>
    <t xml:space="preserve">60549 Frankfurt</t>
  </si>
  <si>
    <t xml:space="preserve">Angebot Servermigration Cloud Q1/2026</t>
  </si>
  <si>
    <t xml:space="preserve">C. Koch / IT</t>
  </si>
  <si>
    <t xml:space="preserve">Auftrag erteilt 29.01.</t>
  </si>
  <si>
    <t xml:space="preserve">Rechtsanwälte Kröger &amp; Sohn</t>
  </si>
  <si>
    <t xml:space="preserve">40213 Düsseldorf</t>
  </si>
  <si>
    <t xml:space="preserve">Mietvertrag Archivräume Gebäude B</t>
  </si>
  <si>
    <t xml:space="preserve">Vertraulich</t>
  </si>
  <si>
    <t xml:space="preserve">Gezeichnet, Original bei RA</t>
  </si>
  <si>
    <t xml:space="preserve">Lieferant Haas GmbH</t>
  </si>
  <si>
    <t xml:space="preserve">80336 München</t>
  </si>
  <si>
    <t xml:space="preserve">Paket</t>
  </si>
  <si>
    <t xml:space="preserve">Sonstiges</t>
  </si>
  <si>
    <t xml:space="preserve">Warenlieferung Bestellung B-2026-0012</t>
  </si>
  <si>
    <t xml:space="preserve">T. Hoffmann / Lager</t>
  </si>
  <si>
    <t xml:space="preserve">Ware geprüft, eingelagert</t>
  </si>
  <si>
    <t xml:space="preserve">Krause &amp; Co. KG</t>
  </si>
  <si>
    <t xml:space="preserve">50667 Köln</t>
  </si>
  <si>
    <t xml:space="preserve">Mahnung</t>
  </si>
  <si>
    <t xml:space="preserve">1. Mahnung Rechnung R-2025-3812</t>
  </si>
  <si>
    <t xml:space="preserve">Zahlung veranlasst 06.02.</t>
  </si>
  <si>
    <t xml:space="preserve">Gewerbeamt Musterstadt</t>
  </si>
  <si>
    <t xml:space="preserve">Gewerbeanmeldung Änderung Betriebszweck</t>
  </si>
  <si>
    <t xml:space="preserve">Eintrag bestätigt</t>
  </si>
  <si>
    <t xml:space="preserve">Schulze Reinigung GmbH</t>
  </si>
  <si>
    <t xml:space="preserve">22761 Hamburg</t>
  </si>
  <si>
    <t xml:space="preserve">Rechnung Reinigungsservice Februar 2026</t>
  </si>
  <si>
    <t xml:space="preserve">Dauerauftrag geprüft</t>
  </si>
  <si>
    <t xml:space="preserve">Deutsche Rentenversicherung</t>
  </si>
  <si>
    <t xml:space="preserve">10709 Berlin</t>
  </si>
  <si>
    <t xml:space="preserve">Beitragsbescheid Rentenversicherung Q1/2026</t>
  </si>
  <si>
    <t xml:space="preserve">Abgelegt SV 2026</t>
  </si>
  <si>
    <t xml:space="preserve">Bergmann Consulting AG</t>
  </si>
  <si>
    <t xml:space="preserve">81675 München</t>
  </si>
  <si>
    <t xml:space="preserve">Angebot Unternehmensberatung Q2/2026</t>
  </si>
  <si>
    <t xml:space="preserve">Angebot abgelehnt, Info versandt</t>
  </si>
  <si>
    <t xml:space="preserve">Verlag Fachmedien GmbH</t>
  </si>
  <si>
    <t xml:space="preserve">97082 Würzburg</t>
  </si>
  <si>
    <t xml:space="preserve">Jahresabo Fachzeitschrift 2026</t>
  </si>
  <si>
    <t xml:space="preserve">Überwiesen 02.03.</t>
  </si>
  <si>
    <t xml:space="preserve">Handwerkskammer Rhein</t>
  </si>
  <si>
    <t xml:space="preserve">56068 Koblenz</t>
  </si>
  <si>
    <t xml:space="preserve">Handwerkskarte 2026 – Verlängerung</t>
  </si>
  <si>
    <t xml:space="preserve">Karte abgeholt 10.03.</t>
  </si>
  <si>
    <t xml:space="preserve">Lieferant Fischer GmbH</t>
  </si>
  <si>
    <t xml:space="preserve">60488 Frankfurt</t>
  </si>
  <si>
    <t xml:space="preserve">Kurier</t>
  </si>
  <si>
    <t xml:space="preserve">Expresslieferung Büromaterial – Bestellung B-003</t>
  </si>
  <si>
    <t xml:space="preserve">S. Klein / Verwaltung</t>
  </si>
  <si>
    <t xml:space="preserve">Vollständig, eingelagert</t>
  </si>
  <si>
    <t xml:space="preserve">Umweltbehörde Musterstadt</t>
  </si>
  <si>
    <t xml:space="preserve">Genehmigung Sonderabfallentsorgung 2026</t>
  </si>
  <si>
    <t xml:space="preserve">Genehmigung erteilt, archiviert</t>
  </si>
  <si>
    <t xml:space="preserve">AOK Musterland</t>
  </si>
  <si>
    <t xml:space="preserve">45131 Essen</t>
  </si>
  <si>
    <t xml:space="preserve">Krankenversicherungsbeiträge März 2026</t>
  </si>
  <si>
    <t xml:space="preserve">Abgebucht</t>
  </si>
  <si>
    <t xml:space="preserve">Keller &amp; Partner GmbH</t>
  </si>
  <si>
    <t xml:space="preserve">30159 Hannover</t>
  </si>
  <si>
    <t xml:space="preserve">Angebot Druckdienstleistungen Katalog 2026</t>
  </si>
  <si>
    <t xml:space="preserve">A. Fischer / Marketing</t>
  </si>
  <si>
    <t xml:space="preserve">2 Angebote verglichen, Entscheidung 31.03.</t>
  </si>
  <si>
    <t xml:space="preserve">Verband der Branche e.V.</t>
  </si>
  <si>
    <t xml:space="preserve">10117 Berlin</t>
  </si>
  <si>
    <t xml:space="preserve">Einladung Jahrestagung 14./15. Mai 2026</t>
  </si>
  <si>
    <t xml:space="preserve">Teilnahme angemeldet</t>
  </si>
  <si>
    <t xml:space="preserve">Rechnung R-2026-0091 über 1.240,00 €</t>
  </si>
  <si>
    <t xml:space="preserve">Umsatzsteuervoranmeldung Q1/2026</t>
  </si>
  <si>
    <t xml:space="preserve">Zahlung 30.04.</t>
  </si>
  <si>
    <t xml:space="preserve">Brandt IT GmbH</t>
  </si>
  <si>
    <t xml:space="preserve">97070 Würzburg</t>
  </si>
  <si>
    <t xml:space="preserve">Angebot Software-Lizenz ERP 2026+</t>
  </si>
  <si>
    <t xml:space="preserve">Lizenz erworben 12.05.</t>
  </si>
  <si>
    <t xml:space="preserve">Ergänzungsvereinbarung Dienstleistungsvertrag</t>
  </si>
  <si>
    <t xml:space="preserve">Gezeichnet, Ausfertigung zurück</t>
  </si>
  <si>
    <t xml:space="preserve">Abrechnung Wasser/Abwasser Mai 2026</t>
  </si>
  <si>
    <t xml:space="preserve">Überwiesen</t>
  </si>
  <si>
    <t xml:space="preserve">Seminarangebot: Arbeitsrecht Aktuell – Juni 2026</t>
  </si>
  <si>
    <t xml:space="preserve">P. Wolf / HR</t>
  </si>
  <si>
    <t xml:space="preserve">2 Plätze gebucht</t>
  </si>
  <si>
    <t xml:space="preserve">Rechnung Sonderlieferung Projekt NEU-2026</t>
  </si>
  <si>
    <t xml:space="preserve">Sofortüberweisung veranlasst</t>
  </si>
  <si>
    <t xml:space="preserve">Nachforderung Emissionsbericht 2025</t>
  </si>
  <si>
    <t xml:space="preserve">Bericht eingereicht 30.06.</t>
  </si>
  <si>
    <t xml:space="preserve">Bericht</t>
  </si>
  <si>
    <t xml:space="preserve">Abschlussbericht Projekt Analyse 2026</t>
  </si>
  <si>
    <t xml:space="preserve">Bericht abgenommen, Akte geschlossen</t>
  </si>
  <si>
    <t xml:space="preserve">Sonderausgabe Fachmagazin 3/2026</t>
  </si>
  <si>
    <t xml:space="preserve">Überwiesen 07.07.</t>
  </si>
  <si>
    <t xml:space="preserve">Umsatzsteuervoranmeldung Q2/2026</t>
  </si>
  <si>
    <t xml:space="preserve">Zahlung 20.07.</t>
  </si>
  <si>
    <t xml:space="preserve">Angebot Transportdienstleistungen H2/2026</t>
  </si>
  <si>
    <t xml:space="preserve">In Bearbeitung</t>
  </si>
  <si>
    <t xml:space="preserve">Preisvergleich läuft</t>
  </si>
  <si>
    <t xml:space="preserve">Rechnung R-2026-0184 über 6.420,00 €</t>
  </si>
  <si>
    <t xml:space="preserve">Rechnungsprüfung ausstehend</t>
  </si>
  <si>
    <t xml:space="preserve">Beitragssatzänderung ab 01.08.2026</t>
  </si>
  <si>
    <t xml:space="preserve">Gehaltsabrechnung aktualisiert</t>
  </si>
  <si>
    <t xml:space="preserve">Rechnung Serverhosting Juli 2026</t>
  </si>
  <si>
    <t xml:space="preserve">Offen</t>
  </si>
  <si>
    <t xml:space="preserve">Dauerrechnung – Zahlung bis 16.08.</t>
  </si>
  <si>
    <t xml:space="preserve">Kurzarbeitergeld Abruf 06/2026</t>
  </si>
  <si>
    <t xml:space="preserve">Unterlagen zusammenstellen</t>
  </si>
  <si>
    <t xml:space="preserve">Warenlieferung B-2026-0071 – Teillieferung</t>
  </si>
  <si>
    <t xml:space="preserve">Restlieferung erwartet 28.07.</t>
  </si>
  <si>
    <t xml:space="preserve">Einladung Herbsttagung 22./23. Oktober 2026</t>
  </si>
  <si>
    <t xml:space="preserve">Anmeldefrist 14.08.</t>
  </si>
  <si>
    <t xml:space="preserve">Abmahnung wegen Vertragsverstoß – Ref. KS/2026/44</t>
  </si>
  <si>
    <t xml:space="preserve">Sofortige Prüfung erforderlich!</t>
  </si>
  <si>
    <t xml:space="preserve">GESAMT:  41 Eingänge</t>
  </si>
  <si>
    <t xml:space="preserve">STATISTIK  |  Posteingangsauswertung 2026</t>
  </si>
  <si>
    <t xml:space="preserve">Stand: 25.07.2026</t>
  </si>
  <si>
    <t xml:space="preserve">Auswertungszeitraum: 01.01.–31.12.2026   ·   Datenquelle: Posteingangsbuch   ·   Gesamt-Einträge: 41</t>
  </si>
  <si>
    <t xml:space="preserve">  A  GESAMTKENNZAHLEN</t>
  </si>
  <si>
    <t xml:space="preserve">Kennzahl</t>
  </si>
  <si>
    <t xml:space="preserve">Wert</t>
  </si>
  <si>
    <t xml:space="preserve">Sendungen gesamt</t>
  </si>
  <si>
    <t xml:space="preserve">Dringende Sendungen</t>
  </si>
  <si>
    <t xml:space="preserve">Vertrauliche Sendungen</t>
  </si>
  <si>
    <t xml:space="preserve">Mit Wiedervorlage</t>
  </si>
  <si>
    <t xml:space="preserve">Offene Rechnungen</t>
  </si>
  <si>
    <t xml:space="preserve">  B  STATUS DER EINGÄNGE</t>
  </si>
  <si>
    <t xml:space="preserve">Anzahl</t>
  </si>
  <si>
    <t xml:space="preserve">Anteil</t>
  </si>
  <si>
    <t xml:space="preserve">Weitergeleitet</t>
  </si>
  <si>
    <t xml:space="preserve">Archiviert</t>
  </si>
  <si>
    <t xml:space="preserve">Zurückgestellt</t>
  </si>
  <si>
    <t xml:space="preserve">  C  VERSANDART / POSTWEG</t>
  </si>
  <si>
    <t xml:space="preserve">Fax</t>
  </si>
  <si>
    <t xml:space="preserve">Bote</t>
  </si>
  <si>
    <t xml:space="preserve">Intern</t>
  </si>
  <si>
    <t xml:space="preserve">  D  DOKUMENTENARTEN</t>
  </si>
  <si>
    <t xml:space="preserve">Antrag</t>
  </si>
  <si>
    <t xml:space="preserve">Protokoll</t>
  </si>
  <si>
    <t xml:space="preserve">  E  MONATLICHE EINGÄNGE 2026</t>
  </si>
  <si>
    <t xml:space="preserve">Monat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</si>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</sst>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\.mm\.yyyy"/>
    <numFmt numFmtId="166" formatCode="General"/>
    <numFmt numFmtId="167" formatCode="0.0%"/>
  </numFmts>
  <fonts count="4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FDFCFA"/>
      <name val="Calibri"/>
      <family val="0"/>
      <charset val="1"/>
    </font>
    <font>
      <b val="true"/>
      <sz val="28"/>
      <color rgb="FFD4934A"/>
      <name val="Calibri"/>
      <family val="0"/>
      <charset val="1"/>
    </font>
    <font>
      <i val="true"/>
      <sz val="10"/>
      <color rgb="FFF5E6D0"/>
      <name val="Calibri"/>
      <family val="0"/>
      <charset val="1"/>
    </font>
    <font>
      <b val="true"/>
      <sz val="9"/>
      <color rgb="FFB87333"/>
      <name val="Calibri"/>
      <family val="0"/>
      <charset val="1"/>
    </font>
    <font>
      <sz val="9"/>
      <color rgb="FF5C1A1A"/>
      <name val="Calibri"/>
      <family val="0"/>
      <charset val="1"/>
    </font>
    <font>
      <b val="true"/>
      <sz val="9"/>
      <color rgb="FFFDFCFA"/>
      <name val="Calibri"/>
      <family val="0"/>
      <charset val="1"/>
    </font>
    <font>
      <b val="true"/>
      <sz val="8"/>
      <color rgb="FF5C1A1A"/>
      <name val="Calibri"/>
      <family val="0"/>
      <charset val="1"/>
    </font>
    <font>
      <b val="true"/>
      <sz val="9"/>
      <color rgb="FF5C1A1A"/>
      <name val="Calibri"/>
      <family val="0"/>
      <charset val="1"/>
    </font>
    <font>
      <i val="true"/>
      <sz val="8"/>
      <color rgb="FF7A2828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sz val="8"/>
      <color rgb="FF7A2828"/>
      <name val="Calibri"/>
      <family val="0"/>
      <charset val="1"/>
    </font>
    <font>
      <sz val="9"/>
      <color rgb="FF1A1A1A"/>
      <name val="Calibri"/>
      <family val="0"/>
      <charset val="1"/>
    </font>
    <font>
      <b val="true"/>
      <sz val="8"/>
      <color rgb="FFA01515"/>
      <name val="Calibri"/>
      <family val="0"/>
      <charset val="1"/>
    </font>
    <font>
      <sz val="8"/>
      <color rgb="FF1A1A1A"/>
      <name val="Calibri"/>
      <family val="0"/>
      <charset val="1"/>
    </font>
    <font>
      <b val="true"/>
      <sz val="8"/>
      <color rgb="FF4A5A28"/>
      <name val="Calibri"/>
      <family val="0"/>
      <charset val="1"/>
    </font>
    <font>
      <sz val="9"/>
      <color rgb="FF4A5A28"/>
      <name val="Calibri"/>
      <family val="0"/>
      <charset val="1"/>
    </font>
    <font>
      <sz val="8"/>
      <color rgb="FFC8C0B8"/>
      <name val="Calibri"/>
      <family val="0"/>
      <charset val="1"/>
    </font>
    <font>
      <b val="true"/>
      <sz val="8"/>
      <color rgb="FF7A2828"/>
      <name val="Calibri"/>
      <family val="0"/>
      <charset val="1"/>
    </font>
    <font>
      <b val="true"/>
      <sz val="8"/>
      <color rgb="FF5A1A6A"/>
      <name val="Calibri"/>
      <family val="0"/>
      <charset val="1"/>
    </font>
    <font>
      <b val="true"/>
      <sz val="8"/>
      <color rgb="FF8A5A00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4A5A28"/>
      <name val="Calibri"/>
      <family val="0"/>
      <charset val="1"/>
    </font>
    <font>
      <b val="true"/>
      <sz val="9"/>
      <color rgb="FFA01515"/>
      <name val="Calibri"/>
      <family val="0"/>
      <charset val="1"/>
    </font>
    <font>
      <b val="true"/>
      <sz val="9"/>
      <color rgb="FF8A5A00"/>
      <name val="Calibri"/>
      <family val="0"/>
      <charset val="1"/>
    </font>
    <font>
      <b val="true"/>
      <sz val="22"/>
      <color rgb="FFFDFCFA"/>
      <name val="Calibri"/>
      <family val="0"/>
      <charset val="1"/>
    </font>
    <font>
      <i val="true"/>
      <sz val="10"/>
      <color rgb="FFD4934A"/>
      <name val="Calibri"/>
      <family val="0"/>
      <charset val="1"/>
    </font>
    <font>
      <i val="true"/>
      <sz val="9"/>
      <color rgb="FF5C1A1A"/>
      <name val="Calibri"/>
      <family val="0"/>
      <charset val="1"/>
    </font>
    <font>
      <b val="true"/>
      <sz val="10"/>
      <color rgb="FFFDFCFA"/>
      <name val="Calibri"/>
      <family val="0"/>
      <charset val="1"/>
    </font>
    <font>
      <b val="true"/>
      <sz val="9"/>
      <color rgb="FF7A2828"/>
      <name val="Calibri"/>
      <family val="0"/>
      <charset val="1"/>
    </font>
    <font>
      <b val="true"/>
      <sz val="13"/>
      <color rgb="FF5C1A1A"/>
      <name val="Calibri"/>
      <family val="0"/>
      <charset val="1"/>
    </font>
    <font>
      <b val="true"/>
      <sz val="13"/>
      <color rgb="FF4A5A28"/>
      <name val="Calibri"/>
      <family val="0"/>
      <charset val="1"/>
    </font>
    <font>
      <b val="true"/>
      <sz val="13"/>
      <color rgb="FFA01515"/>
      <name val="Calibri"/>
      <family val="0"/>
      <charset val="1"/>
    </font>
    <font>
      <b val="true"/>
      <sz val="13"/>
      <color rgb="FF8A5A00"/>
      <name val="Calibri"/>
      <family val="0"/>
      <charset val="1"/>
    </font>
    <font>
      <b val="true"/>
      <sz val="13"/>
      <color rgb="FF5A1A6A"/>
      <name val="Calibri"/>
      <family val="0"/>
      <charset val="1"/>
    </font>
    <font>
      <b val="true"/>
      <sz val="10"/>
      <color rgb="FF5C1A1A"/>
      <name val="Calibri"/>
      <family val="0"/>
      <charset val="1"/>
    </font>
    <font>
      <sz val="9"/>
      <color rgb="FFB87333"/>
      <name val="Calibri"/>
      <family val="0"/>
      <charset val="1"/>
    </font>
    <font>
      <b val="true"/>
      <sz val="9"/>
      <color rgb="FF1A3A6A"/>
      <name val="Calibri"/>
      <family val="0"/>
      <charset val="1"/>
    </font>
    <font>
      <b val="true"/>
      <sz val="9"/>
      <color rgb="FFC8C0B8"/>
      <name val="Calibri"/>
      <family val="0"/>
      <charset val="1"/>
    </font>
    <font>
      <b val="true"/>
      <sz val="9"/>
      <color rgb="FF5A1A6A"/>
      <name val="Calibri"/>
      <family val="0"/>
      <charset val="1"/>
    </font>
  </fonts>
  <fills count="20">
    <fill>
      <patternFill patternType="none"/>
    </fill>
    <fill>
      <patternFill patternType="gray125"/>
    </fill>
    <fill>
      <patternFill patternType="solid">
        <fgColor rgb="FF5C1A1A"/>
        <bgColor rgb="FF7A2828"/>
      </patternFill>
    </fill>
    <fill>
      <patternFill patternType="solid">
        <fgColor rgb="FFB87333"/>
        <bgColor rgb="FFD4934A"/>
      </patternFill>
    </fill>
    <fill>
      <patternFill patternType="solid">
        <fgColor rgb="FFF5F3F0"/>
        <bgColor rgb="FFFAF0F0"/>
      </patternFill>
    </fill>
    <fill>
      <patternFill patternType="solid">
        <fgColor rgb="FF7A2828"/>
        <bgColor rgb="FF5C1A1A"/>
      </patternFill>
    </fill>
    <fill>
      <patternFill patternType="solid">
        <fgColor rgb="FFF5E6D0"/>
        <bgColor rgb="FFF5E8C0"/>
      </patternFill>
    </fill>
    <fill>
      <patternFill patternType="solid">
        <fgColor rgb="FFFFFFFF"/>
        <bgColor rgb="FFFDFCFA"/>
      </patternFill>
    </fill>
    <fill>
      <patternFill patternType="solid">
        <fgColor rgb="FF1A3A6A"/>
        <bgColor rgb="FF333399"/>
      </patternFill>
    </fill>
    <fill>
      <patternFill patternType="solid">
        <fgColor rgb="FFF5D0D0"/>
        <bgColor rgb="FFF0D8D8"/>
      </patternFill>
    </fill>
    <fill>
      <patternFill patternType="solid">
        <fgColor rgb="FFD8E0C0"/>
        <bgColor rgb="FFE8E3DC"/>
      </patternFill>
    </fill>
    <fill>
      <patternFill patternType="solid">
        <fgColor rgb="FFFAF0F0"/>
        <bgColor rgb="FFF5F3F0"/>
      </patternFill>
    </fill>
    <fill>
      <patternFill patternType="solid">
        <fgColor rgb="FF5A1A6A"/>
        <bgColor rgb="FF5C1A1A"/>
      </patternFill>
    </fill>
    <fill>
      <patternFill patternType="solid">
        <fgColor rgb="FFE8D0F0"/>
        <bgColor rgb="FFF0D8D8"/>
      </patternFill>
    </fill>
    <fill>
      <patternFill patternType="solid">
        <fgColor rgb="FF4A5A28"/>
        <bgColor rgb="FF8A5A00"/>
      </patternFill>
    </fill>
    <fill>
      <patternFill patternType="solid">
        <fgColor rgb="FFA01515"/>
        <bgColor rgb="FF7A2828"/>
      </patternFill>
    </fill>
    <fill>
      <patternFill patternType="solid">
        <fgColor rgb="FFF5E8C0"/>
        <bgColor rgb="FFF5E6D0"/>
      </patternFill>
    </fill>
    <fill>
      <patternFill patternType="solid">
        <fgColor rgb="FFFDFCFA"/>
        <bgColor rgb="FFFFFFFF"/>
      </patternFill>
    </fill>
    <fill>
      <patternFill patternType="solid">
        <fgColor rgb="FFF0D8D8"/>
        <bgColor rgb="FFF5D0D0"/>
      </patternFill>
    </fill>
    <fill>
      <patternFill patternType="solid">
        <fgColor rgb="FFE8E3DC"/>
        <bgColor rgb="FFF5E6D0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8E3DC"/>
      </bottom>
      <diagonal/>
    </border>
    <border diagonalUp="false" diagonalDown="false">
      <left/>
      <right/>
      <top/>
      <bottom style="thin">
        <color rgb="FFF5E6D0"/>
      </bottom>
      <diagonal/>
    </border>
    <border diagonalUp="false" diagonalDown="false">
      <left style="thin">
        <color rgb="FF5C1A1A"/>
      </left>
      <right style="thin">
        <color rgb="FF5C1A1A"/>
      </right>
      <top style="thin">
        <color rgb="FF5C1A1A"/>
      </top>
      <bottom style="thin">
        <color rgb="FF5C1A1A"/>
      </bottom>
      <diagonal/>
    </border>
    <border diagonalUp="false" diagonalDown="false">
      <left style="thin">
        <color rgb="FF5C1A1A"/>
      </left>
      <right/>
      <top style="thin">
        <color rgb="FF5C1A1A"/>
      </top>
      <bottom style="thin">
        <color rgb="FF5C1A1A"/>
      </bottom>
      <diagonal/>
    </border>
    <border diagonalUp="false" diagonalDown="false">
      <left style="thin">
        <color rgb="FF7A2828"/>
      </left>
      <right style="thin">
        <color rgb="FF7A2828"/>
      </right>
      <top style="thin">
        <color rgb="FF7A2828"/>
      </top>
      <bottom style="thin">
        <color rgb="FF7A2828"/>
      </bottom>
      <diagonal/>
    </border>
    <border diagonalUp="false" diagonalDown="false">
      <left style="thin">
        <color rgb="FFE8E3DC"/>
      </left>
      <right style="thin">
        <color rgb="FFE8E3DC"/>
      </right>
      <top style="thin">
        <color rgb="FFE8E3DC"/>
      </top>
      <bottom style="thin">
        <color rgb="FFE8E3DC"/>
      </bottom>
      <diagonal/>
    </border>
    <border diagonalUp="false" diagonalDown="false">
      <left style="medium">
        <color rgb="FFB87333"/>
      </left>
      <right/>
      <top/>
      <bottom/>
      <diagonal/>
    </border>
    <border diagonalUp="false" diagonalDown="false">
      <left style="medium">
        <color rgb="FFB87333"/>
      </left>
      <right style="medium">
        <color rgb="FFB87333"/>
      </right>
      <top style="medium">
        <color rgb="FFB87333"/>
      </top>
      <bottom style="medium">
        <color rgb="FFB8733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7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8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6" fillId="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7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1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7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11" fillId="1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11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1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1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1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1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7" fillId="1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1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1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1" borderId="6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3" fillId="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3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1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16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5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1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29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0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5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33" fillId="1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34" fillId="1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5" fillId="1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6" fillId="1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37" fillId="18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9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38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9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38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9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7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0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1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2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2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5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6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1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0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41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name val="Calibri"/>
        <charset val="1"/>
        <family val="0"/>
        <b val="1"/>
        <color rgb="FF4A5A28"/>
        <sz val="8"/>
      </font>
      <fill>
        <patternFill>
          <bgColor rgb="FFD8E0C0"/>
        </patternFill>
      </fill>
    </dxf>
    <dxf>
      <font>
        <name val="Calibri"/>
        <charset val="1"/>
        <family val="0"/>
        <b val="1"/>
        <color rgb="FFA01515"/>
        <sz val="8"/>
      </font>
      <fill>
        <patternFill>
          <bgColor rgb="FFF5D0D0"/>
        </patternFill>
      </fill>
    </dxf>
    <dxf>
      <font>
        <name val="Calibri"/>
        <charset val="1"/>
        <family val="0"/>
        <b val="1"/>
        <color rgb="FF8A5A00"/>
        <sz val="8"/>
      </font>
      <fill>
        <patternFill>
          <bgColor rgb="FFF5E8C0"/>
        </patternFill>
      </fill>
    </dxf>
    <dxf>
      <font>
        <name val="Calibri"/>
        <charset val="1"/>
        <family val="0"/>
        <b val="1"/>
        <color rgb="FF1A3A6A"/>
        <sz val="8"/>
      </font>
      <fill>
        <patternFill>
          <bgColor rgb="FFD0DCEE"/>
        </patternFill>
      </fill>
    </dxf>
    <dxf>
      <font>
        <name val="Calibri"/>
        <charset val="1"/>
        <family val="0"/>
        <b val="1"/>
        <color rgb="FF5A1A6A"/>
        <sz val="8"/>
      </font>
      <fill>
        <patternFill>
          <bgColor rgb="FFE8D0F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5E6D0"/>
      <rgbColor rgb="FFFF00FF"/>
      <rgbColor rgb="FF00FFFF"/>
      <rgbColor rgb="FFA01515"/>
      <rgbColor rgb="FF008000"/>
      <rgbColor rgb="FF000080"/>
      <rgbColor rgb="FF8A5A00"/>
      <rgbColor rgb="FF800080"/>
      <rgbColor rgb="FF008080"/>
      <rgbColor rgb="FFC8C0B8"/>
      <rgbColor rgb="FFB87333"/>
      <rgbColor rgb="FF9999FF"/>
      <rgbColor rgb="FF993366"/>
      <rgbColor rgb="FFFDFCFA"/>
      <rgbColor rgb="FFF5F3F0"/>
      <rgbColor rgb="FF5A1A6A"/>
      <rgbColor rgb="FFD4934A"/>
      <rgbColor rgb="FF0066CC"/>
      <rgbColor rgb="FFD0DCEE"/>
      <rgbColor rgb="FF000080"/>
      <rgbColor rgb="FFFF00FF"/>
      <rgbColor rgb="FFFFFF00"/>
      <rgbColor rgb="FF00FFFF"/>
      <rgbColor rgb="FF800080"/>
      <rgbColor rgb="FF5C1A1A"/>
      <rgbColor rgb="FF008080"/>
      <rgbColor rgb="FF0000FF"/>
      <rgbColor rgb="FF00CCFF"/>
      <rgbColor rgb="FFFAF0F0"/>
      <rgbColor rgb="FFD8E0C0"/>
      <rgbColor rgb="FFF5E8C0"/>
      <rgbColor rgb="FFE8D0F0"/>
      <rgbColor rgb="FFF0D8D8"/>
      <rgbColor rgb="FFE8E3DC"/>
      <rgbColor rgb="FFF5D0D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A3A6A"/>
      <rgbColor rgb="FF339966"/>
      <rgbColor rgb="FF003300"/>
      <rgbColor rgb="FF4A5A28"/>
      <rgbColor rgb="FF7A2828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5C1A1A"/>
    <pageSetUpPr fitToPage="true"/>
  </sheetPr>
  <dimension ref="A1:O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3"/>
    <col collapsed="false" customWidth="true" hidden="false" outlineLevel="0" max="3" min="3" style="0" width="22"/>
    <col collapsed="false" customWidth="true" hidden="false" outlineLevel="0" max="4" min="4" style="0" width="16"/>
    <col collapsed="false" customWidth="true" hidden="false" outlineLevel="0" max="5" min="5" style="0" width="13"/>
    <col collapsed="false" customWidth="true" hidden="false" outlineLevel="0" max="6" min="6" style="0" width="15"/>
    <col collapsed="false" customWidth="true" hidden="false" outlineLevel="0" max="7" min="7" style="0" width="32"/>
    <col collapsed="false" customWidth="true" hidden="false" outlineLevel="0" max="8" min="8" style="0" width="13"/>
    <col collapsed="false" customWidth="true" hidden="false" outlineLevel="0" max="9" min="9" style="0" width="19"/>
    <col collapsed="false" customWidth="true" hidden="false" outlineLevel="0" max="11" min="10" style="0" width="13"/>
    <col collapsed="false" customWidth="true" hidden="false" outlineLevel="0" max="12" min="12" style="0" width="12"/>
    <col collapsed="false" customWidth="true" hidden="false" outlineLevel="0" max="13" min="13" style="0" width="14"/>
    <col collapsed="false" customWidth="true" hidden="false" outlineLevel="0" max="14" min="14" style="0" width="12"/>
    <col collapsed="false" customWidth="true" hidden="false" outlineLevel="0" max="15" min="15" style="0" width="26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49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3" t="s">
        <v>1</v>
      </c>
      <c r="I2" s="3"/>
      <c r="J2" s="4" t="s">
        <v>2</v>
      </c>
      <c r="K2" s="4"/>
      <c r="L2" s="4"/>
      <c r="M2" s="4"/>
      <c r="N2" s="4"/>
      <c r="O2" s="4"/>
    </row>
    <row r="3" customFormat="false" ht="6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customFormat="false" ht="19.5" hidden="false" customHeight="true" outlineLevel="0" collapsed="false">
      <c r="A4" s="6" t="s">
        <v>3</v>
      </c>
      <c r="B4" s="7" t="s">
        <v>4</v>
      </c>
      <c r="C4" s="7"/>
      <c r="D4" s="7"/>
      <c r="E4" s="6" t="s">
        <v>5</v>
      </c>
      <c r="F4" s="7" t="s">
        <v>6</v>
      </c>
      <c r="G4" s="7"/>
      <c r="H4" s="7"/>
      <c r="I4" s="6" t="s">
        <v>7</v>
      </c>
      <c r="J4" s="7" t="s">
        <v>8</v>
      </c>
      <c r="K4" s="7"/>
      <c r="L4" s="7"/>
      <c r="M4" s="6" t="s">
        <v>9</v>
      </c>
      <c r="N4" s="7" t="s">
        <v>10</v>
      </c>
      <c r="O4" s="7"/>
    </row>
    <row r="5" customFormat="false" ht="19.5" hidden="false" customHeight="true" outlineLevel="0" collapsed="false">
      <c r="A5" s="6" t="s">
        <v>11</v>
      </c>
      <c r="B5" s="7" t="s">
        <v>12</v>
      </c>
      <c r="C5" s="7"/>
      <c r="D5" s="7"/>
      <c r="E5" s="6" t="s">
        <v>13</v>
      </c>
      <c r="F5" s="7" t="s">
        <v>14</v>
      </c>
      <c r="G5" s="7"/>
      <c r="H5" s="7"/>
      <c r="I5" s="6" t="s">
        <v>15</v>
      </c>
      <c r="J5" s="7" t="s">
        <v>16</v>
      </c>
      <c r="K5" s="7"/>
      <c r="L5" s="7"/>
      <c r="M5" s="6" t="s">
        <v>17</v>
      </c>
      <c r="N5" s="7" t="s">
        <v>18</v>
      </c>
      <c r="O5" s="7"/>
    </row>
    <row r="6" customFormat="false" ht="3.75" hidden="false" customHeight="true" outlineLevel="0" collapsed="false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31.5" hidden="false" customHeight="true" outlineLevel="0" collapsed="false">
      <c r="A7" s="8" t="s">
        <v>19</v>
      </c>
      <c r="B7" s="8" t="s">
        <v>20</v>
      </c>
      <c r="C7" s="9" t="s">
        <v>21</v>
      </c>
      <c r="D7" s="9"/>
      <c r="E7" s="10" t="s">
        <v>22</v>
      </c>
      <c r="F7" s="10"/>
      <c r="G7" s="8" t="s">
        <v>23</v>
      </c>
      <c r="H7" s="11" t="s">
        <v>24</v>
      </c>
      <c r="I7" s="9" t="s">
        <v>25</v>
      </c>
      <c r="J7" s="9"/>
      <c r="K7" s="11" t="s">
        <v>26</v>
      </c>
      <c r="L7" s="12" t="s">
        <v>27</v>
      </c>
      <c r="M7" s="12"/>
      <c r="N7" s="11" t="s">
        <v>28</v>
      </c>
      <c r="O7" s="13" t="s">
        <v>29</v>
      </c>
    </row>
    <row r="8" customFormat="false" ht="21.75" hidden="false" customHeight="true" outlineLevel="0" collapsed="false">
      <c r="A8" s="8"/>
      <c r="B8" s="8"/>
      <c r="C8" s="14" t="s">
        <v>30</v>
      </c>
      <c r="D8" s="14" t="s">
        <v>31</v>
      </c>
      <c r="E8" s="15" t="s">
        <v>32</v>
      </c>
      <c r="F8" s="15" t="s">
        <v>33</v>
      </c>
      <c r="G8" s="8"/>
      <c r="H8" s="11"/>
      <c r="I8" s="14" t="s">
        <v>34</v>
      </c>
      <c r="J8" s="14" t="s">
        <v>35</v>
      </c>
      <c r="K8" s="11"/>
      <c r="L8" s="15" t="s">
        <v>36</v>
      </c>
      <c r="M8" s="15" t="s">
        <v>37</v>
      </c>
      <c r="N8" s="11"/>
      <c r="O8" s="13"/>
    </row>
    <row r="9" customFormat="false" ht="19.5" hidden="false" customHeight="true" outlineLevel="0" collapsed="false">
      <c r="A9" s="16" t="str">
        <f aca="false">"PE-2026-"&amp;TEXT(ROW()-8,"0000")</f>
        <v>PE-2026-0001</v>
      </c>
      <c r="B9" s="17" t="n">
        <v>46027</v>
      </c>
      <c r="C9" s="18" t="s">
        <v>38</v>
      </c>
      <c r="D9" s="19" t="s">
        <v>39</v>
      </c>
      <c r="E9" s="20" t="s">
        <v>40</v>
      </c>
      <c r="F9" s="21" t="s">
        <v>41</v>
      </c>
      <c r="G9" s="22" t="s">
        <v>42</v>
      </c>
      <c r="H9" s="23" t="s">
        <v>43</v>
      </c>
      <c r="I9" s="24" t="s">
        <v>44</v>
      </c>
      <c r="J9" s="25" t="n">
        <v>46028</v>
      </c>
      <c r="K9" s="26" t="s">
        <v>45</v>
      </c>
      <c r="L9" s="27" t="n">
        <v>46081</v>
      </c>
      <c r="M9" s="28" t="n">
        <v>46042</v>
      </c>
      <c r="N9" s="29" t="s">
        <v>46</v>
      </c>
      <c r="O9" s="30" t="s">
        <v>47</v>
      </c>
    </row>
    <row r="10" customFormat="false" ht="19.5" hidden="false" customHeight="true" outlineLevel="0" collapsed="false">
      <c r="A10" s="16" t="str">
        <f aca="false">"PE-2026-"&amp;TEXT(ROW()-8,"0000")</f>
        <v>PE-2026-0002</v>
      </c>
      <c r="B10" s="31" t="n">
        <v>46029</v>
      </c>
      <c r="C10" s="32" t="s">
        <v>48</v>
      </c>
      <c r="D10" s="33" t="s">
        <v>49</v>
      </c>
      <c r="E10" s="34" t="s">
        <v>50</v>
      </c>
      <c r="F10" s="35" t="s">
        <v>51</v>
      </c>
      <c r="G10" s="36" t="s">
        <v>52</v>
      </c>
      <c r="H10" s="37" t="s">
        <v>53</v>
      </c>
      <c r="I10" s="38" t="s">
        <v>54</v>
      </c>
      <c r="J10" s="39" t="n">
        <v>46029</v>
      </c>
      <c r="K10" s="26" t="s">
        <v>45</v>
      </c>
      <c r="L10" s="40" t="n">
        <v>46059</v>
      </c>
      <c r="M10" s="28" t="n">
        <v>46044</v>
      </c>
      <c r="N10" s="41" t="s">
        <v>46</v>
      </c>
      <c r="O10" s="42" t="s">
        <v>55</v>
      </c>
    </row>
    <row r="11" customFormat="false" ht="19.5" hidden="false" customHeight="true" outlineLevel="0" collapsed="false">
      <c r="A11" s="16" t="str">
        <f aca="false">"PE-2026-"&amp;TEXT(ROW()-8,"0000")</f>
        <v>PE-2026-0003</v>
      </c>
      <c r="B11" s="17" t="n">
        <v>46030</v>
      </c>
      <c r="C11" s="18" t="s">
        <v>56</v>
      </c>
      <c r="D11" s="19" t="s">
        <v>57</v>
      </c>
      <c r="E11" s="43" t="s">
        <v>58</v>
      </c>
      <c r="F11" s="21" t="s">
        <v>59</v>
      </c>
      <c r="G11" s="22" t="s">
        <v>60</v>
      </c>
      <c r="H11" s="37" t="s">
        <v>53</v>
      </c>
      <c r="I11" s="24" t="s">
        <v>61</v>
      </c>
      <c r="J11" s="25" t="n">
        <v>46030</v>
      </c>
      <c r="K11" s="26" t="s">
        <v>45</v>
      </c>
      <c r="L11" s="27" t="n">
        <v>46053</v>
      </c>
      <c r="M11" s="28" t="n">
        <v>46050</v>
      </c>
      <c r="N11" s="29" t="s">
        <v>46</v>
      </c>
      <c r="O11" s="30" t="s">
        <v>62</v>
      </c>
    </row>
    <row r="12" customFormat="false" ht="19.5" hidden="false" customHeight="true" outlineLevel="0" collapsed="false">
      <c r="A12" s="16" t="str">
        <f aca="false">"PE-2026-"&amp;TEXT(ROW()-8,"0000")</f>
        <v>PE-2026-0004</v>
      </c>
      <c r="B12" s="31" t="n">
        <v>46032</v>
      </c>
      <c r="C12" s="32" t="s">
        <v>63</v>
      </c>
      <c r="D12" s="33" t="s">
        <v>64</v>
      </c>
      <c r="E12" s="20" t="s">
        <v>40</v>
      </c>
      <c r="F12" s="35" t="s">
        <v>65</v>
      </c>
      <c r="G12" s="36" t="s">
        <v>66</v>
      </c>
      <c r="H12" s="37" t="s">
        <v>53</v>
      </c>
      <c r="I12" s="38" t="s">
        <v>67</v>
      </c>
      <c r="J12" s="39" t="n">
        <v>46034</v>
      </c>
      <c r="K12" s="26" t="s">
        <v>45</v>
      </c>
      <c r="L12" s="40" t="n">
        <v>46053</v>
      </c>
      <c r="M12" s="28" t="n">
        <v>46047</v>
      </c>
      <c r="N12" s="41" t="s">
        <v>46</v>
      </c>
      <c r="O12" s="42" t="s">
        <v>68</v>
      </c>
    </row>
    <row r="13" customFormat="false" ht="19.5" hidden="false" customHeight="true" outlineLevel="0" collapsed="false">
      <c r="A13" s="16" t="str">
        <f aca="false">"PE-2026-"&amp;TEXT(ROW()-8,"0000")</f>
        <v>PE-2026-0005</v>
      </c>
      <c r="B13" s="17" t="n">
        <v>46034</v>
      </c>
      <c r="C13" s="18" t="s">
        <v>69</v>
      </c>
      <c r="D13" s="19" t="s">
        <v>70</v>
      </c>
      <c r="E13" s="20" t="s">
        <v>40</v>
      </c>
      <c r="F13" s="21" t="s">
        <v>71</v>
      </c>
      <c r="G13" s="22" t="s">
        <v>72</v>
      </c>
      <c r="H13" s="37" t="s">
        <v>53</v>
      </c>
      <c r="I13" s="24" t="s">
        <v>54</v>
      </c>
      <c r="J13" s="25" t="n">
        <v>46034</v>
      </c>
      <c r="K13" s="26" t="s">
        <v>45</v>
      </c>
      <c r="L13" s="27" t="n">
        <v>46042</v>
      </c>
      <c r="M13" s="28" t="n">
        <v>46036</v>
      </c>
      <c r="N13" s="29" t="s">
        <v>46</v>
      </c>
      <c r="O13" s="30" t="s">
        <v>73</v>
      </c>
    </row>
    <row r="14" customFormat="false" ht="19.5" hidden="false" customHeight="true" outlineLevel="0" collapsed="false">
      <c r="A14" s="16" t="str">
        <f aca="false">"PE-2026-"&amp;TEXT(ROW()-8,"0000")</f>
        <v>PE-2026-0006</v>
      </c>
      <c r="B14" s="31" t="n">
        <v>46036</v>
      </c>
      <c r="C14" s="32" t="s">
        <v>74</v>
      </c>
      <c r="D14" s="33" t="s">
        <v>75</v>
      </c>
      <c r="E14" s="20" t="s">
        <v>40</v>
      </c>
      <c r="F14" s="35" t="s">
        <v>41</v>
      </c>
      <c r="G14" s="36" t="s">
        <v>76</v>
      </c>
      <c r="H14" s="37" t="s">
        <v>53</v>
      </c>
      <c r="I14" s="38" t="s">
        <v>54</v>
      </c>
      <c r="J14" s="39" t="n">
        <v>46037</v>
      </c>
      <c r="K14" s="26" t="s">
        <v>45</v>
      </c>
      <c r="L14" s="40" t="n">
        <v>46067</v>
      </c>
      <c r="M14" s="28" t="n">
        <v>46050</v>
      </c>
      <c r="N14" s="41" t="s">
        <v>46</v>
      </c>
      <c r="O14" s="42" t="s">
        <v>77</v>
      </c>
    </row>
    <row r="15" customFormat="false" ht="19.5" hidden="false" customHeight="true" outlineLevel="0" collapsed="false">
      <c r="A15" s="16" t="str">
        <f aca="false">"PE-2026-"&amp;TEXT(ROW()-8,"0000")</f>
        <v>PE-2026-0007</v>
      </c>
      <c r="B15" s="17" t="n">
        <v>46041</v>
      </c>
      <c r="C15" s="18" t="s">
        <v>78</v>
      </c>
      <c r="D15" s="19" t="s">
        <v>39</v>
      </c>
      <c r="E15" s="20" t="s">
        <v>40</v>
      </c>
      <c r="F15" s="21" t="s">
        <v>51</v>
      </c>
      <c r="G15" s="22" t="s">
        <v>79</v>
      </c>
      <c r="H15" s="37" t="s">
        <v>53</v>
      </c>
      <c r="I15" s="24" t="s">
        <v>54</v>
      </c>
      <c r="J15" s="25" t="n">
        <v>46041</v>
      </c>
      <c r="K15" s="26" t="s">
        <v>45</v>
      </c>
      <c r="L15" s="27" t="n">
        <v>46071</v>
      </c>
      <c r="M15" s="28" t="n">
        <v>46054</v>
      </c>
      <c r="N15" s="29" t="s">
        <v>46</v>
      </c>
      <c r="O15" s="30" t="s">
        <v>80</v>
      </c>
    </row>
    <row r="16" customFormat="false" ht="19.5" hidden="false" customHeight="true" outlineLevel="0" collapsed="false">
      <c r="A16" s="16" t="str">
        <f aca="false">"PE-2026-"&amp;TEXT(ROW()-8,"0000")</f>
        <v>PE-2026-0008</v>
      </c>
      <c r="B16" s="31" t="n">
        <v>46043</v>
      </c>
      <c r="C16" s="32" t="s">
        <v>81</v>
      </c>
      <c r="D16" s="33" t="s">
        <v>82</v>
      </c>
      <c r="E16" s="43" t="s">
        <v>58</v>
      </c>
      <c r="F16" s="35" t="s">
        <v>59</v>
      </c>
      <c r="G16" s="36" t="s">
        <v>83</v>
      </c>
      <c r="H16" s="23" t="s">
        <v>43</v>
      </c>
      <c r="I16" s="38" t="s">
        <v>84</v>
      </c>
      <c r="J16" s="39" t="n">
        <v>46043</v>
      </c>
      <c r="K16" s="26" t="s">
        <v>45</v>
      </c>
      <c r="L16" s="40" t="n">
        <v>46052</v>
      </c>
      <c r="M16" s="28" t="n">
        <v>46051</v>
      </c>
      <c r="N16" s="41" t="s">
        <v>46</v>
      </c>
      <c r="O16" s="42" t="s">
        <v>85</v>
      </c>
    </row>
    <row r="17" customFormat="false" ht="19.5" hidden="false" customHeight="true" outlineLevel="0" collapsed="false">
      <c r="A17" s="16" t="str">
        <f aca="false">"PE-2026-"&amp;TEXT(ROW()-8,"0000")</f>
        <v>PE-2026-0009</v>
      </c>
      <c r="B17" s="17" t="n">
        <v>46045</v>
      </c>
      <c r="C17" s="18" t="s">
        <v>86</v>
      </c>
      <c r="D17" s="19" t="s">
        <v>87</v>
      </c>
      <c r="E17" s="34" t="s">
        <v>50</v>
      </c>
      <c r="F17" s="21" t="s">
        <v>65</v>
      </c>
      <c r="G17" s="22" t="s">
        <v>88</v>
      </c>
      <c r="H17" s="44" t="s">
        <v>89</v>
      </c>
      <c r="I17" s="24" t="s">
        <v>67</v>
      </c>
      <c r="J17" s="25" t="n">
        <v>46045</v>
      </c>
      <c r="K17" s="26" t="s">
        <v>45</v>
      </c>
      <c r="L17" s="27" t="n">
        <v>46059</v>
      </c>
      <c r="M17" s="28" t="n">
        <v>46057</v>
      </c>
      <c r="N17" s="29" t="s">
        <v>46</v>
      </c>
      <c r="O17" s="30" t="s">
        <v>90</v>
      </c>
    </row>
    <row r="18" customFormat="false" ht="19.5" hidden="false" customHeight="true" outlineLevel="0" collapsed="false">
      <c r="A18" s="16" t="str">
        <f aca="false">"PE-2026-"&amp;TEXT(ROW()-8,"0000")</f>
        <v>PE-2026-0010</v>
      </c>
      <c r="B18" s="31" t="n">
        <v>46048</v>
      </c>
      <c r="C18" s="32" t="s">
        <v>91</v>
      </c>
      <c r="D18" s="33" t="s">
        <v>92</v>
      </c>
      <c r="E18" s="45" t="s">
        <v>93</v>
      </c>
      <c r="F18" s="35" t="s">
        <v>94</v>
      </c>
      <c r="G18" s="36" t="s">
        <v>95</v>
      </c>
      <c r="H18" s="37" t="s">
        <v>53</v>
      </c>
      <c r="I18" s="38" t="s">
        <v>96</v>
      </c>
      <c r="J18" s="39" t="n">
        <v>46048</v>
      </c>
      <c r="K18" s="26" t="s">
        <v>45</v>
      </c>
      <c r="L18" s="40" t="n">
        <v>46049</v>
      </c>
      <c r="M18" s="28" t="n">
        <v>46049</v>
      </c>
      <c r="N18" s="41" t="s">
        <v>46</v>
      </c>
      <c r="O18" s="42" t="s">
        <v>97</v>
      </c>
    </row>
    <row r="19" customFormat="false" ht="19.5" hidden="false" customHeight="true" outlineLevel="0" collapsed="false">
      <c r="A19" s="16" t="str">
        <f aca="false">"PE-2026-"&amp;TEXT(ROW()-8,"0000")</f>
        <v>PE-2026-0011</v>
      </c>
      <c r="B19" s="17" t="n">
        <v>46055</v>
      </c>
      <c r="C19" s="18" t="s">
        <v>98</v>
      </c>
      <c r="D19" s="19" t="s">
        <v>99</v>
      </c>
      <c r="E19" s="20" t="s">
        <v>40</v>
      </c>
      <c r="F19" s="21" t="s">
        <v>100</v>
      </c>
      <c r="G19" s="22" t="s">
        <v>101</v>
      </c>
      <c r="H19" s="23" t="s">
        <v>43</v>
      </c>
      <c r="I19" s="24" t="s">
        <v>54</v>
      </c>
      <c r="J19" s="25" t="n">
        <v>46055</v>
      </c>
      <c r="K19" s="26" t="s">
        <v>45</v>
      </c>
      <c r="L19" s="27" t="n">
        <v>46062</v>
      </c>
      <c r="M19" s="28" t="n">
        <v>46059</v>
      </c>
      <c r="N19" s="29" t="s">
        <v>46</v>
      </c>
      <c r="O19" s="30" t="s">
        <v>102</v>
      </c>
    </row>
    <row r="20" customFormat="false" ht="19.5" hidden="false" customHeight="true" outlineLevel="0" collapsed="false">
      <c r="A20" s="16" t="str">
        <f aca="false">"PE-2026-"&amp;TEXT(ROW()-8,"0000")</f>
        <v>PE-2026-0012</v>
      </c>
      <c r="B20" s="31" t="n">
        <v>46057</v>
      </c>
      <c r="C20" s="32" t="s">
        <v>103</v>
      </c>
      <c r="D20" s="33" t="s">
        <v>39</v>
      </c>
      <c r="E20" s="20" t="s">
        <v>40</v>
      </c>
      <c r="F20" s="35" t="s">
        <v>41</v>
      </c>
      <c r="G20" s="36" t="s">
        <v>104</v>
      </c>
      <c r="H20" s="37" t="s">
        <v>53</v>
      </c>
      <c r="I20" s="38" t="s">
        <v>67</v>
      </c>
      <c r="J20" s="39" t="n">
        <v>46058</v>
      </c>
      <c r="K20" s="26" t="s">
        <v>45</v>
      </c>
      <c r="L20" s="40" t="n">
        <v>46087</v>
      </c>
      <c r="M20" s="28" t="n">
        <v>46071</v>
      </c>
      <c r="N20" s="41" t="s">
        <v>46</v>
      </c>
      <c r="O20" s="42" t="s">
        <v>105</v>
      </c>
    </row>
    <row r="21" customFormat="false" ht="19.5" hidden="false" customHeight="true" outlineLevel="0" collapsed="false">
      <c r="A21" s="16" t="str">
        <f aca="false">"PE-2026-"&amp;TEXT(ROW()-8,"0000")</f>
        <v>PE-2026-0013</v>
      </c>
      <c r="B21" s="17" t="n">
        <v>46062</v>
      </c>
      <c r="C21" s="18" t="s">
        <v>106</v>
      </c>
      <c r="D21" s="19" t="s">
        <v>107</v>
      </c>
      <c r="E21" s="43" t="s">
        <v>58</v>
      </c>
      <c r="F21" s="21" t="s">
        <v>51</v>
      </c>
      <c r="G21" s="22" t="s">
        <v>108</v>
      </c>
      <c r="H21" s="37" t="s">
        <v>53</v>
      </c>
      <c r="I21" s="24" t="s">
        <v>54</v>
      </c>
      <c r="J21" s="25" t="n">
        <v>46062</v>
      </c>
      <c r="K21" s="26" t="s">
        <v>45</v>
      </c>
      <c r="L21" s="27" t="n">
        <v>46090</v>
      </c>
      <c r="M21" s="28" t="n">
        <v>46078</v>
      </c>
      <c r="N21" s="29" t="s">
        <v>46</v>
      </c>
      <c r="O21" s="30" t="s">
        <v>109</v>
      </c>
    </row>
    <row r="22" customFormat="false" ht="19.5" hidden="false" customHeight="true" outlineLevel="0" collapsed="false">
      <c r="A22" s="16" t="str">
        <f aca="false">"PE-2026-"&amp;TEXT(ROW()-8,"0000")</f>
        <v>PE-2026-0014</v>
      </c>
      <c r="B22" s="31" t="n">
        <v>46064</v>
      </c>
      <c r="C22" s="32" t="s">
        <v>110</v>
      </c>
      <c r="D22" s="33" t="s">
        <v>111</v>
      </c>
      <c r="E22" s="20" t="s">
        <v>40</v>
      </c>
      <c r="F22" s="35" t="s">
        <v>71</v>
      </c>
      <c r="G22" s="36" t="s">
        <v>112</v>
      </c>
      <c r="H22" s="37" t="s">
        <v>53</v>
      </c>
      <c r="I22" s="38" t="s">
        <v>54</v>
      </c>
      <c r="J22" s="39" t="n">
        <v>46065</v>
      </c>
      <c r="K22" s="26" t="s">
        <v>45</v>
      </c>
      <c r="L22" s="40" t="n">
        <v>46081</v>
      </c>
      <c r="M22" s="28" t="n">
        <v>46073</v>
      </c>
      <c r="N22" s="41" t="s">
        <v>46</v>
      </c>
      <c r="O22" s="42" t="s">
        <v>113</v>
      </c>
    </row>
    <row r="23" customFormat="false" ht="19.5" hidden="false" customHeight="true" outlineLevel="0" collapsed="false">
      <c r="A23" s="16" t="str">
        <f aca="false">"PE-2026-"&amp;TEXT(ROW()-8,"0000")</f>
        <v>PE-2026-0015</v>
      </c>
      <c r="B23" s="17" t="n">
        <v>46069</v>
      </c>
      <c r="C23" s="18" t="s">
        <v>114</v>
      </c>
      <c r="D23" s="19" t="s">
        <v>115</v>
      </c>
      <c r="E23" s="20" t="s">
        <v>40</v>
      </c>
      <c r="F23" s="21" t="s">
        <v>59</v>
      </c>
      <c r="G23" s="22" t="s">
        <v>116</v>
      </c>
      <c r="H23" s="37" t="s">
        <v>53</v>
      </c>
      <c r="I23" s="24" t="s">
        <v>67</v>
      </c>
      <c r="J23" s="25" t="n">
        <v>46070</v>
      </c>
      <c r="K23" s="26" t="s">
        <v>45</v>
      </c>
      <c r="L23" s="27" t="n">
        <v>46083</v>
      </c>
      <c r="M23" s="28" t="n">
        <v>46080</v>
      </c>
      <c r="N23" s="29" t="s">
        <v>46</v>
      </c>
      <c r="O23" s="30" t="s">
        <v>117</v>
      </c>
    </row>
    <row r="24" customFormat="false" ht="19.5" hidden="false" customHeight="true" outlineLevel="0" collapsed="false">
      <c r="A24" s="16" t="str">
        <f aca="false">"PE-2026-"&amp;TEXT(ROW()-8,"0000")</f>
        <v>PE-2026-0016</v>
      </c>
      <c r="B24" s="31" t="n">
        <v>46071</v>
      </c>
      <c r="C24" s="32" t="s">
        <v>118</v>
      </c>
      <c r="D24" s="33" t="s">
        <v>119</v>
      </c>
      <c r="E24" s="20" t="s">
        <v>40</v>
      </c>
      <c r="F24" s="35" t="s">
        <v>51</v>
      </c>
      <c r="G24" s="36" t="s">
        <v>120</v>
      </c>
      <c r="H24" s="37" t="s">
        <v>53</v>
      </c>
      <c r="I24" s="38" t="s">
        <v>54</v>
      </c>
      <c r="J24" s="39" t="n">
        <v>46071</v>
      </c>
      <c r="K24" s="26" t="s">
        <v>45</v>
      </c>
      <c r="L24" s="40" t="n">
        <v>46099</v>
      </c>
      <c r="M24" s="28" t="n">
        <v>46083</v>
      </c>
      <c r="N24" s="41" t="s">
        <v>46</v>
      </c>
      <c r="O24" s="42" t="s">
        <v>121</v>
      </c>
    </row>
    <row r="25" customFormat="false" ht="19.5" hidden="false" customHeight="true" outlineLevel="0" collapsed="false">
      <c r="A25" s="16" t="str">
        <f aca="false">"PE-2026-"&amp;TEXT(ROW()-8,"0000")</f>
        <v>PE-2026-0017</v>
      </c>
      <c r="B25" s="17" t="n">
        <v>46076</v>
      </c>
      <c r="C25" s="18" t="s">
        <v>122</v>
      </c>
      <c r="D25" s="19" t="s">
        <v>123</v>
      </c>
      <c r="E25" s="20" t="s">
        <v>40</v>
      </c>
      <c r="F25" s="21" t="s">
        <v>41</v>
      </c>
      <c r="G25" s="22" t="s">
        <v>124</v>
      </c>
      <c r="H25" s="37" t="s">
        <v>53</v>
      </c>
      <c r="I25" s="24" t="s">
        <v>67</v>
      </c>
      <c r="J25" s="25" t="n">
        <v>46077</v>
      </c>
      <c r="K25" s="26" t="s">
        <v>45</v>
      </c>
      <c r="L25" s="27" t="n">
        <v>46104</v>
      </c>
      <c r="M25" s="28" t="n">
        <v>46091</v>
      </c>
      <c r="N25" s="29" t="s">
        <v>46</v>
      </c>
      <c r="O25" s="30" t="s">
        <v>125</v>
      </c>
    </row>
    <row r="26" customFormat="false" ht="19.5" hidden="false" customHeight="true" outlineLevel="0" collapsed="false">
      <c r="A26" s="16" t="str">
        <f aca="false">"PE-2026-"&amp;TEXT(ROW()-8,"0000")</f>
        <v>PE-2026-0018</v>
      </c>
      <c r="B26" s="31" t="n">
        <v>46083</v>
      </c>
      <c r="C26" s="32" t="s">
        <v>126</v>
      </c>
      <c r="D26" s="33" t="s">
        <v>127</v>
      </c>
      <c r="E26" s="46" t="s">
        <v>128</v>
      </c>
      <c r="F26" s="35" t="s">
        <v>94</v>
      </c>
      <c r="G26" s="36" t="s">
        <v>129</v>
      </c>
      <c r="H26" s="23" t="s">
        <v>43</v>
      </c>
      <c r="I26" s="38" t="s">
        <v>130</v>
      </c>
      <c r="J26" s="39" t="n">
        <v>46083</v>
      </c>
      <c r="K26" s="26" t="s">
        <v>45</v>
      </c>
      <c r="L26" s="40" t="n">
        <v>46084</v>
      </c>
      <c r="M26" s="28" t="n">
        <v>46084</v>
      </c>
      <c r="N26" s="41" t="s">
        <v>46</v>
      </c>
      <c r="O26" s="42" t="s">
        <v>131</v>
      </c>
    </row>
    <row r="27" customFormat="false" ht="19.5" hidden="false" customHeight="true" outlineLevel="0" collapsed="false">
      <c r="A27" s="16" t="str">
        <f aca="false">"PE-2026-"&amp;TEXT(ROW()-8,"0000")</f>
        <v>PE-2026-0019</v>
      </c>
      <c r="B27" s="17" t="n">
        <v>46090</v>
      </c>
      <c r="C27" s="18" t="s">
        <v>132</v>
      </c>
      <c r="D27" s="19" t="s">
        <v>39</v>
      </c>
      <c r="E27" s="20" t="s">
        <v>40</v>
      </c>
      <c r="F27" s="21" t="s">
        <v>41</v>
      </c>
      <c r="G27" s="22" t="s">
        <v>133</v>
      </c>
      <c r="H27" s="23" t="s">
        <v>43</v>
      </c>
      <c r="I27" s="24" t="s">
        <v>84</v>
      </c>
      <c r="J27" s="25" t="n">
        <v>46091</v>
      </c>
      <c r="K27" s="26" t="s">
        <v>45</v>
      </c>
      <c r="L27" s="27" t="n">
        <v>46121</v>
      </c>
      <c r="M27" s="28" t="n">
        <v>46106</v>
      </c>
      <c r="N27" s="29" t="s">
        <v>46</v>
      </c>
      <c r="O27" s="30" t="s">
        <v>134</v>
      </c>
    </row>
    <row r="28" customFormat="false" ht="19.5" hidden="false" customHeight="true" outlineLevel="0" collapsed="false">
      <c r="A28" s="16" t="str">
        <f aca="false">"PE-2026-"&amp;TEXT(ROW()-8,"0000")</f>
        <v>PE-2026-0020</v>
      </c>
      <c r="B28" s="31" t="n">
        <v>46097</v>
      </c>
      <c r="C28" s="32" t="s">
        <v>135</v>
      </c>
      <c r="D28" s="33" t="s">
        <v>136</v>
      </c>
      <c r="E28" s="20" t="s">
        <v>40</v>
      </c>
      <c r="F28" s="35" t="s">
        <v>71</v>
      </c>
      <c r="G28" s="36" t="s">
        <v>137</v>
      </c>
      <c r="H28" s="37" t="s">
        <v>53</v>
      </c>
      <c r="I28" s="38" t="s">
        <v>54</v>
      </c>
      <c r="J28" s="39" t="n">
        <v>46097</v>
      </c>
      <c r="K28" s="26" t="s">
        <v>45</v>
      </c>
      <c r="L28" s="40" t="n">
        <v>46112</v>
      </c>
      <c r="M28" s="28" t="n">
        <v>46101</v>
      </c>
      <c r="N28" s="41" t="s">
        <v>46</v>
      </c>
      <c r="O28" s="42" t="s">
        <v>138</v>
      </c>
    </row>
    <row r="29" customFormat="false" ht="19.5" hidden="false" customHeight="true" outlineLevel="0" collapsed="false">
      <c r="A29" s="16" t="str">
        <f aca="false">"PE-2026-"&amp;TEXT(ROW()-8,"0000")</f>
        <v>PE-2026-0021</v>
      </c>
      <c r="B29" s="17" t="n">
        <v>46104</v>
      </c>
      <c r="C29" s="18" t="s">
        <v>139</v>
      </c>
      <c r="D29" s="19" t="s">
        <v>140</v>
      </c>
      <c r="E29" s="43" t="s">
        <v>58</v>
      </c>
      <c r="F29" s="21" t="s">
        <v>59</v>
      </c>
      <c r="G29" s="22" t="s">
        <v>141</v>
      </c>
      <c r="H29" s="37" t="s">
        <v>53</v>
      </c>
      <c r="I29" s="24" t="s">
        <v>142</v>
      </c>
      <c r="J29" s="25" t="n">
        <v>46105</v>
      </c>
      <c r="K29" s="26" t="s">
        <v>45</v>
      </c>
      <c r="L29" s="27" t="n">
        <v>46118</v>
      </c>
      <c r="M29" s="28" t="n">
        <v>46112</v>
      </c>
      <c r="N29" s="29" t="s">
        <v>46</v>
      </c>
      <c r="O29" s="30" t="s">
        <v>143</v>
      </c>
    </row>
    <row r="30" customFormat="false" ht="19.5" hidden="false" customHeight="true" outlineLevel="0" collapsed="false">
      <c r="A30" s="16" t="str">
        <f aca="false">"PE-2026-"&amp;TEXT(ROW()-8,"0000")</f>
        <v>PE-2026-0022</v>
      </c>
      <c r="B30" s="31" t="n">
        <v>46118</v>
      </c>
      <c r="C30" s="32" t="s">
        <v>144</v>
      </c>
      <c r="D30" s="33" t="s">
        <v>145</v>
      </c>
      <c r="E30" s="20" t="s">
        <v>40</v>
      </c>
      <c r="F30" s="35" t="s">
        <v>71</v>
      </c>
      <c r="G30" s="36" t="s">
        <v>146</v>
      </c>
      <c r="H30" s="37" t="s">
        <v>53</v>
      </c>
      <c r="I30" s="38" t="s">
        <v>67</v>
      </c>
      <c r="J30" s="39" t="n">
        <v>46119</v>
      </c>
      <c r="K30" s="26" t="s">
        <v>45</v>
      </c>
      <c r="L30" s="40" t="n">
        <v>46142</v>
      </c>
      <c r="M30" s="28" t="n">
        <v>46127</v>
      </c>
      <c r="N30" s="41" t="s">
        <v>46</v>
      </c>
      <c r="O30" s="42" t="s">
        <v>147</v>
      </c>
    </row>
    <row r="31" customFormat="false" ht="19.5" hidden="false" customHeight="true" outlineLevel="0" collapsed="false">
      <c r="A31" s="16" t="str">
        <f aca="false">"PE-2026-"&amp;TEXT(ROW()-8,"0000")</f>
        <v>PE-2026-0023</v>
      </c>
      <c r="B31" s="17" t="n">
        <v>46125</v>
      </c>
      <c r="C31" s="18" t="s">
        <v>48</v>
      </c>
      <c r="D31" s="19" t="s">
        <v>49</v>
      </c>
      <c r="E31" s="43" t="s">
        <v>58</v>
      </c>
      <c r="F31" s="21" t="s">
        <v>51</v>
      </c>
      <c r="G31" s="22" t="s">
        <v>148</v>
      </c>
      <c r="H31" s="37" t="s">
        <v>53</v>
      </c>
      <c r="I31" s="24" t="s">
        <v>54</v>
      </c>
      <c r="J31" s="25" t="n">
        <v>46125</v>
      </c>
      <c r="K31" s="26" t="s">
        <v>45</v>
      </c>
      <c r="L31" s="27" t="n">
        <v>46155</v>
      </c>
      <c r="M31" s="28" t="n">
        <v>46140</v>
      </c>
      <c r="N31" s="29" t="s">
        <v>46</v>
      </c>
      <c r="O31" s="30" t="s">
        <v>55</v>
      </c>
    </row>
    <row r="32" customFormat="false" ht="19.5" hidden="false" customHeight="true" outlineLevel="0" collapsed="false">
      <c r="A32" s="16" t="str">
        <f aca="false">"PE-2026-"&amp;TEXT(ROW()-8,"0000")</f>
        <v>PE-2026-0024</v>
      </c>
      <c r="B32" s="31" t="n">
        <v>46132</v>
      </c>
      <c r="C32" s="32" t="s">
        <v>38</v>
      </c>
      <c r="D32" s="33" t="s">
        <v>39</v>
      </c>
      <c r="E32" s="20" t="s">
        <v>40</v>
      </c>
      <c r="F32" s="35" t="s">
        <v>41</v>
      </c>
      <c r="G32" s="36" t="s">
        <v>149</v>
      </c>
      <c r="H32" s="23" t="s">
        <v>43</v>
      </c>
      <c r="I32" s="38" t="s">
        <v>54</v>
      </c>
      <c r="J32" s="39" t="n">
        <v>46132</v>
      </c>
      <c r="K32" s="26" t="s">
        <v>45</v>
      </c>
      <c r="L32" s="40" t="n">
        <v>46152</v>
      </c>
      <c r="M32" s="28" t="n">
        <v>46142</v>
      </c>
      <c r="N32" s="41" t="s">
        <v>46</v>
      </c>
      <c r="O32" s="42" t="s">
        <v>150</v>
      </c>
    </row>
    <row r="33" customFormat="false" ht="19.5" hidden="false" customHeight="true" outlineLevel="0" collapsed="false">
      <c r="A33" s="16" t="str">
        <f aca="false">"PE-2026-"&amp;TEXT(ROW()-8,"0000")</f>
        <v>PE-2026-0025</v>
      </c>
      <c r="B33" s="17" t="n">
        <v>46139</v>
      </c>
      <c r="C33" s="18" t="s">
        <v>151</v>
      </c>
      <c r="D33" s="19" t="s">
        <v>152</v>
      </c>
      <c r="E33" s="20" t="s">
        <v>40</v>
      </c>
      <c r="F33" s="21" t="s">
        <v>59</v>
      </c>
      <c r="G33" s="22" t="s">
        <v>153</v>
      </c>
      <c r="H33" s="37" t="s">
        <v>53</v>
      </c>
      <c r="I33" s="24" t="s">
        <v>84</v>
      </c>
      <c r="J33" s="25" t="n">
        <v>46140</v>
      </c>
      <c r="K33" s="26" t="s">
        <v>45</v>
      </c>
      <c r="L33" s="27" t="n">
        <v>46169</v>
      </c>
      <c r="M33" s="28" t="n">
        <v>46154</v>
      </c>
      <c r="N33" s="29" t="s">
        <v>46</v>
      </c>
      <c r="O33" s="30" t="s">
        <v>154</v>
      </c>
    </row>
    <row r="34" customFormat="false" ht="19.5" hidden="false" customHeight="true" outlineLevel="0" collapsed="false">
      <c r="A34" s="16" t="str">
        <f aca="false">"PE-2026-"&amp;TEXT(ROW()-8,"0000")</f>
        <v>PE-2026-0026</v>
      </c>
      <c r="B34" s="31" t="n">
        <v>46146</v>
      </c>
      <c r="C34" s="32" t="s">
        <v>86</v>
      </c>
      <c r="D34" s="33" t="s">
        <v>87</v>
      </c>
      <c r="E34" s="34" t="s">
        <v>50</v>
      </c>
      <c r="F34" s="35" t="s">
        <v>65</v>
      </c>
      <c r="G34" s="36" t="s">
        <v>155</v>
      </c>
      <c r="H34" s="44" t="s">
        <v>89</v>
      </c>
      <c r="I34" s="38" t="s">
        <v>67</v>
      </c>
      <c r="J34" s="39" t="n">
        <v>46146</v>
      </c>
      <c r="K34" s="26" t="s">
        <v>45</v>
      </c>
      <c r="L34" s="40" t="n">
        <v>46160</v>
      </c>
      <c r="M34" s="28" t="n">
        <v>46158</v>
      </c>
      <c r="N34" s="41" t="s">
        <v>46</v>
      </c>
      <c r="O34" s="42" t="s">
        <v>156</v>
      </c>
    </row>
    <row r="35" customFormat="false" ht="19.5" hidden="false" customHeight="true" outlineLevel="0" collapsed="false">
      <c r="A35" s="16" t="str">
        <f aca="false">"PE-2026-"&amp;TEXT(ROW()-8,"0000")</f>
        <v>PE-2026-0027</v>
      </c>
      <c r="B35" s="17" t="n">
        <v>46153</v>
      </c>
      <c r="C35" s="18" t="s">
        <v>78</v>
      </c>
      <c r="D35" s="19" t="s">
        <v>39</v>
      </c>
      <c r="E35" s="20" t="s">
        <v>40</v>
      </c>
      <c r="F35" s="21" t="s">
        <v>51</v>
      </c>
      <c r="G35" s="22" t="s">
        <v>157</v>
      </c>
      <c r="H35" s="37" t="s">
        <v>53</v>
      </c>
      <c r="I35" s="24" t="s">
        <v>54</v>
      </c>
      <c r="J35" s="25" t="n">
        <v>46153</v>
      </c>
      <c r="K35" s="26" t="s">
        <v>45</v>
      </c>
      <c r="L35" s="27" t="n">
        <v>46183</v>
      </c>
      <c r="M35" s="28" t="n">
        <v>46164</v>
      </c>
      <c r="N35" s="29" t="s">
        <v>46</v>
      </c>
      <c r="O35" s="30" t="s">
        <v>158</v>
      </c>
    </row>
    <row r="36" customFormat="false" ht="19.5" hidden="false" customHeight="true" outlineLevel="0" collapsed="false">
      <c r="A36" s="16" t="str">
        <f aca="false">"PE-2026-"&amp;TEXT(ROW()-8,"0000")</f>
        <v>PE-2026-0028</v>
      </c>
      <c r="B36" s="31" t="n">
        <v>46160</v>
      </c>
      <c r="C36" s="32" t="s">
        <v>74</v>
      </c>
      <c r="D36" s="33" t="s">
        <v>75</v>
      </c>
      <c r="E36" s="43" t="s">
        <v>58</v>
      </c>
      <c r="F36" s="35" t="s">
        <v>71</v>
      </c>
      <c r="G36" s="36" t="s">
        <v>159</v>
      </c>
      <c r="H36" s="37" t="s">
        <v>53</v>
      </c>
      <c r="I36" s="38" t="s">
        <v>160</v>
      </c>
      <c r="J36" s="39" t="n">
        <v>46161</v>
      </c>
      <c r="K36" s="26" t="s">
        <v>45</v>
      </c>
      <c r="L36" s="40" t="n">
        <v>46173</v>
      </c>
      <c r="M36" s="28" t="n">
        <v>46170</v>
      </c>
      <c r="N36" s="41" t="s">
        <v>46</v>
      </c>
      <c r="O36" s="42" t="s">
        <v>161</v>
      </c>
    </row>
    <row r="37" customFormat="false" ht="19.5" hidden="false" customHeight="true" outlineLevel="0" collapsed="false">
      <c r="A37" s="16" t="str">
        <f aca="false">"PE-2026-"&amp;TEXT(ROW()-8,"0000")</f>
        <v>PE-2026-0029</v>
      </c>
      <c r="B37" s="17" t="n">
        <v>46174</v>
      </c>
      <c r="C37" s="18" t="s">
        <v>91</v>
      </c>
      <c r="D37" s="19" t="s">
        <v>92</v>
      </c>
      <c r="E37" s="46" t="s">
        <v>128</v>
      </c>
      <c r="F37" s="21" t="s">
        <v>51</v>
      </c>
      <c r="G37" s="22" t="s">
        <v>162</v>
      </c>
      <c r="H37" s="23" t="s">
        <v>43</v>
      </c>
      <c r="I37" s="24" t="s">
        <v>54</v>
      </c>
      <c r="J37" s="25" t="n">
        <v>46174</v>
      </c>
      <c r="K37" s="26" t="s">
        <v>45</v>
      </c>
      <c r="L37" s="27" t="n">
        <v>46188</v>
      </c>
      <c r="M37" s="28" t="n">
        <v>46183</v>
      </c>
      <c r="N37" s="29" t="s">
        <v>46</v>
      </c>
      <c r="O37" s="30" t="s">
        <v>163</v>
      </c>
    </row>
    <row r="38" customFormat="false" ht="19.5" hidden="false" customHeight="true" outlineLevel="0" collapsed="false">
      <c r="A38" s="16" t="str">
        <f aca="false">"PE-2026-"&amp;TEXT(ROW()-8,"0000")</f>
        <v>PE-2026-0030</v>
      </c>
      <c r="B38" s="31" t="n">
        <v>46181</v>
      </c>
      <c r="C38" s="32" t="s">
        <v>132</v>
      </c>
      <c r="D38" s="33" t="s">
        <v>39</v>
      </c>
      <c r="E38" s="20" t="s">
        <v>40</v>
      </c>
      <c r="F38" s="35" t="s">
        <v>41</v>
      </c>
      <c r="G38" s="36" t="s">
        <v>164</v>
      </c>
      <c r="H38" s="23" t="s">
        <v>43</v>
      </c>
      <c r="I38" s="38" t="s">
        <v>84</v>
      </c>
      <c r="J38" s="39" t="n">
        <v>46182</v>
      </c>
      <c r="K38" s="26" t="s">
        <v>45</v>
      </c>
      <c r="L38" s="40" t="n">
        <v>46211</v>
      </c>
      <c r="M38" s="28" t="n">
        <v>46203</v>
      </c>
      <c r="N38" s="41" t="s">
        <v>46</v>
      </c>
      <c r="O38" s="42" t="s">
        <v>165</v>
      </c>
    </row>
    <row r="39" customFormat="false" ht="19.5" hidden="false" customHeight="true" outlineLevel="0" collapsed="false">
      <c r="A39" s="16" t="str">
        <f aca="false">"PE-2026-"&amp;TEXT(ROW()-8,"0000")</f>
        <v>PE-2026-0031</v>
      </c>
      <c r="B39" s="17" t="n">
        <v>46188</v>
      </c>
      <c r="C39" s="18" t="s">
        <v>114</v>
      </c>
      <c r="D39" s="19" t="s">
        <v>115</v>
      </c>
      <c r="E39" s="43" t="s">
        <v>58</v>
      </c>
      <c r="F39" s="21" t="s">
        <v>166</v>
      </c>
      <c r="G39" s="22" t="s">
        <v>167</v>
      </c>
      <c r="H39" s="37" t="s">
        <v>53</v>
      </c>
      <c r="I39" s="24" t="s">
        <v>67</v>
      </c>
      <c r="J39" s="25" t="n">
        <v>46189</v>
      </c>
      <c r="K39" s="26" t="s">
        <v>45</v>
      </c>
      <c r="L39" s="27" t="n">
        <v>46203</v>
      </c>
      <c r="M39" s="28" t="n">
        <v>46198</v>
      </c>
      <c r="N39" s="29" t="s">
        <v>46</v>
      </c>
      <c r="O39" s="30" t="s">
        <v>168</v>
      </c>
    </row>
    <row r="40" customFormat="false" ht="19.5" hidden="false" customHeight="true" outlineLevel="0" collapsed="false">
      <c r="A40" s="16" t="str">
        <f aca="false">"PE-2026-"&amp;TEXT(ROW()-8,"0000")</f>
        <v>PE-2026-0032</v>
      </c>
      <c r="B40" s="31" t="n">
        <v>46195</v>
      </c>
      <c r="C40" s="32" t="s">
        <v>118</v>
      </c>
      <c r="D40" s="33" t="s">
        <v>119</v>
      </c>
      <c r="E40" s="20" t="s">
        <v>40</v>
      </c>
      <c r="F40" s="35" t="s">
        <v>51</v>
      </c>
      <c r="G40" s="36" t="s">
        <v>169</v>
      </c>
      <c r="H40" s="37" t="s">
        <v>53</v>
      </c>
      <c r="I40" s="38" t="s">
        <v>54</v>
      </c>
      <c r="J40" s="39" t="n">
        <v>46195</v>
      </c>
      <c r="K40" s="26" t="s">
        <v>45</v>
      </c>
      <c r="L40" s="40" t="n">
        <v>46225</v>
      </c>
      <c r="M40" s="28" t="n">
        <v>46210</v>
      </c>
      <c r="N40" s="41" t="s">
        <v>46</v>
      </c>
      <c r="O40" s="42" t="s">
        <v>170</v>
      </c>
    </row>
    <row r="41" customFormat="false" ht="19.5" hidden="false" customHeight="true" outlineLevel="0" collapsed="false">
      <c r="A41" s="16" t="str">
        <f aca="false">"PE-2026-"&amp;TEXT(ROW()-8,"0000")</f>
        <v>PE-2026-0033</v>
      </c>
      <c r="B41" s="17" t="n">
        <v>46209</v>
      </c>
      <c r="C41" s="18" t="s">
        <v>38</v>
      </c>
      <c r="D41" s="19" t="s">
        <v>39</v>
      </c>
      <c r="E41" s="20" t="s">
        <v>40</v>
      </c>
      <c r="F41" s="21" t="s">
        <v>41</v>
      </c>
      <c r="G41" s="22" t="s">
        <v>171</v>
      </c>
      <c r="H41" s="23" t="s">
        <v>43</v>
      </c>
      <c r="I41" s="24" t="s">
        <v>54</v>
      </c>
      <c r="J41" s="25" t="n">
        <v>46209</v>
      </c>
      <c r="K41" s="26" t="s">
        <v>45</v>
      </c>
      <c r="L41" s="27" t="n">
        <v>46228</v>
      </c>
      <c r="M41" s="28" t="n">
        <v>46223</v>
      </c>
      <c r="N41" s="29" t="s">
        <v>46</v>
      </c>
      <c r="O41" s="30" t="s">
        <v>172</v>
      </c>
    </row>
    <row r="42" customFormat="false" ht="19.5" hidden="false" customHeight="true" outlineLevel="0" collapsed="false">
      <c r="A42" s="16" t="str">
        <f aca="false">"PE-2026-"&amp;TEXT(ROW()-8,"0000")</f>
        <v>PE-2026-0034</v>
      </c>
      <c r="B42" s="31" t="n">
        <v>46210</v>
      </c>
      <c r="C42" s="32" t="s">
        <v>98</v>
      </c>
      <c r="D42" s="33" t="s">
        <v>99</v>
      </c>
      <c r="E42" s="43" t="s">
        <v>58</v>
      </c>
      <c r="F42" s="35" t="s">
        <v>59</v>
      </c>
      <c r="G42" s="36" t="s">
        <v>173</v>
      </c>
      <c r="H42" s="37" t="s">
        <v>53</v>
      </c>
      <c r="I42" s="38" t="s">
        <v>96</v>
      </c>
      <c r="J42" s="39" t="n">
        <v>46211</v>
      </c>
      <c r="K42" s="47" t="s">
        <v>174</v>
      </c>
      <c r="L42" s="40" t="n">
        <v>46234</v>
      </c>
      <c r="M42" s="41" t="s">
        <v>46</v>
      </c>
      <c r="N42" s="48" t="n">
        <v>46241</v>
      </c>
      <c r="O42" s="42" t="s">
        <v>175</v>
      </c>
    </row>
    <row r="43" customFormat="false" ht="19.5" hidden="false" customHeight="true" outlineLevel="0" collapsed="false">
      <c r="A43" s="16" t="str">
        <f aca="false">"PE-2026-"&amp;TEXT(ROW()-8,"0000")</f>
        <v>PE-2026-0035</v>
      </c>
      <c r="B43" s="17" t="n">
        <v>46213</v>
      </c>
      <c r="C43" s="18" t="s">
        <v>48</v>
      </c>
      <c r="D43" s="19" t="s">
        <v>49</v>
      </c>
      <c r="E43" s="34" t="s">
        <v>50</v>
      </c>
      <c r="F43" s="21" t="s">
        <v>51</v>
      </c>
      <c r="G43" s="22" t="s">
        <v>176</v>
      </c>
      <c r="H43" s="23" t="s">
        <v>43</v>
      </c>
      <c r="I43" s="24" t="s">
        <v>54</v>
      </c>
      <c r="J43" s="25" t="n">
        <v>46213</v>
      </c>
      <c r="K43" s="47" t="s">
        <v>174</v>
      </c>
      <c r="L43" s="27" t="n">
        <v>46243</v>
      </c>
      <c r="M43" s="29" t="s">
        <v>46</v>
      </c>
      <c r="N43" s="48" t="n">
        <v>46244</v>
      </c>
      <c r="O43" s="30" t="s">
        <v>177</v>
      </c>
    </row>
    <row r="44" customFormat="false" ht="19.5" hidden="false" customHeight="true" outlineLevel="0" collapsed="false">
      <c r="A44" s="16" t="str">
        <f aca="false">"PE-2026-"&amp;TEXT(ROW()-8,"0000")</f>
        <v>PE-2026-0036</v>
      </c>
      <c r="B44" s="31" t="n">
        <v>46217</v>
      </c>
      <c r="C44" s="32" t="s">
        <v>135</v>
      </c>
      <c r="D44" s="33" t="s">
        <v>136</v>
      </c>
      <c r="E44" s="20" t="s">
        <v>40</v>
      </c>
      <c r="F44" s="35" t="s">
        <v>71</v>
      </c>
      <c r="G44" s="36" t="s">
        <v>178</v>
      </c>
      <c r="H44" s="37" t="s">
        <v>53</v>
      </c>
      <c r="I44" s="38" t="s">
        <v>160</v>
      </c>
      <c r="J44" s="39" t="n">
        <v>46217</v>
      </c>
      <c r="K44" s="26" t="s">
        <v>45</v>
      </c>
      <c r="L44" s="40" t="n">
        <v>46234</v>
      </c>
      <c r="M44" s="28" t="n">
        <v>46221</v>
      </c>
      <c r="N44" s="41" t="s">
        <v>46</v>
      </c>
      <c r="O44" s="42" t="s">
        <v>179</v>
      </c>
    </row>
    <row r="45" customFormat="false" ht="19.5" hidden="false" customHeight="true" outlineLevel="0" collapsed="false">
      <c r="A45" s="16" t="str">
        <f aca="false">"PE-2026-"&amp;TEXT(ROW()-8,"0000")</f>
        <v>PE-2026-0037</v>
      </c>
      <c r="B45" s="17" t="n">
        <v>46220</v>
      </c>
      <c r="C45" s="18" t="s">
        <v>81</v>
      </c>
      <c r="D45" s="19" t="s">
        <v>82</v>
      </c>
      <c r="E45" s="43" t="s">
        <v>58</v>
      </c>
      <c r="F45" s="21" t="s">
        <v>51</v>
      </c>
      <c r="G45" s="22" t="s">
        <v>180</v>
      </c>
      <c r="H45" s="37" t="s">
        <v>53</v>
      </c>
      <c r="I45" s="24" t="s">
        <v>54</v>
      </c>
      <c r="J45" s="25" t="n">
        <v>46220</v>
      </c>
      <c r="K45" s="23" t="s">
        <v>181</v>
      </c>
      <c r="L45" s="27" t="n">
        <v>46250</v>
      </c>
      <c r="M45" s="29" t="s">
        <v>46</v>
      </c>
      <c r="N45" s="29" t="s">
        <v>46</v>
      </c>
      <c r="O45" s="30" t="s">
        <v>182</v>
      </c>
    </row>
    <row r="46" customFormat="false" ht="19.5" hidden="false" customHeight="true" outlineLevel="0" collapsed="false">
      <c r="A46" s="16" t="str">
        <f aca="false">"PE-2026-"&amp;TEXT(ROW()-8,"0000")</f>
        <v>PE-2026-0038</v>
      </c>
      <c r="B46" s="31" t="n">
        <v>46224</v>
      </c>
      <c r="C46" s="32" t="s">
        <v>69</v>
      </c>
      <c r="D46" s="33" t="s">
        <v>70</v>
      </c>
      <c r="E46" s="20" t="s">
        <v>40</v>
      </c>
      <c r="F46" s="35" t="s">
        <v>41</v>
      </c>
      <c r="G46" s="36" t="s">
        <v>183</v>
      </c>
      <c r="H46" s="23" t="s">
        <v>43</v>
      </c>
      <c r="I46" s="38" t="s">
        <v>160</v>
      </c>
      <c r="J46" s="39" t="n">
        <v>46224</v>
      </c>
      <c r="K46" s="23" t="s">
        <v>181</v>
      </c>
      <c r="L46" s="40" t="n">
        <v>46238</v>
      </c>
      <c r="M46" s="41" t="s">
        <v>46</v>
      </c>
      <c r="N46" s="48" t="n">
        <v>46238</v>
      </c>
      <c r="O46" s="42" t="s">
        <v>184</v>
      </c>
    </row>
    <row r="47" customFormat="false" ht="19.5" hidden="false" customHeight="true" outlineLevel="0" collapsed="false">
      <c r="A47" s="16" t="str">
        <f aca="false">"PE-2026-"&amp;TEXT(ROW()-8,"0000")</f>
        <v>PE-2026-0039</v>
      </c>
      <c r="B47" s="17" t="n">
        <v>46226</v>
      </c>
      <c r="C47" s="18" t="s">
        <v>126</v>
      </c>
      <c r="D47" s="19" t="s">
        <v>127</v>
      </c>
      <c r="E47" s="45" t="s">
        <v>93</v>
      </c>
      <c r="F47" s="21" t="s">
        <v>94</v>
      </c>
      <c r="G47" s="22" t="s">
        <v>185</v>
      </c>
      <c r="H47" s="37" t="s">
        <v>53</v>
      </c>
      <c r="I47" s="24" t="s">
        <v>96</v>
      </c>
      <c r="J47" s="25" t="n">
        <v>46226</v>
      </c>
      <c r="K47" s="23" t="s">
        <v>181</v>
      </c>
      <c r="L47" s="27" t="n">
        <v>46231</v>
      </c>
      <c r="M47" s="29" t="s">
        <v>46</v>
      </c>
      <c r="N47" s="29" t="s">
        <v>46</v>
      </c>
      <c r="O47" s="30" t="s">
        <v>186</v>
      </c>
    </row>
    <row r="48" customFormat="false" ht="19.5" hidden="false" customHeight="true" outlineLevel="0" collapsed="false">
      <c r="A48" s="16" t="str">
        <f aca="false">"PE-2026-"&amp;TEXT(ROW()-8,"0000")</f>
        <v>PE-2026-0040</v>
      </c>
      <c r="B48" s="31" t="n">
        <v>46227</v>
      </c>
      <c r="C48" s="32" t="s">
        <v>144</v>
      </c>
      <c r="D48" s="33" t="s">
        <v>145</v>
      </c>
      <c r="E48" s="43" t="s">
        <v>58</v>
      </c>
      <c r="F48" s="35" t="s">
        <v>71</v>
      </c>
      <c r="G48" s="36" t="s">
        <v>187</v>
      </c>
      <c r="H48" s="37" t="s">
        <v>53</v>
      </c>
      <c r="I48" s="38" t="s">
        <v>67</v>
      </c>
      <c r="J48" s="39" t="n">
        <v>46227</v>
      </c>
      <c r="K48" s="23" t="s">
        <v>181</v>
      </c>
      <c r="L48" s="40" t="n">
        <v>46248</v>
      </c>
      <c r="M48" s="41" t="s">
        <v>46</v>
      </c>
      <c r="N48" s="48" t="n">
        <v>46249</v>
      </c>
      <c r="O48" s="42" t="s">
        <v>188</v>
      </c>
    </row>
    <row r="49" customFormat="false" ht="19.5" hidden="false" customHeight="true" outlineLevel="0" collapsed="false">
      <c r="A49" s="16" t="str">
        <f aca="false">"PE-2026-"&amp;TEXT(ROW()-8,"0000")</f>
        <v>PE-2026-0041</v>
      </c>
      <c r="B49" s="17" t="n">
        <v>46228</v>
      </c>
      <c r="C49" s="18" t="s">
        <v>86</v>
      </c>
      <c r="D49" s="19" t="s">
        <v>87</v>
      </c>
      <c r="E49" s="34" t="s">
        <v>50</v>
      </c>
      <c r="F49" s="21" t="s">
        <v>65</v>
      </c>
      <c r="G49" s="22" t="s">
        <v>189</v>
      </c>
      <c r="H49" s="23" t="s">
        <v>43</v>
      </c>
      <c r="I49" s="24" t="s">
        <v>67</v>
      </c>
      <c r="J49" s="25" t="n">
        <v>46228</v>
      </c>
      <c r="K49" s="23" t="s">
        <v>181</v>
      </c>
      <c r="L49" s="27" t="n">
        <v>46242</v>
      </c>
      <c r="M49" s="29" t="s">
        <v>46</v>
      </c>
      <c r="N49" s="48" t="n">
        <v>46242</v>
      </c>
      <c r="O49" s="30" t="s">
        <v>190</v>
      </c>
    </row>
    <row r="50" customFormat="false" ht="21.75" hidden="false" customHeight="true" outlineLevel="0" collapsed="false">
      <c r="A50" s="49" t="s">
        <v>191</v>
      </c>
      <c r="B50" s="49"/>
      <c r="C50" s="49"/>
      <c r="D50" s="49"/>
      <c r="E50" s="49"/>
      <c r="F50" s="49"/>
      <c r="G50" s="50" t="str">
        <f aca="false">"Erledigt: "&amp;COUNTIF(K9:K49,"Erledigt")</f>
        <v>Erledigt: 34</v>
      </c>
      <c r="H50" s="50"/>
      <c r="I50" s="51" t="str">
        <f aca="false">"Offen: "&amp;COUNTIF(K9:K49,"Offen")</f>
        <v>Offen: 5</v>
      </c>
      <c r="J50" s="51"/>
      <c r="K50" s="52" t="str">
        <f aca="false">"In Bearbeitung: "&amp;COUNTIF(K9:K49,"In Bearbeitung")</f>
        <v>In Bearbeitung: 2</v>
      </c>
      <c r="L50" s="52"/>
      <c r="M50" s="53"/>
      <c r="N50" s="53"/>
      <c r="O50" s="53"/>
    </row>
    <row r="51" customFormat="false" ht="15" hidden="false" customHeight="false" outlineLevel="0" collapsed="false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</row>
    <row r="52" customFormat="false" ht="15" hidden="false" customHeight="false" outlineLevel="0" collapsed="false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</row>
    <row r="53" customFormat="false" ht="15" hidden="false" customHeight="false" outlineLevel="0" collapsed="false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</row>
    <row r="54" customFormat="false" ht="15" hidden="false" customHeight="false" outlineLevel="0" collapsed="false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</row>
  </sheetData>
  <mergeCells count="29">
    <mergeCell ref="A1:O1"/>
    <mergeCell ref="A2:G2"/>
    <mergeCell ref="H2:I2"/>
    <mergeCell ref="J2:O2"/>
    <mergeCell ref="A3:O3"/>
    <mergeCell ref="B4:D4"/>
    <mergeCell ref="F4:H4"/>
    <mergeCell ref="J4:L4"/>
    <mergeCell ref="N4:O4"/>
    <mergeCell ref="B5:D5"/>
    <mergeCell ref="F5:H5"/>
    <mergeCell ref="J5:L5"/>
    <mergeCell ref="N5:O5"/>
    <mergeCell ref="A6:O6"/>
    <mergeCell ref="A7:A8"/>
    <mergeCell ref="B7:B8"/>
    <mergeCell ref="C7:D7"/>
    <mergeCell ref="E7:F7"/>
    <mergeCell ref="G7:G8"/>
    <mergeCell ref="H7:H8"/>
    <mergeCell ref="I7:J7"/>
    <mergeCell ref="K7:K8"/>
    <mergeCell ref="L7:M7"/>
    <mergeCell ref="N7:N8"/>
    <mergeCell ref="O7:O8"/>
    <mergeCell ref="A50:F50"/>
    <mergeCell ref="G50:H50"/>
    <mergeCell ref="I50:J50"/>
    <mergeCell ref="K50:L50"/>
  </mergeCells>
  <conditionalFormatting sqref="K9:K49">
    <cfRule type="containsText" priority="2" operator="containsText" aboveAverage="0" equalAverage="0" bottom="0" percent="0" rank="0" text="Erledigt" dxfId="0">
      <formula>NOT(ISERROR(SEARCH("Erledigt",K9)))</formula>
    </cfRule>
    <cfRule type="containsText" priority="3" operator="containsText" aboveAverage="0" equalAverage="0" bottom="0" percent="0" rank="0" text="Offen" dxfId="1">
      <formula>NOT(ISERROR(SEARCH("Offen",K9)))</formula>
    </cfRule>
    <cfRule type="containsText" priority="4" operator="containsText" aboveAverage="0" equalAverage="0" bottom="0" percent="0" rank="0" text="In Bearbeitung" dxfId="2">
      <formula>NOT(ISERROR(SEARCH("In Bearbeitung",K9)))</formula>
    </cfRule>
    <cfRule type="containsText" priority="5" operator="containsText" aboveAverage="0" equalAverage="0" bottom="0" percent="0" rank="0" text="Weitergeleitet" dxfId="3">
      <formula>NOT(ISERROR(SEARCH("Weitergeleitet",K9)))</formula>
    </cfRule>
    <cfRule type="containsText" priority="6" operator="containsText" aboveAverage="0" equalAverage="0" bottom="0" percent="0" rank="0" text="Zurückgestellt" dxfId="4">
      <formula>NOT(ISERROR(SEARCH("Zurückgestellt",K9)))</formula>
    </cfRule>
  </conditionalFormatting>
  <conditionalFormatting sqref="H9:H49">
    <cfRule type="containsText" priority="7" operator="containsText" aboveAverage="0" equalAverage="0" bottom="0" percent="0" rank="0" text="Dringend" dxfId="1">
      <formula>NOT(ISERROR(SEARCH("Dringend",H9)))</formula>
    </cfRule>
    <cfRule type="containsText" priority="8" operator="containsText" aboveAverage="0" equalAverage="0" bottom="0" percent="0" rank="0" text="Vertraulich" dxfId="4">
      <formula>NOT(ISERROR(SEARCH("Vertraulich",H9)))</formula>
    </cfRule>
  </conditionalFormatting>
  <dataValidations count="4">
    <dataValidation allowBlank="true" errorStyle="stop" operator="between" showDropDown="false" showErrorMessage="false" showInputMessage="false" sqref="E9:E49" type="list">
      <formula1>"Brief,Einschreiben,E-Mail,Fax,Paket,Kurier,Bote,Intern"</formula1>
      <formula2>0</formula2>
    </dataValidation>
    <dataValidation allowBlank="true" errorStyle="stop" operator="between" showDropDown="false" showErrorMessage="false" showInputMessage="false" sqref="F9:F49" type="list">
      <formula1>"Rechnung,Angebot,Vertrag,Antrag,Bescheid,Mahnung,Mitteilung,Protokoll,Bericht,Sonstiges"</formula1>
      <formula2>0</formula2>
    </dataValidation>
    <dataValidation allowBlank="true" errorStyle="stop" operator="between" showDropDown="false" showErrorMessage="false" showInputMessage="false" sqref="H9:H49" type="list">
      <formula1>"Dringend,Normal,Niedrig,Vertraulich"</formula1>
      <formula2>0</formula2>
    </dataValidation>
    <dataValidation allowBlank="true" errorStyle="stop" operator="between" showDropDown="false" showErrorMessage="false" showInputMessage="false" sqref="K9:K49" type="list">
      <formula1>"Offen,In Bearbeitung,Erledigt,Weitergeleitet,Archiviert,Zurückgestellt"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87333"/>
    <pageSetUpPr fitToPage="true"/>
  </sheetPr>
  <dimension ref="A1:H7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8"/>
    <col collapsed="false" customWidth="true" hidden="false" outlineLevel="0" max="6" min="3" style="0" width="14"/>
    <col collapsed="false" customWidth="true" hidden="false" outlineLevel="0" max="7" min="7" style="0" width="28"/>
    <col collapsed="false" customWidth="true" hidden="false" outlineLevel="0" max="8" min="8" style="0" width="3"/>
  </cols>
  <sheetData>
    <row r="1" customFormat="false" ht="6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49.5" hidden="false" customHeight="true" outlineLevel="0" collapsed="false">
      <c r="A2" s="55" t="s">
        <v>192</v>
      </c>
      <c r="B2" s="55"/>
      <c r="C2" s="55"/>
      <c r="D2" s="55"/>
      <c r="E2" s="55"/>
      <c r="F2" s="56" t="s">
        <v>193</v>
      </c>
      <c r="G2" s="56"/>
      <c r="H2" s="56"/>
    </row>
    <row r="3" customFormat="false" ht="6" hidden="false" customHeight="true" outlineLevel="0" collapsed="false">
      <c r="A3" s="1"/>
      <c r="B3" s="1"/>
      <c r="C3" s="1"/>
      <c r="D3" s="1"/>
      <c r="E3" s="1"/>
      <c r="F3" s="1"/>
      <c r="G3" s="1"/>
      <c r="H3" s="1"/>
    </row>
    <row r="4" customFormat="false" ht="19.5" hidden="false" customHeight="true" outlineLevel="0" collapsed="false">
      <c r="A4" s="57" t="s">
        <v>194</v>
      </c>
      <c r="B4" s="57"/>
      <c r="C4" s="57"/>
      <c r="D4" s="57"/>
      <c r="E4" s="57"/>
      <c r="F4" s="57"/>
      <c r="G4" s="57"/>
      <c r="H4" s="57"/>
    </row>
    <row r="5" customFormat="false" ht="6" hidden="false" customHeight="true" outlineLevel="0" collapsed="false">
      <c r="A5" s="1"/>
      <c r="B5" s="1"/>
      <c r="C5" s="1"/>
      <c r="D5" s="1"/>
      <c r="E5" s="1"/>
      <c r="F5" s="1"/>
      <c r="G5" s="1"/>
      <c r="H5" s="1"/>
    </row>
    <row r="6" customFormat="false" ht="21.75" hidden="false" customHeight="true" outlineLevel="0" collapsed="false">
      <c r="A6" s="58"/>
      <c r="B6" s="59" t="s">
        <v>195</v>
      </c>
      <c r="C6" s="59"/>
      <c r="D6" s="59"/>
      <c r="E6" s="59"/>
      <c r="F6" s="59"/>
      <c r="G6" s="59"/>
      <c r="H6" s="58"/>
    </row>
    <row r="7" customFormat="false" ht="19.5" hidden="false" customHeight="true" outlineLevel="0" collapsed="false">
      <c r="A7" s="53"/>
      <c r="B7" s="60" t="s">
        <v>196</v>
      </c>
      <c r="C7" s="60" t="s">
        <v>197</v>
      </c>
      <c r="D7" s="60"/>
      <c r="E7" s="60"/>
      <c r="F7" s="60"/>
      <c r="G7" s="60"/>
      <c r="H7" s="53"/>
    </row>
    <row r="8" customFormat="false" ht="19.5" hidden="false" customHeight="true" outlineLevel="0" collapsed="false">
      <c r="A8" s="58"/>
      <c r="B8" s="61" t="s">
        <v>198</v>
      </c>
      <c r="C8" s="61"/>
      <c r="D8" s="61"/>
      <c r="E8" s="62" t="n">
        <f aca="false">41</f>
        <v>41</v>
      </c>
      <c r="F8" s="62"/>
      <c r="G8" s="62"/>
      <c r="H8" s="58"/>
    </row>
    <row r="9" customFormat="false" ht="19.5" hidden="false" customHeight="true" outlineLevel="0" collapsed="false">
      <c r="A9" s="58"/>
      <c r="B9" s="63" t="s">
        <v>45</v>
      </c>
      <c r="C9" s="63"/>
      <c r="D9" s="63"/>
      <c r="E9" s="64" t="n">
        <f aca="false">COUNTIF(Posteingangsbuch!K9:K49,"Erledigt")</f>
        <v>34</v>
      </c>
      <c r="F9" s="64"/>
      <c r="G9" s="64"/>
      <c r="H9" s="58"/>
    </row>
    <row r="10" customFormat="false" ht="19.5" hidden="false" customHeight="true" outlineLevel="0" collapsed="false">
      <c r="A10" s="58"/>
      <c r="B10" s="61" t="s">
        <v>181</v>
      </c>
      <c r="C10" s="61"/>
      <c r="D10" s="61"/>
      <c r="E10" s="65" t="n">
        <f aca="false">COUNTIF(Posteingangsbuch!K9:K49,"Offen")</f>
        <v>5</v>
      </c>
      <c r="F10" s="65"/>
      <c r="G10" s="65"/>
      <c r="H10" s="58"/>
    </row>
    <row r="11" customFormat="false" ht="19.5" hidden="false" customHeight="true" outlineLevel="0" collapsed="false">
      <c r="A11" s="58"/>
      <c r="B11" s="63" t="s">
        <v>174</v>
      </c>
      <c r="C11" s="63"/>
      <c r="D11" s="63"/>
      <c r="E11" s="66" t="n">
        <f aca="false">COUNTIF(Posteingangsbuch!K9:K49,"In Bearbeitung")</f>
        <v>2</v>
      </c>
      <c r="F11" s="66"/>
      <c r="G11" s="66"/>
      <c r="H11" s="58"/>
    </row>
    <row r="12" customFormat="false" ht="19.5" hidden="false" customHeight="true" outlineLevel="0" collapsed="false">
      <c r="A12" s="58"/>
      <c r="B12" s="61" t="s">
        <v>199</v>
      </c>
      <c r="C12" s="61"/>
      <c r="D12" s="61"/>
      <c r="E12" s="65" t="n">
        <f aca="false">COUNTIF(Posteingangsbuch!H9:H49,"Dringend")</f>
        <v>12</v>
      </c>
      <c r="F12" s="65"/>
      <c r="G12" s="65"/>
      <c r="H12" s="58"/>
    </row>
    <row r="13" customFormat="false" ht="19.5" hidden="false" customHeight="true" outlineLevel="0" collapsed="false">
      <c r="A13" s="58"/>
      <c r="B13" s="63" t="s">
        <v>200</v>
      </c>
      <c r="C13" s="63"/>
      <c r="D13" s="63"/>
      <c r="E13" s="67" t="n">
        <f aca="false">COUNTIF(Posteingangsbuch!H9:H49,"Vertraulich")</f>
        <v>2</v>
      </c>
      <c r="F13" s="67"/>
      <c r="G13" s="67"/>
      <c r="H13" s="58"/>
    </row>
    <row r="14" customFormat="false" ht="19.5" hidden="false" customHeight="true" outlineLevel="0" collapsed="false">
      <c r="A14" s="58"/>
      <c r="B14" s="61" t="s">
        <v>201</v>
      </c>
      <c r="C14" s="61"/>
      <c r="D14" s="61"/>
      <c r="E14" s="66" t="n">
        <f aca="false">COUNTA(Posteingangsbuch!N9:N49)</f>
        <v>41</v>
      </c>
      <c r="F14" s="66"/>
      <c r="G14" s="66"/>
      <c r="H14" s="58"/>
    </row>
    <row r="15" customFormat="false" ht="19.5" hidden="false" customHeight="true" outlineLevel="0" collapsed="false">
      <c r="A15" s="58"/>
      <c r="B15" s="63" t="s">
        <v>202</v>
      </c>
      <c r="C15" s="63"/>
      <c r="D15" s="63"/>
      <c r="E15" s="65" t="n">
        <f aca="false">COUNTIFS(Posteingangsbuch!F9:F49,"Rechnung",Posteingangsbuch!K9:K49,"Offen")</f>
        <v>1</v>
      </c>
      <c r="F15" s="65"/>
      <c r="G15" s="65"/>
      <c r="H15" s="58"/>
    </row>
    <row r="16" customFormat="false" ht="6" hidden="false" customHeight="true" outlineLevel="0" collapsed="false">
      <c r="A16" s="68"/>
      <c r="B16" s="68"/>
      <c r="C16" s="68"/>
      <c r="D16" s="68"/>
      <c r="E16" s="68"/>
      <c r="F16" s="68"/>
      <c r="G16" s="68"/>
      <c r="H16" s="68"/>
    </row>
    <row r="17" customFormat="false" ht="21.75" hidden="false" customHeight="true" outlineLevel="0" collapsed="false">
      <c r="A17" s="58"/>
      <c r="B17" s="59" t="s">
        <v>203</v>
      </c>
      <c r="C17" s="59"/>
      <c r="D17" s="59"/>
      <c r="E17" s="59"/>
      <c r="F17" s="59"/>
      <c r="G17" s="59"/>
      <c r="H17" s="58"/>
    </row>
    <row r="18" customFormat="false" ht="19.5" hidden="false" customHeight="true" outlineLevel="0" collapsed="false">
      <c r="A18" s="53"/>
      <c r="B18" s="60" t="s">
        <v>26</v>
      </c>
      <c r="C18" s="60" t="s">
        <v>204</v>
      </c>
      <c r="D18" s="60" t="s">
        <v>205</v>
      </c>
      <c r="E18" s="60"/>
      <c r="F18" s="60"/>
      <c r="G18" s="60"/>
      <c r="H18" s="53"/>
    </row>
    <row r="19" customFormat="false" ht="19.5" hidden="false" customHeight="true" outlineLevel="0" collapsed="false">
      <c r="A19" s="58"/>
      <c r="B19" s="69" t="s">
        <v>45</v>
      </c>
      <c r="C19" s="70" t="n">
        <f aca="false">COUNTIF(Posteingangsbuch!K9:K49,"Erledigt")</f>
        <v>34</v>
      </c>
      <c r="D19" s="71" t="n">
        <f aca="false">IFERROR(COUNTIF(Posteingangsbuch!K9:K49,"Erledigt")/41,0)</f>
        <v>0.829268292682927</v>
      </c>
      <c r="E19" s="72" t="str">
        <f aca="false">IFERROR(REPT("█",ROUND(IFERROR(COUNTIF(Posteingangsbuch!K9:K49,"Erledigt")/41,0)*30,0))&amp;" "&amp;TEXT(IFERROR(COUNTIF(Posteingangsbuch!K9:K49,"Erledigt")/41,0),"0.0%"),"")</f>
        <v>█████████████████████████ 82.9%</v>
      </c>
      <c r="F19" s="72"/>
      <c r="G19" s="72"/>
      <c r="H19" s="58"/>
    </row>
    <row r="20" customFormat="false" ht="19.5" hidden="false" customHeight="true" outlineLevel="0" collapsed="false">
      <c r="A20" s="58"/>
      <c r="B20" s="73" t="s">
        <v>181</v>
      </c>
      <c r="C20" s="74" t="n">
        <f aca="false">COUNTIF(Posteingangsbuch!K9:K49,"Offen")</f>
        <v>5</v>
      </c>
      <c r="D20" s="75" t="n">
        <f aca="false">IFERROR(COUNTIF(Posteingangsbuch!K9:K49,"Offen")/41,0)</f>
        <v>0.121951219512195</v>
      </c>
      <c r="E20" s="76" t="str">
        <f aca="false">IFERROR(REPT("█",ROUND(IFERROR(COUNTIF(Posteingangsbuch!K9:K49,"Offen")/41,0)*30,0))&amp;" "&amp;TEXT(IFERROR(COUNTIF(Posteingangsbuch!K9:K49,"Offen")/41,0),"0.0%"),"")</f>
        <v>████ 12.2%</v>
      </c>
      <c r="F20" s="76"/>
      <c r="G20" s="76"/>
      <c r="H20" s="58"/>
    </row>
    <row r="21" customFormat="false" ht="19.5" hidden="false" customHeight="true" outlineLevel="0" collapsed="false">
      <c r="A21" s="58"/>
      <c r="B21" s="69" t="s">
        <v>174</v>
      </c>
      <c r="C21" s="70" t="n">
        <f aca="false">COUNTIF(Posteingangsbuch!K9:K49,"In Bearbeitung")</f>
        <v>2</v>
      </c>
      <c r="D21" s="71" t="n">
        <f aca="false">IFERROR(COUNTIF(Posteingangsbuch!K9:K49,"In Bearbeitung")/41,0)</f>
        <v>0.0487804878048781</v>
      </c>
      <c r="E21" s="77" t="str">
        <f aca="false">IFERROR(REPT("█",ROUND(IFERROR(COUNTIF(Posteingangsbuch!K9:K49,"In Bearbeitung")/41,0)*30,0))&amp;" "&amp;TEXT(IFERROR(COUNTIF(Posteingangsbuch!K9:K49,"In Bearbeitung")/41,0),"0.0%"),"")</f>
        <v>█ 4.9%</v>
      </c>
      <c r="F21" s="77"/>
      <c r="G21" s="77"/>
      <c r="H21" s="58"/>
    </row>
    <row r="22" customFormat="false" ht="19.5" hidden="false" customHeight="true" outlineLevel="0" collapsed="false">
      <c r="A22" s="58"/>
      <c r="B22" s="73" t="s">
        <v>206</v>
      </c>
      <c r="C22" s="74" t="n">
        <f aca="false">COUNTIF(Posteingangsbuch!K9:K49,"Weitergeleitet")</f>
        <v>0</v>
      </c>
      <c r="D22" s="75" t="n">
        <f aca="false">IFERROR(COUNTIF(Posteingangsbuch!K9:K49,"Weitergeleitet")/41,0)</f>
        <v>0</v>
      </c>
      <c r="E22" s="78" t="str">
        <f aca="false">IFERROR(REPT("█",ROUND(IFERROR(COUNTIF(Posteingangsbuch!K9:K49,"Weitergeleitet")/41,0)*30,0))&amp;" "&amp;TEXT(IFERROR(COUNTIF(Posteingangsbuch!K9:K49,"Weitergeleitet")/41,0),"0.0%"),"")</f>
        <v> 0.0%</v>
      </c>
      <c r="F22" s="78"/>
      <c r="G22" s="78"/>
      <c r="H22" s="58"/>
    </row>
    <row r="23" customFormat="false" ht="19.5" hidden="false" customHeight="true" outlineLevel="0" collapsed="false">
      <c r="A23" s="58"/>
      <c r="B23" s="69" t="s">
        <v>207</v>
      </c>
      <c r="C23" s="70" t="n">
        <f aca="false">COUNTIF(Posteingangsbuch!K9:K49,"Archiviert")</f>
        <v>0</v>
      </c>
      <c r="D23" s="71" t="n">
        <f aca="false">IFERROR(COUNTIF(Posteingangsbuch!K9:K49,"Archiviert")/41,0)</f>
        <v>0</v>
      </c>
      <c r="E23" s="79" t="str">
        <f aca="false">IFERROR(REPT("█",ROUND(IFERROR(COUNTIF(Posteingangsbuch!K9:K49,"Archiviert")/41,0)*30,0))&amp;" "&amp;TEXT(IFERROR(COUNTIF(Posteingangsbuch!K9:K49,"Archiviert")/41,0),"0.0%"),"")</f>
        <v> 0.0%</v>
      </c>
      <c r="F23" s="79"/>
      <c r="G23" s="79"/>
      <c r="H23" s="58"/>
    </row>
    <row r="24" customFormat="false" ht="19.5" hidden="false" customHeight="true" outlineLevel="0" collapsed="false">
      <c r="A24" s="58"/>
      <c r="B24" s="73" t="s">
        <v>208</v>
      </c>
      <c r="C24" s="74" t="n">
        <f aca="false">COUNTIF(Posteingangsbuch!K9:K49,"Zurückgestellt")</f>
        <v>0</v>
      </c>
      <c r="D24" s="75" t="n">
        <f aca="false">IFERROR(COUNTIF(Posteingangsbuch!K9:K49,"Zurückgestellt")/41,0)</f>
        <v>0</v>
      </c>
      <c r="E24" s="80" t="str">
        <f aca="false">IFERROR(REPT("█",ROUND(IFERROR(COUNTIF(Posteingangsbuch!K9:K49,"Zurückgestellt")/41,0)*30,0))&amp;" "&amp;TEXT(IFERROR(COUNTIF(Posteingangsbuch!K9:K49,"Zurückgestellt")/41,0),"0.0%"),"")</f>
        <v> 0.0%</v>
      </c>
      <c r="F24" s="80"/>
      <c r="G24" s="80"/>
      <c r="H24" s="58"/>
    </row>
    <row r="25" customFormat="false" ht="6" hidden="false" customHeight="true" outlineLevel="0" collapsed="false">
      <c r="A25" s="68"/>
      <c r="B25" s="68"/>
      <c r="C25" s="68"/>
      <c r="D25" s="68"/>
      <c r="E25" s="68"/>
      <c r="F25" s="68"/>
      <c r="G25" s="68"/>
      <c r="H25" s="68"/>
    </row>
    <row r="26" customFormat="false" ht="21.75" hidden="false" customHeight="true" outlineLevel="0" collapsed="false">
      <c r="A26" s="58"/>
      <c r="B26" s="59" t="s">
        <v>209</v>
      </c>
      <c r="C26" s="59"/>
      <c r="D26" s="59"/>
      <c r="E26" s="59"/>
      <c r="F26" s="59"/>
      <c r="G26" s="59"/>
      <c r="H26" s="58"/>
    </row>
    <row r="27" customFormat="false" ht="19.5" hidden="false" customHeight="true" outlineLevel="0" collapsed="false">
      <c r="A27" s="53"/>
      <c r="B27" s="60" t="s">
        <v>32</v>
      </c>
      <c r="C27" s="60" t="s">
        <v>204</v>
      </c>
      <c r="D27" s="60" t="s">
        <v>205</v>
      </c>
      <c r="E27" s="60"/>
      <c r="F27" s="60"/>
      <c r="G27" s="60"/>
      <c r="H27" s="53"/>
    </row>
    <row r="28" customFormat="false" ht="19.5" hidden="false" customHeight="true" outlineLevel="0" collapsed="false">
      <c r="A28" s="58"/>
      <c r="B28" s="73" t="s">
        <v>40</v>
      </c>
      <c r="C28" s="74" t="n">
        <f aca="false">COUNTIF(Posteingangsbuch!E9:E49,"Brief")</f>
        <v>22</v>
      </c>
      <c r="D28" s="75" t="n">
        <f aca="false">IFERROR(COUNTIF(Posteingangsbuch!E9:E49,"Brief")/41,0)</f>
        <v>0.536585365853659</v>
      </c>
      <c r="E28" s="78" t="str">
        <f aca="false">IFERROR(REPT("█",ROUND(IFERROR(COUNTIF(Posteingangsbuch!E9:E49,"Brief")/41,0)*30,0))&amp;" "&amp;TEXT(IFERROR(COUNTIF(Posteingangsbuch!E9:E49,"Brief")/41,0),"0.0%"),"")</f>
        <v>████████████████ 53.7%</v>
      </c>
      <c r="F28" s="78"/>
      <c r="G28" s="78"/>
      <c r="H28" s="58"/>
    </row>
    <row r="29" customFormat="false" ht="19.5" hidden="false" customHeight="true" outlineLevel="0" collapsed="false">
      <c r="A29" s="58"/>
      <c r="B29" s="69" t="s">
        <v>50</v>
      </c>
      <c r="C29" s="70" t="n">
        <f aca="false">COUNTIF(Posteingangsbuch!E9:E49,"Einschreiben")</f>
        <v>5</v>
      </c>
      <c r="D29" s="71" t="n">
        <f aca="false">IFERROR(COUNTIF(Posteingangsbuch!E9:E49,"Einschreiben")/41,0)</f>
        <v>0.121951219512195</v>
      </c>
      <c r="E29" s="81" t="str">
        <f aca="false">IFERROR(REPT("█",ROUND(IFERROR(COUNTIF(Posteingangsbuch!E9:E49,"Einschreiben")/41,0)*30,0))&amp;" "&amp;TEXT(IFERROR(COUNTIF(Posteingangsbuch!E9:E49,"Einschreiben")/41,0),"0.0%"),"")</f>
        <v>████ 12.2%</v>
      </c>
      <c r="F29" s="81"/>
      <c r="G29" s="81"/>
      <c r="H29" s="58"/>
    </row>
    <row r="30" customFormat="false" ht="19.5" hidden="false" customHeight="true" outlineLevel="0" collapsed="false">
      <c r="A30" s="58"/>
      <c r="B30" s="73" t="s">
        <v>58</v>
      </c>
      <c r="C30" s="74" t="n">
        <f aca="false">COUNTIF(Posteingangsbuch!E9:E49,"E-Mail")</f>
        <v>10</v>
      </c>
      <c r="D30" s="75" t="n">
        <f aca="false">IFERROR(COUNTIF(Posteingangsbuch!E9:E49,"E-Mail")/41,0)</f>
        <v>0.24390243902439</v>
      </c>
      <c r="E30" s="82" t="str">
        <f aca="false">IFERROR(REPT("█",ROUND(IFERROR(COUNTIF(Posteingangsbuch!E9:E49,"E-Mail")/41,0)*30,0))&amp;" "&amp;TEXT(IFERROR(COUNTIF(Posteingangsbuch!E9:E49,"E-Mail")/41,0),"0.0%"),"")</f>
        <v>███████ 24.4%</v>
      </c>
      <c r="F30" s="82"/>
      <c r="G30" s="82"/>
      <c r="H30" s="58"/>
    </row>
    <row r="31" customFormat="false" ht="19.5" hidden="false" customHeight="true" outlineLevel="0" collapsed="false">
      <c r="A31" s="58"/>
      <c r="B31" s="69" t="s">
        <v>210</v>
      </c>
      <c r="C31" s="70" t="n">
        <f aca="false">COUNTIF(Posteingangsbuch!E9:E49,"Fax")</f>
        <v>0</v>
      </c>
      <c r="D31" s="71" t="n">
        <f aca="false">IFERROR(COUNTIF(Posteingangsbuch!E9:E49,"Fax")/41,0)</f>
        <v>0</v>
      </c>
      <c r="E31" s="77" t="str">
        <f aca="false">IFERROR(REPT("█",ROUND(IFERROR(COUNTIF(Posteingangsbuch!E9:E49,"Fax")/41,0)*30,0))&amp;" "&amp;TEXT(IFERROR(COUNTIF(Posteingangsbuch!E9:E49,"Fax")/41,0),"0.0%"),"")</f>
        <v> 0.0%</v>
      </c>
      <c r="F31" s="77"/>
      <c r="G31" s="77"/>
      <c r="H31" s="58"/>
    </row>
    <row r="32" customFormat="false" ht="19.5" hidden="false" customHeight="true" outlineLevel="0" collapsed="false">
      <c r="A32" s="58"/>
      <c r="B32" s="73" t="s">
        <v>93</v>
      </c>
      <c r="C32" s="74" t="n">
        <f aca="false">COUNTIF(Posteingangsbuch!E9:E49,"Paket")</f>
        <v>2</v>
      </c>
      <c r="D32" s="75" t="n">
        <f aca="false">IFERROR(COUNTIF(Posteingangsbuch!E9:E49,"Paket")/41,0)</f>
        <v>0.0487804878048781</v>
      </c>
      <c r="E32" s="83" t="str">
        <f aca="false">IFERROR(REPT("█",ROUND(IFERROR(COUNTIF(Posteingangsbuch!E9:E49,"Paket")/41,0)*30,0))&amp;" "&amp;TEXT(IFERROR(COUNTIF(Posteingangsbuch!E9:E49,"Paket")/41,0),"0.0%"),"")</f>
        <v>█ 4.9%</v>
      </c>
      <c r="F32" s="83"/>
      <c r="G32" s="83"/>
      <c r="H32" s="58"/>
    </row>
    <row r="33" customFormat="false" ht="19.5" hidden="false" customHeight="true" outlineLevel="0" collapsed="false">
      <c r="A33" s="58"/>
      <c r="B33" s="69" t="s">
        <v>128</v>
      </c>
      <c r="C33" s="70" t="n">
        <f aca="false">COUNTIF(Posteingangsbuch!E9:E49,"Kurier")</f>
        <v>2</v>
      </c>
      <c r="D33" s="71" t="n">
        <f aca="false">IFERROR(COUNTIF(Posteingangsbuch!E9:E49,"Kurier")/41,0)</f>
        <v>0.0487804878048781</v>
      </c>
      <c r="E33" s="84" t="str">
        <f aca="false">IFERROR(REPT("█",ROUND(IFERROR(COUNTIF(Posteingangsbuch!E9:E49,"Kurier")/41,0)*30,0))&amp;" "&amp;TEXT(IFERROR(COUNTIF(Posteingangsbuch!E9:E49,"Kurier")/41,0),"0.0%"),"")</f>
        <v>█ 4.9%</v>
      </c>
      <c r="F33" s="84"/>
      <c r="G33" s="84"/>
      <c r="H33" s="58"/>
    </row>
    <row r="34" customFormat="false" ht="19.5" hidden="false" customHeight="true" outlineLevel="0" collapsed="false">
      <c r="A34" s="58"/>
      <c r="B34" s="73" t="s">
        <v>211</v>
      </c>
      <c r="C34" s="74" t="n">
        <f aca="false">COUNTIF(Posteingangsbuch!E9:E49,"Bote")</f>
        <v>0</v>
      </c>
      <c r="D34" s="75" t="n">
        <f aca="false">IFERROR(COUNTIF(Posteingangsbuch!E9:E49,"Bote")/41,0)</f>
        <v>0</v>
      </c>
      <c r="E34" s="85" t="str">
        <f aca="false">IFERROR(REPT("█",ROUND(IFERROR(COUNTIF(Posteingangsbuch!E9:E49,"Bote")/41,0)*30,0))&amp;" "&amp;TEXT(IFERROR(COUNTIF(Posteingangsbuch!E9:E49,"Bote")/41,0),"0.0%"),"")</f>
        <v> 0.0%</v>
      </c>
      <c r="F34" s="85"/>
      <c r="G34" s="85"/>
      <c r="H34" s="58"/>
    </row>
    <row r="35" customFormat="false" ht="19.5" hidden="false" customHeight="true" outlineLevel="0" collapsed="false">
      <c r="A35" s="58"/>
      <c r="B35" s="69" t="s">
        <v>212</v>
      </c>
      <c r="C35" s="70" t="n">
        <f aca="false">COUNTIF(Posteingangsbuch!E9:E49,"Intern")</f>
        <v>0</v>
      </c>
      <c r="D35" s="71" t="n">
        <f aca="false">IFERROR(COUNTIF(Posteingangsbuch!E9:E49,"Intern")/41,0)</f>
        <v>0</v>
      </c>
      <c r="E35" s="79" t="str">
        <f aca="false">IFERROR(REPT("█",ROUND(IFERROR(COUNTIF(Posteingangsbuch!E9:E49,"Intern")/41,0)*30,0))&amp;" "&amp;TEXT(IFERROR(COUNTIF(Posteingangsbuch!E9:E49,"Intern")/41,0),"0.0%"),"")</f>
        <v> 0.0%</v>
      </c>
      <c r="F35" s="79"/>
      <c r="G35" s="79"/>
      <c r="H35" s="58"/>
    </row>
    <row r="36" customFormat="false" ht="6" hidden="false" customHeight="true" outlineLevel="0" collapsed="false">
      <c r="A36" s="68"/>
      <c r="B36" s="68"/>
      <c r="C36" s="68"/>
      <c r="D36" s="68"/>
      <c r="E36" s="68"/>
      <c r="F36" s="68"/>
      <c r="G36" s="68"/>
      <c r="H36" s="68"/>
    </row>
    <row r="37" customFormat="false" ht="21.75" hidden="false" customHeight="true" outlineLevel="0" collapsed="false">
      <c r="A37" s="58"/>
      <c r="B37" s="59" t="s">
        <v>213</v>
      </c>
      <c r="C37" s="59"/>
      <c r="D37" s="59"/>
      <c r="E37" s="59"/>
      <c r="F37" s="59"/>
      <c r="G37" s="59"/>
      <c r="H37" s="58"/>
    </row>
    <row r="38" customFormat="false" ht="19.5" hidden="false" customHeight="true" outlineLevel="0" collapsed="false">
      <c r="A38" s="53"/>
      <c r="B38" s="60" t="s">
        <v>33</v>
      </c>
      <c r="C38" s="60" t="s">
        <v>204</v>
      </c>
      <c r="D38" s="60" t="s">
        <v>205</v>
      </c>
      <c r="E38" s="60"/>
      <c r="F38" s="60"/>
      <c r="G38" s="60"/>
      <c r="H38" s="53"/>
    </row>
    <row r="39" customFormat="false" ht="19.5" hidden="false" customHeight="true" outlineLevel="0" collapsed="false">
      <c r="A39" s="58"/>
      <c r="B39" s="69" t="s">
        <v>51</v>
      </c>
      <c r="C39" s="70" t="n">
        <f aca="false">COUNTIF(Posteingangsbuch!F9:F49,"Rechnung")</f>
        <v>10</v>
      </c>
      <c r="D39" s="71" t="n">
        <f aca="false">IFERROR(COUNTIF(Posteingangsbuch!F9:F49,"Rechnung")/41,0)</f>
        <v>0.24390243902439</v>
      </c>
      <c r="E39" s="84" t="str">
        <f aca="false">IFERROR(REPT("█",ROUND(IFERROR(COUNTIF(Posteingangsbuch!F9:F49,"Rechnung")/41,0)*30,0))&amp;" "&amp;TEXT(IFERROR(COUNTIF(Posteingangsbuch!F9:F49,"Rechnung")/41,0),"0.0%"),"")</f>
        <v>███████ 24.4%</v>
      </c>
      <c r="F39" s="84"/>
      <c r="G39" s="84"/>
      <c r="H39" s="58"/>
    </row>
    <row r="40" customFormat="false" ht="19.5" hidden="false" customHeight="true" outlineLevel="0" collapsed="false">
      <c r="A40" s="58"/>
      <c r="B40" s="73" t="s">
        <v>59</v>
      </c>
      <c r="C40" s="74" t="n">
        <f aca="false">COUNTIF(Posteingangsbuch!F9:F49,"Angebot")</f>
        <v>6</v>
      </c>
      <c r="D40" s="75" t="n">
        <f aca="false">IFERROR(COUNTIF(Posteingangsbuch!F9:F49,"Angebot")/41,0)</f>
        <v>0.146341463414634</v>
      </c>
      <c r="E40" s="85" t="str">
        <f aca="false">IFERROR(REPT("█",ROUND(IFERROR(COUNTIF(Posteingangsbuch!F9:F49,"Angebot")/41,0)*30,0))&amp;" "&amp;TEXT(IFERROR(COUNTIF(Posteingangsbuch!F9:F49,"Angebot")/41,0),"0.0%"),"")</f>
        <v>████ 14.6%</v>
      </c>
      <c r="F40" s="85"/>
      <c r="G40" s="85"/>
      <c r="H40" s="58"/>
    </row>
    <row r="41" customFormat="false" ht="19.5" hidden="false" customHeight="true" outlineLevel="0" collapsed="false">
      <c r="A41" s="58"/>
      <c r="B41" s="69" t="s">
        <v>65</v>
      </c>
      <c r="C41" s="70" t="n">
        <f aca="false">COUNTIF(Posteingangsbuch!F9:F49,"Vertrag")</f>
        <v>4</v>
      </c>
      <c r="D41" s="71" t="n">
        <f aca="false">IFERROR(COUNTIF(Posteingangsbuch!F9:F49,"Vertrag")/41,0)</f>
        <v>0.0975609756097561</v>
      </c>
      <c r="E41" s="81" t="str">
        <f aca="false">IFERROR(REPT("█",ROUND(IFERROR(COUNTIF(Posteingangsbuch!F9:F49,"Vertrag")/41,0)*30,0))&amp;" "&amp;TEXT(IFERROR(COUNTIF(Posteingangsbuch!F9:F49,"Vertrag")/41,0),"0.0%"),"")</f>
        <v>███ 9.8%</v>
      </c>
      <c r="F41" s="81"/>
      <c r="G41" s="81"/>
      <c r="H41" s="58"/>
    </row>
    <row r="42" customFormat="false" ht="19.5" hidden="false" customHeight="true" outlineLevel="0" collapsed="false">
      <c r="A42" s="58"/>
      <c r="B42" s="73" t="s">
        <v>214</v>
      </c>
      <c r="C42" s="74" t="n">
        <f aca="false">COUNTIF(Posteingangsbuch!F9:F49,"Antrag")</f>
        <v>0</v>
      </c>
      <c r="D42" s="75" t="n">
        <f aca="false">IFERROR(COUNTIF(Posteingangsbuch!F9:F49,"Antrag")/41,0)</f>
        <v>0</v>
      </c>
      <c r="E42" s="78" t="str">
        <f aca="false">IFERROR(REPT("█",ROUND(IFERROR(COUNTIF(Posteingangsbuch!F9:F49,"Antrag")/41,0)*30,0))&amp;" "&amp;TEXT(IFERROR(COUNTIF(Posteingangsbuch!F9:F49,"Antrag")/41,0),"0.0%"),"")</f>
        <v> 0.0%</v>
      </c>
      <c r="F42" s="78"/>
      <c r="G42" s="78"/>
      <c r="H42" s="58"/>
    </row>
    <row r="43" customFormat="false" ht="19.5" hidden="false" customHeight="true" outlineLevel="0" collapsed="false">
      <c r="A43" s="58"/>
      <c r="B43" s="69" t="s">
        <v>41</v>
      </c>
      <c r="C43" s="70" t="n">
        <f aca="false">COUNTIF(Posteingangsbuch!F9:F49,"Bescheid")</f>
        <v>9</v>
      </c>
      <c r="D43" s="71" t="n">
        <f aca="false">IFERROR(COUNTIF(Posteingangsbuch!F9:F49,"Bescheid")/41,0)</f>
        <v>0.219512195121951</v>
      </c>
      <c r="E43" s="77" t="str">
        <f aca="false">IFERROR(REPT("█",ROUND(IFERROR(COUNTIF(Posteingangsbuch!F9:F49,"Bescheid")/41,0)*30,0))&amp;" "&amp;TEXT(IFERROR(COUNTIF(Posteingangsbuch!F9:F49,"Bescheid")/41,0),"0.0%"),"")</f>
        <v>███████ 22.0%</v>
      </c>
      <c r="F43" s="77"/>
      <c r="G43" s="77"/>
      <c r="H43" s="58"/>
    </row>
    <row r="44" customFormat="false" ht="19.5" hidden="false" customHeight="true" outlineLevel="0" collapsed="false">
      <c r="A44" s="58"/>
      <c r="B44" s="73" t="s">
        <v>100</v>
      </c>
      <c r="C44" s="74" t="n">
        <f aca="false">COUNTIF(Posteingangsbuch!F9:F49,"Mahnung")</f>
        <v>1</v>
      </c>
      <c r="D44" s="75" t="n">
        <f aca="false">IFERROR(COUNTIF(Posteingangsbuch!F9:F49,"Mahnung")/41,0)</f>
        <v>0.024390243902439</v>
      </c>
      <c r="E44" s="76" t="str">
        <f aca="false">IFERROR(REPT("█",ROUND(IFERROR(COUNTIF(Posteingangsbuch!F9:F49,"Mahnung")/41,0)*30,0))&amp;" "&amp;TEXT(IFERROR(COUNTIF(Posteingangsbuch!F9:F49,"Mahnung")/41,0),"0.0%"),"")</f>
        <v>█ 2.4%</v>
      </c>
      <c r="F44" s="76"/>
      <c r="G44" s="76"/>
      <c r="H44" s="58"/>
    </row>
    <row r="45" customFormat="false" ht="19.5" hidden="false" customHeight="true" outlineLevel="0" collapsed="false">
      <c r="A45" s="58"/>
      <c r="B45" s="69" t="s">
        <v>71</v>
      </c>
      <c r="C45" s="70" t="n">
        <f aca="false">COUNTIF(Posteingangsbuch!F9:F49,"Mitteilung")</f>
        <v>7</v>
      </c>
      <c r="D45" s="71" t="n">
        <f aca="false">IFERROR(COUNTIF(Posteingangsbuch!F9:F49,"Mitteilung")/41,0)</f>
        <v>0.170731707317073</v>
      </c>
      <c r="E45" s="86" t="str">
        <f aca="false">IFERROR(REPT("█",ROUND(IFERROR(COUNTIF(Posteingangsbuch!F9:F49,"Mitteilung")/41,0)*30,0))&amp;" "&amp;TEXT(IFERROR(COUNTIF(Posteingangsbuch!F9:F49,"Mitteilung")/41,0),"0.0%"),"")</f>
        <v>█████ 17.1%</v>
      </c>
      <c r="F45" s="86"/>
      <c r="G45" s="86"/>
      <c r="H45" s="58"/>
    </row>
    <row r="46" customFormat="false" ht="19.5" hidden="false" customHeight="true" outlineLevel="0" collapsed="false">
      <c r="A46" s="58"/>
      <c r="B46" s="73" t="s">
        <v>215</v>
      </c>
      <c r="C46" s="74" t="n">
        <f aca="false">COUNTIF(Posteingangsbuch!F9:F49,"Protokoll")</f>
        <v>0</v>
      </c>
      <c r="D46" s="75" t="n">
        <f aca="false">IFERROR(COUNTIF(Posteingangsbuch!F9:F49,"Protokoll")/41,0)</f>
        <v>0</v>
      </c>
      <c r="E46" s="83" t="str">
        <f aca="false">IFERROR(REPT("█",ROUND(IFERROR(COUNTIF(Posteingangsbuch!F9:F49,"Protokoll")/41,0)*30,0))&amp;" "&amp;TEXT(IFERROR(COUNTIF(Posteingangsbuch!F9:F49,"Protokoll")/41,0),"0.0%"),"")</f>
        <v> 0.0%</v>
      </c>
      <c r="F46" s="83"/>
      <c r="G46" s="83"/>
      <c r="H46" s="58"/>
    </row>
    <row r="47" customFormat="false" ht="19.5" hidden="false" customHeight="true" outlineLevel="0" collapsed="false">
      <c r="A47" s="58"/>
      <c r="B47" s="69" t="s">
        <v>166</v>
      </c>
      <c r="C47" s="70" t="n">
        <f aca="false">COUNTIF(Posteingangsbuch!F9:F49,"Bericht")</f>
        <v>1</v>
      </c>
      <c r="D47" s="71" t="n">
        <f aca="false">IFERROR(COUNTIF(Posteingangsbuch!F9:F49,"Bericht")/41,0)</f>
        <v>0.024390243902439</v>
      </c>
      <c r="E47" s="87" t="str">
        <f aca="false">IFERROR(REPT("█",ROUND(IFERROR(COUNTIF(Posteingangsbuch!F9:F49,"Bericht")/41,0)*30,0))&amp;" "&amp;TEXT(IFERROR(COUNTIF(Posteingangsbuch!F9:F49,"Bericht")/41,0),"0.0%"),"")</f>
        <v>█ 2.4%</v>
      </c>
      <c r="F47" s="87"/>
      <c r="G47" s="87"/>
      <c r="H47" s="58"/>
    </row>
    <row r="48" customFormat="false" ht="19.5" hidden="false" customHeight="true" outlineLevel="0" collapsed="false">
      <c r="A48" s="58"/>
      <c r="B48" s="73" t="s">
        <v>94</v>
      </c>
      <c r="C48" s="74" t="n">
        <f aca="false">COUNTIF(Posteingangsbuch!F9:F49,"Sonstiges")</f>
        <v>3</v>
      </c>
      <c r="D48" s="75" t="n">
        <f aca="false">IFERROR(COUNTIF(Posteingangsbuch!F9:F49,"Sonstiges")/41,0)</f>
        <v>0.0731707317073171</v>
      </c>
      <c r="E48" s="88" t="str">
        <f aca="false">IFERROR(REPT("█",ROUND(IFERROR(COUNTIF(Posteingangsbuch!F9:F49,"Sonstiges")/41,0)*30,0))&amp;" "&amp;TEXT(IFERROR(COUNTIF(Posteingangsbuch!F9:F49,"Sonstiges")/41,0),"0.0%"),"")</f>
        <v>██ 7.3%</v>
      </c>
      <c r="F48" s="88"/>
      <c r="G48" s="88"/>
      <c r="H48" s="58"/>
    </row>
    <row r="49" customFormat="false" ht="6" hidden="false" customHeight="true" outlineLevel="0" collapsed="false">
      <c r="A49" s="68"/>
      <c r="B49" s="68"/>
      <c r="C49" s="68"/>
      <c r="D49" s="68"/>
      <c r="E49" s="68"/>
      <c r="F49" s="68"/>
      <c r="G49" s="68"/>
      <c r="H49" s="68"/>
    </row>
    <row r="50" customFormat="false" ht="21.75" hidden="false" customHeight="true" outlineLevel="0" collapsed="false">
      <c r="A50" s="58"/>
      <c r="B50" s="59" t="s">
        <v>216</v>
      </c>
      <c r="C50" s="59"/>
      <c r="D50" s="59"/>
      <c r="E50" s="59"/>
      <c r="F50" s="59"/>
      <c r="G50" s="59"/>
      <c r="H50" s="58"/>
    </row>
    <row r="51" customFormat="false" ht="19.5" hidden="false" customHeight="true" outlineLevel="0" collapsed="false">
      <c r="A51" s="53"/>
      <c r="B51" s="60" t="s">
        <v>217</v>
      </c>
      <c r="C51" s="60" t="s">
        <v>204</v>
      </c>
      <c r="D51" s="60" t="s">
        <v>205</v>
      </c>
      <c r="E51" s="60"/>
      <c r="F51" s="60"/>
      <c r="G51" s="60"/>
      <c r="H51" s="53"/>
    </row>
    <row r="52" customFormat="false" ht="19.5" hidden="false" customHeight="true" outlineLevel="0" collapsed="false">
      <c r="A52" s="58"/>
      <c r="B52" s="73" t="s">
        <v>218</v>
      </c>
      <c r="C52" s="74" t="n">
        <f aca="false">COUNTIFS(Posteingangsbuch!B9:B49,"&gt;="&amp;DATE(2026,1,1),Posteingangsbuch!B9:B49,"&lt;"&amp;DATE(2026,2,1))</f>
        <v>10</v>
      </c>
      <c r="D52" s="75" t="n">
        <f aca="false">IFERROR(COUNTIFS(Posteingangsbuch!B9:B49,"&gt;="&amp;DATE(2026,1,1),Posteingangsbuch!B9:B49,"&lt;"&amp;DATE(2026,2,1))/41,0)</f>
        <v>0.24390243902439</v>
      </c>
      <c r="E52" s="85" t="str">
        <f aca="false">IFERROR(REPT("█",ROUND(IFERROR(COUNTIFS(Posteingangsbuch!B9:B49,"&gt;="&amp;DATE(2026,1,1),Posteingangsbuch!B9:B49,"&lt;"&amp;DATE(2026,2,1))/41,0)*30,0))&amp;" "&amp;TEXT(IFERROR(COUNTIFS(Posteingangsbuch!B9:B49,"&gt;="&amp;DATE(2026,1,1),Posteingangsbuch!B9:B49,"&lt;"&amp;DATE(2026,2,1))/41,0),"0.0%"),"")</f>
        <v>███████ 24.4%</v>
      </c>
      <c r="F52" s="85"/>
      <c r="G52" s="85"/>
      <c r="H52" s="58"/>
    </row>
    <row r="53" customFormat="false" ht="19.5" hidden="false" customHeight="true" outlineLevel="0" collapsed="false">
      <c r="A53" s="58"/>
      <c r="B53" s="69" t="s">
        <v>219</v>
      </c>
      <c r="C53" s="70" t="n">
        <f aca="false">COUNTIFS(Posteingangsbuch!B9:B49,"&gt;="&amp;DATE(2026,2,1),Posteingangsbuch!B9:B49,"&lt;"&amp;DATE(2026,3,1))</f>
        <v>7</v>
      </c>
      <c r="D53" s="71" t="n">
        <f aca="false">IFERROR(COUNTIFS(Posteingangsbuch!B9:B49,"&gt;="&amp;DATE(2026,2,1),Posteingangsbuch!B9:B49,"&lt;"&amp;DATE(2026,3,1))/41,0)</f>
        <v>0.170731707317073</v>
      </c>
      <c r="E53" s="86" t="str">
        <f aca="false">IFERROR(REPT("█",ROUND(IFERROR(COUNTIFS(Posteingangsbuch!B9:B49,"&gt;="&amp;DATE(2026,2,1),Posteingangsbuch!B9:B49,"&lt;"&amp;DATE(2026,3,1))/41,0)*30,0))&amp;" "&amp;TEXT(IFERROR(COUNTIFS(Posteingangsbuch!B9:B49,"&gt;="&amp;DATE(2026,2,1),Posteingangsbuch!B9:B49,"&lt;"&amp;DATE(2026,3,1))/41,0),"0.0%"),"")</f>
        <v>█████ 17.1%</v>
      </c>
      <c r="F53" s="86"/>
      <c r="G53" s="86"/>
      <c r="H53" s="58"/>
    </row>
    <row r="54" customFormat="false" ht="19.5" hidden="false" customHeight="true" outlineLevel="0" collapsed="false">
      <c r="A54" s="58"/>
      <c r="B54" s="73" t="s">
        <v>220</v>
      </c>
      <c r="C54" s="74" t="n">
        <f aca="false">COUNTIFS(Posteingangsbuch!B9:B49,"&gt;="&amp;DATE(2026,3,1),Posteingangsbuch!B9:B49,"&lt;"&amp;DATE(2026,4,1))</f>
        <v>4</v>
      </c>
      <c r="D54" s="75" t="n">
        <f aca="false">IFERROR(COUNTIFS(Posteingangsbuch!B9:B49,"&gt;="&amp;DATE(2026,3,1),Posteingangsbuch!B9:B49,"&lt;"&amp;DATE(2026,4,1))/41,0)</f>
        <v>0.0975609756097561</v>
      </c>
      <c r="E54" s="85" t="str">
        <f aca="false">IFERROR(REPT("█",ROUND(IFERROR(COUNTIFS(Posteingangsbuch!B9:B49,"&gt;="&amp;DATE(2026,3,1),Posteingangsbuch!B9:B49,"&lt;"&amp;DATE(2026,4,1))/41,0)*30,0))&amp;" "&amp;TEXT(IFERROR(COUNTIFS(Posteingangsbuch!B9:B49,"&gt;="&amp;DATE(2026,3,1),Posteingangsbuch!B9:B49,"&lt;"&amp;DATE(2026,4,1))/41,0),"0.0%"),"")</f>
        <v>███ 9.8%</v>
      </c>
      <c r="F54" s="85"/>
      <c r="G54" s="85"/>
      <c r="H54" s="58"/>
    </row>
    <row r="55" customFormat="false" ht="19.5" hidden="false" customHeight="true" outlineLevel="0" collapsed="false">
      <c r="A55" s="58"/>
      <c r="B55" s="69" t="s">
        <v>221</v>
      </c>
      <c r="C55" s="70" t="n">
        <f aca="false">COUNTIFS(Posteingangsbuch!B9:B49,"&gt;="&amp;DATE(2026,4,1),Posteingangsbuch!B9:B49,"&lt;"&amp;DATE(2026,5,1))</f>
        <v>4</v>
      </c>
      <c r="D55" s="71" t="n">
        <f aca="false">IFERROR(COUNTIFS(Posteingangsbuch!B9:B49,"&gt;="&amp;DATE(2026,4,1),Posteingangsbuch!B9:B49,"&lt;"&amp;DATE(2026,5,1))/41,0)</f>
        <v>0.0975609756097561</v>
      </c>
      <c r="E55" s="86" t="str">
        <f aca="false">IFERROR(REPT("█",ROUND(IFERROR(COUNTIFS(Posteingangsbuch!B9:B49,"&gt;="&amp;DATE(2026,4,1),Posteingangsbuch!B9:B49,"&lt;"&amp;DATE(2026,5,1))/41,0)*30,0))&amp;" "&amp;TEXT(IFERROR(COUNTIFS(Posteingangsbuch!B9:B49,"&gt;="&amp;DATE(2026,4,1),Posteingangsbuch!B9:B49,"&lt;"&amp;DATE(2026,5,1))/41,0),"0.0%"),"")</f>
        <v>███ 9.8%</v>
      </c>
      <c r="F55" s="86"/>
      <c r="G55" s="86"/>
      <c r="H55" s="58"/>
    </row>
    <row r="56" customFormat="false" ht="19.5" hidden="false" customHeight="true" outlineLevel="0" collapsed="false">
      <c r="A56" s="58"/>
      <c r="B56" s="73" t="s">
        <v>222</v>
      </c>
      <c r="C56" s="74" t="n">
        <f aca="false">COUNTIFS(Posteingangsbuch!B9:B49,"&gt;="&amp;DATE(2026,5,1),Posteingangsbuch!B9:B49,"&lt;"&amp;DATE(2026,6,1))</f>
        <v>3</v>
      </c>
      <c r="D56" s="75" t="n">
        <f aca="false">IFERROR(COUNTIFS(Posteingangsbuch!B9:B49,"&gt;="&amp;DATE(2026,5,1),Posteingangsbuch!B9:B49,"&lt;"&amp;DATE(2026,6,1))/41,0)</f>
        <v>0.0731707317073171</v>
      </c>
      <c r="E56" s="85" t="str">
        <f aca="false">IFERROR(REPT("█",ROUND(IFERROR(COUNTIFS(Posteingangsbuch!B9:B49,"&gt;="&amp;DATE(2026,5,1),Posteingangsbuch!B9:B49,"&lt;"&amp;DATE(2026,6,1))/41,0)*30,0))&amp;" "&amp;TEXT(IFERROR(COUNTIFS(Posteingangsbuch!B9:B49,"&gt;="&amp;DATE(2026,5,1),Posteingangsbuch!B9:B49,"&lt;"&amp;DATE(2026,6,1))/41,0),"0.0%"),"")</f>
        <v>██ 7.3%</v>
      </c>
      <c r="F56" s="85"/>
      <c r="G56" s="85"/>
      <c r="H56" s="58"/>
    </row>
    <row r="57" customFormat="false" ht="19.5" hidden="false" customHeight="true" outlineLevel="0" collapsed="false">
      <c r="A57" s="58"/>
      <c r="B57" s="69" t="s">
        <v>223</v>
      </c>
      <c r="C57" s="70" t="n">
        <f aca="false">COUNTIFS(Posteingangsbuch!B9:B49,"&gt;="&amp;DATE(2026,6,1),Posteingangsbuch!B9:B49,"&lt;"&amp;DATE(2026,7,1))</f>
        <v>4</v>
      </c>
      <c r="D57" s="71" t="n">
        <f aca="false">IFERROR(COUNTIFS(Posteingangsbuch!B9:B49,"&gt;="&amp;DATE(2026,6,1),Posteingangsbuch!B9:B49,"&lt;"&amp;DATE(2026,7,1))/41,0)</f>
        <v>0.0975609756097561</v>
      </c>
      <c r="E57" s="86" t="str">
        <f aca="false">IFERROR(REPT("█",ROUND(IFERROR(COUNTIFS(Posteingangsbuch!B9:B49,"&gt;="&amp;DATE(2026,6,1),Posteingangsbuch!B9:B49,"&lt;"&amp;DATE(2026,7,1))/41,0)*30,0))&amp;" "&amp;TEXT(IFERROR(COUNTIFS(Posteingangsbuch!B9:B49,"&gt;="&amp;DATE(2026,6,1),Posteingangsbuch!B9:B49,"&lt;"&amp;DATE(2026,7,1))/41,0),"0.0%"),"")</f>
        <v>███ 9.8%</v>
      </c>
      <c r="F57" s="86"/>
      <c r="G57" s="86"/>
      <c r="H57" s="58"/>
    </row>
    <row r="58" customFormat="false" ht="19.5" hidden="false" customHeight="true" outlineLevel="0" collapsed="false">
      <c r="A58" s="58"/>
      <c r="B58" s="73" t="s">
        <v>224</v>
      </c>
      <c r="C58" s="74" t="n">
        <f aca="false">COUNTIFS(Posteingangsbuch!B9:B49,"&gt;="&amp;DATE(2026,7,1),Posteingangsbuch!B9:B49,"&lt;"&amp;DATE(2026,8,1))</f>
        <v>9</v>
      </c>
      <c r="D58" s="75" t="n">
        <f aca="false">IFERROR(COUNTIFS(Posteingangsbuch!B9:B49,"&gt;="&amp;DATE(2026,7,1),Posteingangsbuch!B9:B49,"&lt;"&amp;DATE(2026,8,1))/41,0)</f>
        <v>0.219512195121951</v>
      </c>
      <c r="E58" s="85" t="str">
        <f aca="false">IFERROR(REPT("█",ROUND(IFERROR(COUNTIFS(Posteingangsbuch!B9:B49,"&gt;="&amp;DATE(2026,7,1),Posteingangsbuch!B9:B49,"&lt;"&amp;DATE(2026,8,1))/41,0)*30,0))&amp;" "&amp;TEXT(IFERROR(COUNTIFS(Posteingangsbuch!B9:B49,"&gt;="&amp;DATE(2026,7,1),Posteingangsbuch!B9:B49,"&lt;"&amp;DATE(2026,8,1))/41,0),"0.0%"),"")</f>
        <v>███████ 22.0%</v>
      </c>
      <c r="F58" s="85"/>
      <c r="G58" s="85"/>
      <c r="H58" s="58"/>
    </row>
    <row r="59" customFormat="false" ht="19.5" hidden="false" customHeight="true" outlineLevel="0" collapsed="false">
      <c r="A59" s="58"/>
      <c r="B59" s="69" t="s">
        <v>225</v>
      </c>
      <c r="C59" s="70" t="n">
        <f aca="false">COUNTIFS(Posteingangsbuch!B9:B49,"&gt;="&amp;DATE(2026,8,1),Posteingangsbuch!B9:B49,"&lt;"&amp;DATE(2026,9,1))</f>
        <v>0</v>
      </c>
      <c r="D59" s="71" t="n">
        <f aca="false">IFERROR(COUNTIFS(Posteingangsbuch!B9:B49,"&gt;="&amp;DATE(2026,8,1),Posteingangsbuch!B9:B49,"&lt;"&amp;DATE(2026,9,1))/41,0)</f>
        <v>0</v>
      </c>
      <c r="E59" s="86" t="str">
        <f aca="false">IFERROR(REPT("█",ROUND(IFERROR(COUNTIFS(Posteingangsbuch!B9:B49,"&gt;="&amp;DATE(2026,8,1),Posteingangsbuch!B9:B49,"&lt;"&amp;DATE(2026,9,1))/41,0)*30,0))&amp;" "&amp;TEXT(IFERROR(COUNTIFS(Posteingangsbuch!B9:B49,"&gt;="&amp;DATE(2026,8,1),Posteingangsbuch!B9:B49,"&lt;"&amp;DATE(2026,9,1))/41,0),"0.0%"),"")</f>
        <v> 0.0%</v>
      </c>
      <c r="F59" s="86"/>
      <c r="G59" s="86"/>
      <c r="H59" s="58"/>
    </row>
    <row r="60" customFormat="false" ht="19.5" hidden="false" customHeight="true" outlineLevel="0" collapsed="false">
      <c r="A60" s="58"/>
      <c r="B60" s="73" t="s">
        <v>226</v>
      </c>
      <c r="C60" s="74" t="n">
        <f aca="false">COUNTIFS(Posteingangsbuch!B9:B49,"&gt;="&amp;DATE(2026,9,1),Posteingangsbuch!B9:B49,"&lt;"&amp;DATE(2026,10,1))</f>
        <v>0</v>
      </c>
      <c r="D60" s="75" t="n">
        <f aca="false">IFERROR(COUNTIFS(Posteingangsbuch!B9:B49,"&gt;="&amp;DATE(2026,9,1),Posteingangsbuch!B9:B49,"&lt;"&amp;DATE(2026,10,1))/41,0)</f>
        <v>0</v>
      </c>
      <c r="E60" s="85" t="str">
        <f aca="false">IFERROR(REPT("█",ROUND(IFERROR(COUNTIFS(Posteingangsbuch!B9:B49,"&gt;="&amp;DATE(2026,9,1),Posteingangsbuch!B9:B49,"&lt;"&amp;DATE(2026,10,1))/41,0)*30,0))&amp;" "&amp;TEXT(IFERROR(COUNTIFS(Posteingangsbuch!B9:B49,"&gt;="&amp;DATE(2026,9,1),Posteingangsbuch!B9:B49,"&lt;"&amp;DATE(2026,10,1))/41,0),"0.0%"),"")</f>
        <v> 0.0%</v>
      </c>
      <c r="F60" s="85"/>
      <c r="G60" s="85"/>
      <c r="H60" s="58"/>
    </row>
    <row r="61" customFormat="false" ht="19.5" hidden="false" customHeight="true" outlineLevel="0" collapsed="false">
      <c r="A61" s="58"/>
      <c r="B61" s="69" t="s">
        <v>227</v>
      </c>
      <c r="C61" s="70" t="n">
        <f aca="false">COUNTIFS(Posteingangsbuch!B9:B49,"&gt;="&amp;DATE(2026,10,1),Posteingangsbuch!B9:B49,"&lt;"&amp;DATE(2026,11,1))</f>
        <v>0</v>
      </c>
      <c r="D61" s="71" t="n">
        <f aca="false">IFERROR(COUNTIFS(Posteingangsbuch!B9:B49,"&gt;="&amp;DATE(2026,10,1),Posteingangsbuch!B9:B49,"&lt;"&amp;DATE(2026,11,1))/41,0)</f>
        <v>0</v>
      </c>
      <c r="E61" s="86" t="str">
        <f aca="false">IFERROR(REPT("█",ROUND(IFERROR(COUNTIFS(Posteingangsbuch!B9:B49,"&gt;="&amp;DATE(2026,10,1),Posteingangsbuch!B9:B49,"&lt;"&amp;DATE(2026,11,1))/41,0)*30,0))&amp;" "&amp;TEXT(IFERROR(COUNTIFS(Posteingangsbuch!B9:B49,"&gt;="&amp;DATE(2026,10,1),Posteingangsbuch!B9:B49,"&lt;"&amp;DATE(2026,11,1))/41,0),"0.0%"),"")</f>
        <v> 0.0%</v>
      </c>
      <c r="F61" s="86"/>
      <c r="G61" s="86"/>
      <c r="H61" s="58"/>
    </row>
    <row r="62" customFormat="false" ht="19.5" hidden="false" customHeight="true" outlineLevel="0" collapsed="false">
      <c r="A62" s="58"/>
      <c r="B62" s="73" t="s">
        <v>228</v>
      </c>
      <c r="C62" s="74" t="n">
        <f aca="false">COUNTIFS(Posteingangsbuch!B9:B49,"&gt;="&amp;DATE(2026,11,1),Posteingangsbuch!B9:B49,"&lt;"&amp;DATE(2026,12,1))</f>
        <v>0</v>
      </c>
      <c r="D62" s="75" t="n">
        <f aca="false">IFERROR(COUNTIFS(Posteingangsbuch!B9:B49,"&gt;="&amp;DATE(2026,11,1),Posteingangsbuch!B9:B49,"&lt;"&amp;DATE(2026,12,1))/41,0)</f>
        <v>0</v>
      </c>
      <c r="E62" s="85" t="str">
        <f aca="false">IFERROR(REPT("█",ROUND(IFERROR(COUNTIFS(Posteingangsbuch!B9:B49,"&gt;="&amp;DATE(2026,11,1),Posteingangsbuch!B9:B49,"&lt;"&amp;DATE(2026,12,1))/41,0)*30,0))&amp;" "&amp;TEXT(IFERROR(COUNTIFS(Posteingangsbuch!B9:B49,"&gt;="&amp;DATE(2026,11,1),Posteingangsbuch!B9:B49,"&lt;"&amp;DATE(2026,12,1))/41,0),"0.0%"),"")</f>
        <v> 0.0%</v>
      </c>
      <c r="F62" s="85"/>
      <c r="G62" s="85"/>
      <c r="H62" s="58"/>
    </row>
    <row r="63" customFormat="false" ht="19.5" hidden="false" customHeight="true" outlineLevel="0" collapsed="false">
      <c r="A63" s="58"/>
      <c r="B63" s="69" t="s">
        <v>229</v>
      </c>
      <c r="C63" s="70" t="n">
        <f aca="false">COUNTIFS(Posteingangsbuch!B9:B49,"&gt;="&amp;DATE(2026,12,1),Posteingangsbuch!B9:B49,"&lt;="&amp;DATE(2026,12,31))</f>
        <v>0</v>
      </c>
      <c r="D63" s="71" t="n">
        <f aca="false">IFERROR(COUNTIFS(Posteingangsbuch!B9:B49,"&gt;="&amp;DATE(2026,12,1),Posteingangsbuch!B9:B49,"&lt;="&amp;DATE(2026,12,31))/41,0)</f>
        <v>0</v>
      </c>
      <c r="E63" s="86" t="str">
        <f aca="false">IFERROR(REPT("█",ROUND(IFERROR(COUNTIFS(Posteingangsbuch!B9:B49,"&gt;="&amp;DATE(2026,12,1),Posteingangsbuch!B9:B49,"&lt;="&amp;DATE(2026,12,31))/41,0)*30,0))&amp;" "&amp;TEXT(IFERROR(COUNTIFS(Posteingangsbuch!B9:B49,"&gt;="&amp;DATE(2026,12,1),Posteingangsbuch!B9:B49,"&lt;="&amp;DATE(2026,12,31))/41,0),"0.0%"),"")</f>
        <v> 0.0%</v>
      </c>
      <c r="F63" s="86"/>
      <c r="G63" s="86"/>
      <c r="H63" s="58"/>
    </row>
    <row r="64" customFormat="false" ht="19.5" hidden="false" customHeight="true" outlineLevel="0" collapsed="false">
      <c r="A64" s="58"/>
      <c r="B64" s="54"/>
      <c r="C64" s="54"/>
      <c r="D64" s="54"/>
      <c r="E64" s="54"/>
      <c r="F64" s="54"/>
      <c r="G64" s="54"/>
      <c r="H64" s="58"/>
    </row>
    <row r="65" customFormat="false" ht="19.5" hidden="false" customHeight="true" outlineLevel="0" collapsed="false">
      <c r="A65" s="58"/>
      <c r="B65" s="54"/>
      <c r="C65" s="54"/>
      <c r="D65" s="54"/>
      <c r="E65" s="54"/>
      <c r="F65" s="54"/>
      <c r="G65" s="54"/>
      <c r="H65" s="58"/>
    </row>
    <row r="66" customFormat="false" ht="19.5" hidden="false" customHeight="true" outlineLevel="0" collapsed="false">
      <c r="A66" s="58"/>
      <c r="B66" s="54"/>
      <c r="C66" s="54"/>
      <c r="D66" s="54"/>
      <c r="E66" s="54"/>
      <c r="F66" s="54"/>
      <c r="G66" s="54"/>
      <c r="H66" s="58"/>
    </row>
    <row r="67" customFormat="false" ht="19.5" hidden="false" customHeight="true" outlineLevel="0" collapsed="false">
      <c r="A67" s="58"/>
      <c r="B67" s="54"/>
      <c r="C67" s="54"/>
      <c r="D67" s="54"/>
      <c r="E67" s="54"/>
      <c r="F67" s="54"/>
      <c r="G67" s="54"/>
      <c r="H67" s="58"/>
    </row>
    <row r="68" customFormat="false" ht="19.5" hidden="false" customHeight="true" outlineLevel="0" collapsed="false">
      <c r="A68" s="58"/>
      <c r="B68" s="54"/>
      <c r="C68" s="54"/>
      <c r="D68" s="54"/>
      <c r="E68" s="54"/>
      <c r="F68" s="54"/>
      <c r="G68" s="54"/>
      <c r="H68" s="58"/>
    </row>
    <row r="69" customFormat="false" ht="19.5" hidden="false" customHeight="true" outlineLevel="0" collapsed="false">
      <c r="A69" s="58"/>
      <c r="B69" s="54"/>
      <c r="C69" s="54"/>
      <c r="D69" s="54"/>
      <c r="E69" s="54"/>
      <c r="F69" s="54"/>
      <c r="G69" s="54"/>
      <c r="H69" s="58"/>
    </row>
    <row r="70" customFormat="false" ht="19.5" hidden="false" customHeight="true" outlineLevel="0" collapsed="false">
      <c r="A70" s="58"/>
      <c r="B70" s="54"/>
      <c r="C70" s="54"/>
      <c r="D70" s="54"/>
      <c r="E70" s="54"/>
      <c r="F70" s="54"/>
      <c r="G70" s="54"/>
      <c r="H70" s="58"/>
    </row>
    <row r="71" customFormat="false" ht="19.5" hidden="false" customHeight="true" outlineLevel="0" collapsed="false">
      <c r="A71" s="58"/>
      <c r="B71" s="54"/>
      <c r="C71" s="54"/>
      <c r="D71" s="54"/>
      <c r="E71" s="54"/>
      <c r="F71" s="54"/>
      <c r="G71" s="54"/>
      <c r="H71" s="58"/>
    </row>
    <row r="72" customFormat="false" ht="19.5" hidden="false" customHeight="true" outlineLevel="0" collapsed="false">
      <c r="A72" s="58"/>
      <c r="B72" s="54"/>
      <c r="C72" s="54"/>
      <c r="D72" s="54"/>
      <c r="E72" s="54"/>
      <c r="F72" s="54"/>
      <c r="G72" s="54"/>
      <c r="H72" s="58"/>
    </row>
    <row r="73" customFormat="false" ht="19.5" hidden="false" customHeight="true" outlineLevel="0" collapsed="false">
      <c r="A73" s="58"/>
      <c r="B73" s="54"/>
      <c r="C73" s="54"/>
      <c r="D73" s="54"/>
      <c r="E73" s="54"/>
      <c r="F73" s="54"/>
      <c r="G73" s="54"/>
      <c r="H73" s="58"/>
    </row>
    <row r="74" customFormat="false" ht="19.5" hidden="false" customHeight="true" outlineLevel="0" collapsed="false">
      <c r="A74" s="58"/>
      <c r="B74" s="54"/>
      <c r="C74" s="54"/>
      <c r="D74" s="54"/>
      <c r="E74" s="54"/>
      <c r="F74" s="54"/>
      <c r="G74" s="54"/>
      <c r="H74" s="58"/>
    </row>
    <row r="75" customFormat="false" ht="19.5" hidden="false" customHeight="true" outlineLevel="0" collapsed="false">
      <c r="A75" s="54"/>
      <c r="B75" s="54"/>
      <c r="C75" s="54"/>
      <c r="D75" s="54"/>
      <c r="E75" s="54"/>
      <c r="F75" s="54"/>
      <c r="G75" s="54"/>
      <c r="H75" s="54"/>
    </row>
    <row r="76" customFormat="false" ht="19.5" hidden="false" customHeight="true" outlineLevel="0" collapsed="false">
      <c r="A76" s="54"/>
      <c r="B76" s="54"/>
      <c r="C76" s="54"/>
      <c r="D76" s="54"/>
      <c r="E76" s="54"/>
      <c r="F76" s="54"/>
      <c r="G76" s="54"/>
      <c r="H76" s="54"/>
    </row>
    <row r="77" customFormat="false" ht="19.5" hidden="false" customHeight="true" outlineLevel="0" collapsed="false">
      <c r="A77" s="54"/>
      <c r="B77" s="54"/>
      <c r="C77" s="54"/>
      <c r="D77" s="54"/>
      <c r="E77" s="54"/>
      <c r="F77" s="54"/>
      <c r="G77" s="54"/>
      <c r="H77" s="54"/>
    </row>
    <row r="78" customFormat="false" ht="19.5" hidden="false" customHeight="true" outlineLevel="0" collapsed="false">
      <c r="A78" s="54"/>
      <c r="B78" s="54"/>
      <c r="C78" s="54"/>
      <c r="D78" s="54"/>
      <c r="E78" s="54"/>
      <c r="F78" s="54"/>
      <c r="G78" s="54"/>
      <c r="H78" s="54"/>
    </row>
    <row r="79" customFormat="false" ht="19.5" hidden="false" customHeight="true" outlineLevel="0" collapsed="false">
      <c r="A79" s="54"/>
      <c r="B79" s="54"/>
      <c r="C79" s="54"/>
      <c r="D79" s="54"/>
      <c r="E79" s="54"/>
      <c r="F79" s="54"/>
      <c r="G79" s="54"/>
      <c r="H79" s="54"/>
    </row>
  </sheetData>
  <mergeCells count="71">
    <mergeCell ref="A1:H1"/>
    <mergeCell ref="A2:E2"/>
    <mergeCell ref="F2:H2"/>
    <mergeCell ref="A3:H3"/>
    <mergeCell ref="A4:H4"/>
    <mergeCell ref="A5:H5"/>
    <mergeCell ref="B6:G6"/>
    <mergeCell ref="B8:D8"/>
    <mergeCell ref="E8:G8"/>
    <mergeCell ref="B9:D9"/>
    <mergeCell ref="E9:G9"/>
    <mergeCell ref="B10:D10"/>
    <mergeCell ref="E10:G10"/>
    <mergeCell ref="B11:D11"/>
    <mergeCell ref="E11:G11"/>
    <mergeCell ref="B12:D12"/>
    <mergeCell ref="E12:G12"/>
    <mergeCell ref="B13:D13"/>
    <mergeCell ref="E13:G13"/>
    <mergeCell ref="B14:D14"/>
    <mergeCell ref="E14:G14"/>
    <mergeCell ref="B15:D15"/>
    <mergeCell ref="E15:G15"/>
    <mergeCell ref="A16:H16"/>
    <mergeCell ref="B17:G17"/>
    <mergeCell ref="E18:G18"/>
    <mergeCell ref="E19:G19"/>
    <mergeCell ref="E20:G20"/>
    <mergeCell ref="E21:G21"/>
    <mergeCell ref="E22:G22"/>
    <mergeCell ref="E23:G23"/>
    <mergeCell ref="E24:G24"/>
    <mergeCell ref="A25:H25"/>
    <mergeCell ref="B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36:H36"/>
    <mergeCell ref="B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A49:H49"/>
    <mergeCell ref="B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2026-07-25T14:50:53Z</dcterms:created>
  <dc:creator>openpyxl</dc:creator>
  <dc:description/>
  <dc:language>en-US</dc:language>
  <cp:lastModifiedBy/>
  <dcterms:modified xsi:type="dcterms:W3CDTF">2026-07-25T14:50:53Z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