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umbelegungsplan" sheetId="1" state="visible" r:id="rId3"/>
    <sheet name="Buchungen" sheetId="2" state="visible" r:id="rId4"/>
    <sheet name="Stammdaten" sheetId="3" state="visible" r:id="rId5"/>
  </sheets>
  <definedNames>
    <definedName function="false" hidden="true" localSheetId="1" name="_xlnm._FilterDatabase" vbProcedure="false">Buchungen!$A$7:$T$127</definedName>
    <definedName function="false" hidden="false" localSheetId="0" name="_xlnm.Print_Area" vbProcedure="false">Raumbelegungsplan!$A$1:$AE$46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<sst xmlns="http://schemas.openxmlformats.org/spreadsheetml/2006/main" count="1201" uniqueCount="299">
  <si>
    <t xml:space="preserve">RAUMBELEGUNGSPLAN</t>
  </si>
  <si>
    <t xml:space="preserve">Tagesraster nach Zeitfenstern · Auslastung je Raum · Wochenübersicht</t>
  </si>
  <si>
    <t xml:space="preserve">Plantag</t>
  </si>
  <si>
    <t xml:space="preserve">BUCHBARE RÄUME</t>
  </si>
  <si>
    <t xml:space="preserve">ZEITFENSTER JE TAG</t>
  </si>
  <si>
    <t xml:space="preserve">VERFÜGBARE RAUMSTUNDEN</t>
  </si>
  <si>
    <t xml:space="preserve">GEBUCHTE STUNDEN</t>
  </si>
  <si>
    <t xml:space="preserve">AUSLASTUNG</t>
  </si>
  <si>
    <t xml:space="preserve">TERMINE AM PLANTAG</t>
  </si>
  <si>
    <t xml:space="preserve">Ø PLATZAUSLASTUNG</t>
  </si>
  <si>
    <t xml:space="preserve">DOPPELBUCHUNGEN</t>
  </si>
  <si>
    <t xml:space="preserve">Wochentag</t>
  </si>
  <si>
    <t xml:space="preserve">Beginn Zeitschiene</t>
  </si>
  <si>
    <t xml:space="preserve">Bedienung:  Plantag, Beginn der Zeitschiene, Taktung und Anzahl der Zeitfenster oben links einstellen – das Raster baut sich neu auf.  ·  Termine werden ausschließlich im Blatt „Buchungen“ erfasst, der Plan füllt sich daraus automatisch.
Legende:  Kürzel = bestätigter Termin  ·  Kürzel* = Reservierung, noch nicht bestätigt  ·  WTG = Wartung oder Sperrung  ·  „!“ = Doppelbuchung, bitte im Blatt „Buchungen“ prüfen  ·  graue Spalten liegen außerhalb der eingestellten Zeitschiene.
Hinweis:  Ein Zeitfenster gilt als belegt, sobald ein Termin es teilweise überlappt. Das Ende eines Termins gibt den Raum sofort wieder frei.</t>
  </si>
  <si>
    <t xml:space="preserve">Taktung (Minuten)</t>
  </si>
  <si>
    <t xml:space="preserve">Anzahl Zeitfenster</t>
  </si>
  <si>
    <t xml:space="preserve">Standort / Gebäude</t>
  </si>
  <si>
    <t xml:space="preserve">Verwaltungsgebäude Nord</t>
  </si>
  <si>
    <t xml:space="preserve">Kalenderwoche</t>
  </si>
  <si>
    <t xml:space="preserve">Raum</t>
  </si>
  <si>
    <t xml:space="preserve">Bezeichnung</t>
  </si>
  <si>
    <t xml:space="preserve">Gebuchte Std.</t>
  </si>
  <si>
    <t xml:space="preserve">Auslastung</t>
  </si>
  <si>
    <t xml:space="preserve">Platzauslastung</t>
  </si>
  <si>
    <t xml:space="preserve">Belegte Räume</t>
  </si>
  <si>
    <t xml:space="preserve">Freie Räume</t>
  </si>
  <si>
    <t xml:space="preserve">Summe Std.</t>
  </si>
  <si>
    <t xml:space="preserve">Auslastung Mo–Fr</t>
  </si>
  <si>
    <t xml:space="preserve">Termine</t>
  </si>
  <si>
    <t xml:space="preserve">Gesamt</t>
  </si>
  <si>
    <t xml:space="preserve">BUCHUNGEN &amp; RESERVIERUNGEN</t>
  </si>
  <si>
    <t xml:space="preserve">Einzige Eingabestelle – der Raumbelegungsplan wird hieraus berechnet</t>
  </si>
  <si>
    <t xml:space="preserve">ERFASSTE TERMINE</t>
  </si>
  <si>
    <t xml:space="preserve">STUNDEN GESAMT</t>
  </si>
  <si>
    <t xml:space="preserve">Ø DAUER (STD.)</t>
  </si>
  <si>
    <t xml:space="preserve">Ø TEILNEHMER</t>
  </si>
  <si>
    <t xml:space="preserve">OFFENE RESERVIERUNGEN</t>
  </si>
  <si>
    <t xml:space="preserve">PRÜFHINWEISE</t>
  </si>
  <si>
    <t xml:space="preserve">Buchungs-Nr.</t>
  </si>
  <si>
    <t xml:space="preserve">Datum</t>
  </si>
  <si>
    <t xml:space="preserve">Titel / Zweck</t>
  </si>
  <si>
    <t xml:space="preserve">Kürzel</t>
  </si>
  <si>
    <t xml:space="preserve">Von</t>
  </si>
  <si>
    <t xml:space="preserve">Bis</t>
  </si>
  <si>
    <t xml:space="preserve">Dauer (Std.)</t>
  </si>
  <si>
    <t xml:space="preserve">Organisation</t>
  </si>
  <si>
    <t xml:space="preserve">Teilnehmer</t>
  </si>
  <si>
    <t xml:space="preserve">Bestuhlung</t>
  </si>
  <si>
    <t xml:space="preserve">Ausstattung</t>
  </si>
  <si>
    <t xml:space="preserve">Status</t>
  </si>
  <si>
    <t xml:space="preserve">Prüfung</t>
  </si>
  <si>
    <t xml:space="preserve">Anzeige</t>
  </si>
  <si>
    <t xml:space="preserve">Bemerkung</t>
  </si>
  <si>
    <t xml:space="preserve">Zeile</t>
  </si>
  <si>
    <t xml:space="preserve">Von (Min.)</t>
  </si>
  <si>
    <t xml:space="preserve">Bis (Min.)</t>
  </si>
  <si>
    <t xml:space="preserve">RB-2026-001</t>
  </si>
  <si>
    <t xml:space="preserve">R-01</t>
  </si>
  <si>
    <t xml:space="preserve">Jour fixe</t>
  </si>
  <si>
    <t xml:space="preserve">JOUR</t>
  </si>
  <si>
    <t xml:space="preserve">Verwaltung</t>
  </si>
  <si>
    <t xml:space="preserve">Blockform</t>
  </si>
  <si>
    <t xml:space="preserve">Whiteboard</t>
  </si>
  <si>
    <t xml:space="preserve">Bestätigt</t>
  </si>
  <si>
    <t xml:space="preserve">RB-2026-002</t>
  </si>
  <si>
    <t xml:space="preserve">R-02</t>
  </si>
  <si>
    <t xml:space="preserve">Kundentermin</t>
  </si>
  <si>
    <t xml:space="preserve">KUND</t>
  </si>
  <si>
    <t xml:space="preserve">Geschäftsführung</t>
  </si>
  <si>
    <t xml:space="preserve">Ohne Bestuhlung</t>
  </si>
  <si>
    <t xml:space="preserve">Vollausstattung</t>
  </si>
  <si>
    <t xml:space="preserve">RB-2026-003</t>
  </si>
  <si>
    <t xml:space="preserve">R-03</t>
  </si>
  <si>
    <t xml:space="preserve">Bewerbertag</t>
  </si>
  <si>
    <t xml:space="preserve">BEWT</t>
  </si>
  <si>
    <t xml:space="preserve">Projektbüro</t>
  </si>
  <si>
    <t xml:space="preserve">Reserviert</t>
  </si>
  <si>
    <t xml:space="preserve">Reservierung – Bestätigung offen</t>
  </si>
  <si>
    <t xml:space="preserve">RB-2026-004</t>
  </si>
  <si>
    <t xml:space="preserve">R-09</t>
  </si>
  <si>
    <t xml:space="preserve">Onboarding</t>
  </si>
  <si>
    <t xml:space="preserve">ONBO</t>
  </si>
  <si>
    <t xml:space="preserve">Abteilung Vertrieb</t>
  </si>
  <si>
    <t xml:space="preserve">Reihenbestuhlung</t>
  </si>
  <si>
    <t xml:space="preserve">Beamer</t>
  </si>
  <si>
    <t xml:space="preserve">Barrierefreier Zugang nötig</t>
  </si>
  <si>
    <t xml:space="preserve">RB-2026-005</t>
  </si>
  <si>
    <t xml:space="preserve">R-05</t>
  </si>
  <si>
    <t xml:space="preserve">Ausbildung</t>
  </si>
  <si>
    <t xml:space="preserve">RB-2026-006</t>
  </si>
  <si>
    <t xml:space="preserve">R-06</t>
  </si>
  <si>
    <t xml:space="preserve">U-Form</t>
  </si>
  <si>
    <t xml:space="preserve">Flipchart</t>
  </si>
  <si>
    <t xml:space="preserve">RB-2026-007</t>
  </si>
  <si>
    <t xml:space="preserve">R-07</t>
  </si>
  <si>
    <t xml:space="preserve">Schulung Grundlagen</t>
  </si>
  <si>
    <t xml:space="preserve">SCHU</t>
  </si>
  <si>
    <t xml:space="preserve">Personalwesen</t>
  </si>
  <si>
    <t xml:space="preserve">Workshop-Inseln</t>
  </si>
  <si>
    <t xml:space="preserve">Keine</t>
  </si>
  <si>
    <t xml:space="preserve">RB-2026-008</t>
  </si>
  <si>
    <t xml:space="preserve">R-10</t>
  </si>
  <si>
    <t xml:space="preserve">Raum 15 Min. früher öffnen</t>
  </si>
  <si>
    <t xml:space="preserve">RB-2026-009</t>
  </si>
  <si>
    <t xml:space="preserve">R-04</t>
  </si>
  <si>
    <t xml:space="preserve">Videokonferenz</t>
  </si>
  <si>
    <t xml:space="preserve">VIKO</t>
  </si>
  <si>
    <t xml:space="preserve">Team Technik</t>
  </si>
  <si>
    <t xml:space="preserve">Beamer + Videokonferenz</t>
  </si>
  <si>
    <t xml:space="preserve">RB-2026-010</t>
  </si>
  <si>
    <t xml:space="preserve">R-12</t>
  </si>
  <si>
    <t xml:space="preserve">Technik vorab prüfen</t>
  </si>
  <si>
    <t xml:space="preserve">RB-2026-011</t>
  </si>
  <si>
    <t xml:space="preserve">R-08</t>
  </si>
  <si>
    <t xml:space="preserve">Wartung / Reinigung</t>
  </si>
  <si>
    <t xml:space="preserve">WTG</t>
  </si>
  <si>
    <t xml:space="preserve">Wartung/Sperrung</t>
  </si>
  <si>
    <t xml:space="preserve">Raum nicht buchbar</t>
  </si>
  <si>
    <t xml:space="preserve">RB-2026-012</t>
  </si>
  <si>
    <t xml:space="preserve">R-11</t>
  </si>
  <si>
    <t xml:space="preserve">RB-2026-013</t>
  </si>
  <si>
    <t xml:space="preserve">Externe Gruppe</t>
  </si>
  <si>
    <t xml:space="preserve">RB-2026-014</t>
  </si>
  <si>
    <t xml:space="preserve">Team Service</t>
  </si>
  <si>
    <t xml:space="preserve">Getränke bestellt</t>
  </si>
  <si>
    <t xml:space="preserve">RB-2026-015</t>
  </si>
  <si>
    <t xml:space="preserve">RB-2026-016</t>
  </si>
  <si>
    <t xml:space="preserve">Fortbildung</t>
  </si>
  <si>
    <t xml:space="preserve">FORT</t>
  </si>
  <si>
    <t xml:space="preserve">RB-2026-017</t>
  </si>
  <si>
    <t xml:space="preserve">Klausurtag</t>
  </si>
  <si>
    <t xml:space="preserve">KLAU</t>
  </si>
  <si>
    <t xml:space="preserve">RB-2026-018</t>
  </si>
  <si>
    <t xml:space="preserve">Vorstandssitzung</t>
  </si>
  <si>
    <t xml:space="preserve">SITZ</t>
  </si>
  <si>
    <t xml:space="preserve">RB-2026-019</t>
  </si>
  <si>
    <t xml:space="preserve">RB-2026-020</t>
  </si>
  <si>
    <t xml:space="preserve">RB-2026-021</t>
  </si>
  <si>
    <t xml:space="preserve">RB-2026-022</t>
  </si>
  <si>
    <t xml:space="preserve">RB-2026-023</t>
  </si>
  <si>
    <t xml:space="preserve">RB-2026-024</t>
  </si>
  <si>
    <t xml:space="preserve">Projektworkshop</t>
  </si>
  <si>
    <t xml:space="preserve">PROJ</t>
  </si>
  <si>
    <t xml:space="preserve">RB-2026-025</t>
  </si>
  <si>
    <t xml:space="preserve">RB-2026-026</t>
  </si>
  <si>
    <t xml:space="preserve">RB-2026-027</t>
  </si>
  <si>
    <t xml:space="preserve">Vorstellungsgespräch</t>
  </si>
  <si>
    <t xml:space="preserve">BEWE</t>
  </si>
  <si>
    <t xml:space="preserve">RB-2026-028</t>
  </si>
  <si>
    <t xml:space="preserve">RB-2026-029</t>
  </si>
  <si>
    <t xml:space="preserve">RB-2026-030</t>
  </si>
  <si>
    <t xml:space="preserve">Infoveranstaltung</t>
  </si>
  <si>
    <t xml:space="preserve">INFO</t>
  </si>
  <si>
    <t xml:space="preserve">RB-2026-031</t>
  </si>
  <si>
    <t xml:space="preserve">Stuhlkreis</t>
  </si>
  <si>
    <t xml:space="preserve">RB-2026-032</t>
  </si>
  <si>
    <t xml:space="preserve">RB-2026-033</t>
  </si>
  <si>
    <t xml:space="preserve">RB-2026-034</t>
  </si>
  <si>
    <t xml:space="preserve">RB-2026-035</t>
  </si>
  <si>
    <t xml:space="preserve">RB-2026-036</t>
  </si>
  <si>
    <t xml:space="preserve">Teambesprechung</t>
  </si>
  <si>
    <t xml:space="preserve">TEAM</t>
  </si>
  <si>
    <t xml:space="preserve">RB-2026-037</t>
  </si>
  <si>
    <t xml:space="preserve">RB-2026-038</t>
  </si>
  <si>
    <t xml:space="preserve">Planungsrunde</t>
  </si>
  <si>
    <t xml:space="preserve">PLAN</t>
  </si>
  <si>
    <t xml:space="preserve">RB-2026-039</t>
  </si>
  <si>
    <t xml:space="preserve">Storniert</t>
  </si>
  <si>
    <t xml:space="preserve">Storniert – Raum wieder frei</t>
  </si>
  <si>
    <t xml:space="preserve">RB-2026-040</t>
  </si>
  <si>
    <t xml:space="preserve">RB-2026-041</t>
  </si>
  <si>
    <t xml:space="preserve">RB-2026-042</t>
  </si>
  <si>
    <t xml:space="preserve">RB-2026-043</t>
  </si>
  <si>
    <t xml:space="preserve">Abteilungsmeeting</t>
  </si>
  <si>
    <t xml:space="preserve">ABT</t>
  </si>
  <si>
    <t xml:space="preserve">RB-2026-044</t>
  </si>
  <si>
    <t xml:space="preserve">RB-2026-045</t>
  </si>
  <si>
    <t xml:space="preserve">RB-2026-046</t>
  </si>
  <si>
    <t xml:space="preserve">RB-2026-047</t>
  </si>
  <si>
    <t xml:space="preserve">RB-2026-048</t>
  </si>
  <si>
    <t xml:space="preserve">RB-2026-049</t>
  </si>
  <si>
    <t xml:space="preserve">RB-2026-050</t>
  </si>
  <si>
    <t xml:space="preserve">RB-2026-051</t>
  </si>
  <si>
    <t xml:space="preserve">RB-2026-052</t>
  </si>
  <si>
    <t xml:space="preserve">RB-2026-053</t>
  </si>
  <si>
    <t xml:space="preserve">RB-2026-054</t>
  </si>
  <si>
    <t xml:space="preserve">RB-2026-055</t>
  </si>
  <si>
    <t xml:space="preserve">RB-2026-056</t>
  </si>
  <si>
    <t xml:space="preserve">RB-2026-057</t>
  </si>
  <si>
    <t xml:space="preserve">RB-2026-058</t>
  </si>
  <si>
    <t xml:space="preserve">RB-2026-059</t>
  </si>
  <si>
    <t xml:space="preserve">RB-2026-060</t>
  </si>
  <si>
    <t xml:space="preserve">RB-2026-061</t>
  </si>
  <si>
    <t xml:space="preserve">RB-2026-062</t>
  </si>
  <si>
    <t xml:space="preserve">RB-2026-063</t>
  </si>
  <si>
    <t xml:space="preserve">RB-2026-064</t>
  </si>
  <si>
    <t xml:space="preserve">RB-2026-065</t>
  </si>
  <si>
    <t xml:space="preserve">RB-2026-066</t>
  </si>
  <si>
    <t xml:space="preserve">RB-2026-067</t>
  </si>
  <si>
    <t xml:space="preserve">RB-2026-068</t>
  </si>
  <si>
    <t xml:space="preserve">RB-2026-069</t>
  </si>
  <si>
    <t xml:space="preserve">RB-2026-070</t>
  </si>
  <si>
    <t xml:space="preserve">RB-2026-071</t>
  </si>
  <si>
    <t xml:space="preserve">RB-2026-072</t>
  </si>
  <si>
    <t xml:space="preserve">RB-2026-073</t>
  </si>
  <si>
    <t xml:space="preserve">RB-2026-074</t>
  </si>
  <si>
    <t xml:space="preserve">RB-2026-075</t>
  </si>
  <si>
    <t xml:space="preserve">RB-2026-076</t>
  </si>
  <si>
    <t xml:space="preserve">RB-2026-077</t>
  </si>
  <si>
    <t xml:space="preserve">RB-2026-078</t>
  </si>
  <si>
    <t xml:space="preserve">RB-2026-079</t>
  </si>
  <si>
    <t xml:space="preserve">RB-2026-080</t>
  </si>
  <si>
    <t xml:space="preserve">RB-2026-081</t>
  </si>
  <si>
    <t xml:space="preserve">RB-2026-082</t>
  </si>
  <si>
    <t xml:space="preserve">RB-2026-083</t>
  </si>
  <si>
    <t xml:space="preserve">RB-2026-084</t>
  </si>
  <si>
    <t xml:space="preserve">RB-2026-085</t>
  </si>
  <si>
    <t xml:space="preserve">RB-2026-086</t>
  </si>
  <si>
    <t xml:space="preserve">RB-2026-087</t>
  </si>
  <si>
    <t xml:space="preserve">RB-2026-088</t>
  </si>
  <si>
    <t xml:space="preserve">RB-2026-089</t>
  </si>
  <si>
    <t xml:space="preserve">RB-2026-090</t>
  </si>
  <si>
    <t xml:space="preserve">RB-2026-091</t>
  </si>
  <si>
    <t xml:space="preserve">RB-2026-092</t>
  </si>
  <si>
    <t xml:space="preserve">RB-2026-093</t>
  </si>
  <si>
    <t xml:space="preserve">RB-2026-094</t>
  </si>
  <si>
    <t xml:space="preserve">RB-2026-095</t>
  </si>
  <si>
    <t xml:space="preserve">RB-2026-096</t>
  </si>
  <si>
    <t xml:space="preserve">RB-2026-097</t>
  </si>
  <si>
    <t xml:space="preserve">RB-2026-098</t>
  </si>
  <si>
    <t xml:space="preserve">RB-2026-099</t>
  </si>
  <si>
    <t xml:space="preserve">RB-2026-100</t>
  </si>
  <si>
    <t xml:space="preserve">RB-2026-101</t>
  </si>
  <si>
    <t xml:space="preserve">RB-2026-102</t>
  </si>
  <si>
    <t xml:space="preserve">RB-2026-103</t>
  </si>
  <si>
    <t xml:space="preserve">RB-2026-104</t>
  </si>
  <si>
    <t xml:space="preserve">RB-2026-105</t>
  </si>
  <si>
    <t xml:space="preserve">RB-2026-106</t>
  </si>
  <si>
    <t xml:space="preserve">RB-2026-107</t>
  </si>
  <si>
    <t xml:space="preserve">RB-2026-108</t>
  </si>
  <si>
    <t xml:space="preserve">RB-2026-109</t>
  </si>
  <si>
    <t xml:space="preserve">RB-2026-110</t>
  </si>
  <si>
    <t xml:space="preserve">RB-2026-111</t>
  </si>
  <si>
    <t xml:space="preserve">RB-2026-112</t>
  </si>
  <si>
    <t xml:space="preserve">RB-2026-113</t>
  </si>
  <si>
    <t xml:space="preserve">RB-2026-114</t>
  </si>
  <si>
    <t xml:space="preserve">RB-2026-115</t>
  </si>
  <si>
    <t xml:space="preserve">RB-2026-116</t>
  </si>
  <si>
    <t xml:space="preserve">RB-2026-117</t>
  </si>
  <si>
    <t xml:space="preserve">RB-2026-118</t>
  </si>
  <si>
    <t xml:space="preserve">RB-2026-119</t>
  </si>
  <si>
    <t xml:space="preserve">RB-2026-120</t>
  </si>
  <si>
    <t xml:space="preserve">Gelb hinterlegte Spalten sind Eingabefelder. „Anzeige“ erzeugt das Kürzel für den Plan (Reservierungen erhalten ein *). Termine des aktuell gewählten Plantags werden fett hervorgehoben. Die grau hinterlegten Spalten R–T sind Hilfsfelder für die Berechnung des Rasters und sollten nicht verändert werden.</t>
  </si>
  <si>
    <t xml:space="preserve">RÄUME &amp; AUSWAHLLISTEN</t>
  </si>
  <si>
    <t xml:space="preserve">Raumliste, Kapazitäten und Listen – Grundlage für Plan und Buchungen</t>
  </si>
  <si>
    <t xml:space="preserve">RÄUME GESAMT</t>
  </si>
  <si>
    <t xml:space="preserve">BUCHBAR</t>
  </si>
  <si>
    <t xml:space="preserve">PLÄTZE GESAMT</t>
  </si>
  <si>
    <t xml:space="preserve">Raum-Nr.</t>
  </si>
  <si>
    <t xml:space="preserve">Gebäude / Etage</t>
  </si>
  <si>
    <t xml:space="preserve">Plätze</t>
  </si>
  <si>
    <t xml:space="preserve">Buchbar</t>
  </si>
  <si>
    <t xml:space="preserve">Verantwortlich</t>
  </si>
  <si>
    <t xml:space="preserve">Besprechungsraum 1</t>
  </si>
  <si>
    <t xml:space="preserve">EG</t>
  </si>
  <si>
    <t xml:space="preserve">Ja</t>
  </si>
  <si>
    <t xml:space="preserve">M. Faber</t>
  </si>
  <si>
    <t xml:space="preserve">Besprechungsraum 2</t>
  </si>
  <si>
    <t xml:space="preserve">Projektraum</t>
  </si>
  <si>
    <t xml:space="preserve">Whiteboard, Flipchart</t>
  </si>
  <si>
    <t xml:space="preserve">S. Lorenz</t>
  </si>
  <si>
    <t xml:space="preserve">Sitzungszimmer</t>
  </si>
  <si>
    <t xml:space="preserve">1. OG</t>
  </si>
  <si>
    <t xml:space="preserve">Konferenzraum</t>
  </si>
  <si>
    <t xml:space="preserve">T. Hübner</t>
  </si>
  <si>
    <t xml:space="preserve">Seminarraum A</t>
  </si>
  <si>
    <t xml:space="preserve">Beamer, Flipchart</t>
  </si>
  <si>
    <t xml:space="preserve">Seminarraum B</t>
  </si>
  <si>
    <t xml:space="preserve">Schulungsraum</t>
  </si>
  <si>
    <t xml:space="preserve">2. OG</t>
  </si>
  <si>
    <t xml:space="preserve">Beamer, Laptops</t>
  </si>
  <si>
    <t xml:space="preserve">K. Adam</t>
  </si>
  <si>
    <t xml:space="preserve">Videokonferenzraum</t>
  </si>
  <si>
    <t xml:space="preserve">Videokonferenzanlage</t>
  </si>
  <si>
    <t xml:space="preserve">Kreativraum</t>
  </si>
  <si>
    <t xml:space="preserve">Whiteboardwände</t>
  </si>
  <si>
    <t xml:space="preserve">N. Roth</t>
  </si>
  <si>
    <t xml:space="preserve">Mehrzweckraum</t>
  </si>
  <si>
    <t xml:space="preserve">UG</t>
  </si>
  <si>
    <t xml:space="preserve">Bühne, Tontechnik</t>
  </si>
  <si>
    <t xml:space="preserve">Werkraum</t>
  </si>
  <si>
    <t xml:space="preserve">Arbeitstische</t>
  </si>
  <si>
    <t xml:space="preserve">SO ARBEITEN SIE MIT DER VORLAGE</t>
  </si>
  <si>
    <t xml:space="preserve">1.  Räume pflegen: Bezeichnung, Etage, Plätze und Ausstattung eintragen. „Buchbar = Nein“ blendet einen Raum aus dem Plan aus, ohne die Daten zu löschen.</t>
  </si>
  <si>
    <t xml:space="preserve">2.  Termine ausschließlich im Blatt „Buchungen“ erfassen – Datum, Raum, Von/Bis, Titel und ein kurzes Kürzel (max. vier Zeichen) für die Darstellung im Raster.</t>
  </si>
  <si>
    <t xml:space="preserve">3.  Im Raumbelegungsplan den Plantag wählen; Beginn, Taktung und Anzahl der Zeitfenster bestimmen die Breite des Rasters (z. B. 07:00, 30 Minuten, 26 Fenster).</t>
  </si>
  <si>
    <t xml:space="preserve">4.  Die Spalte „Prüfung“ meldet Überschneidungen im selben Raum, unplausible Zeiten und Teilnehmerzahlen oberhalb der Raumkapazität.</t>
  </si>
  <si>
    <t xml:space="preserve">5.  Die Wochenübersicht summiert die gebuchten Stunden je Raum für die Woche des gewählten Plantags – hilfreich, um Über- und Unterauslastung zu erkennen.</t>
  </si>
  <si>
    <t xml:space="preserve">6.  Die Vorlage ist auf 12 Räume und 90 Termine ausgelegt; weitere Zeilen entstehen durch Kopieren der letzten Zeile samt Formeln.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</si>
</sst>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dd\.mm\.yyyy"/>
    <numFmt numFmtId="166" formatCode="dddd"/>
    <numFmt numFmtId="167" formatCode="0"/>
    <numFmt numFmtId="168" formatCode="#,##0.0"/>
    <numFmt numFmtId="169" formatCode="0.0%"/>
    <numFmt numFmtId="170" formatCode="hh:mm"/>
    <numFmt numFmtId="171" formatCode="#,##0"/>
    <numFmt numFmtId="172" formatCode="0%"/>
    <numFmt numFmtId="173" formatCode="ddd\ dd\.mm\."/>
    <numFmt numFmtId="174" formatCode="0.0;;\–"/>
    <numFmt numFmtId="175" formatCode="0.00"/>
    <numFmt numFmtId="176" formatCode="0.0"/>
    <numFmt numFmtId="177" formatCode="ddd"/>
  </numFmts>
  <fonts count="3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b val="true"/>
      <sz val="12"/>
      <color rgb="FF8CBB35"/>
      <name val="Calibri"/>
      <family val="0"/>
      <charset val="1"/>
    </font>
    <font>
      <sz val="10"/>
      <color rgb="FFC3CDD6"/>
      <name val="Calibri"/>
      <family val="0"/>
      <charset val="1"/>
    </font>
    <font>
      <b val="true"/>
      <sz val="9"/>
      <color rgb="FF3E5163"/>
      <name val="Calibri"/>
      <family val="0"/>
      <charset val="1"/>
    </font>
    <font>
      <b val="true"/>
      <sz val="10"/>
      <color rgb="FF00317A"/>
      <name val="Calibri"/>
      <family val="0"/>
      <charset val="1"/>
    </font>
    <font>
      <b val="true"/>
      <sz val="7.5"/>
      <color rgb="FF8794A1"/>
      <name val="Calibri"/>
      <family val="0"/>
      <charset val="1"/>
    </font>
    <font>
      <b val="true"/>
      <sz val="10"/>
      <color rgb="FF26333F"/>
      <name val="Calibri"/>
      <family val="0"/>
      <charset val="1"/>
    </font>
    <font>
      <b val="true"/>
      <sz val="15"/>
      <color rgb="FF26333F"/>
      <name val="Calibri"/>
      <family val="0"/>
      <charset val="1"/>
    </font>
    <font>
      <sz val="9"/>
      <color rgb="FF3E5163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b val="true"/>
      <sz val="8.5"/>
      <color rgb="FFFFFFFF"/>
      <name val="Calibri"/>
      <family val="0"/>
      <charset val="1"/>
    </font>
    <font>
      <sz val="9.5"/>
      <color rgb="FF26333F"/>
      <name val="Calibri"/>
      <family val="0"/>
      <charset val="1"/>
    </font>
    <font>
      <b val="true"/>
      <sz val="7.5"/>
      <color rgb="FF26333F"/>
      <name val="Calibri"/>
      <family val="0"/>
      <charset val="1"/>
    </font>
    <font>
      <b val="true"/>
      <sz val="9.5"/>
      <color rgb="FF26333F"/>
      <name val="Calibri"/>
      <family val="0"/>
      <charset val="1"/>
    </font>
    <font>
      <b val="true"/>
      <sz val="9"/>
      <color rgb="FF26333F"/>
      <name val="Calibri"/>
      <family val="0"/>
      <charset val="1"/>
    </font>
    <font>
      <b val="true"/>
      <sz val="8"/>
      <color rgb="FF26333F"/>
      <name val="Calibri"/>
      <family val="0"/>
      <charset val="1"/>
    </font>
    <font>
      <sz val="8"/>
      <color rgb="FF5A6673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sz val="9"/>
      <color rgb="FF26333F"/>
      <name val="Calibri"/>
      <family val="0"/>
      <charset val="1"/>
    </font>
    <font>
      <b val="true"/>
      <sz val="17"/>
      <color rgb="FFFFFFFF"/>
      <name val="Calibri"/>
      <family val="0"/>
      <charset val="1"/>
    </font>
    <font>
      <sz val="9.5"/>
      <color rgb="FFC3CDD6"/>
      <name val="Calibri"/>
      <family val="0"/>
      <charset val="1"/>
    </font>
    <font>
      <b val="true"/>
      <sz val="11"/>
      <color rgb="FF26333F"/>
      <name val="Calibri"/>
      <family val="0"/>
      <charset val="1"/>
    </font>
    <font>
      <sz val="9.5"/>
      <color rgb="FF00317A"/>
      <name val="Calibri"/>
      <family val="0"/>
      <charset val="1"/>
    </font>
    <font>
      <b val="true"/>
      <sz val="9.5"/>
      <color rgb="FF00317A"/>
      <name val="Calibri"/>
      <family val="0"/>
      <charset val="1"/>
    </font>
    <font>
      <b val="true"/>
      <sz val="9.5"/>
      <color rgb="FF3E5163"/>
      <name val="Calibri"/>
      <family val="0"/>
      <charset val="1"/>
    </font>
    <font>
      <sz val="9"/>
      <color rgb="FF00317A"/>
      <name val="Calibri"/>
      <family val="0"/>
      <charset val="1"/>
    </font>
    <font>
      <sz val="8.5"/>
      <color rgb="FF8794A1"/>
      <name val="Calibri"/>
      <family val="0"/>
      <charset val="1"/>
    </font>
    <font>
      <i val="true"/>
      <sz val="8.5"/>
      <color rgb="FF8794A1"/>
      <name val="Calibri"/>
      <family val="0"/>
      <charset val="1"/>
    </font>
    <font>
      <b val="true"/>
      <sz val="12"/>
      <color rgb="FF26333F"/>
      <name val="Calibri"/>
      <family val="0"/>
      <charset val="1"/>
    </font>
    <font>
      <sz val="9"/>
      <color rgb="FF3C4A56"/>
      <name val="Calibr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26333F"/>
        <bgColor rgb="FF1E2A16"/>
      </patternFill>
    </fill>
    <fill>
      <patternFill patternType="solid">
        <fgColor rgb="FF6E9F1E"/>
        <bgColor rgb="FF8CBB35"/>
      </patternFill>
    </fill>
    <fill>
      <patternFill patternType="solid">
        <fgColor rgb="FFECF0F3"/>
        <bgColor rgb="FFECEFF2"/>
      </patternFill>
    </fill>
    <fill>
      <patternFill patternType="solid">
        <fgColor rgb="FFFFFBEC"/>
        <bgColor rgb="FFF7F9FA"/>
      </patternFill>
    </fill>
    <fill>
      <patternFill patternType="solid">
        <fgColor rgb="FFF7F9FA"/>
        <bgColor rgb="FFFFFBEC"/>
      </patternFill>
    </fill>
    <fill>
      <patternFill patternType="solid">
        <fgColor rgb="FF3E5163"/>
        <bgColor rgb="FF3C4A56"/>
      </patternFill>
    </fill>
    <fill>
      <patternFill patternType="solid">
        <fgColor rgb="FFFFFFFF"/>
        <bgColor rgb="FFF7F9FA"/>
      </patternFill>
    </fill>
    <fill>
      <patternFill patternType="solid">
        <fgColor rgb="FF8794A1"/>
        <bgColor rgb="FF808080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>
        <color rgb="FFC2CAD2"/>
      </left>
      <right/>
      <top style="thin">
        <color rgb="FFC2CAD2"/>
      </top>
      <bottom style="hair">
        <color rgb="FFDEE4E9"/>
      </bottom>
      <diagonal/>
    </border>
    <border diagonalUp="false" diagonalDown="false">
      <left style="thin">
        <color rgb="FFC2CAD2"/>
      </left>
      <right style="thin">
        <color rgb="FFC2CAD2"/>
      </right>
      <top style="thin">
        <color rgb="FFC2CAD2"/>
      </top>
      <bottom style="hair">
        <color rgb="FFDEE4E9"/>
      </bottom>
      <diagonal/>
    </border>
    <border diagonalUp="false" diagonalDown="false">
      <left style="thin">
        <color rgb="FFC2CAD2"/>
      </left>
      <right style="thin">
        <color rgb="FFC2CAD2"/>
      </right>
      <top style="medium">
        <color rgb="FF6E9F1E"/>
      </top>
      <bottom/>
      <diagonal/>
    </border>
    <border diagonalUp="false" diagonalDown="false">
      <left style="thin">
        <color rgb="FFC2CAD2"/>
      </left>
      <right/>
      <top/>
      <bottom style="hair">
        <color rgb="FFDEE4E9"/>
      </bottom>
      <diagonal/>
    </border>
    <border diagonalUp="false" diagonalDown="false">
      <left style="thin">
        <color rgb="FFC2CAD2"/>
      </left>
      <right style="thin">
        <color rgb="FFC2CAD2"/>
      </right>
      <top/>
      <bottom style="hair">
        <color rgb="FFDEE4E9"/>
      </bottom>
      <diagonal/>
    </border>
    <border diagonalUp="false" diagonalDown="false">
      <left style="thin">
        <color rgb="FFC2CAD2"/>
      </left>
      <right style="thin">
        <color rgb="FFC2CAD2"/>
      </right>
      <top/>
      <bottom style="thin">
        <color rgb="FFC2CAD2"/>
      </bottom>
      <diagonal/>
    </border>
    <border diagonalUp="false" diagonalDown="false">
      <left style="medium">
        <color rgb="FF6E9F1E"/>
      </left>
      <right style="thin">
        <color rgb="FFC2CAD2"/>
      </right>
      <top style="thin">
        <color rgb="FFC2CAD2"/>
      </top>
      <bottom style="thin">
        <color rgb="FFC2CAD2"/>
      </bottom>
      <diagonal/>
    </border>
    <border diagonalUp="false" diagonalDown="false">
      <left/>
      <right/>
      <top/>
      <bottom style="thin">
        <color rgb="FFC2CAD2"/>
      </bottom>
      <diagonal/>
    </border>
    <border diagonalUp="false" diagonalDown="false">
      <left style="hair">
        <color rgb="FF8794A1"/>
      </left>
      <right/>
      <top/>
      <bottom style="thin">
        <color rgb="FFC2CAD2"/>
      </bottom>
      <diagonal/>
    </border>
    <border diagonalUp="false" diagonalDown="false">
      <left style="thin">
        <color rgb="FFC2CAD2"/>
      </left>
      <right/>
      <top/>
      <bottom style="thin">
        <color rgb="FFC2CAD2"/>
      </bottom>
      <diagonal/>
    </border>
    <border diagonalUp="false" diagonalDown="false">
      <left/>
      <right/>
      <top/>
      <bottom style="hair">
        <color rgb="FFDEE4E9"/>
      </bottom>
      <diagonal/>
    </border>
    <border diagonalUp="false" diagonalDown="false">
      <left/>
      <right style="thin">
        <color rgb="FFC2CAD2"/>
      </right>
      <top/>
      <bottom style="hair">
        <color rgb="FFDEE4E9"/>
      </bottom>
      <diagonal/>
    </border>
    <border diagonalUp="false" diagonalDown="false">
      <left style="hair">
        <color rgb="FFD6DCE2"/>
      </left>
      <right/>
      <top/>
      <bottom style="hair">
        <color rgb="FFDEE4E9"/>
      </bottom>
      <diagonal/>
    </border>
    <border diagonalUp="false" diagonalDown="false">
      <left/>
      <right/>
      <top style="medium">
        <color rgb="FF6E9F1E"/>
      </top>
      <bottom/>
      <diagonal/>
    </border>
    <border diagonalUp="false" diagonalDown="false">
      <left style="hair">
        <color rgb="FF8794A1"/>
      </left>
      <right/>
      <top/>
      <bottom style="medium">
        <color rgb="FF6E9F1E"/>
      </bottom>
      <diagonal/>
    </border>
    <border diagonalUp="false" diagonalDown="false">
      <left/>
      <right/>
      <top/>
      <bottom style="medium">
        <color rgb="FF6E9F1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8" fillId="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0" fillId="6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1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8" fillId="5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6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7" fontId="8" fillId="5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5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0" fillId="6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7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0" fontId="14" fillId="7" borderId="9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4" fillId="7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8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8" borderId="1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8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8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6" borderId="1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1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9" fillId="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8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20" fillId="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0" fillId="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8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1" fillId="7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3" fontId="14" fillId="7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8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4" fontId="22" fillId="8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8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8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6" borderId="1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4" fontId="22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1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21" fillId="7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7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3" fillId="7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7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25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8" fontId="25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75" fontId="25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76" fontId="25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3" fillId="7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9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5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5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7" fontId="15" fillId="8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5" borderId="1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0" fontId="26" fillId="5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17" fillId="8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5" borderId="1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26" fillId="5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8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5" borderId="1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30" fillId="8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7" fontId="15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17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30" fillId="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32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71" fontId="32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3" fillId="7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5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3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6">
    <dxf>
      <font>
        <name val="Calibri"/>
        <charset val="1"/>
        <family val="0"/>
        <b val="1"/>
        <color rgb="FFFFFFFF"/>
        <sz val="7"/>
      </font>
      <fill>
        <patternFill>
          <bgColor rgb="FFB3352B"/>
        </patternFill>
      </fill>
    </dxf>
    <dxf>
      <font>
        <name val="Calibri"/>
        <charset val="1"/>
        <family val="0"/>
        <b val="1"/>
        <color rgb="FF5A6673"/>
        <sz val="7"/>
      </font>
      <fill>
        <patternFill>
          <bgColor rgb="FFD6DCE2"/>
        </patternFill>
      </fill>
    </dxf>
    <dxf>
      <font>
        <name val="Calibri"/>
        <charset val="1"/>
        <family val="0"/>
        <b val="1"/>
        <color rgb="FF8A5A00"/>
        <sz val="7"/>
      </font>
      <fill>
        <patternFill>
          <bgColor rgb="FFFBEDD0"/>
        </patternFill>
      </fill>
    </dxf>
    <dxf>
      <font>
        <name val="Calibri"/>
        <charset val="1"/>
        <family val="0"/>
        <b val="1"/>
        <color rgb="FF1E2A16"/>
        <sz val="7"/>
      </font>
      <fill>
        <patternFill>
          <bgColor rgb="FF8CBB35"/>
        </patternFill>
      </fill>
    </dxf>
    <dxf>
      <fill>
        <patternFill>
          <bgColor rgb="FFE6E9EC"/>
        </patternFill>
      </fill>
    </dxf>
    <dxf>
      <font>
        <name val="Calibri"/>
        <charset val="1"/>
        <family val="0"/>
        <b val="1"/>
        <color rgb="FFB3352B"/>
        <sz val="8"/>
      </font>
    </dxf>
    <dxf>
      <fill>
        <patternFill>
          <bgColor rgb="FFE7F0D4"/>
        </patternFill>
      </fill>
    </dxf>
    <dxf>
      <font>
        <name val="Calibri"/>
        <charset val="1"/>
        <family val="0"/>
        <b val="1"/>
        <color rgb="FFE8A317"/>
        <sz val="15"/>
      </font>
    </dxf>
    <dxf>
      <font>
        <name val="Calibri"/>
        <charset val="1"/>
        <family val="0"/>
        <b val="1"/>
        <color rgb="FFB3352B"/>
        <sz val="15"/>
      </font>
      <fill>
        <patternFill>
          <bgColor rgb="FFF6DAD6"/>
        </patternFill>
      </fill>
    </dxf>
    <dxf>
      <fill>
        <patternFill patternType="solid">
          <fgColor rgb="FF3E5163"/>
          <bgColor rgb="FF000000"/>
        </patternFill>
      </fill>
    </dxf>
    <dxf>
      <fill>
        <patternFill patternType="solid">
          <fgColor rgb="FFECEFF2"/>
          <bgColor rgb="FF000000"/>
        </patternFill>
      </fill>
    </dxf>
    <dxf>
      <fill>
        <patternFill patternType="solid">
          <fgColor rgb="FFFBEDD0"/>
          <bgColor rgb="FF000000"/>
        </patternFill>
      </fill>
    </dxf>
    <dxf>
      <fill>
        <patternFill patternType="solid">
          <fgColor rgb="FFFFFBEC"/>
          <bgColor rgb="FF000000"/>
        </patternFill>
      </fill>
    </dxf>
    <dxf>
      <fill>
        <patternFill patternType="solid">
          <fgColor rgb="FF00317A"/>
          <bgColor rgb="FF000000"/>
        </patternFill>
      </fill>
    </dxf>
    <dxf>
      <fill>
        <patternFill patternType="solid">
          <fgColor rgb="FF8794A1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7F9FA"/>
          <bgColor rgb="FF000000"/>
        </patternFill>
      </fill>
    </dxf>
    <dxf>
      <fill>
        <patternFill patternType="solid">
          <fgColor rgb="FF26333F"/>
          <bgColor rgb="FF000000"/>
        </patternFill>
      </fill>
    </dxf>
    <dxf>
      <fill>
        <patternFill patternType="solid">
          <fgColor rgb="FF1E7A45"/>
          <bgColor rgb="FF000000"/>
        </patternFill>
      </fill>
    </dxf>
    <dxf>
      <font>
        <name val="Calibri"/>
        <charset val="1"/>
        <family val="0"/>
        <b val="1"/>
        <color rgb="FFB3352B"/>
        <sz val="11"/>
      </font>
      <fill>
        <patternFill>
          <bgColor rgb="FFF6DAD6"/>
        </patternFill>
      </fill>
    </dxf>
    <dxf>
      <font>
        <name val="Calibri"/>
        <charset val="1"/>
        <family val="0"/>
        <b val="1"/>
        <color rgb="FF1E7A45"/>
        <sz val="9"/>
      </font>
    </dxf>
    <dxf>
      <font>
        <name val="Calibri"/>
        <charset val="1"/>
        <family val="0"/>
        <b val="1"/>
        <color rgb="FFB3352B"/>
        <sz val="9"/>
      </font>
      <fill>
        <patternFill>
          <bgColor rgb="FFF6DAD6"/>
        </patternFill>
      </fill>
    </dxf>
    <dxf>
      <font>
        <name val="Calibri"/>
        <charset val="1"/>
        <family val="0"/>
        <strike val="1"/>
        <color rgb="FF8794A1"/>
        <sz val="9"/>
      </font>
    </dxf>
    <dxf>
      <fill>
        <patternFill>
          <bgColor rgb="FFFBEDD0"/>
        </patternFill>
      </fill>
    </dxf>
    <dxf>
      <fill>
        <patternFill>
          <bgColor rgb="FFECEFF2"/>
        </patternFill>
      </fill>
    </dxf>
    <dxf>
      <font>
        <name val="Calibri"/>
        <charset val="1"/>
        <family val="0"/>
        <b val="1"/>
        <sz val="9"/>
      </font>
    </dxf>
  </dxfs>
  <colors>
    <indexedColors>
      <rgbColor rgb="FF000000"/>
      <rgbColor rgb="FFFFFFFF"/>
      <rgbColor rgb="FFFF0000"/>
      <rgbColor rgb="FF00FF00"/>
      <rgbColor rgb="FF0000FF"/>
      <rgbColor rgb="FFF7F9FA"/>
      <rgbColor rgb="FFFF00FF"/>
      <rgbColor rgb="FF00FFFF"/>
      <rgbColor rgb="FF800000"/>
      <rgbColor rgb="FF008000"/>
      <rgbColor rgb="FF000080"/>
      <rgbColor rgb="FF6E9F1E"/>
      <rgbColor rgb="FF800080"/>
      <rgbColor rgb="FF1E7A45"/>
      <rgbColor rgb="FFC2CAD2"/>
      <rgbColor rgb="FF808080"/>
      <rgbColor rgb="FF9999FF"/>
      <rgbColor rgb="FF8A5A00"/>
      <rgbColor rgb="FFFFFBEC"/>
      <rgbColor rgb="FFECF0F3"/>
      <rgbColor rgb="FF660066"/>
      <rgbColor rgb="FFFF8080"/>
      <rgbColor rgb="FF0066CC"/>
      <rgbColor rgb="FFC3CDD6"/>
      <rgbColor rgb="FF000080"/>
      <rgbColor rgb="FFFF00FF"/>
      <rgbColor rgb="FFFFFF00"/>
      <rgbColor rgb="FF00FFFF"/>
      <rgbColor rgb="FF800080"/>
      <rgbColor rgb="FF800000"/>
      <rgbColor rgb="FF3E5163"/>
      <rgbColor rgb="FF0000FF"/>
      <rgbColor rgb="FF00CCFF"/>
      <rgbColor rgb="FFECEFF2"/>
      <rgbColor rgb="FFE7F0D4"/>
      <rgbColor rgb="FFFBEDD0"/>
      <rgbColor rgb="FFD6DCE2"/>
      <rgbColor rgb="FFE6E9EC"/>
      <rgbColor rgb="FFDEE4E9"/>
      <rgbColor rgb="FFF6DAD6"/>
      <rgbColor rgb="FF3366FF"/>
      <rgbColor rgb="FF33CCCC"/>
      <rgbColor rgb="FF8CBB35"/>
      <rgbColor rgb="FFFFCC00"/>
      <rgbColor rgb="FFE8A317"/>
      <rgbColor rgb="FFFF6600"/>
      <rgbColor rgb="FF5A6673"/>
      <rgbColor rgb="FF8794A1"/>
      <rgbColor rgb="FF00317A"/>
      <rgbColor rgb="FF339966"/>
      <rgbColor rgb="FF003300"/>
      <rgbColor rgb="FF1E2A16"/>
      <rgbColor rgb="FFB3352B"/>
      <rgbColor rgb="FF993366"/>
      <rgbColor rgb="FF3C4A56"/>
      <rgbColor rgb="FF2633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6333F"/>
    <pageSetUpPr fitToPage="true"/>
  </sheetPr>
  <dimension ref="A1:AE46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2" ySplit="13" topLeftCell="C14" activePane="bottomRight" state="frozen"/>
      <selection pane="topLeft" activeCell="A1" activeCellId="0" sqref="A1"/>
      <selection pane="topRight" activeCell="C1" activeCellId="0" sqref="C1"/>
      <selection pane="bottomLeft" activeCell="A14" activeCellId="0" sqref="A1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.51"/>
    <col collapsed="false" customWidth="true" hidden="false" outlineLevel="0" max="2" min="2" style="0" width="25"/>
    <col collapsed="false" customWidth="true" hidden="false" outlineLevel="0" max="28" min="3" style="0" width="5.6"/>
    <col collapsed="false" customWidth="true" hidden="false" outlineLevel="0" max="30" min="29" style="0" width="11"/>
    <col collapsed="false" customWidth="true" hidden="false" outlineLevel="0" max="31" min="31" style="0" width="12"/>
  </cols>
  <sheetData>
    <row r="1" customFormat="false" ht="6.7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customFormat="false" ht="30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  <c r="R2" s="1"/>
      <c r="S2" s="1"/>
      <c r="T2" s="1"/>
      <c r="U2" s="1"/>
      <c r="V2" s="3" t="str">
        <f aca="false">CHOOSE(WEEKDAY($B$6,2),"MONTAG","DIENSTAG","MITTWOCH","DONNERSTAG","FREITAG","SAMSTAG","SONNTAG")&amp;", "&amp;RIGHT("0"&amp;DAY($B$6),2)&amp;"."&amp;RIGHT("0"&amp;MONTH($B$6),2)&amp;"."&amp;YEAR($B$6)&amp;"   ·   KW "&amp;$B$12</f>
        <v>DONNERSTAG, 23.07.2026   ·   KW 30</v>
      </c>
      <c r="W2" s="3"/>
      <c r="X2" s="3"/>
      <c r="Y2" s="3"/>
      <c r="Z2" s="3"/>
      <c r="AA2" s="3"/>
      <c r="AB2" s="3"/>
      <c r="AC2" s="3"/>
      <c r="AD2" s="3"/>
      <c r="AE2" s="3"/>
    </row>
    <row r="3" customFormat="false" ht="16.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"/>
      <c r="P3" s="1"/>
      <c r="Q3" s="1"/>
      <c r="R3" s="1"/>
      <c r="S3" s="1"/>
      <c r="T3" s="1"/>
      <c r="U3" s="1"/>
      <c r="V3" s="3"/>
      <c r="W3" s="3"/>
      <c r="X3" s="3"/>
      <c r="Y3" s="3"/>
      <c r="Z3" s="3"/>
      <c r="AA3" s="3"/>
      <c r="AB3" s="3"/>
      <c r="AC3" s="3"/>
      <c r="AD3" s="3"/>
      <c r="AE3" s="3"/>
    </row>
    <row r="4" customFormat="false" ht="4.5" hidden="false" customHeight="tru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customFormat="false" ht="7.5" hidden="false" customHeight="true" outlineLevel="0" collapsed="false">
      <c r="A5" s="6"/>
      <c r="B5" s="6"/>
    </row>
    <row r="6" customFormat="false" ht="15" hidden="false" customHeight="true" outlineLevel="0" collapsed="false">
      <c r="A6" s="7" t="s">
        <v>2</v>
      </c>
      <c r="B6" s="8" t="n">
        <v>46226</v>
      </c>
      <c r="C6" s="9" t="s">
        <v>3</v>
      </c>
      <c r="D6" s="9"/>
      <c r="E6" s="9"/>
      <c r="F6" s="9"/>
      <c r="G6" s="9" t="s">
        <v>4</v>
      </c>
      <c r="H6" s="9"/>
      <c r="I6" s="9"/>
      <c r="J6" s="9"/>
      <c r="K6" s="9" t="s">
        <v>5</v>
      </c>
      <c r="L6" s="9"/>
      <c r="M6" s="9"/>
      <c r="N6" s="9"/>
      <c r="O6" s="9" t="s">
        <v>6</v>
      </c>
      <c r="P6" s="9"/>
      <c r="Q6" s="9"/>
      <c r="R6" s="9"/>
      <c r="S6" s="9" t="s">
        <v>7</v>
      </c>
      <c r="T6" s="9"/>
      <c r="U6" s="9"/>
      <c r="V6" s="9"/>
      <c r="W6" s="9" t="s">
        <v>8</v>
      </c>
      <c r="X6" s="9"/>
      <c r="Y6" s="9"/>
      <c r="Z6" s="9"/>
      <c r="AA6" s="9" t="s">
        <v>9</v>
      </c>
      <c r="AB6" s="9"/>
      <c r="AC6" s="9"/>
      <c r="AD6" s="9" t="s">
        <v>10</v>
      </c>
      <c r="AE6" s="9"/>
    </row>
    <row r="7" customFormat="false" ht="25.5" hidden="false" customHeight="true" outlineLevel="0" collapsed="false">
      <c r="A7" s="10" t="s">
        <v>11</v>
      </c>
      <c r="B7" s="11" t="n">
        <f aca="false">$B$6</f>
        <v>46226</v>
      </c>
      <c r="C7" s="12" t="n">
        <f aca="false">COUNTIF(Stammdaten!$F$8:$F$19,"Ja")</f>
        <v>12</v>
      </c>
      <c r="D7" s="12"/>
      <c r="E7" s="12"/>
      <c r="F7" s="12"/>
      <c r="G7" s="12" t="n">
        <f aca="false">$B$10</f>
        <v>26</v>
      </c>
      <c r="H7" s="12"/>
      <c r="I7" s="12"/>
      <c r="J7" s="12"/>
      <c r="K7" s="13" t="n">
        <f aca="false">$C$7*$G$7*$B$9/60</f>
        <v>156</v>
      </c>
      <c r="L7" s="13"/>
      <c r="M7" s="13"/>
      <c r="N7" s="13"/>
      <c r="O7" s="13" t="n">
        <f aca="false">SUM($AC$14:$AC$25)</f>
        <v>37</v>
      </c>
      <c r="P7" s="13"/>
      <c r="Q7" s="13"/>
      <c r="R7" s="13"/>
      <c r="S7" s="14" t="n">
        <f aca="false">IFERROR($O$7/$K$7,0)</f>
        <v>0.237179487179487</v>
      </c>
      <c r="T7" s="14"/>
      <c r="U7" s="14"/>
      <c r="V7" s="14"/>
      <c r="W7" s="12" t="n">
        <f aca="false">COUNTIFS(Buchungen!$B$8:$B$127,$B$6,Buchungen!$N$8:$N$127,"&lt;&gt;Storniert")</f>
        <v>23</v>
      </c>
      <c r="X7" s="12"/>
      <c r="Y7" s="12"/>
      <c r="Z7" s="12"/>
      <c r="AA7" s="14" t="n">
        <f aca="false">IFERROR(AVERAGE($AE$14:$AE$25),0)</f>
        <v>0.574206349206349</v>
      </c>
      <c r="AB7" s="14"/>
      <c r="AC7" s="14"/>
      <c r="AD7" s="12" t="n">
        <f aca="false">COUNTIF($C$14:$AB$25,"!")</f>
        <v>0</v>
      </c>
      <c r="AE7" s="12"/>
    </row>
    <row r="8" customFormat="false" ht="16.5" hidden="false" customHeight="true" outlineLevel="0" collapsed="false">
      <c r="A8" s="10" t="s">
        <v>12</v>
      </c>
      <c r="B8" s="15" t="n">
        <v>0.291666666666667</v>
      </c>
      <c r="C8" s="16" t="s">
        <v>13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customFormat="false" ht="16.5" hidden="false" customHeight="true" outlineLevel="0" collapsed="false">
      <c r="A9" s="10" t="s">
        <v>14</v>
      </c>
      <c r="B9" s="17" t="n">
        <v>30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</row>
    <row r="10" customFormat="false" ht="16.5" hidden="false" customHeight="true" outlineLevel="0" collapsed="false">
      <c r="A10" s="10" t="s">
        <v>15</v>
      </c>
      <c r="B10" s="17" t="n">
        <v>26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</row>
    <row r="11" customFormat="false" ht="16.5" hidden="false" customHeight="true" outlineLevel="0" collapsed="false">
      <c r="A11" s="10" t="s">
        <v>16</v>
      </c>
      <c r="B11" s="18" t="s">
        <v>17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</row>
    <row r="12" customFormat="false" ht="16.5" hidden="false" customHeight="true" outlineLevel="0" collapsed="false">
      <c r="A12" s="10" t="s">
        <v>18</v>
      </c>
      <c r="B12" s="19" t="n">
        <f aca="false">INT((($B$6-DATE(YEAR($B$6-WEEKDAY($B$6-1)+4),1,3))+WEEKDAY(DATE(YEAR($B$6-WEEKDAY($B$6-1)+4),1,3))+5)/7)</f>
        <v>30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</row>
    <row r="13" customFormat="false" ht="42" hidden="false" customHeight="true" outlineLevel="0" collapsed="false">
      <c r="A13" s="20" t="s">
        <v>19</v>
      </c>
      <c r="B13" s="20" t="s">
        <v>20</v>
      </c>
      <c r="C13" s="21" t="n">
        <f aca="false">IF(1&lt;=$B$10,$B$8+(0)*$B$9/1440,"")</f>
        <v>0.291666666666667</v>
      </c>
      <c r="D13" s="21" t="n">
        <f aca="false">IF(2&lt;=$B$10,$B$8+(1)*$B$9/1440,"")</f>
        <v>0.3125</v>
      </c>
      <c r="E13" s="21" t="n">
        <f aca="false">IF(3&lt;=$B$10,$B$8+(2)*$B$9/1440,"")</f>
        <v>0.333333333333333</v>
      </c>
      <c r="F13" s="21" t="n">
        <f aca="false">IF(4&lt;=$B$10,$B$8+(3)*$B$9/1440,"")</f>
        <v>0.354166666666667</v>
      </c>
      <c r="G13" s="21" t="n">
        <f aca="false">IF(5&lt;=$B$10,$B$8+(4)*$B$9/1440,"")</f>
        <v>0.375</v>
      </c>
      <c r="H13" s="21" t="n">
        <f aca="false">IF(6&lt;=$B$10,$B$8+(5)*$B$9/1440,"")</f>
        <v>0.395833333333333</v>
      </c>
      <c r="I13" s="21" t="n">
        <f aca="false">IF(7&lt;=$B$10,$B$8+(6)*$B$9/1440,"")</f>
        <v>0.416666666666667</v>
      </c>
      <c r="J13" s="21" t="n">
        <f aca="false">IF(8&lt;=$B$10,$B$8+(7)*$B$9/1440,"")</f>
        <v>0.4375</v>
      </c>
      <c r="K13" s="21" t="n">
        <f aca="false">IF(9&lt;=$B$10,$B$8+(8)*$B$9/1440,"")</f>
        <v>0.458333333333333</v>
      </c>
      <c r="L13" s="21" t="n">
        <f aca="false">IF(10&lt;=$B$10,$B$8+(9)*$B$9/1440,"")</f>
        <v>0.479166666666667</v>
      </c>
      <c r="M13" s="21" t="n">
        <f aca="false">IF(11&lt;=$B$10,$B$8+(10)*$B$9/1440,"")</f>
        <v>0.5</v>
      </c>
      <c r="N13" s="21" t="n">
        <f aca="false">IF(12&lt;=$B$10,$B$8+(11)*$B$9/1440,"")</f>
        <v>0.520833333333333</v>
      </c>
      <c r="O13" s="21" t="n">
        <f aca="false">IF(13&lt;=$B$10,$B$8+(12)*$B$9/1440,"")</f>
        <v>0.541666666666667</v>
      </c>
      <c r="P13" s="21" t="n">
        <f aca="false">IF(14&lt;=$B$10,$B$8+(13)*$B$9/1440,"")</f>
        <v>0.5625</v>
      </c>
      <c r="Q13" s="21" t="n">
        <f aca="false">IF(15&lt;=$B$10,$B$8+(14)*$B$9/1440,"")</f>
        <v>0.583333333333333</v>
      </c>
      <c r="R13" s="21" t="n">
        <f aca="false">IF(16&lt;=$B$10,$B$8+(15)*$B$9/1440,"")</f>
        <v>0.604166666666667</v>
      </c>
      <c r="S13" s="21" t="n">
        <f aca="false">IF(17&lt;=$B$10,$B$8+(16)*$B$9/1440,"")</f>
        <v>0.625</v>
      </c>
      <c r="T13" s="21" t="n">
        <f aca="false">IF(18&lt;=$B$10,$B$8+(17)*$B$9/1440,"")</f>
        <v>0.645833333333333</v>
      </c>
      <c r="U13" s="21" t="n">
        <f aca="false">IF(19&lt;=$B$10,$B$8+(18)*$B$9/1440,"")</f>
        <v>0.666666666666667</v>
      </c>
      <c r="V13" s="21" t="n">
        <f aca="false">IF(20&lt;=$B$10,$B$8+(19)*$B$9/1440,"")</f>
        <v>0.6875</v>
      </c>
      <c r="W13" s="21" t="n">
        <f aca="false">IF(21&lt;=$B$10,$B$8+(20)*$B$9/1440,"")</f>
        <v>0.708333333333333</v>
      </c>
      <c r="X13" s="21" t="n">
        <f aca="false">IF(22&lt;=$B$10,$B$8+(21)*$B$9/1440,"")</f>
        <v>0.729166666666667</v>
      </c>
      <c r="Y13" s="21" t="n">
        <f aca="false">IF(23&lt;=$B$10,$B$8+(22)*$B$9/1440,"")</f>
        <v>0.75</v>
      </c>
      <c r="Z13" s="21" t="n">
        <f aca="false">IF(24&lt;=$B$10,$B$8+(23)*$B$9/1440,"")</f>
        <v>0.770833333333333</v>
      </c>
      <c r="AA13" s="21" t="n">
        <f aca="false">IF(25&lt;=$B$10,$B$8+(24)*$B$9/1440,"")</f>
        <v>0.791666666666667</v>
      </c>
      <c r="AB13" s="21" t="n">
        <f aca="false">IF(26&lt;=$B$10,$B$8+(25)*$B$9/1440,"")</f>
        <v>0.8125</v>
      </c>
      <c r="AC13" s="22" t="s">
        <v>21</v>
      </c>
      <c r="AD13" s="22" t="s">
        <v>22</v>
      </c>
      <c r="AE13" s="22" t="s">
        <v>23</v>
      </c>
    </row>
    <row r="14" customFormat="false" ht="16.5" hidden="false" customHeight="true" outlineLevel="0" collapsed="false">
      <c r="A14" s="23" t="str">
        <f aca="false">IF(OR(Stammdaten!$A8="",Stammdaten!$F8="Nein"),"",Stammdaten!$A8)</f>
        <v>R-01</v>
      </c>
      <c r="B14" s="24" t="str">
        <f aca="false">IF($A14="","",Stammdaten!$B8&amp;"  ("&amp;Stammdaten!$D8&amp;" Plätze)")</f>
        <v>Besprechungsraum 1  (6 Plätze)</v>
      </c>
      <c r="C14" s="25" t="str">
        <f aca="false">IF(C$13="","",IF(COUNTIFS(Buchungen!$D$8:$D$127,$A14,Buchungen!$B$8:$B$127,$B$6,Buchungen!$N$8:$N$127,"&lt;&gt;Storniert",Buchungen!$S$8:$S$127,"&lt;"&amp;(ROUND(C$13*1440,0)+$B$9),Buchungen!$T$8:$T$127,"&gt;"&amp;ROUND(C$13*1440,0))=0,"",IF(COUNTIFS(Buchungen!$D$8:$D$127,$A14,Buchungen!$B$8:$B$127,$B$6,Buchungen!$N$8:$N$127,"&lt;&gt;Storniert",Buchungen!$S$8:$S$127,"&lt;"&amp;(ROUND(C$13*1440,0)+$B$9),Buchungen!$T$8:$T$127,"&gt;"&amp;ROUND(C$13*1440,0))&gt;1,"!",INDEX(Buchungen!$P$8:$P$127,SUMIFS(Buchungen!$R$8:$R$127,Buchungen!$D$8:$D$127,$A14,Buchungen!$B$8:$B$127,$B$6,Buchungen!$N$8:$N$127,"&lt;&gt;Storniert",Buchungen!$S$8:$S$127,"&lt;"&amp;(ROUND(C$13*1440,0)+$B$9),Buchungen!$T$8:$T$127,"&gt;"&amp;ROUND(C$13*1440,0))-7))))</f>
        <v/>
      </c>
      <c r="D14" s="25" t="str">
        <f aca="false">IF(D$13="","",IF(COUNTIFS(Buchungen!$D$8:$D$127,$A14,Buchungen!$B$8:$B$127,$B$6,Buchungen!$N$8:$N$127,"&lt;&gt;Storniert",Buchungen!$S$8:$S$127,"&lt;"&amp;(ROUND(D$13*1440,0)+$B$9),Buchungen!$T$8:$T$127,"&gt;"&amp;ROUND(D$13*1440,0))=0,"",IF(COUNTIFS(Buchungen!$D$8:$D$127,$A14,Buchungen!$B$8:$B$127,$B$6,Buchungen!$N$8:$N$127,"&lt;&gt;Storniert",Buchungen!$S$8:$S$127,"&lt;"&amp;(ROUND(D$13*1440,0)+$B$9),Buchungen!$T$8:$T$127,"&gt;"&amp;ROUND(D$13*1440,0))&gt;1,"!",INDEX(Buchungen!$P$8:$P$127,SUMIFS(Buchungen!$R$8:$R$127,Buchungen!$D$8:$D$127,$A14,Buchungen!$B$8:$B$127,$B$6,Buchungen!$N$8:$N$127,"&lt;&gt;Storniert",Buchungen!$S$8:$S$127,"&lt;"&amp;(ROUND(D$13*1440,0)+$B$9),Buchungen!$T$8:$T$127,"&gt;"&amp;ROUND(D$13*1440,0))-7))))</f>
        <v/>
      </c>
      <c r="E14" s="25" t="str">
        <f aca="false">IF(E$13="","",IF(COUNTIFS(Buchungen!$D$8:$D$127,$A14,Buchungen!$B$8:$B$127,$B$6,Buchungen!$N$8:$N$127,"&lt;&gt;Storniert",Buchungen!$S$8:$S$127,"&lt;"&amp;(ROUND(E$13*1440,0)+$B$9),Buchungen!$T$8:$T$127,"&gt;"&amp;ROUND(E$13*1440,0))=0,"",IF(COUNTIFS(Buchungen!$D$8:$D$127,$A14,Buchungen!$B$8:$B$127,$B$6,Buchungen!$N$8:$N$127,"&lt;&gt;Storniert",Buchungen!$S$8:$S$127,"&lt;"&amp;(ROUND(E$13*1440,0)+$B$9),Buchungen!$T$8:$T$127,"&gt;"&amp;ROUND(E$13*1440,0))&gt;1,"!",INDEX(Buchungen!$P$8:$P$127,SUMIFS(Buchungen!$R$8:$R$127,Buchungen!$D$8:$D$127,$A14,Buchungen!$B$8:$B$127,$B$6,Buchungen!$N$8:$N$127,"&lt;&gt;Storniert",Buchungen!$S$8:$S$127,"&lt;"&amp;(ROUND(E$13*1440,0)+$B$9),Buchungen!$T$8:$T$127,"&gt;"&amp;ROUND(E$13*1440,0))-7))))</f>
        <v/>
      </c>
      <c r="F14" s="25" t="str">
        <f aca="false">IF(F$13="","",IF(COUNTIFS(Buchungen!$D$8:$D$127,$A14,Buchungen!$B$8:$B$127,$B$6,Buchungen!$N$8:$N$127,"&lt;&gt;Storniert",Buchungen!$S$8:$S$127,"&lt;"&amp;(ROUND(F$13*1440,0)+$B$9),Buchungen!$T$8:$T$127,"&gt;"&amp;ROUND(F$13*1440,0))=0,"",IF(COUNTIFS(Buchungen!$D$8:$D$127,$A14,Buchungen!$B$8:$B$127,$B$6,Buchungen!$N$8:$N$127,"&lt;&gt;Storniert",Buchungen!$S$8:$S$127,"&lt;"&amp;(ROUND(F$13*1440,0)+$B$9),Buchungen!$T$8:$T$127,"&gt;"&amp;ROUND(F$13*1440,0))&gt;1,"!",INDEX(Buchungen!$P$8:$P$127,SUMIFS(Buchungen!$R$8:$R$127,Buchungen!$D$8:$D$127,$A14,Buchungen!$B$8:$B$127,$B$6,Buchungen!$N$8:$N$127,"&lt;&gt;Storniert",Buchungen!$S$8:$S$127,"&lt;"&amp;(ROUND(F$13*1440,0)+$B$9),Buchungen!$T$8:$T$127,"&gt;"&amp;ROUND(F$13*1440,0))-7))))</f>
        <v/>
      </c>
      <c r="G14" s="25" t="str">
        <f aca="false">IF(G$13="","",IF(COUNTIFS(Buchungen!$D$8:$D$127,$A14,Buchungen!$B$8:$B$127,$B$6,Buchungen!$N$8:$N$127,"&lt;&gt;Storniert",Buchungen!$S$8:$S$127,"&lt;"&amp;(ROUND(G$13*1440,0)+$B$9),Buchungen!$T$8:$T$127,"&gt;"&amp;ROUND(G$13*1440,0))=0,"",IF(COUNTIFS(Buchungen!$D$8:$D$127,$A14,Buchungen!$B$8:$B$127,$B$6,Buchungen!$N$8:$N$127,"&lt;&gt;Storniert",Buchungen!$S$8:$S$127,"&lt;"&amp;(ROUND(G$13*1440,0)+$B$9),Buchungen!$T$8:$T$127,"&gt;"&amp;ROUND(G$13*1440,0))&gt;1,"!",INDEX(Buchungen!$P$8:$P$127,SUMIFS(Buchungen!$R$8:$R$127,Buchungen!$D$8:$D$127,$A14,Buchungen!$B$8:$B$127,$B$6,Buchungen!$N$8:$N$127,"&lt;&gt;Storniert",Buchungen!$S$8:$S$127,"&lt;"&amp;(ROUND(G$13*1440,0)+$B$9),Buchungen!$T$8:$T$127,"&gt;"&amp;ROUND(G$13*1440,0))-7))))</f>
        <v>TEAM*</v>
      </c>
      <c r="H14" s="25" t="str">
        <f aca="false">IF(H$13="","",IF(COUNTIFS(Buchungen!$D$8:$D$127,$A14,Buchungen!$B$8:$B$127,$B$6,Buchungen!$N$8:$N$127,"&lt;&gt;Storniert",Buchungen!$S$8:$S$127,"&lt;"&amp;(ROUND(H$13*1440,0)+$B$9),Buchungen!$T$8:$T$127,"&gt;"&amp;ROUND(H$13*1440,0))=0,"",IF(COUNTIFS(Buchungen!$D$8:$D$127,$A14,Buchungen!$B$8:$B$127,$B$6,Buchungen!$N$8:$N$127,"&lt;&gt;Storniert",Buchungen!$S$8:$S$127,"&lt;"&amp;(ROUND(H$13*1440,0)+$B$9),Buchungen!$T$8:$T$127,"&gt;"&amp;ROUND(H$13*1440,0))&gt;1,"!",INDEX(Buchungen!$P$8:$P$127,SUMIFS(Buchungen!$R$8:$R$127,Buchungen!$D$8:$D$127,$A14,Buchungen!$B$8:$B$127,$B$6,Buchungen!$N$8:$N$127,"&lt;&gt;Storniert",Buchungen!$S$8:$S$127,"&lt;"&amp;(ROUND(H$13*1440,0)+$B$9),Buchungen!$T$8:$T$127,"&gt;"&amp;ROUND(H$13*1440,0))-7))))</f>
        <v>TEAM*</v>
      </c>
      <c r="I14" s="25" t="str">
        <f aca="false">IF(I$13="","",IF(COUNTIFS(Buchungen!$D$8:$D$127,$A14,Buchungen!$B$8:$B$127,$B$6,Buchungen!$N$8:$N$127,"&lt;&gt;Storniert",Buchungen!$S$8:$S$127,"&lt;"&amp;(ROUND(I$13*1440,0)+$B$9),Buchungen!$T$8:$T$127,"&gt;"&amp;ROUND(I$13*1440,0))=0,"",IF(COUNTIFS(Buchungen!$D$8:$D$127,$A14,Buchungen!$B$8:$B$127,$B$6,Buchungen!$N$8:$N$127,"&lt;&gt;Storniert",Buchungen!$S$8:$S$127,"&lt;"&amp;(ROUND(I$13*1440,0)+$B$9),Buchungen!$T$8:$T$127,"&gt;"&amp;ROUND(I$13*1440,0))&gt;1,"!",INDEX(Buchungen!$P$8:$P$127,SUMIFS(Buchungen!$R$8:$R$127,Buchungen!$D$8:$D$127,$A14,Buchungen!$B$8:$B$127,$B$6,Buchungen!$N$8:$N$127,"&lt;&gt;Storniert",Buchungen!$S$8:$S$127,"&lt;"&amp;(ROUND(I$13*1440,0)+$B$9),Buchungen!$T$8:$T$127,"&gt;"&amp;ROUND(I$13*1440,0))-7))))</f>
        <v>TEAM*</v>
      </c>
      <c r="J14" s="25" t="str">
        <f aca="false">IF(J$13="","",IF(COUNTIFS(Buchungen!$D$8:$D$127,$A14,Buchungen!$B$8:$B$127,$B$6,Buchungen!$N$8:$N$127,"&lt;&gt;Storniert",Buchungen!$S$8:$S$127,"&lt;"&amp;(ROUND(J$13*1440,0)+$B$9),Buchungen!$T$8:$T$127,"&gt;"&amp;ROUND(J$13*1440,0))=0,"",IF(COUNTIFS(Buchungen!$D$8:$D$127,$A14,Buchungen!$B$8:$B$127,$B$6,Buchungen!$N$8:$N$127,"&lt;&gt;Storniert",Buchungen!$S$8:$S$127,"&lt;"&amp;(ROUND(J$13*1440,0)+$B$9),Buchungen!$T$8:$T$127,"&gt;"&amp;ROUND(J$13*1440,0))&gt;1,"!",INDEX(Buchungen!$P$8:$P$127,SUMIFS(Buchungen!$R$8:$R$127,Buchungen!$D$8:$D$127,$A14,Buchungen!$B$8:$B$127,$B$6,Buchungen!$N$8:$N$127,"&lt;&gt;Storniert",Buchungen!$S$8:$S$127,"&lt;"&amp;(ROUND(J$13*1440,0)+$B$9),Buchungen!$T$8:$T$127,"&gt;"&amp;ROUND(J$13*1440,0))-7))))</f>
        <v>TEAM*</v>
      </c>
      <c r="K14" s="25" t="str">
        <f aca="false">IF(K$13="","",IF(COUNTIFS(Buchungen!$D$8:$D$127,$A14,Buchungen!$B$8:$B$127,$B$6,Buchungen!$N$8:$N$127,"&lt;&gt;Storniert",Buchungen!$S$8:$S$127,"&lt;"&amp;(ROUND(K$13*1440,0)+$B$9),Buchungen!$T$8:$T$127,"&gt;"&amp;ROUND(K$13*1440,0))=0,"",IF(COUNTIFS(Buchungen!$D$8:$D$127,$A14,Buchungen!$B$8:$B$127,$B$6,Buchungen!$N$8:$N$127,"&lt;&gt;Storniert",Buchungen!$S$8:$S$127,"&lt;"&amp;(ROUND(K$13*1440,0)+$B$9),Buchungen!$T$8:$T$127,"&gt;"&amp;ROUND(K$13*1440,0))&gt;1,"!",INDEX(Buchungen!$P$8:$P$127,SUMIFS(Buchungen!$R$8:$R$127,Buchungen!$D$8:$D$127,$A14,Buchungen!$B$8:$B$127,$B$6,Buchungen!$N$8:$N$127,"&lt;&gt;Storniert",Buchungen!$S$8:$S$127,"&lt;"&amp;(ROUND(K$13*1440,0)+$B$9),Buchungen!$T$8:$T$127,"&gt;"&amp;ROUND(K$13*1440,0))-7))))</f>
        <v/>
      </c>
      <c r="L14" s="25" t="str">
        <f aca="false">IF(L$13="","",IF(COUNTIFS(Buchungen!$D$8:$D$127,$A14,Buchungen!$B$8:$B$127,$B$6,Buchungen!$N$8:$N$127,"&lt;&gt;Storniert",Buchungen!$S$8:$S$127,"&lt;"&amp;(ROUND(L$13*1440,0)+$B$9),Buchungen!$T$8:$T$127,"&gt;"&amp;ROUND(L$13*1440,0))=0,"",IF(COUNTIFS(Buchungen!$D$8:$D$127,$A14,Buchungen!$B$8:$B$127,$B$6,Buchungen!$N$8:$N$127,"&lt;&gt;Storniert",Buchungen!$S$8:$S$127,"&lt;"&amp;(ROUND(L$13*1440,0)+$B$9),Buchungen!$T$8:$T$127,"&gt;"&amp;ROUND(L$13*1440,0))&gt;1,"!",INDEX(Buchungen!$P$8:$P$127,SUMIFS(Buchungen!$R$8:$R$127,Buchungen!$D$8:$D$127,$A14,Buchungen!$B$8:$B$127,$B$6,Buchungen!$N$8:$N$127,"&lt;&gt;Storniert",Buchungen!$S$8:$S$127,"&lt;"&amp;(ROUND(L$13*1440,0)+$B$9),Buchungen!$T$8:$T$127,"&gt;"&amp;ROUND(L$13*1440,0))-7))))</f>
        <v/>
      </c>
      <c r="M14" s="25" t="str">
        <f aca="false">IF(M$13="","",IF(COUNTIFS(Buchungen!$D$8:$D$127,$A14,Buchungen!$B$8:$B$127,$B$6,Buchungen!$N$8:$N$127,"&lt;&gt;Storniert",Buchungen!$S$8:$S$127,"&lt;"&amp;(ROUND(M$13*1440,0)+$B$9),Buchungen!$T$8:$T$127,"&gt;"&amp;ROUND(M$13*1440,0))=0,"",IF(COUNTIFS(Buchungen!$D$8:$D$127,$A14,Buchungen!$B$8:$B$127,$B$6,Buchungen!$N$8:$N$127,"&lt;&gt;Storniert",Buchungen!$S$8:$S$127,"&lt;"&amp;(ROUND(M$13*1440,0)+$B$9),Buchungen!$T$8:$T$127,"&gt;"&amp;ROUND(M$13*1440,0))&gt;1,"!",INDEX(Buchungen!$P$8:$P$127,SUMIFS(Buchungen!$R$8:$R$127,Buchungen!$D$8:$D$127,$A14,Buchungen!$B$8:$B$127,$B$6,Buchungen!$N$8:$N$127,"&lt;&gt;Storniert",Buchungen!$S$8:$S$127,"&lt;"&amp;(ROUND(M$13*1440,0)+$B$9),Buchungen!$T$8:$T$127,"&gt;"&amp;ROUND(M$13*1440,0))-7))))</f>
        <v/>
      </c>
      <c r="N14" s="25" t="str">
        <f aca="false">IF(N$13="","",IF(COUNTIFS(Buchungen!$D$8:$D$127,$A14,Buchungen!$B$8:$B$127,$B$6,Buchungen!$N$8:$N$127,"&lt;&gt;Storniert",Buchungen!$S$8:$S$127,"&lt;"&amp;(ROUND(N$13*1440,0)+$B$9),Buchungen!$T$8:$T$127,"&gt;"&amp;ROUND(N$13*1440,0))=0,"",IF(COUNTIFS(Buchungen!$D$8:$D$127,$A14,Buchungen!$B$8:$B$127,$B$6,Buchungen!$N$8:$N$127,"&lt;&gt;Storniert",Buchungen!$S$8:$S$127,"&lt;"&amp;(ROUND(N$13*1440,0)+$B$9),Buchungen!$T$8:$T$127,"&gt;"&amp;ROUND(N$13*1440,0))&gt;1,"!",INDEX(Buchungen!$P$8:$P$127,SUMIFS(Buchungen!$R$8:$R$127,Buchungen!$D$8:$D$127,$A14,Buchungen!$B$8:$B$127,$B$6,Buchungen!$N$8:$N$127,"&lt;&gt;Storniert",Buchungen!$S$8:$S$127,"&lt;"&amp;(ROUND(N$13*1440,0)+$B$9),Buchungen!$T$8:$T$127,"&gt;"&amp;ROUND(N$13*1440,0))-7))))</f>
        <v/>
      </c>
      <c r="O14" s="25" t="str">
        <f aca="false">IF(O$13="","",IF(COUNTIFS(Buchungen!$D$8:$D$127,$A14,Buchungen!$B$8:$B$127,$B$6,Buchungen!$N$8:$N$127,"&lt;&gt;Storniert",Buchungen!$S$8:$S$127,"&lt;"&amp;(ROUND(O$13*1440,0)+$B$9),Buchungen!$T$8:$T$127,"&gt;"&amp;ROUND(O$13*1440,0))=0,"",IF(COUNTIFS(Buchungen!$D$8:$D$127,$A14,Buchungen!$B$8:$B$127,$B$6,Buchungen!$N$8:$N$127,"&lt;&gt;Storniert",Buchungen!$S$8:$S$127,"&lt;"&amp;(ROUND(O$13*1440,0)+$B$9),Buchungen!$T$8:$T$127,"&gt;"&amp;ROUND(O$13*1440,0))&gt;1,"!",INDEX(Buchungen!$P$8:$P$127,SUMIFS(Buchungen!$R$8:$R$127,Buchungen!$D$8:$D$127,$A14,Buchungen!$B$8:$B$127,$B$6,Buchungen!$N$8:$N$127,"&lt;&gt;Storniert",Buchungen!$S$8:$S$127,"&lt;"&amp;(ROUND(O$13*1440,0)+$B$9),Buchungen!$T$8:$T$127,"&gt;"&amp;ROUND(O$13*1440,0))-7))))</f>
        <v>ABT</v>
      </c>
      <c r="P14" s="25" t="str">
        <f aca="false">IF(P$13="","",IF(COUNTIFS(Buchungen!$D$8:$D$127,$A14,Buchungen!$B$8:$B$127,$B$6,Buchungen!$N$8:$N$127,"&lt;&gt;Storniert",Buchungen!$S$8:$S$127,"&lt;"&amp;(ROUND(P$13*1440,0)+$B$9),Buchungen!$T$8:$T$127,"&gt;"&amp;ROUND(P$13*1440,0))=0,"",IF(COUNTIFS(Buchungen!$D$8:$D$127,$A14,Buchungen!$B$8:$B$127,$B$6,Buchungen!$N$8:$N$127,"&lt;&gt;Storniert",Buchungen!$S$8:$S$127,"&lt;"&amp;(ROUND(P$13*1440,0)+$B$9),Buchungen!$T$8:$T$127,"&gt;"&amp;ROUND(P$13*1440,0))&gt;1,"!",INDEX(Buchungen!$P$8:$P$127,SUMIFS(Buchungen!$R$8:$R$127,Buchungen!$D$8:$D$127,$A14,Buchungen!$B$8:$B$127,$B$6,Buchungen!$N$8:$N$127,"&lt;&gt;Storniert",Buchungen!$S$8:$S$127,"&lt;"&amp;(ROUND(P$13*1440,0)+$B$9),Buchungen!$T$8:$T$127,"&gt;"&amp;ROUND(P$13*1440,0))-7))))</f>
        <v>ABT</v>
      </c>
      <c r="Q14" s="25" t="str">
        <f aca="false">IF(Q$13="","",IF(COUNTIFS(Buchungen!$D$8:$D$127,$A14,Buchungen!$B$8:$B$127,$B$6,Buchungen!$N$8:$N$127,"&lt;&gt;Storniert",Buchungen!$S$8:$S$127,"&lt;"&amp;(ROUND(Q$13*1440,0)+$B$9),Buchungen!$T$8:$T$127,"&gt;"&amp;ROUND(Q$13*1440,0))=0,"",IF(COUNTIFS(Buchungen!$D$8:$D$127,$A14,Buchungen!$B$8:$B$127,$B$6,Buchungen!$N$8:$N$127,"&lt;&gt;Storniert",Buchungen!$S$8:$S$127,"&lt;"&amp;(ROUND(Q$13*1440,0)+$B$9),Buchungen!$T$8:$T$127,"&gt;"&amp;ROUND(Q$13*1440,0))&gt;1,"!",INDEX(Buchungen!$P$8:$P$127,SUMIFS(Buchungen!$R$8:$R$127,Buchungen!$D$8:$D$127,$A14,Buchungen!$B$8:$B$127,$B$6,Buchungen!$N$8:$N$127,"&lt;&gt;Storniert",Buchungen!$S$8:$S$127,"&lt;"&amp;(ROUND(Q$13*1440,0)+$B$9),Buchungen!$T$8:$T$127,"&gt;"&amp;ROUND(Q$13*1440,0))-7))))</f>
        <v>ABT</v>
      </c>
      <c r="R14" s="25" t="str">
        <f aca="false">IF(R$13="","",IF(COUNTIFS(Buchungen!$D$8:$D$127,$A14,Buchungen!$B$8:$B$127,$B$6,Buchungen!$N$8:$N$127,"&lt;&gt;Storniert",Buchungen!$S$8:$S$127,"&lt;"&amp;(ROUND(R$13*1440,0)+$B$9),Buchungen!$T$8:$T$127,"&gt;"&amp;ROUND(R$13*1440,0))=0,"",IF(COUNTIFS(Buchungen!$D$8:$D$127,$A14,Buchungen!$B$8:$B$127,$B$6,Buchungen!$N$8:$N$127,"&lt;&gt;Storniert",Buchungen!$S$8:$S$127,"&lt;"&amp;(ROUND(R$13*1440,0)+$B$9),Buchungen!$T$8:$T$127,"&gt;"&amp;ROUND(R$13*1440,0))&gt;1,"!",INDEX(Buchungen!$P$8:$P$127,SUMIFS(Buchungen!$R$8:$R$127,Buchungen!$D$8:$D$127,$A14,Buchungen!$B$8:$B$127,$B$6,Buchungen!$N$8:$N$127,"&lt;&gt;Storniert",Buchungen!$S$8:$S$127,"&lt;"&amp;(ROUND(R$13*1440,0)+$B$9),Buchungen!$T$8:$T$127,"&gt;"&amp;ROUND(R$13*1440,0))-7))))</f>
        <v>ABT</v>
      </c>
      <c r="S14" s="25" t="str">
        <f aca="false">IF(S$13="","",IF(COUNTIFS(Buchungen!$D$8:$D$127,$A14,Buchungen!$B$8:$B$127,$B$6,Buchungen!$N$8:$N$127,"&lt;&gt;Storniert",Buchungen!$S$8:$S$127,"&lt;"&amp;(ROUND(S$13*1440,0)+$B$9),Buchungen!$T$8:$T$127,"&gt;"&amp;ROUND(S$13*1440,0))=0,"",IF(COUNTIFS(Buchungen!$D$8:$D$127,$A14,Buchungen!$B$8:$B$127,$B$6,Buchungen!$N$8:$N$127,"&lt;&gt;Storniert",Buchungen!$S$8:$S$127,"&lt;"&amp;(ROUND(S$13*1440,0)+$B$9),Buchungen!$T$8:$T$127,"&gt;"&amp;ROUND(S$13*1440,0))&gt;1,"!",INDEX(Buchungen!$P$8:$P$127,SUMIFS(Buchungen!$R$8:$R$127,Buchungen!$D$8:$D$127,$A14,Buchungen!$B$8:$B$127,$B$6,Buchungen!$N$8:$N$127,"&lt;&gt;Storniert",Buchungen!$S$8:$S$127,"&lt;"&amp;(ROUND(S$13*1440,0)+$B$9),Buchungen!$T$8:$T$127,"&gt;"&amp;ROUND(S$13*1440,0))-7))))</f>
        <v/>
      </c>
      <c r="T14" s="25" t="str">
        <f aca="false">IF(T$13="","",IF(COUNTIFS(Buchungen!$D$8:$D$127,$A14,Buchungen!$B$8:$B$127,$B$6,Buchungen!$N$8:$N$127,"&lt;&gt;Storniert",Buchungen!$S$8:$S$127,"&lt;"&amp;(ROUND(T$13*1440,0)+$B$9),Buchungen!$T$8:$T$127,"&gt;"&amp;ROUND(T$13*1440,0))=0,"",IF(COUNTIFS(Buchungen!$D$8:$D$127,$A14,Buchungen!$B$8:$B$127,$B$6,Buchungen!$N$8:$N$127,"&lt;&gt;Storniert",Buchungen!$S$8:$S$127,"&lt;"&amp;(ROUND(T$13*1440,0)+$B$9),Buchungen!$T$8:$T$127,"&gt;"&amp;ROUND(T$13*1440,0))&gt;1,"!",INDEX(Buchungen!$P$8:$P$127,SUMIFS(Buchungen!$R$8:$R$127,Buchungen!$D$8:$D$127,$A14,Buchungen!$B$8:$B$127,$B$6,Buchungen!$N$8:$N$127,"&lt;&gt;Storniert",Buchungen!$S$8:$S$127,"&lt;"&amp;(ROUND(T$13*1440,0)+$B$9),Buchungen!$T$8:$T$127,"&gt;"&amp;ROUND(T$13*1440,0))-7))))</f>
        <v/>
      </c>
      <c r="U14" s="25" t="str">
        <f aca="false">IF(U$13="","",IF(COUNTIFS(Buchungen!$D$8:$D$127,$A14,Buchungen!$B$8:$B$127,$B$6,Buchungen!$N$8:$N$127,"&lt;&gt;Storniert",Buchungen!$S$8:$S$127,"&lt;"&amp;(ROUND(U$13*1440,0)+$B$9),Buchungen!$T$8:$T$127,"&gt;"&amp;ROUND(U$13*1440,0))=0,"",IF(COUNTIFS(Buchungen!$D$8:$D$127,$A14,Buchungen!$B$8:$B$127,$B$6,Buchungen!$N$8:$N$127,"&lt;&gt;Storniert",Buchungen!$S$8:$S$127,"&lt;"&amp;(ROUND(U$13*1440,0)+$B$9),Buchungen!$T$8:$T$127,"&gt;"&amp;ROUND(U$13*1440,0))&gt;1,"!",INDEX(Buchungen!$P$8:$P$127,SUMIFS(Buchungen!$R$8:$R$127,Buchungen!$D$8:$D$127,$A14,Buchungen!$B$8:$B$127,$B$6,Buchungen!$N$8:$N$127,"&lt;&gt;Storniert",Buchungen!$S$8:$S$127,"&lt;"&amp;(ROUND(U$13*1440,0)+$B$9),Buchungen!$T$8:$T$127,"&gt;"&amp;ROUND(U$13*1440,0))-7))))</f>
        <v/>
      </c>
      <c r="V14" s="25" t="str">
        <f aca="false">IF(V$13="","",IF(COUNTIFS(Buchungen!$D$8:$D$127,$A14,Buchungen!$B$8:$B$127,$B$6,Buchungen!$N$8:$N$127,"&lt;&gt;Storniert",Buchungen!$S$8:$S$127,"&lt;"&amp;(ROUND(V$13*1440,0)+$B$9),Buchungen!$T$8:$T$127,"&gt;"&amp;ROUND(V$13*1440,0))=0,"",IF(COUNTIFS(Buchungen!$D$8:$D$127,$A14,Buchungen!$B$8:$B$127,$B$6,Buchungen!$N$8:$N$127,"&lt;&gt;Storniert",Buchungen!$S$8:$S$127,"&lt;"&amp;(ROUND(V$13*1440,0)+$B$9),Buchungen!$T$8:$T$127,"&gt;"&amp;ROUND(V$13*1440,0))&gt;1,"!",INDEX(Buchungen!$P$8:$P$127,SUMIFS(Buchungen!$R$8:$R$127,Buchungen!$D$8:$D$127,$A14,Buchungen!$B$8:$B$127,$B$6,Buchungen!$N$8:$N$127,"&lt;&gt;Storniert",Buchungen!$S$8:$S$127,"&lt;"&amp;(ROUND(V$13*1440,0)+$B$9),Buchungen!$T$8:$T$127,"&gt;"&amp;ROUND(V$13*1440,0))-7))))</f>
        <v/>
      </c>
      <c r="W14" s="25" t="str">
        <f aca="false">IF(W$13="","",IF(COUNTIFS(Buchungen!$D$8:$D$127,$A14,Buchungen!$B$8:$B$127,$B$6,Buchungen!$N$8:$N$127,"&lt;&gt;Storniert",Buchungen!$S$8:$S$127,"&lt;"&amp;(ROUND(W$13*1440,0)+$B$9),Buchungen!$T$8:$T$127,"&gt;"&amp;ROUND(W$13*1440,0))=0,"",IF(COUNTIFS(Buchungen!$D$8:$D$127,$A14,Buchungen!$B$8:$B$127,$B$6,Buchungen!$N$8:$N$127,"&lt;&gt;Storniert",Buchungen!$S$8:$S$127,"&lt;"&amp;(ROUND(W$13*1440,0)+$B$9),Buchungen!$T$8:$T$127,"&gt;"&amp;ROUND(W$13*1440,0))&gt;1,"!",INDEX(Buchungen!$P$8:$P$127,SUMIFS(Buchungen!$R$8:$R$127,Buchungen!$D$8:$D$127,$A14,Buchungen!$B$8:$B$127,$B$6,Buchungen!$N$8:$N$127,"&lt;&gt;Storniert",Buchungen!$S$8:$S$127,"&lt;"&amp;(ROUND(W$13*1440,0)+$B$9),Buchungen!$T$8:$T$127,"&gt;"&amp;ROUND(W$13*1440,0))-7))))</f>
        <v/>
      </c>
      <c r="X14" s="25" t="str">
        <f aca="false">IF(X$13="","",IF(COUNTIFS(Buchungen!$D$8:$D$127,$A14,Buchungen!$B$8:$B$127,$B$6,Buchungen!$N$8:$N$127,"&lt;&gt;Storniert",Buchungen!$S$8:$S$127,"&lt;"&amp;(ROUND(X$13*1440,0)+$B$9),Buchungen!$T$8:$T$127,"&gt;"&amp;ROUND(X$13*1440,0))=0,"",IF(COUNTIFS(Buchungen!$D$8:$D$127,$A14,Buchungen!$B$8:$B$127,$B$6,Buchungen!$N$8:$N$127,"&lt;&gt;Storniert",Buchungen!$S$8:$S$127,"&lt;"&amp;(ROUND(X$13*1440,0)+$B$9),Buchungen!$T$8:$T$127,"&gt;"&amp;ROUND(X$13*1440,0))&gt;1,"!",INDEX(Buchungen!$P$8:$P$127,SUMIFS(Buchungen!$R$8:$R$127,Buchungen!$D$8:$D$127,$A14,Buchungen!$B$8:$B$127,$B$6,Buchungen!$N$8:$N$127,"&lt;&gt;Storniert",Buchungen!$S$8:$S$127,"&lt;"&amp;(ROUND(X$13*1440,0)+$B$9),Buchungen!$T$8:$T$127,"&gt;"&amp;ROUND(X$13*1440,0))-7))))</f>
        <v/>
      </c>
      <c r="Y14" s="25" t="str">
        <f aca="false">IF(Y$13="","",IF(COUNTIFS(Buchungen!$D$8:$D$127,$A14,Buchungen!$B$8:$B$127,$B$6,Buchungen!$N$8:$N$127,"&lt;&gt;Storniert",Buchungen!$S$8:$S$127,"&lt;"&amp;(ROUND(Y$13*1440,0)+$B$9),Buchungen!$T$8:$T$127,"&gt;"&amp;ROUND(Y$13*1440,0))=0,"",IF(COUNTIFS(Buchungen!$D$8:$D$127,$A14,Buchungen!$B$8:$B$127,$B$6,Buchungen!$N$8:$N$127,"&lt;&gt;Storniert",Buchungen!$S$8:$S$127,"&lt;"&amp;(ROUND(Y$13*1440,0)+$B$9),Buchungen!$T$8:$T$127,"&gt;"&amp;ROUND(Y$13*1440,0))&gt;1,"!",INDEX(Buchungen!$P$8:$P$127,SUMIFS(Buchungen!$R$8:$R$127,Buchungen!$D$8:$D$127,$A14,Buchungen!$B$8:$B$127,$B$6,Buchungen!$N$8:$N$127,"&lt;&gt;Storniert",Buchungen!$S$8:$S$127,"&lt;"&amp;(ROUND(Y$13*1440,0)+$B$9),Buchungen!$T$8:$T$127,"&gt;"&amp;ROUND(Y$13*1440,0))-7))))</f>
        <v/>
      </c>
      <c r="Z14" s="25" t="str">
        <f aca="false">IF(Z$13="","",IF(COUNTIFS(Buchungen!$D$8:$D$127,$A14,Buchungen!$B$8:$B$127,$B$6,Buchungen!$N$8:$N$127,"&lt;&gt;Storniert",Buchungen!$S$8:$S$127,"&lt;"&amp;(ROUND(Z$13*1440,0)+$B$9),Buchungen!$T$8:$T$127,"&gt;"&amp;ROUND(Z$13*1440,0))=0,"",IF(COUNTIFS(Buchungen!$D$8:$D$127,$A14,Buchungen!$B$8:$B$127,$B$6,Buchungen!$N$8:$N$127,"&lt;&gt;Storniert",Buchungen!$S$8:$S$127,"&lt;"&amp;(ROUND(Z$13*1440,0)+$B$9),Buchungen!$T$8:$T$127,"&gt;"&amp;ROUND(Z$13*1440,0))&gt;1,"!",INDEX(Buchungen!$P$8:$P$127,SUMIFS(Buchungen!$R$8:$R$127,Buchungen!$D$8:$D$127,$A14,Buchungen!$B$8:$B$127,$B$6,Buchungen!$N$8:$N$127,"&lt;&gt;Storniert",Buchungen!$S$8:$S$127,"&lt;"&amp;(ROUND(Z$13*1440,0)+$B$9),Buchungen!$T$8:$T$127,"&gt;"&amp;ROUND(Z$13*1440,0))-7))))</f>
        <v/>
      </c>
      <c r="AA14" s="25" t="str">
        <f aca="false">IF(AA$13="","",IF(COUNTIFS(Buchungen!$D$8:$D$127,$A14,Buchungen!$B$8:$B$127,$B$6,Buchungen!$N$8:$N$127,"&lt;&gt;Storniert",Buchungen!$S$8:$S$127,"&lt;"&amp;(ROUND(AA$13*1440,0)+$B$9),Buchungen!$T$8:$T$127,"&gt;"&amp;ROUND(AA$13*1440,0))=0,"",IF(COUNTIFS(Buchungen!$D$8:$D$127,$A14,Buchungen!$B$8:$B$127,$B$6,Buchungen!$N$8:$N$127,"&lt;&gt;Storniert",Buchungen!$S$8:$S$127,"&lt;"&amp;(ROUND(AA$13*1440,0)+$B$9),Buchungen!$T$8:$T$127,"&gt;"&amp;ROUND(AA$13*1440,0))&gt;1,"!",INDEX(Buchungen!$P$8:$P$127,SUMIFS(Buchungen!$R$8:$R$127,Buchungen!$D$8:$D$127,$A14,Buchungen!$B$8:$B$127,$B$6,Buchungen!$N$8:$N$127,"&lt;&gt;Storniert",Buchungen!$S$8:$S$127,"&lt;"&amp;(ROUND(AA$13*1440,0)+$B$9),Buchungen!$T$8:$T$127,"&gt;"&amp;ROUND(AA$13*1440,0))-7))))</f>
        <v/>
      </c>
      <c r="AB14" s="25" t="str">
        <f aca="false">IF(AB$13="","",IF(COUNTIFS(Buchungen!$D$8:$D$127,$A14,Buchungen!$B$8:$B$127,$B$6,Buchungen!$N$8:$N$127,"&lt;&gt;Storniert",Buchungen!$S$8:$S$127,"&lt;"&amp;(ROUND(AB$13*1440,0)+$B$9),Buchungen!$T$8:$T$127,"&gt;"&amp;ROUND(AB$13*1440,0))=0,"",IF(COUNTIFS(Buchungen!$D$8:$D$127,$A14,Buchungen!$B$8:$B$127,$B$6,Buchungen!$N$8:$N$127,"&lt;&gt;Storniert",Buchungen!$S$8:$S$127,"&lt;"&amp;(ROUND(AB$13*1440,0)+$B$9),Buchungen!$T$8:$T$127,"&gt;"&amp;ROUND(AB$13*1440,0))&gt;1,"!",INDEX(Buchungen!$P$8:$P$127,SUMIFS(Buchungen!$R$8:$R$127,Buchungen!$D$8:$D$127,$A14,Buchungen!$B$8:$B$127,$B$6,Buchungen!$N$8:$N$127,"&lt;&gt;Storniert",Buchungen!$S$8:$S$127,"&lt;"&amp;(ROUND(AB$13*1440,0)+$B$9),Buchungen!$T$8:$T$127,"&gt;"&amp;ROUND(AB$13*1440,0))-7))))</f>
        <v/>
      </c>
      <c r="AC14" s="26" t="n">
        <f aca="false">IF($A14="","",SUMIFS(Buchungen!$I$8:$I$127,Buchungen!$D$8:$D$127,$A14,Buchungen!$B$8:$B$127,$B$6,Buchungen!$N$8:$N$127,"&lt;&gt;Storniert"))</f>
        <v>4</v>
      </c>
      <c r="AD14" s="27" t="n">
        <f aca="false">IF($A14="","",IFERROR($AC14/($B$10*$B$9/60),0))</f>
        <v>0.307692307692308</v>
      </c>
      <c r="AE14" s="27" t="n">
        <f aca="false">IF($A14="","",IFERROR(AVERAGEIFS(Buchungen!$K$8:$K$127,Buchungen!$D$8:$D$127,$A14,Buchungen!$B$8:$B$127,$B$6,Buchungen!$N$8:$N$127,"Bestätigt")/Stammdaten!$D8,0))</f>
        <v>0.5</v>
      </c>
    </row>
    <row r="15" customFormat="false" ht="16.5" hidden="false" customHeight="true" outlineLevel="0" collapsed="false">
      <c r="A15" s="28" t="str">
        <f aca="false">IF(OR(Stammdaten!$A9="",Stammdaten!$F9="Nein"),"",Stammdaten!$A9)</f>
        <v>R-02</v>
      </c>
      <c r="B15" s="29" t="str">
        <f aca="false">IF($A15="","",Stammdaten!$B9&amp;"  ("&amp;Stammdaten!$D9&amp;" Plätze)")</f>
        <v>Besprechungsraum 2  (8 Plätze)</v>
      </c>
      <c r="C15" s="30" t="str">
        <f aca="false">IF(C$13="","",IF(COUNTIFS(Buchungen!$D$8:$D$127,$A15,Buchungen!$B$8:$B$127,$B$6,Buchungen!$N$8:$N$127,"&lt;&gt;Storniert",Buchungen!$S$8:$S$127,"&lt;"&amp;(ROUND(C$13*1440,0)+$B$9),Buchungen!$T$8:$T$127,"&gt;"&amp;ROUND(C$13*1440,0))=0,"",IF(COUNTIFS(Buchungen!$D$8:$D$127,$A15,Buchungen!$B$8:$B$127,$B$6,Buchungen!$N$8:$N$127,"&lt;&gt;Storniert",Buchungen!$S$8:$S$127,"&lt;"&amp;(ROUND(C$13*1440,0)+$B$9),Buchungen!$T$8:$T$127,"&gt;"&amp;ROUND(C$13*1440,0))&gt;1,"!",INDEX(Buchungen!$P$8:$P$127,SUMIFS(Buchungen!$R$8:$R$127,Buchungen!$D$8:$D$127,$A15,Buchungen!$B$8:$B$127,$B$6,Buchungen!$N$8:$N$127,"&lt;&gt;Storniert",Buchungen!$S$8:$S$127,"&lt;"&amp;(ROUND(C$13*1440,0)+$B$9),Buchungen!$T$8:$T$127,"&gt;"&amp;ROUND(C$13*1440,0))-7))))</f>
        <v/>
      </c>
      <c r="D15" s="30" t="str">
        <f aca="false">IF(D$13="","",IF(COUNTIFS(Buchungen!$D$8:$D$127,$A15,Buchungen!$B$8:$B$127,$B$6,Buchungen!$N$8:$N$127,"&lt;&gt;Storniert",Buchungen!$S$8:$S$127,"&lt;"&amp;(ROUND(D$13*1440,0)+$B$9),Buchungen!$T$8:$T$127,"&gt;"&amp;ROUND(D$13*1440,0))=0,"",IF(COUNTIFS(Buchungen!$D$8:$D$127,$A15,Buchungen!$B$8:$B$127,$B$6,Buchungen!$N$8:$N$127,"&lt;&gt;Storniert",Buchungen!$S$8:$S$127,"&lt;"&amp;(ROUND(D$13*1440,0)+$B$9),Buchungen!$T$8:$T$127,"&gt;"&amp;ROUND(D$13*1440,0))&gt;1,"!",INDEX(Buchungen!$P$8:$P$127,SUMIFS(Buchungen!$R$8:$R$127,Buchungen!$D$8:$D$127,$A15,Buchungen!$B$8:$B$127,$B$6,Buchungen!$N$8:$N$127,"&lt;&gt;Storniert",Buchungen!$S$8:$S$127,"&lt;"&amp;(ROUND(D$13*1440,0)+$B$9),Buchungen!$T$8:$T$127,"&gt;"&amp;ROUND(D$13*1440,0))-7))))</f>
        <v/>
      </c>
      <c r="E15" s="30" t="str">
        <f aca="false">IF(E$13="","",IF(COUNTIFS(Buchungen!$D$8:$D$127,$A15,Buchungen!$B$8:$B$127,$B$6,Buchungen!$N$8:$N$127,"&lt;&gt;Storniert",Buchungen!$S$8:$S$127,"&lt;"&amp;(ROUND(E$13*1440,0)+$B$9),Buchungen!$T$8:$T$127,"&gt;"&amp;ROUND(E$13*1440,0))=0,"",IF(COUNTIFS(Buchungen!$D$8:$D$127,$A15,Buchungen!$B$8:$B$127,$B$6,Buchungen!$N$8:$N$127,"&lt;&gt;Storniert",Buchungen!$S$8:$S$127,"&lt;"&amp;(ROUND(E$13*1440,0)+$B$9),Buchungen!$T$8:$T$127,"&gt;"&amp;ROUND(E$13*1440,0))&gt;1,"!",INDEX(Buchungen!$P$8:$P$127,SUMIFS(Buchungen!$R$8:$R$127,Buchungen!$D$8:$D$127,$A15,Buchungen!$B$8:$B$127,$B$6,Buchungen!$N$8:$N$127,"&lt;&gt;Storniert",Buchungen!$S$8:$S$127,"&lt;"&amp;(ROUND(E$13*1440,0)+$B$9),Buchungen!$T$8:$T$127,"&gt;"&amp;ROUND(E$13*1440,0))-7))))</f>
        <v>INFO</v>
      </c>
      <c r="F15" s="30" t="str">
        <f aca="false">IF(F$13="","",IF(COUNTIFS(Buchungen!$D$8:$D$127,$A15,Buchungen!$B$8:$B$127,$B$6,Buchungen!$N$8:$N$127,"&lt;&gt;Storniert",Buchungen!$S$8:$S$127,"&lt;"&amp;(ROUND(F$13*1440,0)+$B$9),Buchungen!$T$8:$T$127,"&gt;"&amp;ROUND(F$13*1440,0))=0,"",IF(COUNTIFS(Buchungen!$D$8:$D$127,$A15,Buchungen!$B$8:$B$127,$B$6,Buchungen!$N$8:$N$127,"&lt;&gt;Storniert",Buchungen!$S$8:$S$127,"&lt;"&amp;(ROUND(F$13*1440,0)+$B$9),Buchungen!$T$8:$T$127,"&gt;"&amp;ROUND(F$13*1440,0))&gt;1,"!",INDEX(Buchungen!$P$8:$P$127,SUMIFS(Buchungen!$R$8:$R$127,Buchungen!$D$8:$D$127,$A15,Buchungen!$B$8:$B$127,$B$6,Buchungen!$N$8:$N$127,"&lt;&gt;Storniert",Buchungen!$S$8:$S$127,"&lt;"&amp;(ROUND(F$13*1440,0)+$B$9),Buchungen!$T$8:$T$127,"&gt;"&amp;ROUND(F$13*1440,0))-7))))</f>
        <v>INFO</v>
      </c>
      <c r="G15" s="30" t="str">
        <f aca="false">IF(G$13="","",IF(COUNTIFS(Buchungen!$D$8:$D$127,$A15,Buchungen!$B$8:$B$127,$B$6,Buchungen!$N$8:$N$127,"&lt;&gt;Storniert",Buchungen!$S$8:$S$127,"&lt;"&amp;(ROUND(G$13*1440,0)+$B$9),Buchungen!$T$8:$T$127,"&gt;"&amp;ROUND(G$13*1440,0))=0,"",IF(COUNTIFS(Buchungen!$D$8:$D$127,$A15,Buchungen!$B$8:$B$127,$B$6,Buchungen!$N$8:$N$127,"&lt;&gt;Storniert",Buchungen!$S$8:$S$127,"&lt;"&amp;(ROUND(G$13*1440,0)+$B$9),Buchungen!$T$8:$T$127,"&gt;"&amp;ROUND(G$13*1440,0))&gt;1,"!",INDEX(Buchungen!$P$8:$P$127,SUMIFS(Buchungen!$R$8:$R$127,Buchungen!$D$8:$D$127,$A15,Buchungen!$B$8:$B$127,$B$6,Buchungen!$N$8:$N$127,"&lt;&gt;Storniert",Buchungen!$S$8:$S$127,"&lt;"&amp;(ROUND(G$13*1440,0)+$B$9),Buchungen!$T$8:$T$127,"&gt;"&amp;ROUND(G$13*1440,0))-7))))</f>
        <v/>
      </c>
      <c r="H15" s="30" t="str">
        <f aca="false">IF(H$13="","",IF(COUNTIFS(Buchungen!$D$8:$D$127,$A15,Buchungen!$B$8:$B$127,$B$6,Buchungen!$N$8:$N$127,"&lt;&gt;Storniert",Buchungen!$S$8:$S$127,"&lt;"&amp;(ROUND(H$13*1440,0)+$B$9),Buchungen!$T$8:$T$127,"&gt;"&amp;ROUND(H$13*1440,0))=0,"",IF(COUNTIFS(Buchungen!$D$8:$D$127,$A15,Buchungen!$B$8:$B$127,$B$6,Buchungen!$N$8:$N$127,"&lt;&gt;Storniert",Buchungen!$S$8:$S$127,"&lt;"&amp;(ROUND(H$13*1440,0)+$B$9),Buchungen!$T$8:$T$127,"&gt;"&amp;ROUND(H$13*1440,0))&gt;1,"!",INDEX(Buchungen!$P$8:$P$127,SUMIFS(Buchungen!$R$8:$R$127,Buchungen!$D$8:$D$127,$A15,Buchungen!$B$8:$B$127,$B$6,Buchungen!$N$8:$N$127,"&lt;&gt;Storniert",Buchungen!$S$8:$S$127,"&lt;"&amp;(ROUND(H$13*1440,0)+$B$9),Buchungen!$T$8:$T$127,"&gt;"&amp;ROUND(H$13*1440,0))-7))))</f>
        <v/>
      </c>
      <c r="I15" s="30" t="str">
        <f aca="false">IF(I$13="","",IF(COUNTIFS(Buchungen!$D$8:$D$127,$A15,Buchungen!$B$8:$B$127,$B$6,Buchungen!$N$8:$N$127,"&lt;&gt;Storniert",Buchungen!$S$8:$S$127,"&lt;"&amp;(ROUND(I$13*1440,0)+$B$9),Buchungen!$T$8:$T$127,"&gt;"&amp;ROUND(I$13*1440,0))=0,"",IF(COUNTIFS(Buchungen!$D$8:$D$127,$A15,Buchungen!$B$8:$B$127,$B$6,Buchungen!$N$8:$N$127,"&lt;&gt;Storniert",Buchungen!$S$8:$S$127,"&lt;"&amp;(ROUND(I$13*1440,0)+$B$9),Buchungen!$T$8:$T$127,"&gt;"&amp;ROUND(I$13*1440,0))&gt;1,"!",INDEX(Buchungen!$P$8:$P$127,SUMIFS(Buchungen!$R$8:$R$127,Buchungen!$D$8:$D$127,$A15,Buchungen!$B$8:$B$127,$B$6,Buchungen!$N$8:$N$127,"&lt;&gt;Storniert",Buchungen!$S$8:$S$127,"&lt;"&amp;(ROUND(I$13*1440,0)+$B$9),Buchungen!$T$8:$T$127,"&gt;"&amp;ROUND(I$13*1440,0))-7))))</f>
        <v>BEWT</v>
      </c>
      <c r="J15" s="30" t="str">
        <f aca="false">IF(J$13="","",IF(COUNTIFS(Buchungen!$D$8:$D$127,$A15,Buchungen!$B$8:$B$127,$B$6,Buchungen!$N$8:$N$127,"&lt;&gt;Storniert",Buchungen!$S$8:$S$127,"&lt;"&amp;(ROUND(J$13*1440,0)+$B$9),Buchungen!$T$8:$T$127,"&gt;"&amp;ROUND(J$13*1440,0))=0,"",IF(COUNTIFS(Buchungen!$D$8:$D$127,$A15,Buchungen!$B$8:$B$127,$B$6,Buchungen!$N$8:$N$127,"&lt;&gt;Storniert",Buchungen!$S$8:$S$127,"&lt;"&amp;(ROUND(J$13*1440,0)+$B$9),Buchungen!$T$8:$T$127,"&gt;"&amp;ROUND(J$13*1440,0))&gt;1,"!",INDEX(Buchungen!$P$8:$P$127,SUMIFS(Buchungen!$R$8:$R$127,Buchungen!$D$8:$D$127,$A15,Buchungen!$B$8:$B$127,$B$6,Buchungen!$N$8:$N$127,"&lt;&gt;Storniert",Buchungen!$S$8:$S$127,"&lt;"&amp;(ROUND(J$13*1440,0)+$B$9),Buchungen!$T$8:$T$127,"&gt;"&amp;ROUND(J$13*1440,0))-7))))</f>
        <v>BEWT</v>
      </c>
      <c r="K15" s="30" t="str">
        <f aca="false">IF(K$13="","",IF(COUNTIFS(Buchungen!$D$8:$D$127,$A15,Buchungen!$B$8:$B$127,$B$6,Buchungen!$N$8:$N$127,"&lt;&gt;Storniert",Buchungen!$S$8:$S$127,"&lt;"&amp;(ROUND(K$13*1440,0)+$B$9),Buchungen!$T$8:$T$127,"&gt;"&amp;ROUND(K$13*1440,0))=0,"",IF(COUNTIFS(Buchungen!$D$8:$D$127,$A15,Buchungen!$B$8:$B$127,$B$6,Buchungen!$N$8:$N$127,"&lt;&gt;Storniert",Buchungen!$S$8:$S$127,"&lt;"&amp;(ROUND(K$13*1440,0)+$B$9),Buchungen!$T$8:$T$127,"&gt;"&amp;ROUND(K$13*1440,0))&gt;1,"!",INDEX(Buchungen!$P$8:$P$127,SUMIFS(Buchungen!$R$8:$R$127,Buchungen!$D$8:$D$127,$A15,Buchungen!$B$8:$B$127,$B$6,Buchungen!$N$8:$N$127,"&lt;&gt;Storniert",Buchungen!$S$8:$S$127,"&lt;"&amp;(ROUND(K$13*1440,0)+$B$9),Buchungen!$T$8:$T$127,"&gt;"&amp;ROUND(K$13*1440,0))-7))))</f>
        <v>BEWT</v>
      </c>
      <c r="L15" s="30" t="str">
        <f aca="false">IF(L$13="","",IF(COUNTIFS(Buchungen!$D$8:$D$127,$A15,Buchungen!$B$8:$B$127,$B$6,Buchungen!$N$8:$N$127,"&lt;&gt;Storniert",Buchungen!$S$8:$S$127,"&lt;"&amp;(ROUND(L$13*1440,0)+$B$9),Buchungen!$T$8:$T$127,"&gt;"&amp;ROUND(L$13*1440,0))=0,"",IF(COUNTIFS(Buchungen!$D$8:$D$127,$A15,Buchungen!$B$8:$B$127,$B$6,Buchungen!$N$8:$N$127,"&lt;&gt;Storniert",Buchungen!$S$8:$S$127,"&lt;"&amp;(ROUND(L$13*1440,0)+$B$9),Buchungen!$T$8:$T$127,"&gt;"&amp;ROUND(L$13*1440,0))&gt;1,"!",INDEX(Buchungen!$P$8:$P$127,SUMIFS(Buchungen!$R$8:$R$127,Buchungen!$D$8:$D$127,$A15,Buchungen!$B$8:$B$127,$B$6,Buchungen!$N$8:$N$127,"&lt;&gt;Storniert",Buchungen!$S$8:$S$127,"&lt;"&amp;(ROUND(L$13*1440,0)+$B$9),Buchungen!$T$8:$T$127,"&gt;"&amp;ROUND(L$13*1440,0))-7))))</f>
        <v>BEWT</v>
      </c>
      <c r="M15" s="30" t="str">
        <f aca="false">IF(M$13="","",IF(COUNTIFS(Buchungen!$D$8:$D$127,$A15,Buchungen!$B$8:$B$127,$B$6,Buchungen!$N$8:$N$127,"&lt;&gt;Storniert",Buchungen!$S$8:$S$127,"&lt;"&amp;(ROUND(M$13*1440,0)+$B$9),Buchungen!$T$8:$T$127,"&gt;"&amp;ROUND(M$13*1440,0))=0,"",IF(COUNTIFS(Buchungen!$D$8:$D$127,$A15,Buchungen!$B$8:$B$127,$B$6,Buchungen!$N$8:$N$127,"&lt;&gt;Storniert",Buchungen!$S$8:$S$127,"&lt;"&amp;(ROUND(M$13*1440,0)+$B$9),Buchungen!$T$8:$T$127,"&gt;"&amp;ROUND(M$13*1440,0))&gt;1,"!",INDEX(Buchungen!$P$8:$P$127,SUMIFS(Buchungen!$R$8:$R$127,Buchungen!$D$8:$D$127,$A15,Buchungen!$B$8:$B$127,$B$6,Buchungen!$N$8:$N$127,"&lt;&gt;Storniert",Buchungen!$S$8:$S$127,"&lt;"&amp;(ROUND(M$13*1440,0)+$B$9),Buchungen!$T$8:$T$127,"&gt;"&amp;ROUND(M$13*1440,0))-7))))</f>
        <v/>
      </c>
      <c r="N15" s="30" t="str">
        <f aca="false">IF(N$13="","",IF(COUNTIFS(Buchungen!$D$8:$D$127,$A15,Buchungen!$B$8:$B$127,$B$6,Buchungen!$N$8:$N$127,"&lt;&gt;Storniert",Buchungen!$S$8:$S$127,"&lt;"&amp;(ROUND(N$13*1440,0)+$B$9),Buchungen!$T$8:$T$127,"&gt;"&amp;ROUND(N$13*1440,0))=0,"",IF(COUNTIFS(Buchungen!$D$8:$D$127,$A15,Buchungen!$B$8:$B$127,$B$6,Buchungen!$N$8:$N$127,"&lt;&gt;Storniert",Buchungen!$S$8:$S$127,"&lt;"&amp;(ROUND(N$13*1440,0)+$B$9),Buchungen!$T$8:$T$127,"&gt;"&amp;ROUND(N$13*1440,0))&gt;1,"!",INDEX(Buchungen!$P$8:$P$127,SUMIFS(Buchungen!$R$8:$R$127,Buchungen!$D$8:$D$127,$A15,Buchungen!$B$8:$B$127,$B$6,Buchungen!$N$8:$N$127,"&lt;&gt;Storniert",Buchungen!$S$8:$S$127,"&lt;"&amp;(ROUND(N$13*1440,0)+$B$9),Buchungen!$T$8:$T$127,"&gt;"&amp;ROUND(N$13*1440,0))-7))))</f>
        <v/>
      </c>
      <c r="O15" s="30" t="str">
        <f aca="false">IF(O$13="","",IF(COUNTIFS(Buchungen!$D$8:$D$127,$A15,Buchungen!$B$8:$B$127,$B$6,Buchungen!$N$8:$N$127,"&lt;&gt;Storniert",Buchungen!$S$8:$S$127,"&lt;"&amp;(ROUND(O$13*1440,0)+$B$9),Buchungen!$T$8:$T$127,"&gt;"&amp;ROUND(O$13*1440,0))=0,"",IF(COUNTIFS(Buchungen!$D$8:$D$127,$A15,Buchungen!$B$8:$B$127,$B$6,Buchungen!$N$8:$N$127,"&lt;&gt;Storniert",Buchungen!$S$8:$S$127,"&lt;"&amp;(ROUND(O$13*1440,0)+$B$9),Buchungen!$T$8:$T$127,"&gt;"&amp;ROUND(O$13*1440,0))&gt;1,"!",INDEX(Buchungen!$P$8:$P$127,SUMIFS(Buchungen!$R$8:$R$127,Buchungen!$D$8:$D$127,$A15,Buchungen!$B$8:$B$127,$B$6,Buchungen!$N$8:$N$127,"&lt;&gt;Storniert",Buchungen!$S$8:$S$127,"&lt;"&amp;(ROUND(O$13*1440,0)+$B$9),Buchungen!$T$8:$T$127,"&gt;"&amp;ROUND(O$13*1440,0))-7))))</f>
        <v/>
      </c>
      <c r="P15" s="30" t="str">
        <f aca="false">IF(P$13="","",IF(COUNTIFS(Buchungen!$D$8:$D$127,$A15,Buchungen!$B$8:$B$127,$B$6,Buchungen!$N$8:$N$127,"&lt;&gt;Storniert",Buchungen!$S$8:$S$127,"&lt;"&amp;(ROUND(P$13*1440,0)+$B$9),Buchungen!$T$8:$T$127,"&gt;"&amp;ROUND(P$13*1440,0))=0,"",IF(COUNTIFS(Buchungen!$D$8:$D$127,$A15,Buchungen!$B$8:$B$127,$B$6,Buchungen!$N$8:$N$127,"&lt;&gt;Storniert",Buchungen!$S$8:$S$127,"&lt;"&amp;(ROUND(P$13*1440,0)+$B$9),Buchungen!$T$8:$T$127,"&gt;"&amp;ROUND(P$13*1440,0))&gt;1,"!",INDEX(Buchungen!$P$8:$P$127,SUMIFS(Buchungen!$R$8:$R$127,Buchungen!$D$8:$D$127,$A15,Buchungen!$B$8:$B$127,$B$6,Buchungen!$N$8:$N$127,"&lt;&gt;Storniert",Buchungen!$S$8:$S$127,"&lt;"&amp;(ROUND(P$13*1440,0)+$B$9),Buchungen!$T$8:$T$127,"&gt;"&amp;ROUND(P$13*1440,0))-7))))</f>
        <v/>
      </c>
      <c r="Q15" s="30" t="str">
        <f aca="false">IF(Q$13="","",IF(COUNTIFS(Buchungen!$D$8:$D$127,$A15,Buchungen!$B$8:$B$127,$B$6,Buchungen!$N$8:$N$127,"&lt;&gt;Storniert",Buchungen!$S$8:$S$127,"&lt;"&amp;(ROUND(Q$13*1440,0)+$B$9),Buchungen!$T$8:$T$127,"&gt;"&amp;ROUND(Q$13*1440,0))=0,"",IF(COUNTIFS(Buchungen!$D$8:$D$127,$A15,Buchungen!$B$8:$B$127,$B$6,Buchungen!$N$8:$N$127,"&lt;&gt;Storniert",Buchungen!$S$8:$S$127,"&lt;"&amp;(ROUND(Q$13*1440,0)+$B$9),Buchungen!$T$8:$T$127,"&gt;"&amp;ROUND(Q$13*1440,0))&gt;1,"!",INDEX(Buchungen!$P$8:$P$127,SUMIFS(Buchungen!$R$8:$R$127,Buchungen!$D$8:$D$127,$A15,Buchungen!$B$8:$B$127,$B$6,Buchungen!$N$8:$N$127,"&lt;&gt;Storniert",Buchungen!$S$8:$S$127,"&lt;"&amp;(ROUND(Q$13*1440,0)+$B$9),Buchungen!$T$8:$T$127,"&gt;"&amp;ROUND(Q$13*1440,0))-7))))</f>
        <v/>
      </c>
      <c r="R15" s="30" t="str">
        <f aca="false">IF(R$13="","",IF(COUNTIFS(Buchungen!$D$8:$D$127,$A15,Buchungen!$B$8:$B$127,$B$6,Buchungen!$N$8:$N$127,"&lt;&gt;Storniert",Buchungen!$S$8:$S$127,"&lt;"&amp;(ROUND(R$13*1440,0)+$B$9),Buchungen!$T$8:$T$127,"&gt;"&amp;ROUND(R$13*1440,0))=0,"",IF(COUNTIFS(Buchungen!$D$8:$D$127,$A15,Buchungen!$B$8:$B$127,$B$6,Buchungen!$N$8:$N$127,"&lt;&gt;Storniert",Buchungen!$S$8:$S$127,"&lt;"&amp;(ROUND(R$13*1440,0)+$B$9),Buchungen!$T$8:$T$127,"&gt;"&amp;ROUND(R$13*1440,0))&gt;1,"!",INDEX(Buchungen!$P$8:$P$127,SUMIFS(Buchungen!$R$8:$R$127,Buchungen!$D$8:$D$127,$A15,Buchungen!$B$8:$B$127,$B$6,Buchungen!$N$8:$N$127,"&lt;&gt;Storniert",Buchungen!$S$8:$S$127,"&lt;"&amp;(ROUND(R$13*1440,0)+$B$9),Buchungen!$T$8:$T$127,"&gt;"&amp;ROUND(R$13*1440,0))-7))))</f>
        <v/>
      </c>
      <c r="S15" s="30" t="str">
        <f aca="false">IF(S$13="","",IF(COUNTIFS(Buchungen!$D$8:$D$127,$A15,Buchungen!$B$8:$B$127,$B$6,Buchungen!$N$8:$N$127,"&lt;&gt;Storniert",Buchungen!$S$8:$S$127,"&lt;"&amp;(ROUND(S$13*1440,0)+$B$9),Buchungen!$T$8:$T$127,"&gt;"&amp;ROUND(S$13*1440,0))=0,"",IF(COUNTIFS(Buchungen!$D$8:$D$127,$A15,Buchungen!$B$8:$B$127,$B$6,Buchungen!$N$8:$N$127,"&lt;&gt;Storniert",Buchungen!$S$8:$S$127,"&lt;"&amp;(ROUND(S$13*1440,0)+$B$9),Buchungen!$T$8:$T$127,"&gt;"&amp;ROUND(S$13*1440,0))&gt;1,"!",INDEX(Buchungen!$P$8:$P$127,SUMIFS(Buchungen!$R$8:$R$127,Buchungen!$D$8:$D$127,$A15,Buchungen!$B$8:$B$127,$B$6,Buchungen!$N$8:$N$127,"&lt;&gt;Storniert",Buchungen!$S$8:$S$127,"&lt;"&amp;(ROUND(S$13*1440,0)+$B$9),Buchungen!$T$8:$T$127,"&gt;"&amp;ROUND(S$13*1440,0))-7))))</f>
        <v/>
      </c>
      <c r="T15" s="30" t="str">
        <f aca="false">IF(T$13="","",IF(COUNTIFS(Buchungen!$D$8:$D$127,$A15,Buchungen!$B$8:$B$127,$B$6,Buchungen!$N$8:$N$127,"&lt;&gt;Storniert",Buchungen!$S$8:$S$127,"&lt;"&amp;(ROUND(T$13*1440,0)+$B$9),Buchungen!$T$8:$T$127,"&gt;"&amp;ROUND(T$13*1440,0))=0,"",IF(COUNTIFS(Buchungen!$D$8:$D$127,$A15,Buchungen!$B$8:$B$127,$B$6,Buchungen!$N$8:$N$127,"&lt;&gt;Storniert",Buchungen!$S$8:$S$127,"&lt;"&amp;(ROUND(T$13*1440,0)+$B$9),Buchungen!$T$8:$T$127,"&gt;"&amp;ROUND(T$13*1440,0))&gt;1,"!",INDEX(Buchungen!$P$8:$P$127,SUMIFS(Buchungen!$R$8:$R$127,Buchungen!$D$8:$D$127,$A15,Buchungen!$B$8:$B$127,$B$6,Buchungen!$N$8:$N$127,"&lt;&gt;Storniert",Buchungen!$S$8:$S$127,"&lt;"&amp;(ROUND(T$13*1440,0)+$B$9),Buchungen!$T$8:$T$127,"&gt;"&amp;ROUND(T$13*1440,0))-7))))</f>
        <v/>
      </c>
      <c r="U15" s="30" t="str">
        <f aca="false">IF(U$13="","",IF(COUNTIFS(Buchungen!$D$8:$D$127,$A15,Buchungen!$B$8:$B$127,$B$6,Buchungen!$N$8:$N$127,"&lt;&gt;Storniert",Buchungen!$S$8:$S$127,"&lt;"&amp;(ROUND(U$13*1440,0)+$B$9),Buchungen!$T$8:$T$127,"&gt;"&amp;ROUND(U$13*1440,0))=0,"",IF(COUNTIFS(Buchungen!$D$8:$D$127,$A15,Buchungen!$B$8:$B$127,$B$6,Buchungen!$N$8:$N$127,"&lt;&gt;Storniert",Buchungen!$S$8:$S$127,"&lt;"&amp;(ROUND(U$13*1440,0)+$B$9),Buchungen!$T$8:$T$127,"&gt;"&amp;ROUND(U$13*1440,0))&gt;1,"!",INDEX(Buchungen!$P$8:$P$127,SUMIFS(Buchungen!$R$8:$R$127,Buchungen!$D$8:$D$127,$A15,Buchungen!$B$8:$B$127,$B$6,Buchungen!$N$8:$N$127,"&lt;&gt;Storniert",Buchungen!$S$8:$S$127,"&lt;"&amp;(ROUND(U$13*1440,0)+$B$9),Buchungen!$T$8:$T$127,"&gt;"&amp;ROUND(U$13*1440,0))-7))))</f>
        <v/>
      </c>
      <c r="V15" s="30" t="str">
        <f aca="false">IF(V$13="","",IF(COUNTIFS(Buchungen!$D$8:$D$127,$A15,Buchungen!$B$8:$B$127,$B$6,Buchungen!$N$8:$N$127,"&lt;&gt;Storniert",Buchungen!$S$8:$S$127,"&lt;"&amp;(ROUND(V$13*1440,0)+$B$9),Buchungen!$T$8:$T$127,"&gt;"&amp;ROUND(V$13*1440,0))=0,"",IF(COUNTIFS(Buchungen!$D$8:$D$127,$A15,Buchungen!$B$8:$B$127,$B$6,Buchungen!$N$8:$N$127,"&lt;&gt;Storniert",Buchungen!$S$8:$S$127,"&lt;"&amp;(ROUND(V$13*1440,0)+$B$9),Buchungen!$T$8:$T$127,"&gt;"&amp;ROUND(V$13*1440,0))&gt;1,"!",INDEX(Buchungen!$P$8:$P$127,SUMIFS(Buchungen!$R$8:$R$127,Buchungen!$D$8:$D$127,$A15,Buchungen!$B$8:$B$127,$B$6,Buchungen!$N$8:$N$127,"&lt;&gt;Storniert",Buchungen!$S$8:$S$127,"&lt;"&amp;(ROUND(V$13*1440,0)+$B$9),Buchungen!$T$8:$T$127,"&gt;"&amp;ROUND(V$13*1440,0))-7))))</f>
        <v/>
      </c>
      <c r="W15" s="30" t="str">
        <f aca="false">IF(W$13="","",IF(COUNTIFS(Buchungen!$D$8:$D$127,$A15,Buchungen!$B$8:$B$127,$B$6,Buchungen!$N$8:$N$127,"&lt;&gt;Storniert",Buchungen!$S$8:$S$127,"&lt;"&amp;(ROUND(W$13*1440,0)+$B$9),Buchungen!$T$8:$T$127,"&gt;"&amp;ROUND(W$13*1440,0))=0,"",IF(COUNTIFS(Buchungen!$D$8:$D$127,$A15,Buchungen!$B$8:$B$127,$B$6,Buchungen!$N$8:$N$127,"&lt;&gt;Storniert",Buchungen!$S$8:$S$127,"&lt;"&amp;(ROUND(W$13*1440,0)+$B$9),Buchungen!$T$8:$T$127,"&gt;"&amp;ROUND(W$13*1440,0))&gt;1,"!",INDEX(Buchungen!$P$8:$P$127,SUMIFS(Buchungen!$R$8:$R$127,Buchungen!$D$8:$D$127,$A15,Buchungen!$B$8:$B$127,$B$6,Buchungen!$N$8:$N$127,"&lt;&gt;Storniert",Buchungen!$S$8:$S$127,"&lt;"&amp;(ROUND(W$13*1440,0)+$B$9),Buchungen!$T$8:$T$127,"&gt;"&amp;ROUND(W$13*1440,0))-7))))</f>
        <v/>
      </c>
      <c r="X15" s="30" t="str">
        <f aca="false">IF(X$13="","",IF(COUNTIFS(Buchungen!$D$8:$D$127,$A15,Buchungen!$B$8:$B$127,$B$6,Buchungen!$N$8:$N$127,"&lt;&gt;Storniert",Buchungen!$S$8:$S$127,"&lt;"&amp;(ROUND(X$13*1440,0)+$B$9),Buchungen!$T$8:$T$127,"&gt;"&amp;ROUND(X$13*1440,0))=0,"",IF(COUNTIFS(Buchungen!$D$8:$D$127,$A15,Buchungen!$B$8:$B$127,$B$6,Buchungen!$N$8:$N$127,"&lt;&gt;Storniert",Buchungen!$S$8:$S$127,"&lt;"&amp;(ROUND(X$13*1440,0)+$B$9),Buchungen!$T$8:$T$127,"&gt;"&amp;ROUND(X$13*1440,0))&gt;1,"!",INDEX(Buchungen!$P$8:$P$127,SUMIFS(Buchungen!$R$8:$R$127,Buchungen!$D$8:$D$127,$A15,Buchungen!$B$8:$B$127,$B$6,Buchungen!$N$8:$N$127,"&lt;&gt;Storniert",Buchungen!$S$8:$S$127,"&lt;"&amp;(ROUND(X$13*1440,0)+$B$9),Buchungen!$T$8:$T$127,"&gt;"&amp;ROUND(X$13*1440,0))-7))))</f>
        <v/>
      </c>
      <c r="Y15" s="30" t="str">
        <f aca="false">IF(Y$13="","",IF(COUNTIFS(Buchungen!$D$8:$D$127,$A15,Buchungen!$B$8:$B$127,$B$6,Buchungen!$N$8:$N$127,"&lt;&gt;Storniert",Buchungen!$S$8:$S$127,"&lt;"&amp;(ROUND(Y$13*1440,0)+$B$9),Buchungen!$T$8:$T$127,"&gt;"&amp;ROUND(Y$13*1440,0))=0,"",IF(COUNTIFS(Buchungen!$D$8:$D$127,$A15,Buchungen!$B$8:$B$127,$B$6,Buchungen!$N$8:$N$127,"&lt;&gt;Storniert",Buchungen!$S$8:$S$127,"&lt;"&amp;(ROUND(Y$13*1440,0)+$B$9),Buchungen!$T$8:$T$127,"&gt;"&amp;ROUND(Y$13*1440,0))&gt;1,"!",INDEX(Buchungen!$P$8:$P$127,SUMIFS(Buchungen!$R$8:$R$127,Buchungen!$D$8:$D$127,$A15,Buchungen!$B$8:$B$127,$B$6,Buchungen!$N$8:$N$127,"&lt;&gt;Storniert",Buchungen!$S$8:$S$127,"&lt;"&amp;(ROUND(Y$13*1440,0)+$B$9),Buchungen!$T$8:$T$127,"&gt;"&amp;ROUND(Y$13*1440,0))-7))))</f>
        <v/>
      </c>
      <c r="Z15" s="30" t="str">
        <f aca="false">IF(Z$13="","",IF(COUNTIFS(Buchungen!$D$8:$D$127,$A15,Buchungen!$B$8:$B$127,$B$6,Buchungen!$N$8:$N$127,"&lt;&gt;Storniert",Buchungen!$S$8:$S$127,"&lt;"&amp;(ROUND(Z$13*1440,0)+$B$9),Buchungen!$T$8:$T$127,"&gt;"&amp;ROUND(Z$13*1440,0))=0,"",IF(COUNTIFS(Buchungen!$D$8:$D$127,$A15,Buchungen!$B$8:$B$127,$B$6,Buchungen!$N$8:$N$127,"&lt;&gt;Storniert",Buchungen!$S$8:$S$127,"&lt;"&amp;(ROUND(Z$13*1440,0)+$B$9),Buchungen!$T$8:$T$127,"&gt;"&amp;ROUND(Z$13*1440,0))&gt;1,"!",INDEX(Buchungen!$P$8:$P$127,SUMIFS(Buchungen!$R$8:$R$127,Buchungen!$D$8:$D$127,$A15,Buchungen!$B$8:$B$127,$B$6,Buchungen!$N$8:$N$127,"&lt;&gt;Storniert",Buchungen!$S$8:$S$127,"&lt;"&amp;(ROUND(Z$13*1440,0)+$B$9),Buchungen!$T$8:$T$127,"&gt;"&amp;ROUND(Z$13*1440,0))-7))))</f>
        <v/>
      </c>
      <c r="AA15" s="30" t="str">
        <f aca="false">IF(AA$13="","",IF(COUNTIFS(Buchungen!$D$8:$D$127,$A15,Buchungen!$B$8:$B$127,$B$6,Buchungen!$N$8:$N$127,"&lt;&gt;Storniert",Buchungen!$S$8:$S$127,"&lt;"&amp;(ROUND(AA$13*1440,0)+$B$9),Buchungen!$T$8:$T$127,"&gt;"&amp;ROUND(AA$13*1440,0))=0,"",IF(COUNTIFS(Buchungen!$D$8:$D$127,$A15,Buchungen!$B$8:$B$127,$B$6,Buchungen!$N$8:$N$127,"&lt;&gt;Storniert",Buchungen!$S$8:$S$127,"&lt;"&amp;(ROUND(AA$13*1440,0)+$B$9),Buchungen!$T$8:$T$127,"&gt;"&amp;ROUND(AA$13*1440,0))&gt;1,"!",INDEX(Buchungen!$P$8:$P$127,SUMIFS(Buchungen!$R$8:$R$127,Buchungen!$D$8:$D$127,$A15,Buchungen!$B$8:$B$127,$B$6,Buchungen!$N$8:$N$127,"&lt;&gt;Storniert",Buchungen!$S$8:$S$127,"&lt;"&amp;(ROUND(AA$13*1440,0)+$B$9),Buchungen!$T$8:$T$127,"&gt;"&amp;ROUND(AA$13*1440,0))-7))))</f>
        <v/>
      </c>
      <c r="AB15" s="30" t="str">
        <f aca="false">IF(AB$13="","",IF(COUNTIFS(Buchungen!$D$8:$D$127,$A15,Buchungen!$B$8:$B$127,$B$6,Buchungen!$N$8:$N$127,"&lt;&gt;Storniert",Buchungen!$S$8:$S$127,"&lt;"&amp;(ROUND(AB$13*1440,0)+$B$9),Buchungen!$T$8:$T$127,"&gt;"&amp;ROUND(AB$13*1440,0))=0,"",IF(COUNTIFS(Buchungen!$D$8:$D$127,$A15,Buchungen!$B$8:$B$127,$B$6,Buchungen!$N$8:$N$127,"&lt;&gt;Storniert",Buchungen!$S$8:$S$127,"&lt;"&amp;(ROUND(AB$13*1440,0)+$B$9),Buchungen!$T$8:$T$127,"&gt;"&amp;ROUND(AB$13*1440,0))&gt;1,"!",INDEX(Buchungen!$P$8:$P$127,SUMIFS(Buchungen!$R$8:$R$127,Buchungen!$D$8:$D$127,$A15,Buchungen!$B$8:$B$127,$B$6,Buchungen!$N$8:$N$127,"&lt;&gt;Storniert",Buchungen!$S$8:$S$127,"&lt;"&amp;(ROUND(AB$13*1440,0)+$B$9),Buchungen!$T$8:$T$127,"&gt;"&amp;ROUND(AB$13*1440,0))-7))))</f>
        <v/>
      </c>
      <c r="AC15" s="31" t="n">
        <f aca="false">IF($A15="","",SUMIFS(Buchungen!$I$8:$I$127,Buchungen!$D$8:$D$127,$A15,Buchungen!$B$8:$B$127,$B$6,Buchungen!$N$8:$N$127,"&lt;&gt;Storniert"))</f>
        <v>3</v>
      </c>
      <c r="AD15" s="32" t="n">
        <f aca="false">IF($A15="","",IFERROR($AC15/($B$10*$B$9/60),0))</f>
        <v>0.230769230769231</v>
      </c>
      <c r="AE15" s="32" t="n">
        <f aca="false">IF($A15="","",IFERROR(AVERAGEIFS(Buchungen!$K$8:$K$127,Buchungen!$D$8:$D$127,$A15,Buchungen!$B$8:$B$127,$B$6,Buchungen!$N$8:$N$127,"Bestätigt")/Stammdaten!$D9,0))</f>
        <v>0.6875</v>
      </c>
    </row>
    <row r="16" customFormat="false" ht="16.5" hidden="false" customHeight="true" outlineLevel="0" collapsed="false">
      <c r="A16" s="23" t="str">
        <f aca="false">IF(OR(Stammdaten!$A10="",Stammdaten!$F10="Nein"),"",Stammdaten!$A10)</f>
        <v>R-03</v>
      </c>
      <c r="B16" s="24" t="str">
        <f aca="false">IF($A16="","",Stammdaten!$B10&amp;"  ("&amp;Stammdaten!$D10&amp;" Plätze)")</f>
        <v>Projektraum  (10 Plätze)</v>
      </c>
      <c r="C16" s="25" t="str">
        <f aca="false">IF(C$13="","",IF(COUNTIFS(Buchungen!$D$8:$D$127,$A16,Buchungen!$B$8:$B$127,$B$6,Buchungen!$N$8:$N$127,"&lt;&gt;Storniert",Buchungen!$S$8:$S$127,"&lt;"&amp;(ROUND(C$13*1440,0)+$B$9),Buchungen!$T$8:$T$127,"&gt;"&amp;ROUND(C$13*1440,0))=0,"",IF(COUNTIFS(Buchungen!$D$8:$D$127,$A16,Buchungen!$B$8:$B$127,$B$6,Buchungen!$N$8:$N$127,"&lt;&gt;Storniert",Buchungen!$S$8:$S$127,"&lt;"&amp;(ROUND(C$13*1440,0)+$B$9),Buchungen!$T$8:$T$127,"&gt;"&amp;ROUND(C$13*1440,0))&gt;1,"!",INDEX(Buchungen!$P$8:$P$127,SUMIFS(Buchungen!$R$8:$R$127,Buchungen!$D$8:$D$127,$A16,Buchungen!$B$8:$B$127,$B$6,Buchungen!$N$8:$N$127,"&lt;&gt;Storniert",Buchungen!$S$8:$S$127,"&lt;"&amp;(ROUND(C$13*1440,0)+$B$9),Buchungen!$T$8:$T$127,"&gt;"&amp;ROUND(C$13*1440,0))-7))))</f>
        <v/>
      </c>
      <c r="D16" s="25" t="str">
        <f aca="false">IF(D$13="","",IF(COUNTIFS(Buchungen!$D$8:$D$127,$A16,Buchungen!$B$8:$B$127,$B$6,Buchungen!$N$8:$N$127,"&lt;&gt;Storniert",Buchungen!$S$8:$S$127,"&lt;"&amp;(ROUND(D$13*1440,0)+$B$9),Buchungen!$T$8:$T$127,"&gt;"&amp;ROUND(D$13*1440,0))=0,"",IF(COUNTIFS(Buchungen!$D$8:$D$127,$A16,Buchungen!$B$8:$B$127,$B$6,Buchungen!$N$8:$N$127,"&lt;&gt;Storniert",Buchungen!$S$8:$S$127,"&lt;"&amp;(ROUND(D$13*1440,0)+$B$9),Buchungen!$T$8:$T$127,"&gt;"&amp;ROUND(D$13*1440,0))&gt;1,"!",INDEX(Buchungen!$P$8:$P$127,SUMIFS(Buchungen!$R$8:$R$127,Buchungen!$D$8:$D$127,$A16,Buchungen!$B$8:$B$127,$B$6,Buchungen!$N$8:$N$127,"&lt;&gt;Storniert",Buchungen!$S$8:$S$127,"&lt;"&amp;(ROUND(D$13*1440,0)+$B$9),Buchungen!$T$8:$T$127,"&gt;"&amp;ROUND(D$13*1440,0))-7))))</f>
        <v>SCHU</v>
      </c>
      <c r="E16" s="25" t="str">
        <f aca="false">IF(E$13="","",IF(COUNTIFS(Buchungen!$D$8:$D$127,$A16,Buchungen!$B$8:$B$127,$B$6,Buchungen!$N$8:$N$127,"&lt;&gt;Storniert",Buchungen!$S$8:$S$127,"&lt;"&amp;(ROUND(E$13*1440,0)+$B$9),Buchungen!$T$8:$T$127,"&gt;"&amp;ROUND(E$13*1440,0))=0,"",IF(COUNTIFS(Buchungen!$D$8:$D$127,$A16,Buchungen!$B$8:$B$127,$B$6,Buchungen!$N$8:$N$127,"&lt;&gt;Storniert",Buchungen!$S$8:$S$127,"&lt;"&amp;(ROUND(E$13*1440,0)+$B$9),Buchungen!$T$8:$T$127,"&gt;"&amp;ROUND(E$13*1440,0))&gt;1,"!",INDEX(Buchungen!$P$8:$P$127,SUMIFS(Buchungen!$R$8:$R$127,Buchungen!$D$8:$D$127,$A16,Buchungen!$B$8:$B$127,$B$6,Buchungen!$N$8:$N$127,"&lt;&gt;Storniert",Buchungen!$S$8:$S$127,"&lt;"&amp;(ROUND(E$13*1440,0)+$B$9),Buchungen!$T$8:$T$127,"&gt;"&amp;ROUND(E$13*1440,0))-7))))</f>
        <v>SCHU</v>
      </c>
      <c r="F16" s="25" t="str">
        <f aca="false">IF(F$13="","",IF(COUNTIFS(Buchungen!$D$8:$D$127,$A16,Buchungen!$B$8:$B$127,$B$6,Buchungen!$N$8:$N$127,"&lt;&gt;Storniert",Buchungen!$S$8:$S$127,"&lt;"&amp;(ROUND(F$13*1440,0)+$B$9),Buchungen!$T$8:$T$127,"&gt;"&amp;ROUND(F$13*1440,0))=0,"",IF(COUNTIFS(Buchungen!$D$8:$D$127,$A16,Buchungen!$B$8:$B$127,$B$6,Buchungen!$N$8:$N$127,"&lt;&gt;Storniert",Buchungen!$S$8:$S$127,"&lt;"&amp;(ROUND(F$13*1440,0)+$B$9),Buchungen!$T$8:$T$127,"&gt;"&amp;ROUND(F$13*1440,0))&gt;1,"!",INDEX(Buchungen!$P$8:$P$127,SUMIFS(Buchungen!$R$8:$R$127,Buchungen!$D$8:$D$127,$A16,Buchungen!$B$8:$B$127,$B$6,Buchungen!$N$8:$N$127,"&lt;&gt;Storniert",Buchungen!$S$8:$S$127,"&lt;"&amp;(ROUND(F$13*1440,0)+$B$9),Buchungen!$T$8:$T$127,"&gt;"&amp;ROUND(F$13*1440,0))-7))))</f>
        <v/>
      </c>
      <c r="G16" s="25" t="str">
        <f aca="false">IF(G$13="","",IF(COUNTIFS(Buchungen!$D$8:$D$127,$A16,Buchungen!$B$8:$B$127,$B$6,Buchungen!$N$8:$N$127,"&lt;&gt;Storniert",Buchungen!$S$8:$S$127,"&lt;"&amp;(ROUND(G$13*1440,0)+$B$9),Buchungen!$T$8:$T$127,"&gt;"&amp;ROUND(G$13*1440,0))=0,"",IF(COUNTIFS(Buchungen!$D$8:$D$127,$A16,Buchungen!$B$8:$B$127,$B$6,Buchungen!$N$8:$N$127,"&lt;&gt;Storniert",Buchungen!$S$8:$S$127,"&lt;"&amp;(ROUND(G$13*1440,0)+$B$9),Buchungen!$T$8:$T$127,"&gt;"&amp;ROUND(G$13*1440,0))&gt;1,"!",INDEX(Buchungen!$P$8:$P$127,SUMIFS(Buchungen!$R$8:$R$127,Buchungen!$D$8:$D$127,$A16,Buchungen!$B$8:$B$127,$B$6,Buchungen!$N$8:$N$127,"&lt;&gt;Storniert",Buchungen!$S$8:$S$127,"&lt;"&amp;(ROUND(G$13*1440,0)+$B$9),Buchungen!$T$8:$T$127,"&gt;"&amp;ROUND(G$13*1440,0))-7))))</f>
        <v/>
      </c>
      <c r="H16" s="25" t="str">
        <f aca="false">IF(H$13="","",IF(COUNTIFS(Buchungen!$D$8:$D$127,$A16,Buchungen!$B$8:$B$127,$B$6,Buchungen!$N$8:$N$127,"&lt;&gt;Storniert",Buchungen!$S$8:$S$127,"&lt;"&amp;(ROUND(H$13*1440,0)+$B$9),Buchungen!$T$8:$T$127,"&gt;"&amp;ROUND(H$13*1440,0))=0,"",IF(COUNTIFS(Buchungen!$D$8:$D$127,$A16,Buchungen!$B$8:$B$127,$B$6,Buchungen!$N$8:$N$127,"&lt;&gt;Storniert",Buchungen!$S$8:$S$127,"&lt;"&amp;(ROUND(H$13*1440,0)+$B$9),Buchungen!$T$8:$T$127,"&gt;"&amp;ROUND(H$13*1440,0))&gt;1,"!",INDEX(Buchungen!$P$8:$P$127,SUMIFS(Buchungen!$R$8:$R$127,Buchungen!$D$8:$D$127,$A16,Buchungen!$B$8:$B$127,$B$6,Buchungen!$N$8:$N$127,"&lt;&gt;Storniert",Buchungen!$S$8:$S$127,"&lt;"&amp;(ROUND(H$13*1440,0)+$B$9),Buchungen!$T$8:$T$127,"&gt;"&amp;ROUND(H$13*1440,0))-7))))</f>
        <v/>
      </c>
      <c r="I16" s="25" t="str">
        <f aca="false">IF(I$13="","",IF(COUNTIFS(Buchungen!$D$8:$D$127,$A16,Buchungen!$B$8:$B$127,$B$6,Buchungen!$N$8:$N$127,"&lt;&gt;Storniert",Buchungen!$S$8:$S$127,"&lt;"&amp;(ROUND(I$13*1440,0)+$B$9),Buchungen!$T$8:$T$127,"&gt;"&amp;ROUND(I$13*1440,0))=0,"",IF(COUNTIFS(Buchungen!$D$8:$D$127,$A16,Buchungen!$B$8:$B$127,$B$6,Buchungen!$N$8:$N$127,"&lt;&gt;Storniert",Buchungen!$S$8:$S$127,"&lt;"&amp;(ROUND(I$13*1440,0)+$B$9),Buchungen!$T$8:$T$127,"&gt;"&amp;ROUND(I$13*1440,0))&gt;1,"!",INDEX(Buchungen!$P$8:$P$127,SUMIFS(Buchungen!$R$8:$R$127,Buchungen!$D$8:$D$127,$A16,Buchungen!$B$8:$B$127,$B$6,Buchungen!$N$8:$N$127,"&lt;&gt;Storniert",Buchungen!$S$8:$S$127,"&lt;"&amp;(ROUND(I$13*1440,0)+$B$9),Buchungen!$T$8:$T$127,"&gt;"&amp;ROUND(I$13*1440,0))-7))))</f>
        <v/>
      </c>
      <c r="J16" s="25" t="str">
        <f aca="false">IF(J$13="","",IF(COUNTIFS(Buchungen!$D$8:$D$127,$A16,Buchungen!$B$8:$B$127,$B$6,Buchungen!$N$8:$N$127,"&lt;&gt;Storniert",Buchungen!$S$8:$S$127,"&lt;"&amp;(ROUND(J$13*1440,0)+$B$9),Buchungen!$T$8:$T$127,"&gt;"&amp;ROUND(J$13*1440,0))=0,"",IF(COUNTIFS(Buchungen!$D$8:$D$127,$A16,Buchungen!$B$8:$B$127,$B$6,Buchungen!$N$8:$N$127,"&lt;&gt;Storniert",Buchungen!$S$8:$S$127,"&lt;"&amp;(ROUND(J$13*1440,0)+$B$9),Buchungen!$T$8:$T$127,"&gt;"&amp;ROUND(J$13*1440,0))&gt;1,"!",INDEX(Buchungen!$P$8:$P$127,SUMIFS(Buchungen!$R$8:$R$127,Buchungen!$D$8:$D$127,$A16,Buchungen!$B$8:$B$127,$B$6,Buchungen!$N$8:$N$127,"&lt;&gt;Storniert",Buchungen!$S$8:$S$127,"&lt;"&amp;(ROUND(J$13*1440,0)+$B$9),Buchungen!$T$8:$T$127,"&gt;"&amp;ROUND(J$13*1440,0))-7))))</f>
        <v/>
      </c>
      <c r="K16" s="25" t="str">
        <f aca="false">IF(K$13="","",IF(COUNTIFS(Buchungen!$D$8:$D$127,$A16,Buchungen!$B$8:$B$127,$B$6,Buchungen!$N$8:$N$127,"&lt;&gt;Storniert",Buchungen!$S$8:$S$127,"&lt;"&amp;(ROUND(K$13*1440,0)+$B$9),Buchungen!$T$8:$T$127,"&gt;"&amp;ROUND(K$13*1440,0))=0,"",IF(COUNTIFS(Buchungen!$D$8:$D$127,$A16,Buchungen!$B$8:$B$127,$B$6,Buchungen!$N$8:$N$127,"&lt;&gt;Storniert",Buchungen!$S$8:$S$127,"&lt;"&amp;(ROUND(K$13*1440,0)+$B$9),Buchungen!$T$8:$T$127,"&gt;"&amp;ROUND(K$13*1440,0))&gt;1,"!",INDEX(Buchungen!$P$8:$P$127,SUMIFS(Buchungen!$R$8:$R$127,Buchungen!$D$8:$D$127,$A16,Buchungen!$B$8:$B$127,$B$6,Buchungen!$N$8:$N$127,"&lt;&gt;Storniert",Buchungen!$S$8:$S$127,"&lt;"&amp;(ROUND(K$13*1440,0)+$B$9),Buchungen!$T$8:$T$127,"&gt;"&amp;ROUND(K$13*1440,0))-7))))</f>
        <v/>
      </c>
      <c r="L16" s="25" t="str">
        <f aca="false">IF(L$13="","",IF(COUNTIFS(Buchungen!$D$8:$D$127,$A16,Buchungen!$B$8:$B$127,$B$6,Buchungen!$N$8:$N$127,"&lt;&gt;Storniert",Buchungen!$S$8:$S$127,"&lt;"&amp;(ROUND(L$13*1440,0)+$B$9),Buchungen!$T$8:$T$127,"&gt;"&amp;ROUND(L$13*1440,0))=0,"",IF(COUNTIFS(Buchungen!$D$8:$D$127,$A16,Buchungen!$B$8:$B$127,$B$6,Buchungen!$N$8:$N$127,"&lt;&gt;Storniert",Buchungen!$S$8:$S$127,"&lt;"&amp;(ROUND(L$13*1440,0)+$B$9),Buchungen!$T$8:$T$127,"&gt;"&amp;ROUND(L$13*1440,0))&gt;1,"!",INDEX(Buchungen!$P$8:$P$127,SUMIFS(Buchungen!$R$8:$R$127,Buchungen!$D$8:$D$127,$A16,Buchungen!$B$8:$B$127,$B$6,Buchungen!$N$8:$N$127,"&lt;&gt;Storniert",Buchungen!$S$8:$S$127,"&lt;"&amp;(ROUND(L$13*1440,0)+$B$9),Buchungen!$T$8:$T$127,"&gt;"&amp;ROUND(L$13*1440,0))-7))))</f>
        <v/>
      </c>
      <c r="M16" s="25" t="str">
        <f aca="false">IF(M$13="","",IF(COUNTIFS(Buchungen!$D$8:$D$127,$A16,Buchungen!$B$8:$B$127,$B$6,Buchungen!$N$8:$N$127,"&lt;&gt;Storniert",Buchungen!$S$8:$S$127,"&lt;"&amp;(ROUND(M$13*1440,0)+$B$9),Buchungen!$T$8:$T$127,"&gt;"&amp;ROUND(M$13*1440,0))=0,"",IF(COUNTIFS(Buchungen!$D$8:$D$127,$A16,Buchungen!$B$8:$B$127,$B$6,Buchungen!$N$8:$N$127,"&lt;&gt;Storniert",Buchungen!$S$8:$S$127,"&lt;"&amp;(ROUND(M$13*1440,0)+$B$9),Buchungen!$T$8:$T$127,"&gt;"&amp;ROUND(M$13*1440,0))&gt;1,"!",INDEX(Buchungen!$P$8:$P$127,SUMIFS(Buchungen!$R$8:$R$127,Buchungen!$D$8:$D$127,$A16,Buchungen!$B$8:$B$127,$B$6,Buchungen!$N$8:$N$127,"&lt;&gt;Storniert",Buchungen!$S$8:$S$127,"&lt;"&amp;(ROUND(M$13*1440,0)+$B$9),Buchungen!$T$8:$T$127,"&gt;"&amp;ROUND(M$13*1440,0))-7))))</f>
        <v/>
      </c>
      <c r="N16" s="25" t="str">
        <f aca="false">IF(N$13="","",IF(COUNTIFS(Buchungen!$D$8:$D$127,$A16,Buchungen!$B$8:$B$127,$B$6,Buchungen!$N$8:$N$127,"&lt;&gt;Storniert",Buchungen!$S$8:$S$127,"&lt;"&amp;(ROUND(N$13*1440,0)+$B$9),Buchungen!$T$8:$T$127,"&gt;"&amp;ROUND(N$13*1440,0))=0,"",IF(COUNTIFS(Buchungen!$D$8:$D$127,$A16,Buchungen!$B$8:$B$127,$B$6,Buchungen!$N$8:$N$127,"&lt;&gt;Storniert",Buchungen!$S$8:$S$127,"&lt;"&amp;(ROUND(N$13*1440,0)+$B$9),Buchungen!$T$8:$T$127,"&gt;"&amp;ROUND(N$13*1440,0))&gt;1,"!",INDEX(Buchungen!$P$8:$P$127,SUMIFS(Buchungen!$R$8:$R$127,Buchungen!$D$8:$D$127,$A16,Buchungen!$B$8:$B$127,$B$6,Buchungen!$N$8:$N$127,"&lt;&gt;Storniert",Buchungen!$S$8:$S$127,"&lt;"&amp;(ROUND(N$13*1440,0)+$B$9),Buchungen!$T$8:$T$127,"&gt;"&amp;ROUND(N$13*1440,0))-7))))</f>
        <v/>
      </c>
      <c r="O16" s="25" t="str">
        <f aca="false">IF(O$13="","",IF(COUNTIFS(Buchungen!$D$8:$D$127,$A16,Buchungen!$B$8:$B$127,$B$6,Buchungen!$N$8:$N$127,"&lt;&gt;Storniert",Buchungen!$S$8:$S$127,"&lt;"&amp;(ROUND(O$13*1440,0)+$B$9),Buchungen!$T$8:$T$127,"&gt;"&amp;ROUND(O$13*1440,0))=0,"",IF(COUNTIFS(Buchungen!$D$8:$D$127,$A16,Buchungen!$B$8:$B$127,$B$6,Buchungen!$N$8:$N$127,"&lt;&gt;Storniert",Buchungen!$S$8:$S$127,"&lt;"&amp;(ROUND(O$13*1440,0)+$B$9),Buchungen!$T$8:$T$127,"&gt;"&amp;ROUND(O$13*1440,0))&gt;1,"!",INDEX(Buchungen!$P$8:$P$127,SUMIFS(Buchungen!$R$8:$R$127,Buchungen!$D$8:$D$127,$A16,Buchungen!$B$8:$B$127,$B$6,Buchungen!$N$8:$N$127,"&lt;&gt;Storniert",Buchungen!$S$8:$S$127,"&lt;"&amp;(ROUND(O$13*1440,0)+$B$9),Buchungen!$T$8:$T$127,"&gt;"&amp;ROUND(O$13*1440,0))-7))))</f>
        <v/>
      </c>
      <c r="P16" s="25" t="str">
        <f aca="false">IF(P$13="","",IF(COUNTIFS(Buchungen!$D$8:$D$127,$A16,Buchungen!$B$8:$B$127,$B$6,Buchungen!$N$8:$N$127,"&lt;&gt;Storniert",Buchungen!$S$8:$S$127,"&lt;"&amp;(ROUND(P$13*1440,0)+$B$9),Buchungen!$T$8:$T$127,"&gt;"&amp;ROUND(P$13*1440,0))=0,"",IF(COUNTIFS(Buchungen!$D$8:$D$127,$A16,Buchungen!$B$8:$B$127,$B$6,Buchungen!$N$8:$N$127,"&lt;&gt;Storniert",Buchungen!$S$8:$S$127,"&lt;"&amp;(ROUND(P$13*1440,0)+$B$9),Buchungen!$T$8:$T$127,"&gt;"&amp;ROUND(P$13*1440,0))&gt;1,"!",INDEX(Buchungen!$P$8:$P$127,SUMIFS(Buchungen!$R$8:$R$127,Buchungen!$D$8:$D$127,$A16,Buchungen!$B$8:$B$127,$B$6,Buchungen!$N$8:$N$127,"&lt;&gt;Storniert",Buchungen!$S$8:$S$127,"&lt;"&amp;(ROUND(P$13*1440,0)+$B$9),Buchungen!$T$8:$T$127,"&gt;"&amp;ROUND(P$13*1440,0))-7))))</f>
        <v/>
      </c>
      <c r="Q16" s="25" t="str">
        <f aca="false">IF(Q$13="","",IF(COUNTIFS(Buchungen!$D$8:$D$127,$A16,Buchungen!$B$8:$B$127,$B$6,Buchungen!$N$8:$N$127,"&lt;&gt;Storniert",Buchungen!$S$8:$S$127,"&lt;"&amp;(ROUND(Q$13*1440,0)+$B$9),Buchungen!$T$8:$T$127,"&gt;"&amp;ROUND(Q$13*1440,0))=0,"",IF(COUNTIFS(Buchungen!$D$8:$D$127,$A16,Buchungen!$B$8:$B$127,$B$6,Buchungen!$N$8:$N$127,"&lt;&gt;Storniert",Buchungen!$S$8:$S$127,"&lt;"&amp;(ROUND(Q$13*1440,0)+$B$9),Buchungen!$T$8:$T$127,"&gt;"&amp;ROUND(Q$13*1440,0))&gt;1,"!",INDEX(Buchungen!$P$8:$P$127,SUMIFS(Buchungen!$R$8:$R$127,Buchungen!$D$8:$D$127,$A16,Buchungen!$B$8:$B$127,$B$6,Buchungen!$N$8:$N$127,"&lt;&gt;Storniert",Buchungen!$S$8:$S$127,"&lt;"&amp;(ROUND(Q$13*1440,0)+$B$9),Buchungen!$T$8:$T$127,"&gt;"&amp;ROUND(Q$13*1440,0))-7))))</f>
        <v/>
      </c>
      <c r="R16" s="25" t="str">
        <f aca="false">IF(R$13="","",IF(COUNTIFS(Buchungen!$D$8:$D$127,$A16,Buchungen!$B$8:$B$127,$B$6,Buchungen!$N$8:$N$127,"&lt;&gt;Storniert",Buchungen!$S$8:$S$127,"&lt;"&amp;(ROUND(R$13*1440,0)+$B$9),Buchungen!$T$8:$T$127,"&gt;"&amp;ROUND(R$13*1440,0))=0,"",IF(COUNTIFS(Buchungen!$D$8:$D$127,$A16,Buchungen!$B$8:$B$127,$B$6,Buchungen!$N$8:$N$127,"&lt;&gt;Storniert",Buchungen!$S$8:$S$127,"&lt;"&amp;(ROUND(R$13*1440,0)+$B$9),Buchungen!$T$8:$T$127,"&gt;"&amp;ROUND(R$13*1440,0))&gt;1,"!",INDEX(Buchungen!$P$8:$P$127,SUMIFS(Buchungen!$R$8:$R$127,Buchungen!$D$8:$D$127,$A16,Buchungen!$B$8:$B$127,$B$6,Buchungen!$N$8:$N$127,"&lt;&gt;Storniert",Buchungen!$S$8:$S$127,"&lt;"&amp;(ROUND(R$13*1440,0)+$B$9),Buchungen!$T$8:$T$127,"&gt;"&amp;ROUND(R$13*1440,0))-7))))</f>
        <v/>
      </c>
      <c r="S16" s="25" t="str">
        <f aca="false">IF(S$13="","",IF(COUNTIFS(Buchungen!$D$8:$D$127,$A16,Buchungen!$B$8:$B$127,$B$6,Buchungen!$N$8:$N$127,"&lt;&gt;Storniert",Buchungen!$S$8:$S$127,"&lt;"&amp;(ROUND(S$13*1440,0)+$B$9),Buchungen!$T$8:$T$127,"&gt;"&amp;ROUND(S$13*1440,0))=0,"",IF(COUNTIFS(Buchungen!$D$8:$D$127,$A16,Buchungen!$B$8:$B$127,$B$6,Buchungen!$N$8:$N$127,"&lt;&gt;Storniert",Buchungen!$S$8:$S$127,"&lt;"&amp;(ROUND(S$13*1440,0)+$B$9),Buchungen!$T$8:$T$127,"&gt;"&amp;ROUND(S$13*1440,0))&gt;1,"!",INDEX(Buchungen!$P$8:$P$127,SUMIFS(Buchungen!$R$8:$R$127,Buchungen!$D$8:$D$127,$A16,Buchungen!$B$8:$B$127,$B$6,Buchungen!$N$8:$N$127,"&lt;&gt;Storniert",Buchungen!$S$8:$S$127,"&lt;"&amp;(ROUND(S$13*1440,0)+$B$9),Buchungen!$T$8:$T$127,"&gt;"&amp;ROUND(S$13*1440,0))-7))))</f>
        <v/>
      </c>
      <c r="T16" s="25" t="str">
        <f aca="false">IF(T$13="","",IF(COUNTIFS(Buchungen!$D$8:$D$127,$A16,Buchungen!$B$8:$B$127,$B$6,Buchungen!$N$8:$N$127,"&lt;&gt;Storniert",Buchungen!$S$8:$S$127,"&lt;"&amp;(ROUND(T$13*1440,0)+$B$9),Buchungen!$T$8:$T$127,"&gt;"&amp;ROUND(T$13*1440,0))=0,"",IF(COUNTIFS(Buchungen!$D$8:$D$127,$A16,Buchungen!$B$8:$B$127,$B$6,Buchungen!$N$8:$N$127,"&lt;&gt;Storniert",Buchungen!$S$8:$S$127,"&lt;"&amp;(ROUND(T$13*1440,0)+$B$9),Buchungen!$T$8:$T$127,"&gt;"&amp;ROUND(T$13*1440,0))&gt;1,"!",INDEX(Buchungen!$P$8:$P$127,SUMIFS(Buchungen!$R$8:$R$127,Buchungen!$D$8:$D$127,$A16,Buchungen!$B$8:$B$127,$B$6,Buchungen!$N$8:$N$127,"&lt;&gt;Storniert",Buchungen!$S$8:$S$127,"&lt;"&amp;(ROUND(T$13*1440,0)+$B$9),Buchungen!$T$8:$T$127,"&gt;"&amp;ROUND(T$13*1440,0))-7))))</f>
        <v/>
      </c>
      <c r="U16" s="25" t="str">
        <f aca="false">IF(U$13="","",IF(COUNTIFS(Buchungen!$D$8:$D$127,$A16,Buchungen!$B$8:$B$127,$B$6,Buchungen!$N$8:$N$127,"&lt;&gt;Storniert",Buchungen!$S$8:$S$127,"&lt;"&amp;(ROUND(U$13*1440,0)+$B$9),Buchungen!$T$8:$T$127,"&gt;"&amp;ROUND(U$13*1440,0))=0,"",IF(COUNTIFS(Buchungen!$D$8:$D$127,$A16,Buchungen!$B$8:$B$127,$B$6,Buchungen!$N$8:$N$127,"&lt;&gt;Storniert",Buchungen!$S$8:$S$127,"&lt;"&amp;(ROUND(U$13*1440,0)+$B$9),Buchungen!$T$8:$T$127,"&gt;"&amp;ROUND(U$13*1440,0))&gt;1,"!",INDEX(Buchungen!$P$8:$P$127,SUMIFS(Buchungen!$R$8:$R$127,Buchungen!$D$8:$D$127,$A16,Buchungen!$B$8:$B$127,$B$6,Buchungen!$N$8:$N$127,"&lt;&gt;Storniert",Buchungen!$S$8:$S$127,"&lt;"&amp;(ROUND(U$13*1440,0)+$B$9),Buchungen!$T$8:$T$127,"&gt;"&amp;ROUND(U$13*1440,0))-7))))</f>
        <v/>
      </c>
      <c r="V16" s="25" t="str">
        <f aca="false">IF(V$13="","",IF(COUNTIFS(Buchungen!$D$8:$D$127,$A16,Buchungen!$B$8:$B$127,$B$6,Buchungen!$N$8:$N$127,"&lt;&gt;Storniert",Buchungen!$S$8:$S$127,"&lt;"&amp;(ROUND(V$13*1440,0)+$B$9),Buchungen!$T$8:$T$127,"&gt;"&amp;ROUND(V$13*1440,0))=0,"",IF(COUNTIFS(Buchungen!$D$8:$D$127,$A16,Buchungen!$B$8:$B$127,$B$6,Buchungen!$N$8:$N$127,"&lt;&gt;Storniert",Buchungen!$S$8:$S$127,"&lt;"&amp;(ROUND(V$13*1440,0)+$B$9),Buchungen!$T$8:$T$127,"&gt;"&amp;ROUND(V$13*1440,0))&gt;1,"!",INDEX(Buchungen!$P$8:$P$127,SUMIFS(Buchungen!$R$8:$R$127,Buchungen!$D$8:$D$127,$A16,Buchungen!$B$8:$B$127,$B$6,Buchungen!$N$8:$N$127,"&lt;&gt;Storniert",Buchungen!$S$8:$S$127,"&lt;"&amp;(ROUND(V$13*1440,0)+$B$9),Buchungen!$T$8:$T$127,"&gt;"&amp;ROUND(V$13*1440,0))-7))))</f>
        <v/>
      </c>
      <c r="W16" s="25" t="str">
        <f aca="false">IF(W$13="","",IF(COUNTIFS(Buchungen!$D$8:$D$127,$A16,Buchungen!$B$8:$B$127,$B$6,Buchungen!$N$8:$N$127,"&lt;&gt;Storniert",Buchungen!$S$8:$S$127,"&lt;"&amp;(ROUND(W$13*1440,0)+$B$9),Buchungen!$T$8:$T$127,"&gt;"&amp;ROUND(W$13*1440,0))=0,"",IF(COUNTIFS(Buchungen!$D$8:$D$127,$A16,Buchungen!$B$8:$B$127,$B$6,Buchungen!$N$8:$N$127,"&lt;&gt;Storniert",Buchungen!$S$8:$S$127,"&lt;"&amp;(ROUND(W$13*1440,0)+$B$9),Buchungen!$T$8:$T$127,"&gt;"&amp;ROUND(W$13*1440,0))&gt;1,"!",INDEX(Buchungen!$P$8:$P$127,SUMIFS(Buchungen!$R$8:$R$127,Buchungen!$D$8:$D$127,$A16,Buchungen!$B$8:$B$127,$B$6,Buchungen!$N$8:$N$127,"&lt;&gt;Storniert",Buchungen!$S$8:$S$127,"&lt;"&amp;(ROUND(W$13*1440,0)+$B$9),Buchungen!$T$8:$T$127,"&gt;"&amp;ROUND(W$13*1440,0))-7))))</f>
        <v/>
      </c>
      <c r="X16" s="25" t="str">
        <f aca="false">IF(X$13="","",IF(COUNTIFS(Buchungen!$D$8:$D$127,$A16,Buchungen!$B$8:$B$127,$B$6,Buchungen!$N$8:$N$127,"&lt;&gt;Storniert",Buchungen!$S$8:$S$127,"&lt;"&amp;(ROUND(X$13*1440,0)+$B$9),Buchungen!$T$8:$T$127,"&gt;"&amp;ROUND(X$13*1440,0))=0,"",IF(COUNTIFS(Buchungen!$D$8:$D$127,$A16,Buchungen!$B$8:$B$127,$B$6,Buchungen!$N$8:$N$127,"&lt;&gt;Storniert",Buchungen!$S$8:$S$127,"&lt;"&amp;(ROUND(X$13*1440,0)+$B$9),Buchungen!$T$8:$T$127,"&gt;"&amp;ROUND(X$13*1440,0))&gt;1,"!",INDEX(Buchungen!$P$8:$P$127,SUMIFS(Buchungen!$R$8:$R$127,Buchungen!$D$8:$D$127,$A16,Buchungen!$B$8:$B$127,$B$6,Buchungen!$N$8:$N$127,"&lt;&gt;Storniert",Buchungen!$S$8:$S$127,"&lt;"&amp;(ROUND(X$13*1440,0)+$B$9),Buchungen!$T$8:$T$127,"&gt;"&amp;ROUND(X$13*1440,0))-7))))</f>
        <v/>
      </c>
      <c r="Y16" s="25" t="str">
        <f aca="false">IF(Y$13="","",IF(COUNTIFS(Buchungen!$D$8:$D$127,$A16,Buchungen!$B$8:$B$127,$B$6,Buchungen!$N$8:$N$127,"&lt;&gt;Storniert",Buchungen!$S$8:$S$127,"&lt;"&amp;(ROUND(Y$13*1440,0)+$B$9),Buchungen!$T$8:$T$127,"&gt;"&amp;ROUND(Y$13*1440,0))=0,"",IF(COUNTIFS(Buchungen!$D$8:$D$127,$A16,Buchungen!$B$8:$B$127,$B$6,Buchungen!$N$8:$N$127,"&lt;&gt;Storniert",Buchungen!$S$8:$S$127,"&lt;"&amp;(ROUND(Y$13*1440,0)+$B$9),Buchungen!$T$8:$T$127,"&gt;"&amp;ROUND(Y$13*1440,0))&gt;1,"!",INDEX(Buchungen!$P$8:$P$127,SUMIFS(Buchungen!$R$8:$R$127,Buchungen!$D$8:$D$127,$A16,Buchungen!$B$8:$B$127,$B$6,Buchungen!$N$8:$N$127,"&lt;&gt;Storniert",Buchungen!$S$8:$S$127,"&lt;"&amp;(ROUND(Y$13*1440,0)+$B$9),Buchungen!$T$8:$T$127,"&gt;"&amp;ROUND(Y$13*1440,0))-7))))</f>
        <v/>
      </c>
      <c r="Z16" s="25" t="str">
        <f aca="false">IF(Z$13="","",IF(COUNTIFS(Buchungen!$D$8:$D$127,$A16,Buchungen!$B$8:$B$127,$B$6,Buchungen!$N$8:$N$127,"&lt;&gt;Storniert",Buchungen!$S$8:$S$127,"&lt;"&amp;(ROUND(Z$13*1440,0)+$B$9),Buchungen!$T$8:$T$127,"&gt;"&amp;ROUND(Z$13*1440,0))=0,"",IF(COUNTIFS(Buchungen!$D$8:$D$127,$A16,Buchungen!$B$8:$B$127,$B$6,Buchungen!$N$8:$N$127,"&lt;&gt;Storniert",Buchungen!$S$8:$S$127,"&lt;"&amp;(ROUND(Z$13*1440,0)+$B$9),Buchungen!$T$8:$T$127,"&gt;"&amp;ROUND(Z$13*1440,0))&gt;1,"!",INDEX(Buchungen!$P$8:$P$127,SUMIFS(Buchungen!$R$8:$R$127,Buchungen!$D$8:$D$127,$A16,Buchungen!$B$8:$B$127,$B$6,Buchungen!$N$8:$N$127,"&lt;&gt;Storniert",Buchungen!$S$8:$S$127,"&lt;"&amp;(ROUND(Z$13*1440,0)+$B$9),Buchungen!$T$8:$T$127,"&gt;"&amp;ROUND(Z$13*1440,0))-7))))</f>
        <v/>
      </c>
      <c r="AA16" s="25" t="str">
        <f aca="false">IF(AA$13="","",IF(COUNTIFS(Buchungen!$D$8:$D$127,$A16,Buchungen!$B$8:$B$127,$B$6,Buchungen!$N$8:$N$127,"&lt;&gt;Storniert",Buchungen!$S$8:$S$127,"&lt;"&amp;(ROUND(AA$13*1440,0)+$B$9),Buchungen!$T$8:$T$127,"&gt;"&amp;ROUND(AA$13*1440,0))=0,"",IF(COUNTIFS(Buchungen!$D$8:$D$127,$A16,Buchungen!$B$8:$B$127,$B$6,Buchungen!$N$8:$N$127,"&lt;&gt;Storniert",Buchungen!$S$8:$S$127,"&lt;"&amp;(ROUND(AA$13*1440,0)+$B$9),Buchungen!$T$8:$T$127,"&gt;"&amp;ROUND(AA$13*1440,0))&gt;1,"!",INDEX(Buchungen!$P$8:$P$127,SUMIFS(Buchungen!$R$8:$R$127,Buchungen!$D$8:$D$127,$A16,Buchungen!$B$8:$B$127,$B$6,Buchungen!$N$8:$N$127,"&lt;&gt;Storniert",Buchungen!$S$8:$S$127,"&lt;"&amp;(ROUND(AA$13*1440,0)+$B$9),Buchungen!$T$8:$T$127,"&gt;"&amp;ROUND(AA$13*1440,0))-7))))</f>
        <v/>
      </c>
      <c r="AB16" s="25" t="str">
        <f aca="false">IF(AB$13="","",IF(COUNTIFS(Buchungen!$D$8:$D$127,$A16,Buchungen!$B$8:$B$127,$B$6,Buchungen!$N$8:$N$127,"&lt;&gt;Storniert",Buchungen!$S$8:$S$127,"&lt;"&amp;(ROUND(AB$13*1440,0)+$B$9),Buchungen!$T$8:$T$127,"&gt;"&amp;ROUND(AB$13*1440,0))=0,"",IF(COUNTIFS(Buchungen!$D$8:$D$127,$A16,Buchungen!$B$8:$B$127,$B$6,Buchungen!$N$8:$N$127,"&lt;&gt;Storniert",Buchungen!$S$8:$S$127,"&lt;"&amp;(ROUND(AB$13*1440,0)+$B$9),Buchungen!$T$8:$T$127,"&gt;"&amp;ROUND(AB$13*1440,0))&gt;1,"!",INDEX(Buchungen!$P$8:$P$127,SUMIFS(Buchungen!$R$8:$R$127,Buchungen!$D$8:$D$127,$A16,Buchungen!$B$8:$B$127,$B$6,Buchungen!$N$8:$N$127,"&lt;&gt;Storniert",Buchungen!$S$8:$S$127,"&lt;"&amp;(ROUND(AB$13*1440,0)+$B$9),Buchungen!$T$8:$T$127,"&gt;"&amp;ROUND(AB$13*1440,0))-7))))</f>
        <v/>
      </c>
      <c r="AC16" s="26" t="n">
        <f aca="false">IF($A16="","",SUMIFS(Buchungen!$I$8:$I$127,Buchungen!$D$8:$D$127,$A16,Buchungen!$B$8:$B$127,$B$6,Buchungen!$N$8:$N$127,"&lt;&gt;Storniert"))</f>
        <v>1</v>
      </c>
      <c r="AD16" s="27" t="n">
        <f aca="false">IF($A16="","",IFERROR($AC16/($B$10*$B$9/60),0))</f>
        <v>0.0769230769230769</v>
      </c>
      <c r="AE16" s="27" t="n">
        <f aca="false">IF($A16="","",IFERROR(AVERAGEIFS(Buchungen!$K$8:$K$127,Buchungen!$D$8:$D$127,$A16,Buchungen!$B$8:$B$127,$B$6,Buchungen!$N$8:$N$127,"Bestätigt")/Stammdaten!$D10,0))</f>
        <v>0.6</v>
      </c>
    </row>
    <row r="17" customFormat="false" ht="16.5" hidden="false" customHeight="true" outlineLevel="0" collapsed="false">
      <c r="A17" s="28" t="str">
        <f aca="false">IF(OR(Stammdaten!$A11="",Stammdaten!$F11="Nein"),"",Stammdaten!$A11)</f>
        <v>R-04</v>
      </c>
      <c r="B17" s="29" t="str">
        <f aca="false">IF($A17="","",Stammdaten!$B11&amp;"  ("&amp;Stammdaten!$D11&amp;" Plätze)")</f>
        <v>Sitzungszimmer  (12 Plätze)</v>
      </c>
      <c r="C17" s="30" t="str">
        <f aca="false">IF(C$13="","",IF(COUNTIFS(Buchungen!$D$8:$D$127,$A17,Buchungen!$B$8:$B$127,$B$6,Buchungen!$N$8:$N$127,"&lt;&gt;Storniert",Buchungen!$S$8:$S$127,"&lt;"&amp;(ROUND(C$13*1440,0)+$B$9),Buchungen!$T$8:$T$127,"&gt;"&amp;ROUND(C$13*1440,0))=0,"",IF(COUNTIFS(Buchungen!$D$8:$D$127,$A17,Buchungen!$B$8:$B$127,$B$6,Buchungen!$N$8:$N$127,"&lt;&gt;Storniert",Buchungen!$S$8:$S$127,"&lt;"&amp;(ROUND(C$13*1440,0)+$B$9),Buchungen!$T$8:$T$127,"&gt;"&amp;ROUND(C$13*1440,0))&gt;1,"!",INDEX(Buchungen!$P$8:$P$127,SUMIFS(Buchungen!$R$8:$R$127,Buchungen!$D$8:$D$127,$A17,Buchungen!$B$8:$B$127,$B$6,Buchungen!$N$8:$N$127,"&lt;&gt;Storniert",Buchungen!$S$8:$S$127,"&lt;"&amp;(ROUND(C$13*1440,0)+$B$9),Buchungen!$T$8:$T$127,"&gt;"&amp;ROUND(C$13*1440,0))-7))))</f>
        <v/>
      </c>
      <c r="D17" s="30" t="str">
        <f aca="false">IF(D$13="","",IF(COUNTIFS(Buchungen!$D$8:$D$127,$A17,Buchungen!$B$8:$B$127,$B$6,Buchungen!$N$8:$N$127,"&lt;&gt;Storniert",Buchungen!$S$8:$S$127,"&lt;"&amp;(ROUND(D$13*1440,0)+$B$9),Buchungen!$T$8:$T$127,"&gt;"&amp;ROUND(D$13*1440,0))=0,"",IF(COUNTIFS(Buchungen!$D$8:$D$127,$A17,Buchungen!$B$8:$B$127,$B$6,Buchungen!$N$8:$N$127,"&lt;&gt;Storniert",Buchungen!$S$8:$S$127,"&lt;"&amp;(ROUND(D$13*1440,0)+$B$9),Buchungen!$T$8:$T$127,"&gt;"&amp;ROUND(D$13*1440,0))&gt;1,"!",INDEX(Buchungen!$P$8:$P$127,SUMIFS(Buchungen!$R$8:$R$127,Buchungen!$D$8:$D$127,$A17,Buchungen!$B$8:$B$127,$B$6,Buchungen!$N$8:$N$127,"&lt;&gt;Storniert",Buchungen!$S$8:$S$127,"&lt;"&amp;(ROUND(D$13*1440,0)+$B$9),Buchungen!$T$8:$T$127,"&gt;"&amp;ROUND(D$13*1440,0))-7))))</f>
        <v>KLAU*</v>
      </c>
      <c r="E17" s="30" t="str">
        <f aca="false">IF(E$13="","",IF(COUNTIFS(Buchungen!$D$8:$D$127,$A17,Buchungen!$B$8:$B$127,$B$6,Buchungen!$N$8:$N$127,"&lt;&gt;Storniert",Buchungen!$S$8:$S$127,"&lt;"&amp;(ROUND(E$13*1440,0)+$B$9),Buchungen!$T$8:$T$127,"&gt;"&amp;ROUND(E$13*1440,0))=0,"",IF(COUNTIFS(Buchungen!$D$8:$D$127,$A17,Buchungen!$B$8:$B$127,$B$6,Buchungen!$N$8:$N$127,"&lt;&gt;Storniert",Buchungen!$S$8:$S$127,"&lt;"&amp;(ROUND(E$13*1440,0)+$B$9),Buchungen!$T$8:$T$127,"&gt;"&amp;ROUND(E$13*1440,0))&gt;1,"!",INDEX(Buchungen!$P$8:$P$127,SUMIFS(Buchungen!$R$8:$R$127,Buchungen!$D$8:$D$127,$A17,Buchungen!$B$8:$B$127,$B$6,Buchungen!$N$8:$N$127,"&lt;&gt;Storniert",Buchungen!$S$8:$S$127,"&lt;"&amp;(ROUND(E$13*1440,0)+$B$9),Buchungen!$T$8:$T$127,"&gt;"&amp;ROUND(E$13*1440,0))-7))))</f>
        <v>KLAU*</v>
      </c>
      <c r="F17" s="30" t="str">
        <f aca="false">IF(F$13="","",IF(COUNTIFS(Buchungen!$D$8:$D$127,$A17,Buchungen!$B$8:$B$127,$B$6,Buchungen!$N$8:$N$127,"&lt;&gt;Storniert",Buchungen!$S$8:$S$127,"&lt;"&amp;(ROUND(F$13*1440,0)+$B$9),Buchungen!$T$8:$T$127,"&gt;"&amp;ROUND(F$13*1440,0))=0,"",IF(COUNTIFS(Buchungen!$D$8:$D$127,$A17,Buchungen!$B$8:$B$127,$B$6,Buchungen!$N$8:$N$127,"&lt;&gt;Storniert",Buchungen!$S$8:$S$127,"&lt;"&amp;(ROUND(F$13*1440,0)+$B$9),Buchungen!$T$8:$T$127,"&gt;"&amp;ROUND(F$13*1440,0))&gt;1,"!",INDEX(Buchungen!$P$8:$P$127,SUMIFS(Buchungen!$R$8:$R$127,Buchungen!$D$8:$D$127,$A17,Buchungen!$B$8:$B$127,$B$6,Buchungen!$N$8:$N$127,"&lt;&gt;Storniert",Buchungen!$S$8:$S$127,"&lt;"&amp;(ROUND(F$13*1440,0)+$B$9),Buchungen!$T$8:$T$127,"&gt;"&amp;ROUND(F$13*1440,0))-7))))</f>
        <v>KLAU*</v>
      </c>
      <c r="G17" s="30" t="str">
        <f aca="false">IF(G$13="","",IF(COUNTIFS(Buchungen!$D$8:$D$127,$A17,Buchungen!$B$8:$B$127,$B$6,Buchungen!$N$8:$N$127,"&lt;&gt;Storniert",Buchungen!$S$8:$S$127,"&lt;"&amp;(ROUND(G$13*1440,0)+$B$9),Buchungen!$T$8:$T$127,"&gt;"&amp;ROUND(G$13*1440,0))=0,"",IF(COUNTIFS(Buchungen!$D$8:$D$127,$A17,Buchungen!$B$8:$B$127,$B$6,Buchungen!$N$8:$N$127,"&lt;&gt;Storniert",Buchungen!$S$8:$S$127,"&lt;"&amp;(ROUND(G$13*1440,0)+$B$9),Buchungen!$T$8:$T$127,"&gt;"&amp;ROUND(G$13*1440,0))&gt;1,"!",INDEX(Buchungen!$P$8:$P$127,SUMIFS(Buchungen!$R$8:$R$127,Buchungen!$D$8:$D$127,$A17,Buchungen!$B$8:$B$127,$B$6,Buchungen!$N$8:$N$127,"&lt;&gt;Storniert",Buchungen!$S$8:$S$127,"&lt;"&amp;(ROUND(G$13*1440,0)+$B$9),Buchungen!$T$8:$T$127,"&gt;"&amp;ROUND(G$13*1440,0))-7))))</f>
        <v>KLAU*</v>
      </c>
      <c r="H17" s="30" t="str">
        <f aca="false">IF(H$13="","",IF(COUNTIFS(Buchungen!$D$8:$D$127,$A17,Buchungen!$B$8:$B$127,$B$6,Buchungen!$N$8:$N$127,"&lt;&gt;Storniert",Buchungen!$S$8:$S$127,"&lt;"&amp;(ROUND(H$13*1440,0)+$B$9),Buchungen!$T$8:$T$127,"&gt;"&amp;ROUND(H$13*1440,0))=0,"",IF(COUNTIFS(Buchungen!$D$8:$D$127,$A17,Buchungen!$B$8:$B$127,$B$6,Buchungen!$N$8:$N$127,"&lt;&gt;Storniert",Buchungen!$S$8:$S$127,"&lt;"&amp;(ROUND(H$13*1440,0)+$B$9),Buchungen!$T$8:$T$127,"&gt;"&amp;ROUND(H$13*1440,0))&gt;1,"!",INDEX(Buchungen!$P$8:$P$127,SUMIFS(Buchungen!$R$8:$R$127,Buchungen!$D$8:$D$127,$A17,Buchungen!$B$8:$B$127,$B$6,Buchungen!$N$8:$N$127,"&lt;&gt;Storniert",Buchungen!$S$8:$S$127,"&lt;"&amp;(ROUND(H$13*1440,0)+$B$9),Buchungen!$T$8:$T$127,"&gt;"&amp;ROUND(H$13*1440,0))-7))))</f>
        <v>KLAU*</v>
      </c>
      <c r="I17" s="30" t="str">
        <f aca="false">IF(I$13="","",IF(COUNTIFS(Buchungen!$D$8:$D$127,$A17,Buchungen!$B$8:$B$127,$B$6,Buchungen!$N$8:$N$127,"&lt;&gt;Storniert",Buchungen!$S$8:$S$127,"&lt;"&amp;(ROUND(I$13*1440,0)+$B$9),Buchungen!$T$8:$T$127,"&gt;"&amp;ROUND(I$13*1440,0))=0,"",IF(COUNTIFS(Buchungen!$D$8:$D$127,$A17,Buchungen!$B$8:$B$127,$B$6,Buchungen!$N$8:$N$127,"&lt;&gt;Storniert",Buchungen!$S$8:$S$127,"&lt;"&amp;(ROUND(I$13*1440,0)+$B$9),Buchungen!$T$8:$T$127,"&gt;"&amp;ROUND(I$13*1440,0))&gt;1,"!",INDEX(Buchungen!$P$8:$P$127,SUMIFS(Buchungen!$R$8:$R$127,Buchungen!$D$8:$D$127,$A17,Buchungen!$B$8:$B$127,$B$6,Buchungen!$N$8:$N$127,"&lt;&gt;Storniert",Buchungen!$S$8:$S$127,"&lt;"&amp;(ROUND(I$13*1440,0)+$B$9),Buchungen!$T$8:$T$127,"&gt;"&amp;ROUND(I$13*1440,0))-7))))</f>
        <v>KLAU*</v>
      </c>
      <c r="J17" s="30" t="str">
        <f aca="false">IF(J$13="","",IF(COUNTIFS(Buchungen!$D$8:$D$127,$A17,Buchungen!$B$8:$B$127,$B$6,Buchungen!$N$8:$N$127,"&lt;&gt;Storniert",Buchungen!$S$8:$S$127,"&lt;"&amp;(ROUND(J$13*1440,0)+$B$9),Buchungen!$T$8:$T$127,"&gt;"&amp;ROUND(J$13*1440,0))=0,"",IF(COUNTIFS(Buchungen!$D$8:$D$127,$A17,Buchungen!$B$8:$B$127,$B$6,Buchungen!$N$8:$N$127,"&lt;&gt;Storniert",Buchungen!$S$8:$S$127,"&lt;"&amp;(ROUND(J$13*1440,0)+$B$9),Buchungen!$T$8:$T$127,"&gt;"&amp;ROUND(J$13*1440,0))&gt;1,"!",INDEX(Buchungen!$P$8:$P$127,SUMIFS(Buchungen!$R$8:$R$127,Buchungen!$D$8:$D$127,$A17,Buchungen!$B$8:$B$127,$B$6,Buchungen!$N$8:$N$127,"&lt;&gt;Storniert",Buchungen!$S$8:$S$127,"&lt;"&amp;(ROUND(J$13*1440,0)+$B$9),Buchungen!$T$8:$T$127,"&gt;"&amp;ROUND(J$13*1440,0))-7))))</f>
        <v/>
      </c>
      <c r="K17" s="30" t="str">
        <f aca="false">IF(K$13="","",IF(COUNTIFS(Buchungen!$D$8:$D$127,$A17,Buchungen!$B$8:$B$127,$B$6,Buchungen!$N$8:$N$127,"&lt;&gt;Storniert",Buchungen!$S$8:$S$127,"&lt;"&amp;(ROUND(K$13*1440,0)+$B$9),Buchungen!$T$8:$T$127,"&gt;"&amp;ROUND(K$13*1440,0))=0,"",IF(COUNTIFS(Buchungen!$D$8:$D$127,$A17,Buchungen!$B$8:$B$127,$B$6,Buchungen!$N$8:$N$127,"&lt;&gt;Storniert",Buchungen!$S$8:$S$127,"&lt;"&amp;(ROUND(K$13*1440,0)+$B$9),Buchungen!$T$8:$T$127,"&gt;"&amp;ROUND(K$13*1440,0))&gt;1,"!",INDEX(Buchungen!$P$8:$P$127,SUMIFS(Buchungen!$R$8:$R$127,Buchungen!$D$8:$D$127,$A17,Buchungen!$B$8:$B$127,$B$6,Buchungen!$N$8:$N$127,"&lt;&gt;Storniert",Buchungen!$S$8:$S$127,"&lt;"&amp;(ROUND(K$13*1440,0)+$B$9),Buchungen!$T$8:$T$127,"&gt;"&amp;ROUND(K$13*1440,0))-7))))</f>
        <v/>
      </c>
      <c r="L17" s="30" t="str">
        <f aca="false">IF(L$13="","",IF(COUNTIFS(Buchungen!$D$8:$D$127,$A17,Buchungen!$B$8:$B$127,$B$6,Buchungen!$N$8:$N$127,"&lt;&gt;Storniert",Buchungen!$S$8:$S$127,"&lt;"&amp;(ROUND(L$13*1440,0)+$B$9),Buchungen!$T$8:$T$127,"&gt;"&amp;ROUND(L$13*1440,0))=0,"",IF(COUNTIFS(Buchungen!$D$8:$D$127,$A17,Buchungen!$B$8:$B$127,$B$6,Buchungen!$N$8:$N$127,"&lt;&gt;Storniert",Buchungen!$S$8:$S$127,"&lt;"&amp;(ROUND(L$13*1440,0)+$B$9),Buchungen!$T$8:$T$127,"&gt;"&amp;ROUND(L$13*1440,0))&gt;1,"!",INDEX(Buchungen!$P$8:$P$127,SUMIFS(Buchungen!$R$8:$R$127,Buchungen!$D$8:$D$127,$A17,Buchungen!$B$8:$B$127,$B$6,Buchungen!$N$8:$N$127,"&lt;&gt;Storniert",Buchungen!$S$8:$S$127,"&lt;"&amp;(ROUND(L$13*1440,0)+$B$9),Buchungen!$T$8:$T$127,"&gt;"&amp;ROUND(L$13*1440,0))-7))))</f>
        <v>ONBO</v>
      </c>
      <c r="M17" s="30" t="str">
        <f aca="false">IF(M$13="","",IF(COUNTIFS(Buchungen!$D$8:$D$127,$A17,Buchungen!$B$8:$B$127,$B$6,Buchungen!$N$8:$N$127,"&lt;&gt;Storniert",Buchungen!$S$8:$S$127,"&lt;"&amp;(ROUND(M$13*1440,0)+$B$9),Buchungen!$T$8:$T$127,"&gt;"&amp;ROUND(M$13*1440,0))=0,"",IF(COUNTIFS(Buchungen!$D$8:$D$127,$A17,Buchungen!$B$8:$B$127,$B$6,Buchungen!$N$8:$N$127,"&lt;&gt;Storniert",Buchungen!$S$8:$S$127,"&lt;"&amp;(ROUND(M$13*1440,0)+$B$9),Buchungen!$T$8:$T$127,"&gt;"&amp;ROUND(M$13*1440,0))&gt;1,"!",INDEX(Buchungen!$P$8:$P$127,SUMIFS(Buchungen!$R$8:$R$127,Buchungen!$D$8:$D$127,$A17,Buchungen!$B$8:$B$127,$B$6,Buchungen!$N$8:$N$127,"&lt;&gt;Storniert",Buchungen!$S$8:$S$127,"&lt;"&amp;(ROUND(M$13*1440,0)+$B$9),Buchungen!$T$8:$T$127,"&gt;"&amp;ROUND(M$13*1440,0))-7))))</f>
        <v>ONBO</v>
      </c>
      <c r="N17" s="30" t="str">
        <f aca="false">IF(N$13="","",IF(COUNTIFS(Buchungen!$D$8:$D$127,$A17,Buchungen!$B$8:$B$127,$B$6,Buchungen!$N$8:$N$127,"&lt;&gt;Storniert",Buchungen!$S$8:$S$127,"&lt;"&amp;(ROUND(N$13*1440,0)+$B$9),Buchungen!$T$8:$T$127,"&gt;"&amp;ROUND(N$13*1440,0))=0,"",IF(COUNTIFS(Buchungen!$D$8:$D$127,$A17,Buchungen!$B$8:$B$127,$B$6,Buchungen!$N$8:$N$127,"&lt;&gt;Storniert",Buchungen!$S$8:$S$127,"&lt;"&amp;(ROUND(N$13*1440,0)+$B$9),Buchungen!$T$8:$T$127,"&gt;"&amp;ROUND(N$13*1440,0))&gt;1,"!",INDEX(Buchungen!$P$8:$P$127,SUMIFS(Buchungen!$R$8:$R$127,Buchungen!$D$8:$D$127,$A17,Buchungen!$B$8:$B$127,$B$6,Buchungen!$N$8:$N$127,"&lt;&gt;Storniert",Buchungen!$S$8:$S$127,"&lt;"&amp;(ROUND(N$13*1440,0)+$B$9),Buchungen!$T$8:$T$127,"&gt;"&amp;ROUND(N$13*1440,0))-7))))</f>
        <v>ONBO</v>
      </c>
      <c r="O17" s="30" t="str">
        <f aca="false">IF(O$13="","",IF(COUNTIFS(Buchungen!$D$8:$D$127,$A17,Buchungen!$B$8:$B$127,$B$6,Buchungen!$N$8:$N$127,"&lt;&gt;Storniert",Buchungen!$S$8:$S$127,"&lt;"&amp;(ROUND(O$13*1440,0)+$B$9),Buchungen!$T$8:$T$127,"&gt;"&amp;ROUND(O$13*1440,0))=0,"",IF(COUNTIFS(Buchungen!$D$8:$D$127,$A17,Buchungen!$B$8:$B$127,$B$6,Buchungen!$N$8:$N$127,"&lt;&gt;Storniert",Buchungen!$S$8:$S$127,"&lt;"&amp;(ROUND(O$13*1440,0)+$B$9),Buchungen!$T$8:$T$127,"&gt;"&amp;ROUND(O$13*1440,0))&gt;1,"!",INDEX(Buchungen!$P$8:$P$127,SUMIFS(Buchungen!$R$8:$R$127,Buchungen!$D$8:$D$127,$A17,Buchungen!$B$8:$B$127,$B$6,Buchungen!$N$8:$N$127,"&lt;&gt;Storniert",Buchungen!$S$8:$S$127,"&lt;"&amp;(ROUND(O$13*1440,0)+$B$9),Buchungen!$T$8:$T$127,"&gt;"&amp;ROUND(O$13*1440,0))-7))))</f>
        <v/>
      </c>
      <c r="P17" s="30" t="str">
        <f aca="false">IF(P$13="","",IF(COUNTIFS(Buchungen!$D$8:$D$127,$A17,Buchungen!$B$8:$B$127,$B$6,Buchungen!$N$8:$N$127,"&lt;&gt;Storniert",Buchungen!$S$8:$S$127,"&lt;"&amp;(ROUND(P$13*1440,0)+$B$9),Buchungen!$T$8:$T$127,"&gt;"&amp;ROUND(P$13*1440,0))=0,"",IF(COUNTIFS(Buchungen!$D$8:$D$127,$A17,Buchungen!$B$8:$B$127,$B$6,Buchungen!$N$8:$N$127,"&lt;&gt;Storniert",Buchungen!$S$8:$S$127,"&lt;"&amp;(ROUND(P$13*1440,0)+$B$9),Buchungen!$T$8:$T$127,"&gt;"&amp;ROUND(P$13*1440,0))&gt;1,"!",INDEX(Buchungen!$P$8:$P$127,SUMIFS(Buchungen!$R$8:$R$127,Buchungen!$D$8:$D$127,$A17,Buchungen!$B$8:$B$127,$B$6,Buchungen!$N$8:$N$127,"&lt;&gt;Storniert",Buchungen!$S$8:$S$127,"&lt;"&amp;(ROUND(P$13*1440,0)+$B$9),Buchungen!$T$8:$T$127,"&gt;"&amp;ROUND(P$13*1440,0))-7))))</f>
        <v/>
      </c>
      <c r="Q17" s="30" t="str">
        <f aca="false">IF(Q$13="","",IF(COUNTIFS(Buchungen!$D$8:$D$127,$A17,Buchungen!$B$8:$B$127,$B$6,Buchungen!$N$8:$N$127,"&lt;&gt;Storniert",Buchungen!$S$8:$S$127,"&lt;"&amp;(ROUND(Q$13*1440,0)+$B$9),Buchungen!$T$8:$T$127,"&gt;"&amp;ROUND(Q$13*1440,0))=0,"",IF(COUNTIFS(Buchungen!$D$8:$D$127,$A17,Buchungen!$B$8:$B$127,$B$6,Buchungen!$N$8:$N$127,"&lt;&gt;Storniert",Buchungen!$S$8:$S$127,"&lt;"&amp;(ROUND(Q$13*1440,0)+$B$9),Buchungen!$T$8:$T$127,"&gt;"&amp;ROUND(Q$13*1440,0))&gt;1,"!",INDEX(Buchungen!$P$8:$P$127,SUMIFS(Buchungen!$R$8:$R$127,Buchungen!$D$8:$D$127,$A17,Buchungen!$B$8:$B$127,$B$6,Buchungen!$N$8:$N$127,"&lt;&gt;Storniert",Buchungen!$S$8:$S$127,"&lt;"&amp;(ROUND(Q$13*1440,0)+$B$9),Buchungen!$T$8:$T$127,"&gt;"&amp;ROUND(Q$13*1440,0))-7))))</f>
        <v/>
      </c>
      <c r="R17" s="30" t="str">
        <f aca="false">IF(R$13="","",IF(COUNTIFS(Buchungen!$D$8:$D$127,$A17,Buchungen!$B$8:$B$127,$B$6,Buchungen!$N$8:$N$127,"&lt;&gt;Storniert",Buchungen!$S$8:$S$127,"&lt;"&amp;(ROUND(R$13*1440,0)+$B$9),Buchungen!$T$8:$T$127,"&gt;"&amp;ROUND(R$13*1440,0))=0,"",IF(COUNTIFS(Buchungen!$D$8:$D$127,$A17,Buchungen!$B$8:$B$127,$B$6,Buchungen!$N$8:$N$127,"&lt;&gt;Storniert",Buchungen!$S$8:$S$127,"&lt;"&amp;(ROUND(R$13*1440,0)+$B$9),Buchungen!$T$8:$T$127,"&gt;"&amp;ROUND(R$13*1440,0))&gt;1,"!",INDEX(Buchungen!$P$8:$P$127,SUMIFS(Buchungen!$R$8:$R$127,Buchungen!$D$8:$D$127,$A17,Buchungen!$B$8:$B$127,$B$6,Buchungen!$N$8:$N$127,"&lt;&gt;Storniert",Buchungen!$S$8:$S$127,"&lt;"&amp;(ROUND(R$13*1440,0)+$B$9),Buchungen!$T$8:$T$127,"&gt;"&amp;ROUND(R$13*1440,0))-7))))</f>
        <v/>
      </c>
      <c r="S17" s="30" t="str">
        <f aca="false">IF(S$13="","",IF(COUNTIFS(Buchungen!$D$8:$D$127,$A17,Buchungen!$B$8:$B$127,$B$6,Buchungen!$N$8:$N$127,"&lt;&gt;Storniert",Buchungen!$S$8:$S$127,"&lt;"&amp;(ROUND(S$13*1440,0)+$B$9),Buchungen!$T$8:$T$127,"&gt;"&amp;ROUND(S$13*1440,0))=0,"",IF(COUNTIFS(Buchungen!$D$8:$D$127,$A17,Buchungen!$B$8:$B$127,$B$6,Buchungen!$N$8:$N$127,"&lt;&gt;Storniert",Buchungen!$S$8:$S$127,"&lt;"&amp;(ROUND(S$13*1440,0)+$B$9),Buchungen!$T$8:$T$127,"&gt;"&amp;ROUND(S$13*1440,0))&gt;1,"!",INDEX(Buchungen!$P$8:$P$127,SUMIFS(Buchungen!$R$8:$R$127,Buchungen!$D$8:$D$127,$A17,Buchungen!$B$8:$B$127,$B$6,Buchungen!$N$8:$N$127,"&lt;&gt;Storniert",Buchungen!$S$8:$S$127,"&lt;"&amp;(ROUND(S$13*1440,0)+$B$9),Buchungen!$T$8:$T$127,"&gt;"&amp;ROUND(S$13*1440,0))-7))))</f>
        <v/>
      </c>
      <c r="T17" s="30" t="str">
        <f aca="false">IF(T$13="","",IF(COUNTIFS(Buchungen!$D$8:$D$127,$A17,Buchungen!$B$8:$B$127,$B$6,Buchungen!$N$8:$N$127,"&lt;&gt;Storniert",Buchungen!$S$8:$S$127,"&lt;"&amp;(ROUND(T$13*1440,0)+$B$9),Buchungen!$T$8:$T$127,"&gt;"&amp;ROUND(T$13*1440,0))=0,"",IF(COUNTIFS(Buchungen!$D$8:$D$127,$A17,Buchungen!$B$8:$B$127,$B$6,Buchungen!$N$8:$N$127,"&lt;&gt;Storniert",Buchungen!$S$8:$S$127,"&lt;"&amp;(ROUND(T$13*1440,0)+$B$9),Buchungen!$T$8:$T$127,"&gt;"&amp;ROUND(T$13*1440,0))&gt;1,"!",INDEX(Buchungen!$P$8:$P$127,SUMIFS(Buchungen!$R$8:$R$127,Buchungen!$D$8:$D$127,$A17,Buchungen!$B$8:$B$127,$B$6,Buchungen!$N$8:$N$127,"&lt;&gt;Storniert",Buchungen!$S$8:$S$127,"&lt;"&amp;(ROUND(T$13*1440,0)+$B$9),Buchungen!$T$8:$T$127,"&gt;"&amp;ROUND(T$13*1440,0))-7))))</f>
        <v/>
      </c>
      <c r="U17" s="30" t="str">
        <f aca="false">IF(U$13="","",IF(COUNTIFS(Buchungen!$D$8:$D$127,$A17,Buchungen!$B$8:$B$127,$B$6,Buchungen!$N$8:$N$127,"&lt;&gt;Storniert",Buchungen!$S$8:$S$127,"&lt;"&amp;(ROUND(U$13*1440,0)+$B$9),Buchungen!$T$8:$T$127,"&gt;"&amp;ROUND(U$13*1440,0))=0,"",IF(COUNTIFS(Buchungen!$D$8:$D$127,$A17,Buchungen!$B$8:$B$127,$B$6,Buchungen!$N$8:$N$127,"&lt;&gt;Storniert",Buchungen!$S$8:$S$127,"&lt;"&amp;(ROUND(U$13*1440,0)+$B$9),Buchungen!$T$8:$T$127,"&gt;"&amp;ROUND(U$13*1440,0))&gt;1,"!",INDEX(Buchungen!$P$8:$P$127,SUMIFS(Buchungen!$R$8:$R$127,Buchungen!$D$8:$D$127,$A17,Buchungen!$B$8:$B$127,$B$6,Buchungen!$N$8:$N$127,"&lt;&gt;Storniert",Buchungen!$S$8:$S$127,"&lt;"&amp;(ROUND(U$13*1440,0)+$B$9),Buchungen!$T$8:$T$127,"&gt;"&amp;ROUND(U$13*1440,0))-7))))</f>
        <v/>
      </c>
      <c r="V17" s="30" t="str">
        <f aca="false">IF(V$13="","",IF(COUNTIFS(Buchungen!$D$8:$D$127,$A17,Buchungen!$B$8:$B$127,$B$6,Buchungen!$N$8:$N$127,"&lt;&gt;Storniert",Buchungen!$S$8:$S$127,"&lt;"&amp;(ROUND(V$13*1440,0)+$B$9),Buchungen!$T$8:$T$127,"&gt;"&amp;ROUND(V$13*1440,0))=0,"",IF(COUNTIFS(Buchungen!$D$8:$D$127,$A17,Buchungen!$B$8:$B$127,$B$6,Buchungen!$N$8:$N$127,"&lt;&gt;Storniert",Buchungen!$S$8:$S$127,"&lt;"&amp;(ROUND(V$13*1440,0)+$B$9),Buchungen!$T$8:$T$127,"&gt;"&amp;ROUND(V$13*1440,0))&gt;1,"!",INDEX(Buchungen!$P$8:$P$127,SUMIFS(Buchungen!$R$8:$R$127,Buchungen!$D$8:$D$127,$A17,Buchungen!$B$8:$B$127,$B$6,Buchungen!$N$8:$N$127,"&lt;&gt;Storniert",Buchungen!$S$8:$S$127,"&lt;"&amp;(ROUND(V$13*1440,0)+$B$9),Buchungen!$T$8:$T$127,"&gt;"&amp;ROUND(V$13*1440,0))-7))))</f>
        <v/>
      </c>
      <c r="W17" s="30" t="str">
        <f aca="false">IF(W$13="","",IF(COUNTIFS(Buchungen!$D$8:$D$127,$A17,Buchungen!$B$8:$B$127,$B$6,Buchungen!$N$8:$N$127,"&lt;&gt;Storniert",Buchungen!$S$8:$S$127,"&lt;"&amp;(ROUND(W$13*1440,0)+$B$9),Buchungen!$T$8:$T$127,"&gt;"&amp;ROUND(W$13*1440,0))=0,"",IF(COUNTIFS(Buchungen!$D$8:$D$127,$A17,Buchungen!$B$8:$B$127,$B$6,Buchungen!$N$8:$N$127,"&lt;&gt;Storniert",Buchungen!$S$8:$S$127,"&lt;"&amp;(ROUND(W$13*1440,0)+$B$9),Buchungen!$T$8:$T$127,"&gt;"&amp;ROUND(W$13*1440,0))&gt;1,"!",INDEX(Buchungen!$P$8:$P$127,SUMIFS(Buchungen!$R$8:$R$127,Buchungen!$D$8:$D$127,$A17,Buchungen!$B$8:$B$127,$B$6,Buchungen!$N$8:$N$127,"&lt;&gt;Storniert",Buchungen!$S$8:$S$127,"&lt;"&amp;(ROUND(W$13*1440,0)+$B$9),Buchungen!$T$8:$T$127,"&gt;"&amp;ROUND(W$13*1440,0))-7))))</f>
        <v/>
      </c>
      <c r="X17" s="30" t="str">
        <f aca="false">IF(X$13="","",IF(COUNTIFS(Buchungen!$D$8:$D$127,$A17,Buchungen!$B$8:$B$127,$B$6,Buchungen!$N$8:$N$127,"&lt;&gt;Storniert",Buchungen!$S$8:$S$127,"&lt;"&amp;(ROUND(X$13*1440,0)+$B$9),Buchungen!$T$8:$T$127,"&gt;"&amp;ROUND(X$13*1440,0))=0,"",IF(COUNTIFS(Buchungen!$D$8:$D$127,$A17,Buchungen!$B$8:$B$127,$B$6,Buchungen!$N$8:$N$127,"&lt;&gt;Storniert",Buchungen!$S$8:$S$127,"&lt;"&amp;(ROUND(X$13*1440,0)+$B$9),Buchungen!$T$8:$T$127,"&gt;"&amp;ROUND(X$13*1440,0))&gt;1,"!",INDEX(Buchungen!$P$8:$P$127,SUMIFS(Buchungen!$R$8:$R$127,Buchungen!$D$8:$D$127,$A17,Buchungen!$B$8:$B$127,$B$6,Buchungen!$N$8:$N$127,"&lt;&gt;Storniert",Buchungen!$S$8:$S$127,"&lt;"&amp;(ROUND(X$13*1440,0)+$B$9),Buchungen!$T$8:$T$127,"&gt;"&amp;ROUND(X$13*1440,0))-7))))</f>
        <v/>
      </c>
      <c r="Y17" s="30" t="str">
        <f aca="false">IF(Y$13="","",IF(COUNTIFS(Buchungen!$D$8:$D$127,$A17,Buchungen!$B$8:$B$127,$B$6,Buchungen!$N$8:$N$127,"&lt;&gt;Storniert",Buchungen!$S$8:$S$127,"&lt;"&amp;(ROUND(Y$13*1440,0)+$B$9),Buchungen!$T$8:$T$127,"&gt;"&amp;ROUND(Y$13*1440,0))=0,"",IF(COUNTIFS(Buchungen!$D$8:$D$127,$A17,Buchungen!$B$8:$B$127,$B$6,Buchungen!$N$8:$N$127,"&lt;&gt;Storniert",Buchungen!$S$8:$S$127,"&lt;"&amp;(ROUND(Y$13*1440,0)+$B$9),Buchungen!$T$8:$T$127,"&gt;"&amp;ROUND(Y$13*1440,0))&gt;1,"!",INDEX(Buchungen!$P$8:$P$127,SUMIFS(Buchungen!$R$8:$R$127,Buchungen!$D$8:$D$127,$A17,Buchungen!$B$8:$B$127,$B$6,Buchungen!$N$8:$N$127,"&lt;&gt;Storniert",Buchungen!$S$8:$S$127,"&lt;"&amp;(ROUND(Y$13*1440,0)+$B$9),Buchungen!$T$8:$T$127,"&gt;"&amp;ROUND(Y$13*1440,0))-7))))</f>
        <v/>
      </c>
      <c r="Z17" s="30" t="str">
        <f aca="false">IF(Z$13="","",IF(COUNTIFS(Buchungen!$D$8:$D$127,$A17,Buchungen!$B$8:$B$127,$B$6,Buchungen!$N$8:$N$127,"&lt;&gt;Storniert",Buchungen!$S$8:$S$127,"&lt;"&amp;(ROUND(Z$13*1440,0)+$B$9),Buchungen!$T$8:$T$127,"&gt;"&amp;ROUND(Z$13*1440,0))=0,"",IF(COUNTIFS(Buchungen!$D$8:$D$127,$A17,Buchungen!$B$8:$B$127,$B$6,Buchungen!$N$8:$N$127,"&lt;&gt;Storniert",Buchungen!$S$8:$S$127,"&lt;"&amp;(ROUND(Z$13*1440,0)+$B$9),Buchungen!$T$8:$T$127,"&gt;"&amp;ROUND(Z$13*1440,0))&gt;1,"!",INDEX(Buchungen!$P$8:$P$127,SUMIFS(Buchungen!$R$8:$R$127,Buchungen!$D$8:$D$127,$A17,Buchungen!$B$8:$B$127,$B$6,Buchungen!$N$8:$N$127,"&lt;&gt;Storniert",Buchungen!$S$8:$S$127,"&lt;"&amp;(ROUND(Z$13*1440,0)+$B$9),Buchungen!$T$8:$T$127,"&gt;"&amp;ROUND(Z$13*1440,0))-7))))</f>
        <v/>
      </c>
      <c r="AA17" s="30" t="str">
        <f aca="false">IF(AA$13="","",IF(COUNTIFS(Buchungen!$D$8:$D$127,$A17,Buchungen!$B$8:$B$127,$B$6,Buchungen!$N$8:$N$127,"&lt;&gt;Storniert",Buchungen!$S$8:$S$127,"&lt;"&amp;(ROUND(AA$13*1440,0)+$B$9),Buchungen!$T$8:$T$127,"&gt;"&amp;ROUND(AA$13*1440,0))=0,"",IF(COUNTIFS(Buchungen!$D$8:$D$127,$A17,Buchungen!$B$8:$B$127,$B$6,Buchungen!$N$8:$N$127,"&lt;&gt;Storniert",Buchungen!$S$8:$S$127,"&lt;"&amp;(ROUND(AA$13*1440,0)+$B$9),Buchungen!$T$8:$T$127,"&gt;"&amp;ROUND(AA$13*1440,0))&gt;1,"!",INDEX(Buchungen!$P$8:$P$127,SUMIFS(Buchungen!$R$8:$R$127,Buchungen!$D$8:$D$127,$A17,Buchungen!$B$8:$B$127,$B$6,Buchungen!$N$8:$N$127,"&lt;&gt;Storniert",Buchungen!$S$8:$S$127,"&lt;"&amp;(ROUND(AA$13*1440,0)+$B$9),Buchungen!$T$8:$T$127,"&gt;"&amp;ROUND(AA$13*1440,0))-7))))</f>
        <v/>
      </c>
      <c r="AB17" s="30" t="str">
        <f aca="false">IF(AB$13="","",IF(COUNTIFS(Buchungen!$D$8:$D$127,$A17,Buchungen!$B$8:$B$127,$B$6,Buchungen!$N$8:$N$127,"&lt;&gt;Storniert",Buchungen!$S$8:$S$127,"&lt;"&amp;(ROUND(AB$13*1440,0)+$B$9),Buchungen!$T$8:$T$127,"&gt;"&amp;ROUND(AB$13*1440,0))=0,"",IF(COUNTIFS(Buchungen!$D$8:$D$127,$A17,Buchungen!$B$8:$B$127,$B$6,Buchungen!$N$8:$N$127,"&lt;&gt;Storniert",Buchungen!$S$8:$S$127,"&lt;"&amp;(ROUND(AB$13*1440,0)+$B$9),Buchungen!$T$8:$T$127,"&gt;"&amp;ROUND(AB$13*1440,0))&gt;1,"!",INDEX(Buchungen!$P$8:$P$127,SUMIFS(Buchungen!$R$8:$R$127,Buchungen!$D$8:$D$127,$A17,Buchungen!$B$8:$B$127,$B$6,Buchungen!$N$8:$N$127,"&lt;&gt;Storniert",Buchungen!$S$8:$S$127,"&lt;"&amp;(ROUND(AB$13*1440,0)+$B$9),Buchungen!$T$8:$T$127,"&gt;"&amp;ROUND(AB$13*1440,0))-7))))</f>
        <v/>
      </c>
      <c r="AC17" s="31" t="n">
        <f aca="false">IF($A17="","",SUMIFS(Buchungen!$I$8:$I$127,Buchungen!$D$8:$D$127,$A17,Buchungen!$B$8:$B$127,$B$6,Buchungen!$N$8:$N$127,"&lt;&gt;Storniert"))</f>
        <v>4.5</v>
      </c>
      <c r="AD17" s="32" t="n">
        <f aca="false">IF($A17="","",IFERROR($AC17/($B$10*$B$9/60),0))</f>
        <v>0.346153846153846</v>
      </c>
      <c r="AE17" s="32" t="n">
        <f aca="false">IF($A17="","",IFERROR(AVERAGEIFS(Buchungen!$K$8:$K$127,Buchungen!$D$8:$D$127,$A17,Buchungen!$B$8:$B$127,$B$6,Buchungen!$N$8:$N$127,"Bestätigt")/Stammdaten!$D11,0))</f>
        <v>0.75</v>
      </c>
    </row>
    <row r="18" customFormat="false" ht="16.5" hidden="false" customHeight="true" outlineLevel="0" collapsed="false">
      <c r="A18" s="23" t="str">
        <f aca="false">IF(OR(Stammdaten!$A12="",Stammdaten!$F12="Nein"),"",Stammdaten!$A12)</f>
        <v>R-05</v>
      </c>
      <c r="B18" s="24" t="str">
        <f aca="false">IF($A18="","",Stammdaten!$B12&amp;"  ("&amp;Stammdaten!$D12&amp;" Plätze)")</f>
        <v>Konferenzraum  (20 Plätze)</v>
      </c>
      <c r="C18" s="25" t="str">
        <f aca="false">IF(C$13="","",IF(COUNTIFS(Buchungen!$D$8:$D$127,$A18,Buchungen!$B$8:$B$127,$B$6,Buchungen!$N$8:$N$127,"&lt;&gt;Storniert",Buchungen!$S$8:$S$127,"&lt;"&amp;(ROUND(C$13*1440,0)+$B$9),Buchungen!$T$8:$T$127,"&gt;"&amp;ROUND(C$13*1440,0))=0,"",IF(COUNTIFS(Buchungen!$D$8:$D$127,$A18,Buchungen!$B$8:$B$127,$B$6,Buchungen!$N$8:$N$127,"&lt;&gt;Storniert",Buchungen!$S$8:$S$127,"&lt;"&amp;(ROUND(C$13*1440,0)+$B$9),Buchungen!$T$8:$T$127,"&gt;"&amp;ROUND(C$13*1440,0))&gt;1,"!",INDEX(Buchungen!$P$8:$P$127,SUMIFS(Buchungen!$R$8:$R$127,Buchungen!$D$8:$D$127,$A18,Buchungen!$B$8:$B$127,$B$6,Buchungen!$N$8:$N$127,"&lt;&gt;Storniert",Buchungen!$S$8:$S$127,"&lt;"&amp;(ROUND(C$13*1440,0)+$B$9),Buchungen!$T$8:$T$127,"&gt;"&amp;ROUND(C$13*1440,0))-7))))</f>
        <v/>
      </c>
      <c r="D18" s="25" t="str">
        <f aca="false">IF(D$13="","",IF(COUNTIFS(Buchungen!$D$8:$D$127,$A18,Buchungen!$B$8:$B$127,$B$6,Buchungen!$N$8:$N$127,"&lt;&gt;Storniert",Buchungen!$S$8:$S$127,"&lt;"&amp;(ROUND(D$13*1440,0)+$B$9),Buchungen!$T$8:$T$127,"&gt;"&amp;ROUND(D$13*1440,0))=0,"",IF(COUNTIFS(Buchungen!$D$8:$D$127,$A18,Buchungen!$B$8:$B$127,$B$6,Buchungen!$N$8:$N$127,"&lt;&gt;Storniert",Buchungen!$S$8:$S$127,"&lt;"&amp;(ROUND(D$13*1440,0)+$B$9),Buchungen!$T$8:$T$127,"&gt;"&amp;ROUND(D$13*1440,0))&gt;1,"!",INDEX(Buchungen!$P$8:$P$127,SUMIFS(Buchungen!$R$8:$R$127,Buchungen!$D$8:$D$127,$A18,Buchungen!$B$8:$B$127,$B$6,Buchungen!$N$8:$N$127,"&lt;&gt;Storniert",Buchungen!$S$8:$S$127,"&lt;"&amp;(ROUND(D$13*1440,0)+$B$9),Buchungen!$T$8:$T$127,"&gt;"&amp;ROUND(D$13*1440,0))-7))))</f>
        <v>VIKO*</v>
      </c>
      <c r="E18" s="25" t="str">
        <f aca="false">IF(E$13="","",IF(COUNTIFS(Buchungen!$D$8:$D$127,$A18,Buchungen!$B$8:$B$127,$B$6,Buchungen!$N$8:$N$127,"&lt;&gt;Storniert",Buchungen!$S$8:$S$127,"&lt;"&amp;(ROUND(E$13*1440,0)+$B$9),Buchungen!$T$8:$T$127,"&gt;"&amp;ROUND(E$13*1440,0))=0,"",IF(COUNTIFS(Buchungen!$D$8:$D$127,$A18,Buchungen!$B$8:$B$127,$B$6,Buchungen!$N$8:$N$127,"&lt;&gt;Storniert",Buchungen!$S$8:$S$127,"&lt;"&amp;(ROUND(E$13*1440,0)+$B$9),Buchungen!$T$8:$T$127,"&gt;"&amp;ROUND(E$13*1440,0))&gt;1,"!",INDEX(Buchungen!$P$8:$P$127,SUMIFS(Buchungen!$R$8:$R$127,Buchungen!$D$8:$D$127,$A18,Buchungen!$B$8:$B$127,$B$6,Buchungen!$N$8:$N$127,"&lt;&gt;Storniert",Buchungen!$S$8:$S$127,"&lt;"&amp;(ROUND(E$13*1440,0)+$B$9),Buchungen!$T$8:$T$127,"&gt;"&amp;ROUND(E$13*1440,0))-7))))</f>
        <v>VIKO*</v>
      </c>
      <c r="F18" s="25" t="str">
        <f aca="false">IF(F$13="","",IF(COUNTIFS(Buchungen!$D$8:$D$127,$A18,Buchungen!$B$8:$B$127,$B$6,Buchungen!$N$8:$N$127,"&lt;&gt;Storniert",Buchungen!$S$8:$S$127,"&lt;"&amp;(ROUND(F$13*1440,0)+$B$9),Buchungen!$T$8:$T$127,"&gt;"&amp;ROUND(F$13*1440,0))=0,"",IF(COUNTIFS(Buchungen!$D$8:$D$127,$A18,Buchungen!$B$8:$B$127,$B$6,Buchungen!$N$8:$N$127,"&lt;&gt;Storniert",Buchungen!$S$8:$S$127,"&lt;"&amp;(ROUND(F$13*1440,0)+$B$9),Buchungen!$T$8:$T$127,"&gt;"&amp;ROUND(F$13*1440,0))&gt;1,"!",INDEX(Buchungen!$P$8:$P$127,SUMIFS(Buchungen!$R$8:$R$127,Buchungen!$D$8:$D$127,$A18,Buchungen!$B$8:$B$127,$B$6,Buchungen!$N$8:$N$127,"&lt;&gt;Storniert",Buchungen!$S$8:$S$127,"&lt;"&amp;(ROUND(F$13*1440,0)+$B$9),Buchungen!$T$8:$T$127,"&gt;"&amp;ROUND(F$13*1440,0))-7))))</f>
        <v>VIKO*</v>
      </c>
      <c r="G18" s="25" t="str">
        <f aca="false">IF(G$13="","",IF(COUNTIFS(Buchungen!$D$8:$D$127,$A18,Buchungen!$B$8:$B$127,$B$6,Buchungen!$N$8:$N$127,"&lt;&gt;Storniert",Buchungen!$S$8:$S$127,"&lt;"&amp;(ROUND(G$13*1440,0)+$B$9),Buchungen!$T$8:$T$127,"&gt;"&amp;ROUND(G$13*1440,0))=0,"",IF(COUNTIFS(Buchungen!$D$8:$D$127,$A18,Buchungen!$B$8:$B$127,$B$6,Buchungen!$N$8:$N$127,"&lt;&gt;Storniert",Buchungen!$S$8:$S$127,"&lt;"&amp;(ROUND(G$13*1440,0)+$B$9),Buchungen!$T$8:$T$127,"&gt;"&amp;ROUND(G$13*1440,0))&gt;1,"!",INDEX(Buchungen!$P$8:$P$127,SUMIFS(Buchungen!$R$8:$R$127,Buchungen!$D$8:$D$127,$A18,Buchungen!$B$8:$B$127,$B$6,Buchungen!$N$8:$N$127,"&lt;&gt;Storniert",Buchungen!$S$8:$S$127,"&lt;"&amp;(ROUND(G$13*1440,0)+$B$9),Buchungen!$T$8:$T$127,"&gt;"&amp;ROUND(G$13*1440,0))-7))))</f>
        <v/>
      </c>
      <c r="H18" s="25" t="str">
        <f aca="false">IF(H$13="","",IF(COUNTIFS(Buchungen!$D$8:$D$127,$A18,Buchungen!$B$8:$B$127,$B$6,Buchungen!$N$8:$N$127,"&lt;&gt;Storniert",Buchungen!$S$8:$S$127,"&lt;"&amp;(ROUND(H$13*1440,0)+$B$9),Buchungen!$T$8:$T$127,"&gt;"&amp;ROUND(H$13*1440,0))=0,"",IF(COUNTIFS(Buchungen!$D$8:$D$127,$A18,Buchungen!$B$8:$B$127,$B$6,Buchungen!$N$8:$N$127,"&lt;&gt;Storniert",Buchungen!$S$8:$S$127,"&lt;"&amp;(ROUND(H$13*1440,0)+$B$9),Buchungen!$T$8:$T$127,"&gt;"&amp;ROUND(H$13*1440,0))&gt;1,"!",INDEX(Buchungen!$P$8:$P$127,SUMIFS(Buchungen!$R$8:$R$127,Buchungen!$D$8:$D$127,$A18,Buchungen!$B$8:$B$127,$B$6,Buchungen!$N$8:$N$127,"&lt;&gt;Storniert",Buchungen!$S$8:$S$127,"&lt;"&amp;(ROUND(H$13*1440,0)+$B$9),Buchungen!$T$8:$T$127,"&gt;"&amp;ROUND(H$13*1440,0))-7))))</f>
        <v/>
      </c>
      <c r="I18" s="25" t="str">
        <f aca="false">IF(I$13="","",IF(COUNTIFS(Buchungen!$D$8:$D$127,$A18,Buchungen!$B$8:$B$127,$B$6,Buchungen!$N$8:$N$127,"&lt;&gt;Storniert",Buchungen!$S$8:$S$127,"&lt;"&amp;(ROUND(I$13*1440,0)+$B$9),Buchungen!$T$8:$T$127,"&gt;"&amp;ROUND(I$13*1440,0))=0,"",IF(COUNTIFS(Buchungen!$D$8:$D$127,$A18,Buchungen!$B$8:$B$127,$B$6,Buchungen!$N$8:$N$127,"&lt;&gt;Storniert",Buchungen!$S$8:$S$127,"&lt;"&amp;(ROUND(I$13*1440,0)+$B$9),Buchungen!$T$8:$T$127,"&gt;"&amp;ROUND(I$13*1440,0))&gt;1,"!",INDEX(Buchungen!$P$8:$P$127,SUMIFS(Buchungen!$R$8:$R$127,Buchungen!$D$8:$D$127,$A18,Buchungen!$B$8:$B$127,$B$6,Buchungen!$N$8:$N$127,"&lt;&gt;Storniert",Buchungen!$S$8:$S$127,"&lt;"&amp;(ROUND(I$13*1440,0)+$B$9),Buchungen!$T$8:$T$127,"&gt;"&amp;ROUND(I$13*1440,0))-7))))</f>
        <v/>
      </c>
      <c r="J18" s="25" t="str">
        <f aca="false">IF(J$13="","",IF(COUNTIFS(Buchungen!$D$8:$D$127,$A18,Buchungen!$B$8:$B$127,$B$6,Buchungen!$N$8:$N$127,"&lt;&gt;Storniert",Buchungen!$S$8:$S$127,"&lt;"&amp;(ROUND(J$13*1440,0)+$B$9),Buchungen!$T$8:$T$127,"&gt;"&amp;ROUND(J$13*1440,0))=0,"",IF(COUNTIFS(Buchungen!$D$8:$D$127,$A18,Buchungen!$B$8:$B$127,$B$6,Buchungen!$N$8:$N$127,"&lt;&gt;Storniert",Buchungen!$S$8:$S$127,"&lt;"&amp;(ROUND(J$13*1440,0)+$B$9),Buchungen!$T$8:$T$127,"&gt;"&amp;ROUND(J$13*1440,0))&gt;1,"!",INDEX(Buchungen!$P$8:$P$127,SUMIFS(Buchungen!$R$8:$R$127,Buchungen!$D$8:$D$127,$A18,Buchungen!$B$8:$B$127,$B$6,Buchungen!$N$8:$N$127,"&lt;&gt;Storniert",Buchungen!$S$8:$S$127,"&lt;"&amp;(ROUND(J$13*1440,0)+$B$9),Buchungen!$T$8:$T$127,"&gt;"&amp;ROUND(J$13*1440,0))-7))))</f>
        <v/>
      </c>
      <c r="K18" s="25" t="str">
        <f aca="false">IF(K$13="","",IF(COUNTIFS(Buchungen!$D$8:$D$127,$A18,Buchungen!$B$8:$B$127,$B$6,Buchungen!$N$8:$N$127,"&lt;&gt;Storniert",Buchungen!$S$8:$S$127,"&lt;"&amp;(ROUND(K$13*1440,0)+$B$9),Buchungen!$T$8:$T$127,"&gt;"&amp;ROUND(K$13*1440,0))=0,"",IF(COUNTIFS(Buchungen!$D$8:$D$127,$A18,Buchungen!$B$8:$B$127,$B$6,Buchungen!$N$8:$N$127,"&lt;&gt;Storniert",Buchungen!$S$8:$S$127,"&lt;"&amp;(ROUND(K$13*1440,0)+$B$9),Buchungen!$T$8:$T$127,"&gt;"&amp;ROUND(K$13*1440,0))&gt;1,"!",INDEX(Buchungen!$P$8:$P$127,SUMIFS(Buchungen!$R$8:$R$127,Buchungen!$D$8:$D$127,$A18,Buchungen!$B$8:$B$127,$B$6,Buchungen!$N$8:$N$127,"&lt;&gt;Storniert",Buchungen!$S$8:$S$127,"&lt;"&amp;(ROUND(K$13*1440,0)+$B$9),Buchungen!$T$8:$T$127,"&gt;"&amp;ROUND(K$13*1440,0))-7))))</f>
        <v/>
      </c>
      <c r="L18" s="25" t="str">
        <f aca="false">IF(L$13="","",IF(COUNTIFS(Buchungen!$D$8:$D$127,$A18,Buchungen!$B$8:$B$127,$B$6,Buchungen!$N$8:$N$127,"&lt;&gt;Storniert",Buchungen!$S$8:$S$127,"&lt;"&amp;(ROUND(L$13*1440,0)+$B$9),Buchungen!$T$8:$T$127,"&gt;"&amp;ROUND(L$13*1440,0))=0,"",IF(COUNTIFS(Buchungen!$D$8:$D$127,$A18,Buchungen!$B$8:$B$127,$B$6,Buchungen!$N$8:$N$127,"&lt;&gt;Storniert",Buchungen!$S$8:$S$127,"&lt;"&amp;(ROUND(L$13*1440,0)+$B$9),Buchungen!$T$8:$T$127,"&gt;"&amp;ROUND(L$13*1440,0))&gt;1,"!",INDEX(Buchungen!$P$8:$P$127,SUMIFS(Buchungen!$R$8:$R$127,Buchungen!$D$8:$D$127,$A18,Buchungen!$B$8:$B$127,$B$6,Buchungen!$N$8:$N$127,"&lt;&gt;Storniert",Buchungen!$S$8:$S$127,"&lt;"&amp;(ROUND(L$13*1440,0)+$B$9),Buchungen!$T$8:$T$127,"&gt;"&amp;ROUND(L$13*1440,0))-7))))</f>
        <v/>
      </c>
      <c r="M18" s="25" t="str">
        <f aca="false">IF(M$13="","",IF(COUNTIFS(Buchungen!$D$8:$D$127,$A18,Buchungen!$B$8:$B$127,$B$6,Buchungen!$N$8:$N$127,"&lt;&gt;Storniert",Buchungen!$S$8:$S$127,"&lt;"&amp;(ROUND(M$13*1440,0)+$B$9),Buchungen!$T$8:$T$127,"&gt;"&amp;ROUND(M$13*1440,0))=0,"",IF(COUNTIFS(Buchungen!$D$8:$D$127,$A18,Buchungen!$B$8:$B$127,$B$6,Buchungen!$N$8:$N$127,"&lt;&gt;Storniert",Buchungen!$S$8:$S$127,"&lt;"&amp;(ROUND(M$13*1440,0)+$B$9),Buchungen!$T$8:$T$127,"&gt;"&amp;ROUND(M$13*1440,0))&gt;1,"!",INDEX(Buchungen!$P$8:$P$127,SUMIFS(Buchungen!$R$8:$R$127,Buchungen!$D$8:$D$127,$A18,Buchungen!$B$8:$B$127,$B$6,Buchungen!$N$8:$N$127,"&lt;&gt;Storniert",Buchungen!$S$8:$S$127,"&lt;"&amp;(ROUND(M$13*1440,0)+$B$9),Buchungen!$T$8:$T$127,"&gt;"&amp;ROUND(M$13*1440,0))-7))))</f>
        <v/>
      </c>
      <c r="N18" s="25" t="str">
        <f aca="false">IF(N$13="","",IF(COUNTIFS(Buchungen!$D$8:$D$127,$A18,Buchungen!$B$8:$B$127,$B$6,Buchungen!$N$8:$N$127,"&lt;&gt;Storniert",Buchungen!$S$8:$S$127,"&lt;"&amp;(ROUND(N$13*1440,0)+$B$9),Buchungen!$T$8:$T$127,"&gt;"&amp;ROUND(N$13*1440,0))=0,"",IF(COUNTIFS(Buchungen!$D$8:$D$127,$A18,Buchungen!$B$8:$B$127,$B$6,Buchungen!$N$8:$N$127,"&lt;&gt;Storniert",Buchungen!$S$8:$S$127,"&lt;"&amp;(ROUND(N$13*1440,0)+$B$9),Buchungen!$T$8:$T$127,"&gt;"&amp;ROUND(N$13*1440,0))&gt;1,"!",INDEX(Buchungen!$P$8:$P$127,SUMIFS(Buchungen!$R$8:$R$127,Buchungen!$D$8:$D$127,$A18,Buchungen!$B$8:$B$127,$B$6,Buchungen!$N$8:$N$127,"&lt;&gt;Storniert",Buchungen!$S$8:$S$127,"&lt;"&amp;(ROUND(N$13*1440,0)+$B$9),Buchungen!$T$8:$T$127,"&gt;"&amp;ROUND(N$13*1440,0))-7))))</f>
        <v/>
      </c>
      <c r="O18" s="25" t="str">
        <f aca="false">IF(O$13="","",IF(COUNTIFS(Buchungen!$D$8:$D$127,$A18,Buchungen!$B$8:$B$127,$B$6,Buchungen!$N$8:$N$127,"&lt;&gt;Storniert",Buchungen!$S$8:$S$127,"&lt;"&amp;(ROUND(O$13*1440,0)+$B$9),Buchungen!$T$8:$T$127,"&gt;"&amp;ROUND(O$13*1440,0))=0,"",IF(COUNTIFS(Buchungen!$D$8:$D$127,$A18,Buchungen!$B$8:$B$127,$B$6,Buchungen!$N$8:$N$127,"&lt;&gt;Storniert",Buchungen!$S$8:$S$127,"&lt;"&amp;(ROUND(O$13*1440,0)+$B$9),Buchungen!$T$8:$T$127,"&gt;"&amp;ROUND(O$13*1440,0))&gt;1,"!",INDEX(Buchungen!$P$8:$P$127,SUMIFS(Buchungen!$R$8:$R$127,Buchungen!$D$8:$D$127,$A18,Buchungen!$B$8:$B$127,$B$6,Buchungen!$N$8:$N$127,"&lt;&gt;Storniert",Buchungen!$S$8:$S$127,"&lt;"&amp;(ROUND(O$13*1440,0)+$B$9),Buchungen!$T$8:$T$127,"&gt;"&amp;ROUND(O$13*1440,0))-7))))</f>
        <v/>
      </c>
      <c r="P18" s="25" t="str">
        <f aca="false">IF(P$13="","",IF(COUNTIFS(Buchungen!$D$8:$D$127,$A18,Buchungen!$B$8:$B$127,$B$6,Buchungen!$N$8:$N$127,"&lt;&gt;Storniert",Buchungen!$S$8:$S$127,"&lt;"&amp;(ROUND(P$13*1440,0)+$B$9),Buchungen!$T$8:$T$127,"&gt;"&amp;ROUND(P$13*1440,0))=0,"",IF(COUNTIFS(Buchungen!$D$8:$D$127,$A18,Buchungen!$B$8:$B$127,$B$6,Buchungen!$N$8:$N$127,"&lt;&gt;Storniert",Buchungen!$S$8:$S$127,"&lt;"&amp;(ROUND(P$13*1440,0)+$B$9),Buchungen!$T$8:$T$127,"&gt;"&amp;ROUND(P$13*1440,0))&gt;1,"!",INDEX(Buchungen!$P$8:$P$127,SUMIFS(Buchungen!$R$8:$R$127,Buchungen!$D$8:$D$127,$A18,Buchungen!$B$8:$B$127,$B$6,Buchungen!$N$8:$N$127,"&lt;&gt;Storniert",Buchungen!$S$8:$S$127,"&lt;"&amp;(ROUND(P$13*1440,0)+$B$9),Buchungen!$T$8:$T$127,"&gt;"&amp;ROUND(P$13*1440,0))-7))))</f>
        <v/>
      </c>
      <c r="Q18" s="25" t="str">
        <f aca="false">IF(Q$13="","",IF(COUNTIFS(Buchungen!$D$8:$D$127,$A18,Buchungen!$B$8:$B$127,$B$6,Buchungen!$N$8:$N$127,"&lt;&gt;Storniert",Buchungen!$S$8:$S$127,"&lt;"&amp;(ROUND(Q$13*1440,0)+$B$9),Buchungen!$T$8:$T$127,"&gt;"&amp;ROUND(Q$13*1440,0))=0,"",IF(COUNTIFS(Buchungen!$D$8:$D$127,$A18,Buchungen!$B$8:$B$127,$B$6,Buchungen!$N$8:$N$127,"&lt;&gt;Storniert",Buchungen!$S$8:$S$127,"&lt;"&amp;(ROUND(Q$13*1440,0)+$B$9),Buchungen!$T$8:$T$127,"&gt;"&amp;ROUND(Q$13*1440,0))&gt;1,"!",INDEX(Buchungen!$P$8:$P$127,SUMIFS(Buchungen!$R$8:$R$127,Buchungen!$D$8:$D$127,$A18,Buchungen!$B$8:$B$127,$B$6,Buchungen!$N$8:$N$127,"&lt;&gt;Storniert",Buchungen!$S$8:$S$127,"&lt;"&amp;(ROUND(Q$13*1440,0)+$B$9),Buchungen!$T$8:$T$127,"&gt;"&amp;ROUND(Q$13*1440,0))-7))))</f>
        <v/>
      </c>
      <c r="R18" s="25" t="str">
        <f aca="false">IF(R$13="","",IF(COUNTIFS(Buchungen!$D$8:$D$127,$A18,Buchungen!$B$8:$B$127,$B$6,Buchungen!$N$8:$N$127,"&lt;&gt;Storniert",Buchungen!$S$8:$S$127,"&lt;"&amp;(ROUND(R$13*1440,0)+$B$9),Buchungen!$T$8:$T$127,"&gt;"&amp;ROUND(R$13*1440,0))=0,"",IF(COUNTIFS(Buchungen!$D$8:$D$127,$A18,Buchungen!$B$8:$B$127,$B$6,Buchungen!$N$8:$N$127,"&lt;&gt;Storniert",Buchungen!$S$8:$S$127,"&lt;"&amp;(ROUND(R$13*1440,0)+$B$9),Buchungen!$T$8:$T$127,"&gt;"&amp;ROUND(R$13*1440,0))&gt;1,"!",INDEX(Buchungen!$P$8:$P$127,SUMIFS(Buchungen!$R$8:$R$127,Buchungen!$D$8:$D$127,$A18,Buchungen!$B$8:$B$127,$B$6,Buchungen!$N$8:$N$127,"&lt;&gt;Storniert",Buchungen!$S$8:$S$127,"&lt;"&amp;(ROUND(R$13*1440,0)+$B$9),Buchungen!$T$8:$T$127,"&gt;"&amp;ROUND(R$13*1440,0))-7))))</f>
        <v/>
      </c>
      <c r="S18" s="25" t="str">
        <f aca="false">IF(S$13="","",IF(COUNTIFS(Buchungen!$D$8:$D$127,$A18,Buchungen!$B$8:$B$127,$B$6,Buchungen!$N$8:$N$127,"&lt;&gt;Storniert",Buchungen!$S$8:$S$127,"&lt;"&amp;(ROUND(S$13*1440,0)+$B$9),Buchungen!$T$8:$T$127,"&gt;"&amp;ROUND(S$13*1440,0))=0,"",IF(COUNTIFS(Buchungen!$D$8:$D$127,$A18,Buchungen!$B$8:$B$127,$B$6,Buchungen!$N$8:$N$127,"&lt;&gt;Storniert",Buchungen!$S$8:$S$127,"&lt;"&amp;(ROUND(S$13*1440,0)+$B$9),Buchungen!$T$8:$T$127,"&gt;"&amp;ROUND(S$13*1440,0))&gt;1,"!",INDEX(Buchungen!$P$8:$P$127,SUMIFS(Buchungen!$R$8:$R$127,Buchungen!$D$8:$D$127,$A18,Buchungen!$B$8:$B$127,$B$6,Buchungen!$N$8:$N$127,"&lt;&gt;Storniert",Buchungen!$S$8:$S$127,"&lt;"&amp;(ROUND(S$13*1440,0)+$B$9),Buchungen!$T$8:$T$127,"&gt;"&amp;ROUND(S$13*1440,0))-7))))</f>
        <v/>
      </c>
      <c r="T18" s="25" t="str">
        <f aca="false">IF(T$13="","",IF(COUNTIFS(Buchungen!$D$8:$D$127,$A18,Buchungen!$B$8:$B$127,$B$6,Buchungen!$N$8:$N$127,"&lt;&gt;Storniert",Buchungen!$S$8:$S$127,"&lt;"&amp;(ROUND(T$13*1440,0)+$B$9),Buchungen!$T$8:$T$127,"&gt;"&amp;ROUND(T$13*1440,0))=0,"",IF(COUNTIFS(Buchungen!$D$8:$D$127,$A18,Buchungen!$B$8:$B$127,$B$6,Buchungen!$N$8:$N$127,"&lt;&gt;Storniert",Buchungen!$S$8:$S$127,"&lt;"&amp;(ROUND(T$13*1440,0)+$B$9),Buchungen!$T$8:$T$127,"&gt;"&amp;ROUND(T$13*1440,0))&gt;1,"!",INDEX(Buchungen!$P$8:$P$127,SUMIFS(Buchungen!$R$8:$R$127,Buchungen!$D$8:$D$127,$A18,Buchungen!$B$8:$B$127,$B$6,Buchungen!$N$8:$N$127,"&lt;&gt;Storniert",Buchungen!$S$8:$S$127,"&lt;"&amp;(ROUND(T$13*1440,0)+$B$9),Buchungen!$T$8:$T$127,"&gt;"&amp;ROUND(T$13*1440,0))-7))))</f>
        <v/>
      </c>
      <c r="U18" s="25" t="str">
        <f aca="false">IF(U$13="","",IF(COUNTIFS(Buchungen!$D$8:$D$127,$A18,Buchungen!$B$8:$B$127,$B$6,Buchungen!$N$8:$N$127,"&lt;&gt;Storniert",Buchungen!$S$8:$S$127,"&lt;"&amp;(ROUND(U$13*1440,0)+$B$9),Buchungen!$T$8:$T$127,"&gt;"&amp;ROUND(U$13*1440,0))=0,"",IF(COUNTIFS(Buchungen!$D$8:$D$127,$A18,Buchungen!$B$8:$B$127,$B$6,Buchungen!$N$8:$N$127,"&lt;&gt;Storniert",Buchungen!$S$8:$S$127,"&lt;"&amp;(ROUND(U$13*1440,0)+$B$9),Buchungen!$T$8:$T$127,"&gt;"&amp;ROUND(U$13*1440,0))&gt;1,"!",INDEX(Buchungen!$P$8:$P$127,SUMIFS(Buchungen!$R$8:$R$127,Buchungen!$D$8:$D$127,$A18,Buchungen!$B$8:$B$127,$B$6,Buchungen!$N$8:$N$127,"&lt;&gt;Storniert",Buchungen!$S$8:$S$127,"&lt;"&amp;(ROUND(U$13*1440,0)+$B$9),Buchungen!$T$8:$T$127,"&gt;"&amp;ROUND(U$13*1440,0))-7))))</f>
        <v/>
      </c>
      <c r="V18" s="25" t="str">
        <f aca="false">IF(V$13="","",IF(COUNTIFS(Buchungen!$D$8:$D$127,$A18,Buchungen!$B$8:$B$127,$B$6,Buchungen!$N$8:$N$127,"&lt;&gt;Storniert",Buchungen!$S$8:$S$127,"&lt;"&amp;(ROUND(V$13*1440,0)+$B$9),Buchungen!$T$8:$T$127,"&gt;"&amp;ROUND(V$13*1440,0))=0,"",IF(COUNTIFS(Buchungen!$D$8:$D$127,$A18,Buchungen!$B$8:$B$127,$B$6,Buchungen!$N$8:$N$127,"&lt;&gt;Storniert",Buchungen!$S$8:$S$127,"&lt;"&amp;(ROUND(V$13*1440,0)+$B$9),Buchungen!$T$8:$T$127,"&gt;"&amp;ROUND(V$13*1440,0))&gt;1,"!",INDEX(Buchungen!$P$8:$P$127,SUMIFS(Buchungen!$R$8:$R$127,Buchungen!$D$8:$D$127,$A18,Buchungen!$B$8:$B$127,$B$6,Buchungen!$N$8:$N$127,"&lt;&gt;Storniert",Buchungen!$S$8:$S$127,"&lt;"&amp;(ROUND(V$13*1440,0)+$B$9),Buchungen!$T$8:$T$127,"&gt;"&amp;ROUND(V$13*1440,0))-7))))</f>
        <v/>
      </c>
      <c r="W18" s="25" t="str">
        <f aca="false">IF(W$13="","",IF(COUNTIFS(Buchungen!$D$8:$D$127,$A18,Buchungen!$B$8:$B$127,$B$6,Buchungen!$N$8:$N$127,"&lt;&gt;Storniert",Buchungen!$S$8:$S$127,"&lt;"&amp;(ROUND(W$13*1440,0)+$B$9),Buchungen!$T$8:$T$127,"&gt;"&amp;ROUND(W$13*1440,0))=0,"",IF(COUNTIFS(Buchungen!$D$8:$D$127,$A18,Buchungen!$B$8:$B$127,$B$6,Buchungen!$N$8:$N$127,"&lt;&gt;Storniert",Buchungen!$S$8:$S$127,"&lt;"&amp;(ROUND(W$13*1440,0)+$B$9),Buchungen!$T$8:$T$127,"&gt;"&amp;ROUND(W$13*1440,0))&gt;1,"!",INDEX(Buchungen!$P$8:$P$127,SUMIFS(Buchungen!$R$8:$R$127,Buchungen!$D$8:$D$127,$A18,Buchungen!$B$8:$B$127,$B$6,Buchungen!$N$8:$N$127,"&lt;&gt;Storniert",Buchungen!$S$8:$S$127,"&lt;"&amp;(ROUND(W$13*1440,0)+$B$9),Buchungen!$T$8:$T$127,"&gt;"&amp;ROUND(W$13*1440,0))-7))))</f>
        <v/>
      </c>
      <c r="X18" s="25" t="str">
        <f aca="false">IF(X$13="","",IF(COUNTIFS(Buchungen!$D$8:$D$127,$A18,Buchungen!$B$8:$B$127,$B$6,Buchungen!$N$8:$N$127,"&lt;&gt;Storniert",Buchungen!$S$8:$S$127,"&lt;"&amp;(ROUND(X$13*1440,0)+$B$9),Buchungen!$T$8:$T$127,"&gt;"&amp;ROUND(X$13*1440,0))=0,"",IF(COUNTIFS(Buchungen!$D$8:$D$127,$A18,Buchungen!$B$8:$B$127,$B$6,Buchungen!$N$8:$N$127,"&lt;&gt;Storniert",Buchungen!$S$8:$S$127,"&lt;"&amp;(ROUND(X$13*1440,0)+$B$9),Buchungen!$T$8:$T$127,"&gt;"&amp;ROUND(X$13*1440,0))&gt;1,"!",INDEX(Buchungen!$P$8:$P$127,SUMIFS(Buchungen!$R$8:$R$127,Buchungen!$D$8:$D$127,$A18,Buchungen!$B$8:$B$127,$B$6,Buchungen!$N$8:$N$127,"&lt;&gt;Storniert",Buchungen!$S$8:$S$127,"&lt;"&amp;(ROUND(X$13*1440,0)+$B$9),Buchungen!$T$8:$T$127,"&gt;"&amp;ROUND(X$13*1440,0))-7))))</f>
        <v/>
      </c>
      <c r="Y18" s="25" t="str">
        <f aca="false">IF(Y$13="","",IF(COUNTIFS(Buchungen!$D$8:$D$127,$A18,Buchungen!$B$8:$B$127,$B$6,Buchungen!$N$8:$N$127,"&lt;&gt;Storniert",Buchungen!$S$8:$S$127,"&lt;"&amp;(ROUND(Y$13*1440,0)+$B$9),Buchungen!$T$8:$T$127,"&gt;"&amp;ROUND(Y$13*1440,0))=0,"",IF(COUNTIFS(Buchungen!$D$8:$D$127,$A18,Buchungen!$B$8:$B$127,$B$6,Buchungen!$N$8:$N$127,"&lt;&gt;Storniert",Buchungen!$S$8:$S$127,"&lt;"&amp;(ROUND(Y$13*1440,0)+$B$9),Buchungen!$T$8:$T$127,"&gt;"&amp;ROUND(Y$13*1440,0))&gt;1,"!",INDEX(Buchungen!$P$8:$P$127,SUMIFS(Buchungen!$R$8:$R$127,Buchungen!$D$8:$D$127,$A18,Buchungen!$B$8:$B$127,$B$6,Buchungen!$N$8:$N$127,"&lt;&gt;Storniert",Buchungen!$S$8:$S$127,"&lt;"&amp;(ROUND(Y$13*1440,0)+$B$9),Buchungen!$T$8:$T$127,"&gt;"&amp;ROUND(Y$13*1440,0))-7))))</f>
        <v/>
      </c>
      <c r="Z18" s="25" t="str">
        <f aca="false">IF(Z$13="","",IF(COUNTIFS(Buchungen!$D$8:$D$127,$A18,Buchungen!$B$8:$B$127,$B$6,Buchungen!$N$8:$N$127,"&lt;&gt;Storniert",Buchungen!$S$8:$S$127,"&lt;"&amp;(ROUND(Z$13*1440,0)+$B$9),Buchungen!$T$8:$T$127,"&gt;"&amp;ROUND(Z$13*1440,0))=0,"",IF(COUNTIFS(Buchungen!$D$8:$D$127,$A18,Buchungen!$B$8:$B$127,$B$6,Buchungen!$N$8:$N$127,"&lt;&gt;Storniert",Buchungen!$S$8:$S$127,"&lt;"&amp;(ROUND(Z$13*1440,0)+$B$9),Buchungen!$T$8:$T$127,"&gt;"&amp;ROUND(Z$13*1440,0))&gt;1,"!",INDEX(Buchungen!$P$8:$P$127,SUMIFS(Buchungen!$R$8:$R$127,Buchungen!$D$8:$D$127,$A18,Buchungen!$B$8:$B$127,$B$6,Buchungen!$N$8:$N$127,"&lt;&gt;Storniert",Buchungen!$S$8:$S$127,"&lt;"&amp;(ROUND(Z$13*1440,0)+$B$9),Buchungen!$T$8:$T$127,"&gt;"&amp;ROUND(Z$13*1440,0))-7))))</f>
        <v/>
      </c>
      <c r="AA18" s="25" t="str">
        <f aca="false">IF(AA$13="","",IF(COUNTIFS(Buchungen!$D$8:$D$127,$A18,Buchungen!$B$8:$B$127,$B$6,Buchungen!$N$8:$N$127,"&lt;&gt;Storniert",Buchungen!$S$8:$S$127,"&lt;"&amp;(ROUND(AA$13*1440,0)+$B$9),Buchungen!$T$8:$T$127,"&gt;"&amp;ROUND(AA$13*1440,0))=0,"",IF(COUNTIFS(Buchungen!$D$8:$D$127,$A18,Buchungen!$B$8:$B$127,$B$6,Buchungen!$N$8:$N$127,"&lt;&gt;Storniert",Buchungen!$S$8:$S$127,"&lt;"&amp;(ROUND(AA$13*1440,0)+$B$9),Buchungen!$T$8:$T$127,"&gt;"&amp;ROUND(AA$13*1440,0))&gt;1,"!",INDEX(Buchungen!$P$8:$P$127,SUMIFS(Buchungen!$R$8:$R$127,Buchungen!$D$8:$D$127,$A18,Buchungen!$B$8:$B$127,$B$6,Buchungen!$N$8:$N$127,"&lt;&gt;Storniert",Buchungen!$S$8:$S$127,"&lt;"&amp;(ROUND(AA$13*1440,0)+$B$9),Buchungen!$T$8:$T$127,"&gt;"&amp;ROUND(AA$13*1440,0))-7))))</f>
        <v/>
      </c>
      <c r="AB18" s="25" t="str">
        <f aca="false">IF(AB$13="","",IF(COUNTIFS(Buchungen!$D$8:$D$127,$A18,Buchungen!$B$8:$B$127,$B$6,Buchungen!$N$8:$N$127,"&lt;&gt;Storniert",Buchungen!$S$8:$S$127,"&lt;"&amp;(ROUND(AB$13*1440,0)+$B$9),Buchungen!$T$8:$T$127,"&gt;"&amp;ROUND(AB$13*1440,0))=0,"",IF(COUNTIFS(Buchungen!$D$8:$D$127,$A18,Buchungen!$B$8:$B$127,$B$6,Buchungen!$N$8:$N$127,"&lt;&gt;Storniert",Buchungen!$S$8:$S$127,"&lt;"&amp;(ROUND(AB$13*1440,0)+$B$9),Buchungen!$T$8:$T$127,"&gt;"&amp;ROUND(AB$13*1440,0))&gt;1,"!",INDEX(Buchungen!$P$8:$P$127,SUMIFS(Buchungen!$R$8:$R$127,Buchungen!$D$8:$D$127,$A18,Buchungen!$B$8:$B$127,$B$6,Buchungen!$N$8:$N$127,"&lt;&gt;Storniert",Buchungen!$S$8:$S$127,"&lt;"&amp;(ROUND(AB$13*1440,0)+$B$9),Buchungen!$T$8:$T$127,"&gt;"&amp;ROUND(AB$13*1440,0))-7))))</f>
        <v/>
      </c>
      <c r="AC18" s="26" t="n">
        <f aca="false">IF($A18="","",SUMIFS(Buchungen!$I$8:$I$127,Buchungen!$D$8:$D$127,$A18,Buchungen!$B$8:$B$127,$B$6,Buchungen!$N$8:$N$127,"&lt;&gt;Storniert"))</f>
        <v>1.5</v>
      </c>
      <c r="AD18" s="27" t="n">
        <f aca="false">IF($A18="","",IFERROR($AC18/($B$10*$B$9/60),0))</f>
        <v>0.115384615384615</v>
      </c>
      <c r="AE18" s="27" t="n">
        <f aca="false">IF($A18="","",IFERROR(AVERAGEIFS(Buchungen!$K$8:$K$127,Buchungen!$D$8:$D$127,$A18,Buchungen!$B$8:$B$127,$B$6,Buchungen!$N$8:$N$127,"Bestätigt")/Stammdaten!$D12,0))</f>
        <v>0</v>
      </c>
    </row>
    <row r="19" customFormat="false" ht="16.5" hidden="false" customHeight="true" outlineLevel="0" collapsed="false">
      <c r="A19" s="28" t="str">
        <f aca="false">IF(OR(Stammdaten!$A13="",Stammdaten!$F13="Nein"),"",Stammdaten!$A13)</f>
        <v>R-06</v>
      </c>
      <c r="B19" s="29" t="str">
        <f aca="false">IF($A19="","",Stammdaten!$B13&amp;"  ("&amp;Stammdaten!$D13&amp;" Plätze)")</f>
        <v>Seminarraum A  (24 Plätze)</v>
      </c>
      <c r="C19" s="30" t="str">
        <f aca="false">IF(C$13="","",IF(COUNTIFS(Buchungen!$D$8:$D$127,$A19,Buchungen!$B$8:$B$127,$B$6,Buchungen!$N$8:$N$127,"&lt;&gt;Storniert",Buchungen!$S$8:$S$127,"&lt;"&amp;(ROUND(C$13*1440,0)+$B$9),Buchungen!$T$8:$T$127,"&gt;"&amp;ROUND(C$13*1440,0))=0,"",IF(COUNTIFS(Buchungen!$D$8:$D$127,$A19,Buchungen!$B$8:$B$127,$B$6,Buchungen!$N$8:$N$127,"&lt;&gt;Storniert",Buchungen!$S$8:$S$127,"&lt;"&amp;(ROUND(C$13*1440,0)+$B$9),Buchungen!$T$8:$T$127,"&gt;"&amp;ROUND(C$13*1440,0))&gt;1,"!",INDEX(Buchungen!$P$8:$P$127,SUMIFS(Buchungen!$R$8:$R$127,Buchungen!$D$8:$D$127,$A19,Buchungen!$B$8:$B$127,$B$6,Buchungen!$N$8:$N$127,"&lt;&gt;Storniert",Buchungen!$S$8:$S$127,"&lt;"&amp;(ROUND(C$13*1440,0)+$B$9),Buchungen!$T$8:$T$127,"&gt;"&amp;ROUND(C$13*1440,0))-7))))</f>
        <v/>
      </c>
      <c r="D19" s="30" t="str">
        <f aca="false">IF(D$13="","",IF(COUNTIFS(Buchungen!$D$8:$D$127,$A19,Buchungen!$B$8:$B$127,$B$6,Buchungen!$N$8:$N$127,"&lt;&gt;Storniert",Buchungen!$S$8:$S$127,"&lt;"&amp;(ROUND(D$13*1440,0)+$B$9),Buchungen!$T$8:$T$127,"&gt;"&amp;ROUND(D$13*1440,0))=0,"",IF(COUNTIFS(Buchungen!$D$8:$D$127,$A19,Buchungen!$B$8:$B$127,$B$6,Buchungen!$N$8:$N$127,"&lt;&gt;Storniert",Buchungen!$S$8:$S$127,"&lt;"&amp;(ROUND(D$13*1440,0)+$B$9),Buchungen!$T$8:$T$127,"&gt;"&amp;ROUND(D$13*1440,0))&gt;1,"!",INDEX(Buchungen!$P$8:$P$127,SUMIFS(Buchungen!$R$8:$R$127,Buchungen!$D$8:$D$127,$A19,Buchungen!$B$8:$B$127,$B$6,Buchungen!$N$8:$N$127,"&lt;&gt;Storniert",Buchungen!$S$8:$S$127,"&lt;"&amp;(ROUND(D$13*1440,0)+$B$9),Buchungen!$T$8:$T$127,"&gt;"&amp;ROUND(D$13*1440,0))-7))))</f>
        <v>TEAM</v>
      </c>
      <c r="E19" s="30" t="str">
        <f aca="false">IF(E$13="","",IF(COUNTIFS(Buchungen!$D$8:$D$127,$A19,Buchungen!$B$8:$B$127,$B$6,Buchungen!$N$8:$N$127,"&lt;&gt;Storniert",Buchungen!$S$8:$S$127,"&lt;"&amp;(ROUND(E$13*1440,0)+$B$9),Buchungen!$T$8:$T$127,"&gt;"&amp;ROUND(E$13*1440,0))=0,"",IF(COUNTIFS(Buchungen!$D$8:$D$127,$A19,Buchungen!$B$8:$B$127,$B$6,Buchungen!$N$8:$N$127,"&lt;&gt;Storniert",Buchungen!$S$8:$S$127,"&lt;"&amp;(ROUND(E$13*1440,0)+$B$9),Buchungen!$T$8:$T$127,"&gt;"&amp;ROUND(E$13*1440,0))&gt;1,"!",INDEX(Buchungen!$P$8:$P$127,SUMIFS(Buchungen!$R$8:$R$127,Buchungen!$D$8:$D$127,$A19,Buchungen!$B$8:$B$127,$B$6,Buchungen!$N$8:$N$127,"&lt;&gt;Storniert",Buchungen!$S$8:$S$127,"&lt;"&amp;(ROUND(E$13*1440,0)+$B$9),Buchungen!$T$8:$T$127,"&gt;"&amp;ROUND(E$13*1440,0))-7))))</f>
        <v>TEAM</v>
      </c>
      <c r="F19" s="30" t="str">
        <f aca="false">IF(F$13="","",IF(COUNTIFS(Buchungen!$D$8:$D$127,$A19,Buchungen!$B$8:$B$127,$B$6,Buchungen!$N$8:$N$127,"&lt;&gt;Storniert",Buchungen!$S$8:$S$127,"&lt;"&amp;(ROUND(F$13*1440,0)+$B$9),Buchungen!$T$8:$T$127,"&gt;"&amp;ROUND(F$13*1440,0))=0,"",IF(COUNTIFS(Buchungen!$D$8:$D$127,$A19,Buchungen!$B$8:$B$127,$B$6,Buchungen!$N$8:$N$127,"&lt;&gt;Storniert",Buchungen!$S$8:$S$127,"&lt;"&amp;(ROUND(F$13*1440,0)+$B$9),Buchungen!$T$8:$T$127,"&gt;"&amp;ROUND(F$13*1440,0))&gt;1,"!",INDEX(Buchungen!$P$8:$P$127,SUMIFS(Buchungen!$R$8:$R$127,Buchungen!$D$8:$D$127,$A19,Buchungen!$B$8:$B$127,$B$6,Buchungen!$N$8:$N$127,"&lt;&gt;Storniert",Buchungen!$S$8:$S$127,"&lt;"&amp;(ROUND(F$13*1440,0)+$B$9),Buchungen!$T$8:$T$127,"&gt;"&amp;ROUND(F$13*1440,0))-7))))</f>
        <v/>
      </c>
      <c r="G19" s="30" t="str">
        <f aca="false">IF(G$13="","",IF(COUNTIFS(Buchungen!$D$8:$D$127,$A19,Buchungen!$B$8:$B$127,$B$6,Buchungen!$N$8:$N$127,"&lt;&gt;Storniert",Buchungen!$S$8:$S$127,"&lt;"&amp;(ROUND(G$13*1440,0)+$B$9),Buchungen!$T$8:$T$127,"&gt;"&amp;ROUND(G$13*1440,0))=0,"",IF(COUNTIFS(Buchungen!$D$8:$D$127,$A19,Buchungen!$B$8:$B$127,$B$6,Buchungen!$N$8:$N$127,"&lt;&gt;Storniert",Buchungen!$S$8:$S$127,"&lt;"&amp;(ROUND(G$13*1440,0)+$B$9),Buchungen!$T$8:$T$127,"&gt;"&amp;ROUND(G$13*1440,0))&gt;1,"!",INDEX(Buchungen!$P$8:$P$127,SUMIFS(Buchungen!$R$8:$R$127,Buchungen!$D$8:$D$127,$A19,Buchungen!$B$8:$B$127,$B$6,Buchungen!$N$8:$N$127,"&lt;&gt;Storniert",Buchungen!$S$8:$S$127,"&lt;"&amp;(ROUND(G$13*1440,0)+$B$9),Buchungen!$T$8:$T$127,"&gt;"&amp;ROUND(G$13*1440,0))-7))))</f>
        <v/>
      </c>
      <c r="H19" s="30" t="str">
        <f aca="false">IF(H$13="","",IF(COUNTIFS(Buchungen!$D$8:$D$127,$A19,Buchungen!$B$8:$B$127,$B$6,Buchungen!$N$8:$N$127,"&lt;&gt;Storniert",Buchungen!$S$8:$S$127,"&lt;"&amp;(ROUND(H$13*1440,0)+$B$9),Buchungen!$T$8:$T$127,"&gt;"&amp;ROUND(H$13*1440,0))=0,"",IF(COUNTIFS(Buchungen!$D$8:$D$127,$A19,Buchungen!$B$8:$B$127,$B$6,Buchungen!$N$8:$N$127,"&lt;&gt;Storniert",Buchungen!$S$8:$S$127,"&lt;"&amp;(ROUND(H$13*1440,0)+$B$9),Buchungen!$T$8:$T$127,"&gt;"&amp;ROUND(H$13*1440,0))&gt;1,"!",INDEX(Buchungen!$P$8:$P$127,SUMIFS(Buchungen!$R$8:$R$127,Buchungen!$D$8:$D$127,$A19,Buchungen!$B$8:$B$127,$B$6,Buchungen!$N$8:$N$127,"&lt;&gt;Storniert",Buchungen!$S$8:$S$127,"&lt;"&amp;(ROUND(H$13*1440,0)+$B$9),Buchungen!$T$8:$T$127,"&gt;"&amp;ROUND(H$13*1440,0))-7))))</f>
        <v>SITZ</v>
      </c>
      <c r="I19" s="30" t="str">
        <f aca="false">IF(I$13="","",IF(COUNTIFS(Buchungen!$D$8:$D$127,$A19,Buchungen!$B$8:$B$127,$B$6,Buchungen!$N$8:$N$127,"&lt;&gt;Storniert",Buchungen!$S$8:$S$127,"&lt;"&amp;(ROUND(I$13*1440,0)+$B$9),Buchungen!$T$8:$T$127,"&gt;"&amp;ROUND(I$13*1440,0))=0,"",IF(COUNTIFS(Buchungen!$D$8:$D$127,$A19,Buchungen!$B$8:$B$127,$B$6,Buchungen!$N$8:$N$127,"&lt;&gt;Storniert",Buchungen!$S$8:$S$127,"&lt;"&amp;(ROUND(I$13*1440,0)+$B$9),Buchungen!$T$8:$T$127,"&gt;"&amp;ROUND(I$13*1440,0))&gt;1,"!",INDEX(Buchungen!$P$8:$P$127,SUMIFS(Buchungen!$R$8:$R$127,Buchungen!$D$8:$D$127,$A19,Buchungen!$B$8:$B$127,$B$6,Buchungen!$N$8:$N$127,"&lt;&gt;Storniert",Buchungen!$S$8:$S$127,"&lt;"&amp;(ROUND(I$13*1440,0)+$B$9),Buchungen!$T$8:$T$127,"&gt;"&amp;ROUND(I$13*1440,0))-7))))</f>
        <v>SITZ</v>
      </c>
      <c r="J19" s="30" t="str">
        <f aca="false">IF(J$13="","",IF(COUNTIFS(Buchungen!$D$8:$D$127,$A19,Buchungen!$B$8:$B$127,$B$6,Buchungen!$N$8:$N$127,"&lt;&gt;Storniert",Buchungen!$S$8:$S$127,"&lt;"&amp;(ROUND(J$13*1440,0)+$B$9),Buchungen!$T$8:$T$127,"&gt;"&amp;ROUND(J$13*1440,0))=0,"",IF(COUNTIFS(Buchungen!$D$8:$D$127,$A19,Buchungen!$B$8:$B$127,$B$6,Buchungen!$N$8:$N$127,"&lt;&gt;Storniert",Buchungen!$S$8:$S$127,"&lt;"&amp;(ROUND(J$13*1440,0)+$B$9),Buchungen!$T$8:$T$127,"&gt;"&amp;ROUND(J$13*1440,0))&gt;1,"!",INDEX(Buchungen!$P$8:$P$127,SUMIFS(Buchungen!$R$8:$R$127,Buchungen!$D$8:$D$127,$A19,Buchungen!$B$8:$B$127,$B$6,Buchungen!$N$8:$N$127,"&lt;&gt;Storniert",Buchungen!$S$8:$S$127,"&lt;"&amp;(ROUND(J$13*1440,0)+$B$9),Buchungen!$T$8:$T$127,"&gt;"&amp;ROUND(J$13*1440,0))-7))))</f>
        <v/>
      </c>
      <c r="K19" s="30" t="str">
        <f aca="false">IF(K$13="","",IF(COUNTIFS(Buchungen!$D$8:$D$127,$A19,Buchungen!$B$8:$B$127,$B$6,Buchungen!$N$8:$N$127,"&lt;&gt;Storniert",Buchungen!$S$8:$S$127,"&lt;"&amp;(ROUND(K$13*1440,0)+$B$9),Buchungen!$T$8:$T$127,"&gt;"&amp;ROUND(K$13*1440,0))=0,"",IF(COUNTIFS(Buchungen!$D$8:$D$127,$A19,Buchungen!$B$8:$B$127,$B$6,Buchungen!$N$8:$N$127,"&lt;&gt;Storniert",Buchungen!$S$8:$S$127,"&lt;"&amp;(ROUND(K$13*1440,0)+$B$9),Buchungen!$T$8:$T$127,"&gt;"&amp;ROUND(K$13*1440,0))&gt;1,"!",INDEX(Buchungen!$P$8:$P$127,SUMIFS(Buchungen!$R$8:$R$127,Buchungen!$D$8:$D$127,$A19,Buchungen!$B$8:$B$127,$B$6,Buchungen!$N$8:$N$127,"&lt;&gt;Storniert",Buchungen!$S$8:$S$127,"&lt;"&amp;(ROUND(K$13*1440,0)+$B$9),Buchungen!$T$8:$T$127,"&gt;"&amp;ROUND(K$13*1440,0))-7))))</f>
        <v>SITZ*</v>
      </c>
      <c r="L19" s="30" t="str">
        <f aca="false">IF(L$13="","",IF(COUNTIFS(Buchungen!$D$8:$D$127,$A19,Buchungen!$B$8:$B$127,$B$6,Buchungen!$N$8:$N$127,"&lt;&gt;Storniert",Buchungen!$S$8:$S$127,"&lt;"&amp;(ROUND(L$13*1440,0)+$B$9),Buchungen!$T$8:$T$127,"&gt;"&amp;ROUND(L$13*1440,0))=0,"",IF(COUNTIFS(Buchungen!$D$8:$D$127,$A19,Buchungen!$B$8:$B$127,$B$6,Buchungen!$N$8:$N$127,"&lt;&gt;Storniert",Buchungen!$S$8:$S$127,"&lt;"&amp;(ROUND(L$13*1440,0)+$B$9),Buchungen!$T$8:$T$127,"&gt;"&amp;ROUND(L$13*1440,0))&gt;1,"!",INDEX(Buchungen!$P$8:$P$127,SUMIFS(Buchungen!$R$8:$R$127,Buchungen!$D$8:$D$127,$A19,Buchungen!$B$8:$B$127,$B$6,Buchungen!$N$8:$N$127,"&lt;&gt;Storniert",Buchungen!$S$8:$S$127,"&lt;"&amp;(ROUND(L$13*1440,0)+$B$9),Buchungen!$T$8:$T$127,"&gt;"&amp;ROUND(L$13*1440,0))-7))))</f>
        <v>SITZ*</v>
      </c>
      <c r="M19" s="30" t="str">
        <f aca="false">IF(M$13="","",IF(COUNTIFS(Buchungen!$D$8:$D$127,$A19,Buchungen!$B$8:$B$127,$B$6,Buchungen!$N$8:$N$127,"&lt;&gt;Storniert",Buchungen!$S$8:$S$127,"&lt;"&amp;(ROUND(M$13*1440,0)+$B$9),Buchungen!$T$8:$T$127,"&gt;"&amp;ROUND(M$13*1440,0))=0,"",IF(COUNTIFS(Buchungen!$D$8:$D$127,$A19,Buchungen!$B$8:$B$127,$B$6,Buchungen!$N$8:$N$127,"&lt;&gt;Storniert",Buchungen!$S$8:$S$127,"&lt;"&amp;(ROUND(M$13*1440,0)+$B$9),Buchungen!$T$8:$T$127,"&gt;"&amp;ROUND(M$13*1440,0))&gt;1,"!",INDEX(Buchungen!$P$8:$P$127,SUMIFS(Buchungen!$R$8:$R$127,Buchungen!$D$8:$D$127,$A19,Buchungen!$B$8:$B$127,$B$6,Buchungen!$N$8:$N$127,"&lt;&gt;Storniert",Buchungen!$S$8:$S$127,"&lt;"&amp;(ROUND(M$13*1440,0)+$B$9),Buchungen!$T$8:$T$127,"&gt;"&amp;ROUND(M$13*1440,0))-7))))</f>
        <v>SITZ*</v>
      </c>
      <c r="N19" s="30" t="str">
        <f aca="false">IF(N$13="","",IF(COUNTIFS(Buchungen!$D$8:$D$127,$A19,Buchungen!$B$8:$B$127,$B$6,Buchungen!$N$8:$N$127,"&lt;&gt;Storniert",Buchungen!$S$8:$S$127,"&lt;"&amp;(ROUND(N$13*1440,0)+$B$9),Buchungen!$T$8:$T$127,"&gt;"&amp;ROUND(N$13*1440,0))=0,"",IF(COUNTIFS(Buchungen!$D$8:$D$127,$A19,Buchungen!$B$8:$B$127,$B$6,Buchungen!$N$8:$N$127,"&lt;&gt;Storniert",Buchungen!$S$8:$S$127,"&lt;"&amp;(ROUND(N$13*1440,0)+$B$9),Buchungen!$T$8:$T$127,"&gt;"&amp;ROUND(N$13*1440,0))&gt;1,"!",INDEX(Buchungen!$P$8:$P$127,SUMIFS(Buchungen!$R$8:$R$127,Buchungen!$D$8:$D$127,$A19,Buchungen!$B$8:$B$127,$B$6,Buchungen!$N$8:$N$127,"&lt;&gt;Storniert",Buchungen!$S$8:$S$127,"&lt;"&amp;(ROUND(N$13*1440,0)+$B$9),Buchungen!$T$8:$T$127,"&gt;"&amp;ROUND(N$13*1440,0))-7))))</f>
        <v/>
      </c>
      <c r="O19" s="30" t="str">
        <f aca="false">IF(O$13="","",IF(COUNTIFS(Buchungen!$D$8:$D$127,$A19,Buchungen!$B$8:$B$127,$B$6,Buchungen!$N$8:$N$127,"&lt;&gt;Storniert",Buchungen!$S$8:$S$127,"&lt;"&amp;(ROUND(O$13*1440,0)+$B$9),Buchungen!$T$8:$T$127,"&gt;"&amp;ROUND(O$13*1440,0))=0,"",IF(COUNTIFS(Buchungen!$D$8:$D$127,$A19,Buchungen!$B$8:$B$127,$B$6,Buchungen!$N$8:$N$127,"&lt;&gt;Storniert",Buchungen!$S$8:$S$127,"&lt;"&amp;(ROUND(O$13*1440,0)+$B$9),Buchungen!$T$8:$T$127,"&gt;"&amp;ROUND(O$13*1440,0))&gt;1,"!",INDEX(Buchungen!$P$8:$P$127,SUMIFS(Buchungen!$R$8:$R$127,Buchungen!$D$8:$D$127,$A19,Buchungen!$B$8:$B$127,$B$6,Buchungen!$N$8:$N$127,"&lt;&gt;Storniert",Buchungen!$S$8:$S$127,"&lt;"&amp;(ROUND(O$13*1440,0)+$B$9),Buchungen!$T$8:$T$127,"&gt;"&amp;ROUND(O$13*1440,0))-7))))</f>
        <v/>
      </c>
      <c r="P19" s="30" t="str">
        <f aca="false">IF(P$13="","",IF(COUNTIFS(Buchungen!$D$8:$D$127,$A19,Buchungen!$B$8:$B$127,$B$6,Buchungen!$N$8:$N$127,"&lt;&gt;Storniert",Buchungen!$S$8:$S$127,"&lt;"&amp;(ROUND(P$13*1440,0)+$B$9),Buchungen!$T$8:$T$127,"&gt;"&amp;ROUND(P$13*1440,0))=0,"",IF(COUNTIFS(Buchungen!$D$8:$D$127,$A19,Buchungen!$B$8:$B$127,$B$6,Buchungen!$N$8:$N$127,"&lt;&gt;Storniert",Buchungen!$S$8:$S$127,"&lt;"&amp;(ROUND(P$13*1440,0)+$B$9),Buchungen!$T$8:$T$127,"&gt;"&amp;ROUND(P$13*1440,0))&gt;1,"!",INDEX(Buchungen!$P$8:$P$127,SUMIFS(Buchungen!$R$8:$R$127,Buchungen!$D$8:$D$127,$A19,Buchungen!$B$8:$B$127,$B$6,Buchungen!$N$8:$N$127,"&lt;&gt;Storniert",Buchungen!$S$8:$S$127,"&lt;"&amp;(ROUND(P$13*1440,0)+$B$9),Buchungen!$T$8:$T$127,"&gt;"&amp;ROUND(P$13*1440,0))-7))))</f>
        <v/>
      </c>
      <c r="Q19" s="30" t="str">
        <f aca="false">IF(Q$13="","",IF(COUNTIFS(Buchungen!$D$8:$D$127,$A19,Buchungen!$B$8:$B$127,$B$6,Buchungen!$N$8:$N$127,"&lt;&gt;Storniert",Buchungen!$S$8:$S$127,"&lt;"&amp;(ROUND(Q$13*1440,0)+$B$9),Buchungen!$T$8:$T$127,"&gt;"&amp;ROUND(Q$13*1440,0))=0,"",IF(COUNTIFS(Buchungen!$D$8:$D$127,$A19,Buchungen!$B$8:$B$127,$B$6,Buchungen!$N$8:$N$127,"&lt;&gt;Storniert",Buchungen!$S$8:$S$127,"&lt;"&amp;(ROUND(Q$13*1440,0)+$B$9),Buchungen!$T$8:$T$127,"&gt;"&amp;ROUND(Q$13*1440,0))&gt;1,"!",INDEX(Buchungen!$P$8:$P$127,SUMIFS(Buchungen!$R$8:$R$127,Buchungen!$D$8:$D$127,$A19,Buchungen!$B$8:$B$127,$B$6,Buchungen!$N$8:$N$127,"&lt;&gt;Storniert",Buchungen!$S$8:$S$127,"&lt;"&amp;(ROUND(Q$13*1440,0)+$B$9),Buchungen!$T$8:$T$127,"&gt;"&amp;ROUND(Q$13*1440,0))-7))))</f>
        <v/>
      </c>
      <c r="R19" s="30" t="str">
        <f aca="false">IF(R$13="","",IF(COUNTIFS(Buchungen!$D$8:$D$127,$A19,Buchungen!$B$8:$B$127,$B$6,Buchungen!$N$8:$N$127,"&lt;&gt;Storniert",Buchungen!$S$8:$S$127,"&lt;"&amp;(ROUND(R$13*1440,0)+$B$9),Buchungen!$T$8:$T$127,"&gt;"&amp;ROUND(R$13*1440,0))=0,"",IF(COUNTIFS(Buchungen!$D$8:$D$127,$A19,Buchungen!$B$8:$B$127,$B$6,Buchungen!$N$8:$N$127,"&lt;&gt;Storniert",Buchungen!$S$8:$S$127,"&lt;"&amp;(ROUND(R$13*1440,0)+$B$9),Buchungen!$T$8:$T$127,"&gt;"&amp;ROUND(R$13*1440,0))&gt;1,"!",INDEX(Buchungen!$P$8:$P$127,SUMIFS(Buchungen!$R$8:$R$127,Buchungen!$D$8:$D$127,$A19,Buchungen!$B$8:$B$127,$B$6,Buchungen!$N$8:$N$127,"&lt;&gt;Storniert",Buchungen!$S$8:$S$127,"&lt;"&amp;(ROUND(R$13*1440,0)+$B$9),Buchungen!$T$8:$T$127,"&gt;"&amp;ROUND(R$13*1440,0))-7))))</f>
        <v/>
      </c>
      <c r="S19" s="30" t="str">
        <f aca="false">IF(S$13="","",IF(COUNTIFS(Buchungen!$D$8:$D$127,$A19,Buchungen!$B$8:$B$127,$B$6,Buchungen!$N$8:$N$127,"&lt;&gt;Storniert",Buchungen!$S$8:$S$127,"&lt;"&amp;(ROUND(S$13*1440,0)+$B$9),Buchungen!$T$8:$T$127,"&gt;"&amp;ROUND(S$13*1440,0))=0,"",IF(COUNTIFS(Buchungen!$D$8:$D$127,$A19,Buchungen!$B$8:$B$127,$B$6,Buchungen!$N$8:$N$127,"&lt;&gt;Storniert",Buchungen!$S$8:$S$127,"&lt;"&amp;(ROUND(S$13*1440,0)+$B$9),Buchungen!$T$8:$T$127,"&gt;"&amp;ROUND(S$13*1440,0))&gt;1,"!",INDEX(Buchungen!$P$8:$P$127,SUMIFS(Buchungen!$R$8:$R$127,Buchungen!$D$8:$D$127,$A19,Buchungen!$B$8:$B$127,$B$6,Buchungen!$N$8:$N$127,"&lt;&gt;Storniert",Buchungen!$S$8:$S$127,"&lt;"&amp;(ROUND(S$13*1440,0)+$B$9),Buchungen!$T$8:$T$127,"&gt;"&amp;ROUND(S$13*1440,0))-7))))</f>
        <v/>
      </c>
      <c r="T19" s="30" t="str">
        <f aca="false">IF(T$13="","",IF(COUNTIFS(Buchungen!$D$8:$D$127,$A19,Buchungen!$B$8:$B$127,$B$6,Buchungen!$N$8:$N$127,"&lt;&gt;Storniert",Buchungen!$S$8:$S$127,"&lt;"&amp;(ROUND(T$13*1440,0)+$B$9),Buchungen!$T$8:$T$127,"&gt;"&amp;ROUND(T$13*1440,0))=0,"",IF(COUNTIFS(Buchungen!$D$8:$D$127,$A19,Buchungen!$B$8:$B$127,$B$6,Buchungen!$N$8:$N$127,"&lt;&gt;Storniert",Buchungen!$S$8:$S$127,"&lt;"&amp;(ROUND(T$13*1440,0)+$B$9),Buchungen!$T$8:$T$127,"&gt;"&amp;ROUND(T$13*1440,0))&gt;1,"!",INDEX(Buchungen!$P$8:$P$127,SUMIFS(Buchungen!$R$8:$R$127,Buchungen!$D$8:$D$127,$A19,Buchungen!$B$8:$B$127,$B$6,Buchungen!$N$8:$N$127,"&lt;&gt;Storniert",Buchungen!$S$8:$S$127,"&lt;"&amp;(ROUND(T$13*1440,0)+$B$9),Buchungen!$T$8:$T$127,"&gt;"&amp;ROUND(T$13*1440,0))-7))))</f>
        <v/>
      </c>
      <c r="U19" s="30" t="str">
        <f aca="false">IF(U$13="","",IF(COUNTIFS(Buchungen!$D$8:$D$127,$A19,Buchungen!$B$8:$B$127,$B$6,Buchungen!$N$8:$N$127,"&lt;&gt;Storniert",Buchungen!$S$8:$S$127,"&lt;"&amp;(ROUND(U$13*1440,0)+$B$9),Buchungen!$T$8:$T$127,"&gt;"&amp;ROUND(U$13*1440,0))=0,"",IF(COUNTIFS(Buchungen!$D$8:$D$127,$A19,Buchungen!$B$8:$B$127,$B$6,Buchungen!$N$8:$N$127,"&lt;&gt;Storniert",Buchungen!$S$8:$S$127,"&lt;"&amp;(ROUND(U$13*1440,0)+$B$9),Buchungen!$T$8:$T$127,"&gt;"&amp;ROUND(U$13*1440,0))&gt;1,"!",INDEX(Buchungen!$P$8:$P$127,SUMIFS(Buchungen!$R$8:$R$127,Buchungen!$D$8:$D$127,$A19,Buchungen!$B$8:$B$127,$B$6,Buchungen!$N$8:$N$127,"&lt;&gt;Storniert",Buchungen!$S$8:$S$127,"&lt;"&amp;(ROUND(U$13*1440,0)+$B$9),Buchungen!$T$8:$T$127,"&gt;"&amp;ROUND(U$13*1440,0))-7))))</f>
        <v/>
      </c>
      <c r="V19" s="30" t="str">
        <f aca="false">IF(V$13="","",IF(COUNTIFS(Buchungen!$D$8:$D$127,$A19,Buchungen!$B$8:$B$127,$B$6,Buchungen!$N$8:$N$127,"&lt;&gt;Storniert",Buchungen!$S$8:$S$127,"&lt;"&amp;(ROUND(V$13*1440,0)+$B$9),Buchungen!$T$8:$T$127,"&gt;"&amp;ROUND(V$13*1440,0))=0,"",IF(COUNTIFS(Buchungen!$D$8:$D$127,$A19,Buchungen!$B$8:$B$127,$B$6,Buchungen!$N$8:$N$127,"&lt;&gt;Storniert",Buchungen!$S$8:$S$127,"&lt;"&amp;(ROUND(V$13*1440,0)+$B$9),Buchungen!$T$8:$T$127,"&gt;"&amp;ROUND(V$13*1440,0))&gt;1,"!",INDEX(Buchungen!$P$8:$P$127,SUMIFS(Buchungen!$R$8:$R$127,Buchungen!$D$8:$D$127,$A19,Buchungen!$B$8:$B$127,$B$6,Buchungen!$N$8:$N$127,"&lt;&gt;Storniert",Buchungen!$S$8:$S$127,"&lt;"&amp;(ROUND(V$13*1440,0)+$B$9),Buchungen!$T$8:$T$127,"&gt;"&amp;ROUND(V$13*1440,0))-7))))</f>
        <v/>
      </c>
      <c r="W19" s="30" t="str">
        <f aca="false">IF(W$13="","",IF(COUNTIFS(Buchungen!$D$8:$D$127,$A19,Buchungen!$B$8:$B$127,$B$6,Buchungen!$N$8:$N$127,"&lt;&gt;Storniert",Buchungen!$S$8:$S$127,"&lt;"&amp;(ROUND(W$13*1440,0)+$B$9),Buchungen!$T$8:$T$127,"&gt;"&amp;ROUND(W$13*1440,0))=0,"",IF(COUNTIFS(Buchungen!$D$8:$D$127,$A19,Buchungen!$B$8:$B$127,$B$6,Buchungen!$N$8:$N$127,"&lt;&gt;Storniert",Buchungen!$S$8:$S$127,"&lt;"&amp;(ROUND(W$13*1440,0)+$B$9),Buchungen!$T$8:$T$127,"&gt;"&amp;ROUND(W$13*1440,0))&gt;1,"!",INDEX(Buchungen!$P$8:$P$127,SUMIFS(Buchungen!$R$8:$R$127,Buchungen!$D$8:$D$127,$A19,Buchungen!$B$8:$B$127,$B$6,Buchungen!$N$8:$N$127,"&lt;&gt;Storniert",Buchungen!$S$8:$S$127,"&lt;"&amp;(ROUND(W$13*1440,0)+$B$9),Buchungen!$T$8:$T$127,"&gt;"&amp;ROUND(W$13*1440,0))-7))))</f>
        <v/>
      </c>
      <c r="X19" s="30" t="str">
        <f aca="false">IF(X$13="","",IF(COUNTIFS(Buchungen!$D$8:$D$127,$A19,Buchungen!$B$8:$B$127,$B$6,Buchungen!$N$8:$N$127,"&lt;&gt;Storniert",Buchungen!$S$8:$S$127,"&lt;"&amp;(ROUND(X$13*1440,0)+$B$9),Buchungen!$T$8:$T$127,"&gt;"&amp;ROUND(X$13*1440,0))=0,"",IF(COUNTIFS(Buchungen!$D$8:$D$127,$A19,Buchungen!$B$8:$B$127,$B$6,Buchungen!$N$8:$N$127,"&lt;&gt;Storniert",Buchungen!$S$8:$S$127,"&lt;"&amp;(ROUND(X$13*1440,0)+$B$9),Buchungen!$T$8:$T$127,"&gt;"&amp;ROUND(X$13*1440,0))&gt;1,"!",INDEX(Buchungen!$P$8:$P$127,SUMIFS(Buchungen!$R$8:$R$127,Buchungen!$D$8:$D$127,$A19,Buchungen!$B$8:$B$127,$B$6,Buchungen!$N$8:$N$127,"&lt;&gt;Storniert",Buchungen!$S$8:$S$127,"&lt;"&amp;(ROUND(X$13*1440,0)+$B$9),Buchungen!$T$8:$T$127,"&gt;"&amp;ROUND(X$13*1440,0))-7))))</f>
        <v/>
      </c>
      <c r="Y19" s="30" t="str">
        <f aca="false">IF(Y$13="","",IF(COUNTIFS(Buchungen!$D$8:$D$127,$A19,Buchungen!$B$8:$B$127,$B$6,Buchungen!$N$8:$N$127,"&lt;&gt;Storniert",Buchungen!$S$8:$S$127,"&lt;"&amp;(ROUND(Y$13*1440,0)+$B$9),Buchungen!$T$8:$T$127,"&gt;"&amp;ROUND(Y$13*1440,0))=0,"",IF(COUNTIFS(Buchungen!$D$8:$D$127,$A19,Buchungen!$B$8:$B$127,$B$6,Buchungen!$N$8:$N$127,"&lt;&gt;Storniert",Buchungen!$S$8:$S$127,"&lt;"&amp;(ROUND(Y$13*1440,0)+$B$9),Buchungen!$T$8:$T$127,"&gt;"&amp;ROUND(Y$13*1440,0))&gt;1,"!",INDEX(Buchungen!$P$8:$P$127,SUMIFS(Buchungen!$R$8:$R$127,Buchungen!$D$8:$D$127,$A19,Buchungen!$B$8:$B$127,$B$6,Buchungen!$N$8:$N$127,"&lt;&gt;Storniert",Buchungen!$S$8:$S$127,"&lt;"&amp;(ROUND(Y$13*1440,0)+$B$9),Buchungen!$T$8:$T$127,"&gt;"&amp;ROUND(Y$13*1440,0))-7))))</f>
        <v/>
      </c>
      <c r="Z19" s="30" t="str">
        <f aca="false">IF(Z$13="","",IF(COUNTIFS(Buchungen!$D$8:$D$127,$A19,Buchungen!$B$8:$B$127,$B$6,Buchungen!$N$8:$N$127,"&lt;&gt;Storniert",Buchungen!$S$8:$S$127,"&lt;"&amp;(ROUND(Z$13*1440,0)+$B$9),Buchungen!$T$8:$T$127,"&gt;"&amp;ROUND(Z$13*1440,0))=0,"",IF(COUNTIFS(Buchungen!$D$8:$D$127,$A19,Buchungen!$B$8:$B$127,$B$6,Buchungen!$N$8:$N$127,"&lt;&gt;Storniert",Buchungen!$S$8:$S$127,"&lt;"&amp;(ROUND(Z$13*1440,0)+$B$9),Buchungen!$T$8:$T$127,"&gt;"&amp;ROUND(Z$13*1440,0))&gt;1,"!",INDEX(Buchungen!$P$8:$P$127,SUMIFS(Buchungen!$R$8:$R$127,Buchungen!$D$8:$D$127,$A19,Buchungen!$B$8:$B$127,$B$6,Buchungen!$N$8:$N$127,"&lt;&gt;Storniert",Buchungen!$S$8:$S$127,"&lt;"&amp;(ROUND(Z$13*1440,0)+$B$9),Buchungen!$T$8:$T$127,"&gt;"&amp;ROUND(Z$13*1440,0))-7))))</f>
        <v/>
      </c>
      <c r="AA19" s="30" t="str">
        <f aca="false">IF(AA$13="","",IF(COUNTIFS(Buchungen!$D$8:$D$127,$A19,Buchungen!$B$8:$B$127,$B$6,Buchungen!$N$8:$N$127,"&lt;&gt;Storniert",Buchungen!$S$8:$S$127,"&lt;"&amp;(ROUND(AA$13*1440,0)+$B$9),Buchungen!$T$8:$T$127,"&gt;"&amp;ROUND(AA$13*1440,0))=0,"",IF(COUNTIFS(Buchungen!$D$8:$D$127,$A19,Buchungen!$B$8:$B$127,$B$6,Buchungen!$N$8:$N$127,"&lt;&gt;Storniert",Buchungen!$S$8:$S$127,"&lt;"&amp;(ROUND(AA$13*1440,0)+$B$9),Buchungen!$T$8:$T$127,"&gt;"&amp;ROUND(AA$13*1440,0))&gt;1,"!",INDEX(Buchungen!$P$8:$P$127,SUMIFS(Buchungen!$R$8:$R$127,Buchungen!$D$8:$D$127,$A19,Buchungen!$B$8:$B$127,$B$6,Buchungen!$N$8:$N$127,"&lt;&gt;Storniert",Buchungen!$S$8:$S$127,"&lt;"&amp;(ROUND(AA$13*1440,0)+$B$9),Buchungen!$T$8:$T$127,"&gt;"&amp;ROUND(AA$13*1440,0))-7))))</f>
        <v/>
      </c>
      <c r="AB19" s="30" t="str">
        <f aca="false">IF(AB$13="","",IF(COUNTIFS(Buchungen!$D$8:$D$127,$A19,Buchungen!$B$8:$B$127,$B$6,Buchungen!$N$8:$N$127,"&lt;&gt;Storniert",Buchungen!$S$8:$S$127,"&lt;"&amp;(ROUND(AB$13*1440,0)+$B$9),Buchungen!$T$8:$T$127,"&gt;"&amp;ROUND(AB$13*1440,0))=0,"",IF(COUNTIFS(Buchungen!$D$8:$D$127,$A19,Buchungen!$B$8:$B$127,$B$6,Buchungen!$N$8:$N$127,"&lt;&gt;Storniert",Buchungen!$S$8:$S$127,"&lt;"&amp;(ROUND(AB$13*1440,0)+$B$9),Buchungen!$T$8:$T$127,"&gt;"&amp;ROUND(AB$13*1440,0))&gt;1,"!",INDEX(Buchungen!$P$8:$P$127,SUMIFS(Buchungen!$R$8:$R$127,Buchungen!$D$8:$D$127,$A19,Buchungen!$B$8:$B$127,$B$6,Buchungen!$N$8:$N$127,"&lt;&gt;Storniert",Buchungen!$S$8:$S$127,"&lt;"&amp;(ROUND(AB$13*1440,0)+$B$9),Buchungen!$T$8:$T$127,"&gt;"&amp;ROUND(AB$13*1440,0))-7))))</f>
        <v/>
      </c>
      <c r="AC19" s="31" t="n">
        <f aca="false">IF($A19="","",SUMIFS(Buchungen!$I$8:$I$127,Buchungen!$D$8:$D$127,$A19,Buchungen!$B$8:$B$127,$B$6,Buchungen!$N$8:$N$127,"&lt;&gt;Storniert"))</f>
        <v>3.5</v>
      </c>
      <c r="AD19" s="32" t="n">
        <f aca="false">IF($A19="","",IFERROR($AC19/($B$10*$B$9/60),0))</f>
        <v>0.269230769230769</v>
      </c>
      <c r="AE19" s="32" t="n">
        <f aca="false">IF($A19="","",IFERROR(AVERAGEIFS(Buchungen!$K$8:$K$127,Buchungen!$D$8:$D$127,$A19,Buchungen!$B$8:$B$127,$B$6,Buchungen!$N$8:$N$127,"Bestätigt")/Stammdaten!$D13,0))</f>
        <v>0.6875</v>
      </c>
    </row>
    <row r="20" customFormat="false" ht="16.5" hidden="false" customHeight="true" outlineLevel="0" collapsed="false">
      <c r="A20" s="23" t="str">
        <f aca="false">IF(OR(Stammdaten!$A14="",Stammdaten!$F14="Nein"),"",Stammdaten!$A14)</f>
        <v>R-07</v>
      </c>
      <c r="B20" s="24" t="str">
        <f aca="false">IF($A20="","",Stammdaten!$B14&amp;"  ("&amp;Stammdaten!$D14&amp;" Plätze)")</f>
        <v>Seminarraum B  (24 Plätze)</v>
      </c>
      <c r="C20" s="25" t="str">
        <f aca="false">IF(C$13="","",IF(COUNTIFS(Buchungen!$D$8:$D$127,$A20,Buchungen!$B$8:$B$127,$B$6,Buchungen!$N$8:$N$127,"&lt;&gt;Storniert",Buchungen!$S$8:$S$127,"&lt;"&amp;(ROUND(C$13*1440,0)+$B$9),Buchungen!$T$8:$T$127,"&gt;"&amp;ROUND(C$13*1440,0))=0,"",IF(COUNTIFS(Buchungen!$D$8:$D$127,$A20,Buchungen!$B$8:$B$127,$B$6,Buchungen!$N$8:$N$127,"&lt;&gt;Storniert",Buchungen!$S$8:$S$127,"&lt;"&amp;(ROUND(C$13*1440,0)+$B$9),Buchungen!$T$8:$T$127,"&gt;"&amp;ROUND(C$13*1440,0))&gt;1,"!",INDEX(Buchungen!$P$8:$P$127,SUMIFS(Buchungen!$R$8:$R$127,Buchungen!$D$8:$D$127,$A20,Buchungen!$B$8:$B$127,$B$6,Buchungen!$N$8:$N$127,"&lt;&gt;Storniert",Buchungen!$S$8:$S$127,"&lt;"&amp;(ROUND(C$13*1440,0)+$B$9),Buchungen!$T$8:$T$127,"&gt;"&amp;ROUND(C$13*1440,0))-7))))</f>
        <v/>
      </c>
      <c r="D20" s="25" t="str">
        <f aca="false">IF(D$13="","",IF(COUNTIFS(Buchungen!$D$8:$D$127,$A20,Buchungen!$B$8:$B$127,$B$6,Buchungen!$N$8:$N$127,"&lt;&gt;Storniert",Buchungen!$S$8:$S$127,"&lt;"&amp;(ROUND(D$13*1440,0)+$B$9),Buchungen!$T$8:$T$127,"&gt;"&amp;ROUND(D$13*1440,0))=0,"",IF(COUNTIFS(Buchungen!$D$8:$D$127,$A20,Buchungen!$B$8:$B$127,$B$6,Buchungen!$N$8:$N$127,"&lt;&gt;Storniert",Buchungen!$S$8:$S$127,"&lt;"&amp;(ROUND(D$13*1440,0)+$B$9),Buchungen!$T$8:$T$127,"&gt;"&amp;ROUND(D$13*1440,0))&gt;1,"!",INDEX(Buchungen!$P$8:$P$127,SUMIFS(Buchungen!$R$8:$R$127,Buchungen!$D$8:$D$127,$A20,Buchungen!$B$8:$B$127,$B$6,Buchungen!$N$8:$N$127,"&lt;&gt;Storniert",Buchungen!$S$8:$S$127,"&lt;"&amp;(ROUND(D$13*1440,0)+$B$9),Buchungen!$T$8:$T$127,"&gt;"&amp;ROUND(D$13*1440,0))-7))))</f>
        <v/>
      </c>
      <c r="E20" s="25" t="str">
        <f aca="false">IF(E$13="","",IF(COUNTIFS(Buchungen!$D$8:$D$127,$A20,Buchungen!$B$8:$B$127,$B$6,Buchungen!$N$8:$N$127,"&lt;&gt;Storniert",Buchungen!$S$8:$S$127,"&lt;"&amp;(ROUND(E$13*1440,0)+$B$9),Buchungen!$T$8:$T$127,"&gt;"&amp;ROUND(E$13*1440,0))=0,"",IF(COUNTIFS(Buchungen!$D$8:$D$127,$A20,Buchungen!$B$8:$B$127,$B$6,Buchungen!$N$8:$N$127,"&lt;&gt;Storniert",Buchungen!$S$8:$S$127,"&lt;"&amp;(ROUND(E$13*1440,0)+$B$9),Buchungen!$T$8:$T$127,"&gt;"&amp;ROUND(E$13*1440,0))&gt;1,"!",INDEX(Buchungen!$P$8:$P$127,SUMIFS(Buchungen!$R$8:$R$127,Buchungen!$D$8:$D$127,$A20,Buchungen!$B$8:$B$127,$B$6,Buchungen!$N$8:$N$127,"&lt;&gt;Storniert",Buchungen!$S$8:$S$127,"&lt;"&amp;(ROUND(E$13*1440,0)+$B$9),Buchungen!$T$8:$T$127,"&gt;"&amp;ROUND(E$13*1440,0))-7))))</f>
        <v/>
      </c>
      <c r="F20" s="25" t="str">
        <f aca="false">IF(F$13="","",IF(COUNTIFS(Buchungen!$D$8:$D$127,$A20,Buchungen!$B$8:$B$127,$B$6,Buchungen!$N$8:$N$127,"&lt;&gt;Storniert",Buchungen!$S$8:$S$127,"&lt;"&amp;(ROUND(F$13*1440,0)+$B$9),Buchungen!$T$8:$T$127,"&gt;"&amp;ROUND(F$13*1440,0))=0,"",IF(COUNTIFS(Buchungen!$D$8:$D$127,$A20,Buchungen!$B$8:$B$127,$B$6,Buchungen!$N$8:$N$127,"&lt;&gt;Storniert",Buchungen!$S$8:$S$127,"&lt;"&amp;(ROUND(F$13*1440,0)+$B$9),Buchungen!$T$8:$T$127,"&gt;"&amp;ROUND(F$13*1440,0))&gt;1,"!",INDEX(Buchungen!$P$8:$P$127,SUMIFS(Buchungen!$R$8:$R$127,Buchungen!$D$8:$D$127,$A20,Buchungen!$B$8:$B$127,$B$6,Buchungen!$N$8:$N$127,"&lt;&gt;Storniert",Buchungen!$S$8:$S$127,"&lt;"&amp;(ROUND(F$13*1440,0)+$B$9),Buchungen!$T$8:$T$127,"&gt;"&amp;ROUND(F$13*1440,0))-7))))</f>
        <v>ABT</v>
      </c>
      <c r="G20" s="25" t="str">
        <f aca="false">IF(G$13="","",IF(COUNTIFS(Buchungen!$D$8:$D$127,$A20,Buchungen!$B$8:$B$127,$B$6,Buchungen!$N$8:$N$127,"&lt;&gt;Storniert",Buchungen!$S$8:$S$127,"&lt;"&amp;(ROUND(G$13*1440,0)+$B$9),Buchungen!$T$8:$T$127,"&gt;"&amp;ROUND(G$13*1440,0))=0,"",IF(COUNTIFS(Buchungen!$D$8:$D$127,$A20,Buchungen!$B$8:$B$127,$B$6,Buchungen!$N$8:$N$127,"&lt;&gt;Storniert",Buchungen!$S$8:$S$127,"&lt;"&amp;(ROUND(G$13*1440,0)+$B$9),Buchungen!$T$8:$T$127,"&gt;"&amp;ROUND(G$13*1440,0))&gt;1,"!",INDEX(Buchungen!$P$8:$P$127,SUMIFS(Buchungen!$R$8:$R$127,Buchungen!$D$8:$D$127,$A20,Buchungen!$B$8:$B$127,$B$6,Buchungen!$N$8:$N$127,"&lt;&gt;Storniert",Buchungen!$S$8:$S$127,"&lt;"&amp;(ROUND(G$13*1440,0)+$B$9),Buchungen!$T$8:$T$127,"&gt;"&amp;ROUND(G$13*1440,0))-7))))</f>
        <v>ABT</v>
      </c>
      <c r="H20" s="25" t="str">
        <f aca="false">IF(H$13="","",IF(COUNTIFS(Buchungen!$D$8:$D$127,$A20,Buchungen!$B$8:$B$127,$B$6,Buchungen!$N$8:$N$127,"&lt;&gt;Storniert",Buchungen!$S$8:$S$127,"&lt;"&amp;(ROUND(H$13*1440,0)+$B$9),Buchungen!$T$8:$T$127,"&gt;"&amp;ROUND(H$13*1440,0))=0,"",IF(COUNTIFS(Buchungen!$D$8:$D$127,$A20,Buchungen!$B$8:$B$127,$B$6,Buchungen!$N$8:$N$127,"&lt;&gt;Storniert",Buchungen!$S$8:$S$127,"&lt;"&amp;(ROUND(H$13*1440,0)+$B$9),Buchungen!$T$8:$T$127,"&gt;"&amp;ROUND(H$13*1440,0))&gt;1,"!",INDEX(Buchungen!$P$8:$P$127,SUMIFS(Buchungen!$R$8:$R$127,Buchungen!$D$8:$D$127,$A20,Buchungen!$B$8:$B$127,$B$6,Buchungen!$N$8:$N$127,"&lt;&gt;Storniert",Buchungen!$S$8:$S$127,"&lt;"&amp;(ROUND(H$13*1440,0)+$B$9),Buchungen!$T$8:$T$127,"&gt;"&amp;ROUND(H$13*1440,0))-7))))</f>
        <v>ABT</v>
      </c>
      <c r="I20" s="25" t="str">
        <f aca="false">IF(I$13="","",IF(COUNTIFS(Buchungen!$D$8:$D$127,$A20,Buchungen!$B$8:$B$127,$B$6,Buchungen!$N$8:$N$127,"&lt;&gt;Storniert",Buchungen!$S$8:$S$127,"&lt;"&amp;(ROUND(I$13*1440,0)+$B$9),Buchungen!$T$8:$T$127,"&gt;"&amp;ROUND(I$13*1440,0))=0,"",IF(COUNTIFS(Buchungen!$D$8:$D$127,$A20,Buchungen!$B$8:$B$127,$B$6,Buchungen!$N$8:$N$127,"&lt;&gt;Storniert",Buchungen!$S$8:$S$127,"&lt;"&amp;(ROUND(I$13*1440,0)+$B$9),Buchungen!$T$8:$T$127,"&gt;"&amp;ROUND(I$13*1440,0))&gt;1,"!",INDEX(Buchungen!$P$8:$P$127,SUMIFS(Buchungen!$R$8:$R$127,Buchungen!$D$8:$D$127,$A20,Buchungen!$B$8:$B$127,$B$6,Buchungen!$N$8:$N$127,"&lt;&gt;Storniert",Buchungen!$S$8:$S$127,"&lt;"&amp;(ROUND(I$13*1440,0)+$B$9),Buchungen!$T$8:$T$127,"&gt;"&amp;ROUND(I$13*1440,0))-7))))</f>
        <v>ABT</v>
      </c>
      <c r="J20" s="25" t="str">
        <f aca="false">IF(J$13="","",IF(COUNTIFS(Buchungen!$D$8:$D$127,$A20,Buchungen!$B$8:$B$127,$B$6,Buchungen!$N$8:$N$127,"&lt;&gt;Storniert",Buchungen!$S$8:$S$127,"&lt;"&amp;(ROUND(J$13*1440,0)+$B$9),Buchungen!$T$8:$T$127,"&gt;"&amp;ROUND(J$13*1440,0))=0,"",IF(COUNTIFS(Buchungen!$D$8:$D$127,$A20,Buchungen!$B$8:$B$127,$B$6,Buchungen!$N$8:$N$127,"&lt;&gt;Storniert",Buchungen!$S$8:$S$127,"&lt;"&amp;(ROUND(J$13*1440,0)+$B$9),Buchungen!$T$8:$T$127,"&gt;"&amp;ROUND(J$13*1440,0))&gt;1,"!",INDEX(Buchungen!$P$8:$P$127,SUMIFS(Buchungen!$R$8:$R$127,Buchungen!$D$8:$D$127,$A20,Buchungen!$B$8:$B$127,$B$6,Buchungen!$N$8:$N$127,"&lt;&gt;Storniert",Buchungen!$S$8:$S$127,"&lt;"&amp;(ROUND(J$13*1440,0)+$B$9),Buchungen!$T$8:$T$127,"&gt;"&amp;ROUND(J$13*1440,0))-7))))</f>
        <v/>
      </c>
      <c r="K20" s="25" t="str">
        <f aca="false">IF(K$13="","",IF(COUNTIFS(Buchungen!$D$8:$D$127,$A20,Buchungen!$B$8:$B$127,$B$6,Buchungen!$N$8:$N$127,"&lt;&gt;Storniert",Buchungen!$S$8:$S$127,"&lt;"&amp;(ROUND(K$13*1440,0)+$B$9),Buchungen!$T$8:$T$127,"&gt;"&amp;ROUND(K$13*1440,0))=0,"",IF(COUNTIFS(Buchungen!$D$8:$D$127,$A20,Buchungen!$B$8:$B$127,$B$6,Buchungen!$N$8:$N$127,"&lt;&gt;Storniert",Buchungen!$S$8:$S$127,"&lt;"&amp;(ROUND(K$13*1440,0)+$B$9),Buchungen!$T$8:$T$127,"&gt;"&amp;ROUND(K$13*1440,0))&gt;1,"!",INDEX(Buchungen!$P$8:$P$127,SUMIFS(Buchungen!$R$8:$R$127,Buchungen!$D$8:$D$127,$A20,Buchungen!$B$8:$B$127,$B$6,Buchungen!$N$8:$N$127,"&lt;&gt;Storniert",Buchungen!$S$8:$S$127,"&lt;"&amp;(ROUND(K$13*1440,0)+$B$9),Buchungen!$T$8:$T$127,"&gt;"&amp;ROUND(K$13*1440,0))-7))))</f>
        <v/>
      </c>
      <c r="L20" s="25" t="str">
        <f aca="false">IF(L$13="","",IF(COUNTIFS(Buchungen!$D$8:$D$127,$A20,Buchungen!$B$8:$B$127,$B$6,Buchungen!$N$8:$N$127,"&lt;&gt;Storniert",Buchungen!$S$8:$S$127,"&lt;"&amp;(ROUND(L$13*1440,0)+$B$9),Buchungen!$T$8:$T$127,"&gt;"&amp;ROUND(L$13*1440,0))=0,"",IF(COUNTIFS(Buchungen!$D$8:$D$127,$A20,Buchungen!$B$8:$B$127,$B$6,Buchungen!$N$8:$N$127,"&lt;&gt;Storniert",Buchungen!$S$8:$S$127,"&lt;"&amp;(ROUND(L$13*1440,0)+$B$9),Buchungen!$T$8:$T$127,"&gt;"&amp;ROUND(L$13*1440,0))&gt;1,"!",INDEX(Buchungen!$P$8:$P$127,SUMIFS(Buchungen!$R$8:$R$127,Buchungen!$D$8:$D$127,$A20,Buchungen!$B$8:$B$127,$B$6,Buchungen!$N$8:$N$127,"&lt;&gt;Storniert",Buchungen!$S$8:$S$127,"&lt;"&amp;(ROUND(L$13*1440,0)+$B$9),Buchungen!$T$8:$T$127,"&gt;"&amp;ROUND(L$13*1440,0))-7))))</f>
        <v/>
      </c>
      <c r="M20" s="25" t="str">
        <f aca="false">IF(M$13="","",IF(COUNTIFS(Buchungen!$D$8:$D$127,$A20,Buchungen!$B$8:$B$127,$B$6,Buchungen!$N$8:$N$127,"&lt;&gt;Storniert",Buchungen!$S$8:$S$127,"&lt;"&amp;(ROUND(M$13*1440,0)+$B$9),Buchungen!$T$8:$T$127,"&gt;"&amp;ROUND(M$13*1440,0))=0,"",IF(COUNTIFS(Buchungen!$D$8:$D$127,$A20,Buchungen!$B$8:$B$127,$B$6,Buchungen!$N$8:$N$127,"&lt;&gt;Storniert",Buchungen!$S$8:$S$127,"&lt;"&amp;(ROUND(M$13*1440,0)+$B$9),Buchungen!$T$8:$T$127,"&gt;"&amp;ROUND(M$13*1440,0))&gt;1,"!",INDEX(Buchungen!$P$8:$P$127,SUMIFS(Buchungen!$R$8:$R$127,Buchungen!$D$8:$D$127,$A20,Buchungen!$B$8:$B$127,$B$6,Buchungen!$N$8:$N$127,"&lt;&gt;Storniert",Buchungen!$S$8:$S$127,"&lt;"&amp;(ROUND(M$13*1440,0)+$B$9),Buchungen!$T$8:$T$127,"&gt;"&amp;ROUND(M$13*1440,0))-7))))</f>
        <v/>
      </c>
      <c r="N20" s="25" t="str">
        <f aca="false">IF(N$13="","",IF(COUNTIFS(Buchungen!$D$8:$D$127,$A20,Buchungen!$B$8:$B$127,$B$6,Buchungen!$N$8:$N$127,"&lt;&gt;Storniert",Buchungen!$S$8:$S$127,"&lt;"&amp;(ROUND(N$13*1440,0)+$B$9),Buchungen!$T$8:$T$127,"&gt;"&amp;ROUND(N$13*1440,0))=0,"",IF(COUNTIFS(Buchungen!$D$8:$D$127,$A20,Buchungen!$B$8:$B$127,$B$6,Buchungen!$N$8:$N$127,"&lt;&gt;Storniert",Buchungen!$S$8:$S$127,"&lt;"&amp;(ROUND(N$13*1440,0)+$B$9),Buchungen!$T$8:$T$127,"&gt;"&amp;ROUND(N$13*1440,0))&gt;1,"!",INDEX(Buchungen!$P$8:$P$127,SUMIFS(Buchungen!$R$8:$R$127,Buchungen!$D$8:$D$127,$A20,Buchungen!$B$8:$B$127,$B$6,Buchungen!$N$8:$N$127,"&lt;&gt;Storniert",Buchungen!$S$8:$S$127,"&lt;"&amp;(ROUND(N$13*1440,0)+$B$9),Buchungen!$T$8:$T$127,"&gt;"&amp;ROUND(N$13*1440,0))-7))))</f>
        <v>ONBO</v>
      </c>
      <c r="O20" s="25" t="str">
        <f aca="false">IF(O$13="","",IF(COUNTIFS(Buchungen!$D$8:$D$127,$A20,Buchungen!$B$8:$B$127,$B$6,Buchungen!$N$8:$N$127,"&lt;&gt;Storniert",Buchungen!$S$8:$S$127,"&lt;"&amp;(ROUND(O$13*1440,0)+$B$9),Buchungen!$T$8:$T$127,"&gt;"&amp;ROUND(O$13*1440,0))=0,"",IF(COUNTIFS(Buchungen!$D$8:$D$127,$A20,Buchungen!$B$8:$B$127,$B$6,Buchungen!$N$8:$N$127,"&lt;&gt;Storniert",Buchungen!$S$8:$S$127,"&lt;"&amp;(ROUND(O$13*1440,0)+$B$9),Buchungen!$T$8:$T$127,"&gt;"&amp;ROUND(O$13*1440,0))&gt;1,"!",INDEX(Buchungen!$P$8:$P$127,SUMIFS(Buchungen!$R$8:$R$127,Buchungen!$D$8:$D$127,$A20,Buchungen!$B$8:$B$127,$B$6,Buchungen!$N$8:$N$127,"&lt;&gt;Storniert",Buchungen!$S$8:$S$127,"&lt;"&amp;(ROUND(O$13*1440,0)+$B$9),Buchungen!$T$8:$T$127,"&gt;"&amp;ROUND(O$13*1440,0))-7))))</f>
        <v>ONBO</v>
      </c>
      <c r="P20" s="25" t="str">
        <f aca="false">IF(P$13="","",IF(COUNTIFS(Buchungen!$D$8:$D$127,$A20,Buchungen!$B$8:$B$127,$B$6,Buchungen!$N$8:$N$127,"&lt;&gt;Storniert",Buchungen!$S$8:$S$127,"&lt;"&amp;(ROUND(P$13*1440,0)+$B$9),Buchungen!$T$8:$T$127,"&gt;"&amp;ROUND(P$13*1440,0))=0,"",IF(COUNTIFS(Buchungen!$D$8:$D$127,$A20,Buchungen!$B$8:$B$127,$B$6,Buchungen!$N$8:$N$127,"&lt;&gt;Storniert",Buchungen!$S$8:$S$127,"&lt;"&amp;(ROUND(P$13*1440,0)+$B$9),Buchungen!$T$8:$T$127,"&gt;"&amp;ROUND(P$13*1440,0))&gt;1,"!",INDEX(Buchungen!$P$8:$P$127,SUMIFS(Buchungen!$R$8:$R$127,Buchungen!$D$8:$D$127,$A20,Buchungen!$B$8:$B$127,$B$6,Buchungen!$N$8:$N$127,"&lt;&gt;Storniert",Buchungen!$S$8:$S$127,"&lt;"&amp;(ROUND(P$13*1440,0)+$B$9),Buchungen!$T$8:$T$127,"&gt;"&amp;ROUND(P$13*1440,0))-7))))</f>
        <v>ONBO</v>
      </c>
      <c r="Q20" s="25" t="str">
        <f aca="false">IF(Q$13="","",IF(COUNTIFS(Buchungen!$D$8:$D$127,$A20,Buchungen!$B$8:$B$127,$B$6,Buchungen!$N$8:$N$127,"&lt;&gt;Storniert",Buchungen!$S$8:$S$127,"&lt;"&amp;(ROUND(Q$13*1440,0)+$B$9),Buchungen!$T$8:$T$127,"&gt;"&amp;ROUND(Q$13*1440,0))=0,"",IF(COUNTIFS(Buchungen!$D$8:$D$127,$A20,Buchungen!$B$8:$B$127,$B$6,Buchungen!$N$8:$N$127,"&lt;&gt;Storniert",Buchungen!$S$8:$S$127,"&lt;"&amp;(ROUND(Q$13*1440,0)+$B$9),Buchungen!$T$8:$T$127,"&gt;"&amp;ROUND(Q$13*1440,0))&gt;1,"!",INDEX(Buchungen!$P$8:$P$127,SUMIFS(Buchungen!$R$8:$R$127,Buchungen!$D$8:$D$127,$A20,Buchungen!$B$8:$B$127,$B$6,Buchungen!$N$8:$N$127,"&lt;&gt;Storniert",Buchungen!$S$8:$S$127,"&lt;"&amp;(ROUND(Q$13*1440,0)+$B$9),Buchungen!$T$8:$T$127,"&gt;"&amp;ROUND(Q$13*1440,0))-7))))</f>
        <v>ONBO</v>
      </c>
      <c r="R20" s="25" t="str">
        <f aca="false">IF(R$13="","",IF(COUNTIFS(Buchungen!$D$8:$D$127,$A20,Buchungen!$B$8:$B$127,$B$6,Buchungen!$N$8:$N$127,"&lt;&gt;Storniert",Buchungen!$S$8:$S$127,"&lt;"&amp;(ROUND(R$13*1440,0)+$B$9),Buchungen!$T$8:$T$127,"&gt;"&amp;ROUND(R$13*1440,0))=0,"",IF(COUNTIFS(Buchungen!$D$8:$D$127,$A20,Buchungen!$B$8:$B$127,$B$6,Buchungen!$N$8:$N$127,"&lt;&gt;Storniert",Buchungen!$S$8:$S$127,"&lt;"&amp;(ROUND(R$13*1440,0)+$B$9),Buchungen!$T$8:$T$127,"&gt;"&amp;ROUND(R$13*1440,0))&gt;1,"!",INDEX(Buchungen!$P$8:$P$127,SUMIFS(Buchungen!$R$8:$R$127,Buchungen!$D$8:$D$127,$A20,Buchungen!$B$8:$B$127,$B$6,Buchungen!$N$8:$N$127,"&lt;&gt;Storniert",Buchungen!$S$8:$S$127,"&lt;"&amp;(ROUND(R$13*1440,0)+$B$9),Buchungen!$T$8:$T$127,"&gt;"&amp;ROUND(R$13*1440,0))-7))))</f>
        <v/>
      </c>
      <c r="S20" s="25" t="str">
        <f aca="false">IF(S$13="","",IF(COUNTIFS(Buchungen!$D$8:$D$127,$A20,Buchungen!$B$8:$B$127,$B$6,Buchungen!$N$8:$N$127,"&lt;&gt;Storniert",Buchungen!$S$8:$S$127,"&lt;"&amp;(ROUND(S$13*1440,0)+$B$9),Buchungen!$T$8:$T$127,"&gt;"&amp;ROUND(S$13*1440,0))=0,"",IF(COUNTIFS(Buchungen!$D$8:$D$127,$A20,Buchungen!$B$8:$B$127,$B$6,Buchungen!$N$8:$N$127,"&lt;&gt;Storniert",Buchungen!$S$8:$S$127,"&lt;"&amp;(ROUND(S$13*1440,0)+$B$9),Buchungen!$T$8:$T$127,"&gt;"&amp;ROUND(S$13*1440,0))&gt;1,"!",INDEX(Buchungen!$P$8:$P$127,SUMIFS(Buchungen!$R$8:$R$127,Buchungen!$D$8:$D$127,$A20,Buchungen!$B$8:$B$127,$B$6,Buchungen!$N$8:$N$127,"&lt;&gt;Storniert",Buchungen!$S$8:$S$127,"&lt;"&amp;(ROUND(S$13*1440,0)+$B$9),Buchungen!$T$8:$T$127,"&gt;"&amp;ROUND(S$13*1440,0))-7))))</f>
        <v/>
      </c>
      <c r="T20" s="25" t="str">
        <f aca="false">IF(T$13="","",IF(COUNTIFS(Buchungen!$D$8:$D$127,$A20,Buchungen!$B$8:$B$127,$B$6,Buchungen!$N$8:$N$127,"&lt;&gt;Storniert",Buchungen!$S$8:$S$127,"&lt;"&amp;(ROUND(T$13*1440,0)+$B$9),Buchungen!$T$8:$T$127,"&gt;"&amp;ROUND(T$13*1440,0))=0,"",IF(COUNTIFS(Buchungen!$D$8:$D$127,$A20,Buchungen!$B$8:$B$127,$B$6,Buchungen!$N$8:$N$127,"&lt;&gt;Storniert",Buchungen!$S$8:$S$127,"&lt;"&amp;(ROUND(T$13*1440,0)+$B$9),Buchungen!$T$8:$T$127,"&gt;"&amp;ROUND(T$13*1440,0))&gt;1,"!",INDEX(Buchungen!$P$8:$P$127,SUMIFS(Buchungen!$R$8:$R$127,Buchungen!$D$8:$D$127,$A20,Buchungen!$B$8:$B$127,$B$6,Buchungen!$N$8:$N$127,"&lt;&gt;Storniert",Buchungen!$S$8:$S$127,"&lt;"&amp;(ROUND(T$13*1440,0)+$B$9),Buchungen!$T$8:$T$127,"&gt;"&amp;ROUND(T$13*1440,0))-7))))</f>
        <v>KUND</v>
      </c>
      <c r="U20" s="25" t="str">
        <f aca="false">IF(U$13="","",IF(COUNTIFS(Buchungen!$D$8:$D$127,$A20,Buchungen!$B$8:$B$127,$B$6,Buchungen!$N$8:$N$127,"&lt;&gt;Storniert",Buchungen!$S$8:$S$127,"&lt;"&amp;(ROUND(U$13*1440,0)+$B$9),Buchungen!$T$8:$T$127,"&gt;"&amp;ROUND(U$13*1440,0))=0,"",IF(COUNTIFS(Buchungen!$D$8:$D$127,$A20,Buchungen!$B$8:$B$127,$B$6,Buchungen!$N$8:$N$127,"&lt;&gt;Storniert",Buchungen!$S$8:$S$127,"&lt;"&amp;(ROUND(U$13*1440,0)+$B$9),Buchungen!$T$8:$T$127,"&gt;"&amp;ROUND(U$13*1440,0))&gt;1,"!",INDEX(Buchungen!$P$8:$P$127,SUMIFS(Buchungen!$R$8:$R$127,Buchungen!$D$8:$D$127,$A20,Buchungen!$B$8:$B$127,$B$6,Buchungen!$N$8:$N$127,"&lt;&gt;Storniert",Buchungen!$S$8:$S$127,"&lt;"&amp;(ROUND(U$13*1440,0)+$B$9),Buchungen!$T$8:$T$127,"&gt;"&amp;ROUND(U$13*1440,0))-7))))</f>
        <v>KUND</v>
      </c>
      <c r="V20" s="25" t="str">
        <f aca="false">IF(V$13="","",IF(COUNTIFS(Buchungen!$D$8:$D$127,$A20,Buchungen!$B$8:$B$127,$B$6,Buchungen!$N$8:$N$127,"&lt;&gt;Storniert",Buchungen!$S$8:$S$127,"&lt;"&amp;(ROUND(V$13*1440,0)+$B$9),Buchungen!$T$8:$T$127,"&gt;"&amp;ROUND(V$13*1440,0))=0,"",IF(COUNTIFS(Buchungen!$D$8:$D$127,$A20,Buchungen!$B$8:$B$127,$B$6,Buchungen!$N$8:$N$127,"&lt;&gt;Storniert",Buchungen!$S$8:$S$127,"&lt;"&amp;(ROUND(V$13*1440,0)+$B$9),Buchungen!$T$8:$T$127,"&gt;"&amp;ROUND(V$13*1440,0))&gt;1,"!",INDEX(Buchungen!$P$8:$P$127,SUMIFS(Buchungen!$R$8:$R$127,Buchungen!$D$8:$D$127,$A20,Buchungen!$B$8:$B$127,$B$6,Buchungen!$N$8:$N$127,"&lt;&gt;Storniert",Buchungen!$S$8:$S$127,"&lt;"&amp;(ROUND(V$13*1440,0)+$B$9),Buchungen!$T$8:$T$127,"&gt;"&amp;ROUND(V$13*1440,0))-7))))</f>
        <v>KUND</v>
      </c>
      <c r="W20" s="25" t="str">
        <f aca="false">IF(W$13="","",IF(COUNTIFS(Buchungen!$D$8:$D$127,$A20,Buchungen!$B$8:$B$127,$B$6,Buchungen!$N$8:$N$127,"&lt;&gt;Storniert",Buchungen!$S$8:$S$127,"&lt;"&amp;(ROUND(W$13*1440,0)+$B$9),Buchungen!$T$8:$T$127,"&gt;"&amp;ROUND(W$13*1440,0))=0,"",IF(COUNTIFS(Buchungen!$D$8:$D$127,$A20,Buchungen!$B$8:$B$127,$B$6,Buchungen!$N$8:$N$127,"&lt;&gt;Storniert",Buchungen!$S$8:$S$127,"&lt;"&amp;(ROUND(W$13*1440,0)+$B$9),Buchungen!$T$8:$T$127,"&gt;"&amp;ROUND(W$13*1440,0))&gt;1,"!",INDEX(Buchungen!$P$8:$P$127,SUMIFS(Buchungen!$R$8:$R$127,Buchungen!$D$8:$D$127,$A20,Buchungen!$B$8:$B$127,$B$6,Buchungen!$N$8:$N$127,"&lt;&gt;Storniert",Buchungen!$S$8:$S$127,"&lt;"&amp;(ROUND(W$13*1440,0)+$B$9),Buchungen!$T$8:$T$127,"&gt;"&amp;ROUND(W$13*1440,0))-7))))</f>
        <v/>
      </c>
      <c r="X20" s="25" t="str">
        <f aca="false">IF(X$13="","",IF(COUNTIFS(Buchungen!$D$8:$D$127,$A20,Buchungen!$B$8:$B$127,$B$6,Buchungen!$N$8:$N$127,"&lt;&gt;Storniert",Buchungen!$S$8:$S$127,"&lt;"&amp;(ROUND(X$13*1440,0)+$B$9),Buchungen!$T$8:$T$127,"&gt;"&amp;ROUND(X$13*1440,0))=0,"",IF(COUNTIFS(Buchungen!$D$8:$D$127,$A20,Buchungen!$B$8:$B$127,$B$6,Buchungen!$N$8:$N$127,"&lt;&gt;Storniert",Buchungen!$S$8:$S$127,"&lt;"&amp;(ROUND(X$13*1440,0)+$B$9),Buchungen!$T$8:$T$127,"&gt;"&amp;ROUND(X$13*1440,0))&gt;1,"!",INDEX(Buchungen!$P$8:$P$127,SUMIFS(Buchungen!$R$8:$R$127,Buchungen!$D$8:$D$127,$A20,Buchungen!$B$8:$B$127,$B$6,Buchungen!$N$8:$N$127,"&lt;&gt;Storniert",Buchungen!$S$8:$S$127,"&lt;"&amp;(ROUND(X$13*1440,0)+$B$9),Buchungen!$T$8:$T$127,"&gt;"&amp;ROUND(X$13*1440,0))-7))))</f>
        <v/>
      </c>
      <c r="Y20" s="25" t="str">
        <f aca="false">IF(Y$13="","",IF(COUNTIFS(Buchungen!$D$8:$D$127,$A20,Buchungen!$B$8:$B$127,$B$6,Buchungen!$N$8:$N$127,"&lt;&gt;Storniert",Buchungen!$S$8:$S$127,"&lt;"&amp;(ROUND(Y$13*1440,0)+$B$9),Buchungen!$T$8:$T$127,"&gt;"&amp;ROUND(Y$13*1440,0))=0,"",IF(COUNTIFS(Buchungen!$D$8:$D$127,$A20,Buchungen!$B$8:$B$127,$B$6,Buchungen!$N$8:$N$127,"&lt;&gt;Storniert",Buchungen!$S$8:$S$127,"&lt;"&amp;(ROUND(Y$13*1440,0)+$B$9),Buchungen!$T$8:$T$127,"&gt;"&amp;ROUND(Y$13*1440,0))&gt;1,"!",INDEX(Buchungen!$P$8:$P$127,SUMIFS(Buchungen!$R$8:$R$127,Buchungen!$D$8:$D$127,$A20,Buchungen!$B$8:$B$127,$B$6,Buchungen!$N$8:$N$127,"&lt;&gt;Storniert",Buchungen!$S$8:$S$127,"&lt;"&amp;(ROUND(Y$13*1440,0)+$B$9),Buchungen!$T$8:$T$127,"&gt;"&amp;ROUND(Y$13*1440,0))-7))))</f>
        <v/>
      </c>
      <c r="Z20" s="25" t="str">
        <f aca="false">IF(Z$13="","",IF(COUNTIFS(Buchungen!$D$8:$D$127,$A20,Buchungen!$B$8:$B$127,$B$6,Buchungen!$N$8:$N$127,"&lt;&gt;Storniert",Buchungen!$S$8:$S$127,"&lt;"&amp;(ROUND(Z$13*1440,0)+$B$9),Buchungen!$T$8:$T$127,"&gt;"&amp;ROUND(Z$13*1440,0))=0,"",IF(COUNTIFS(Buchungen!$D$8:$D$127,$A20,Buchungen!$B$8:$B$127,$B$6,Buchungen!$N$8:$N$127,"&lt;&gt;Storniert",Buchungen!$S$8:$S$127,"&lt;"&amp;(ROUND(Z$13*1440,0)+$B$9),Buchungen!$T$8:$T$127,"&gt;"&amp;ROUND(Z$13*1440,0))&gt;1,"!",INDEX(Buchungen!$P$8:$P$127,SUMIFS(Buchungen!$R$8:$R$127,Buchungen!$D$8:$D$127,$A20,Buchungen!$B$8:$B$127,$B$6,Buchungen!$N$8:$N$127,"&lt;&gt;Storniert",Buchungen!$S$8:$S$127,"&lt;"&amp;(ROUND(Z$13*1440,0)+$B$9),Buchungen!$T$8:$T$127,"&gt;"&amp;ROUND(Z$13*1440,0))-7))))</f>
        <v/>
      </c>
      <c r="AA20" s="25" t="str">
        <f aca="false">IF(AA$13="","",IF(COUNTIFS(Buchungen!$D$8:$D$127,$A20,Buchungen!$B$8:$B$127,$B$6,Buchungen!$N$8:$N$127,"&lt;&gt;Storniert",Buchungen!$S$8:$S$127,"&lt;"&amp;(ROUND(AA$13*1440,0)+$B$9),Buchungen!$T$8:$T$127,"&gt;"&amp;ROUND(AA$13*1440,0))=0,"",IF(COUNTIFS(Buchungen!$D$8:$D$127,$A20,Buchungen!$B$8:$B$127,$B$6,Buchungen!$N$8:$N$127,"&lt;&gt;Storniert",Buchungen!$S$8:$S$127,"&lt;"&amp;(ROUND(AA$13*1440,0)+$B$9),Buchungen!$T$8:$T$127,"&gt;"&amp;ROUND(AA$13*1440,0))&gt;1,"!",INDEX(Buchungen!$P$8:$P$127,SUMIFS(Buchungen!$R$8:$R$127,Buchungen!$D$8:$D$127,$A20,Buchungen!$B$8:$B$127,$B$6,Buchungen!$N$8:$N$127,"&lt;&gt;Storniert",Buchungen!$S$8:$S$127,"&lt;"&amp;(ROUND(AA$13*1440,0)+$B$9),Buchungen!$T$8:$T$127,"&gt;"&amp;ROUND(AA$13*1440,0))-7))))</f>
        <v/>
      </c>
      <c r="AB20" s="25" t="str">
        <f aca="false">IF(AB$13="","",IF(COUNTIFS(Buchungen!$D$8:$D$127,$A20,Buchungen!$B$8:$B$127,$B$6,Buchungen!$N$8:$N$127,"&lt;&gt;Storniert",Buchungen!$S$8:$S$127,"&lt;"&amp;(ROUND(AB$13*1440,0)+$B$9),Buchungen!$T$8:$T$127,"&gt;"&amp;ROUND(AB$13*1440,0))=0,"",IF(COUNTIFS(Buchungen!$D$8:$D$127,$A20,Buchungen!$B$8:$B$127,$B$6,Buchungen!$N$8:$N$127,"&lt;&gt;Storniert",Buchungen!$S$8:$S$127,"&lt;"&amp;(ROUND(AB$13*1440,0)+$B$9),Buchungen!$T$8:$T$127,"&gt;"&amp;ROUND(AB$13*1440,0))&gt;1,"!",INDEX(Buchungen!$P$8:$P$127,SUMIFS(Buchungen!$R$8:$R$127,Buchungen!$D$8:$D$127,$A20,Buchungen!$B$8:$B$127,$B$6,Buchungen!$N$8:$N$127,"&lt;&gt;Storniert",Buchungen!$S$8:$S$127,"&lt;"&amp;(ROUND(AB$13*1440,0)+$B$9),Buchungen!$T$8:$T$127,"&gt;"&amp;ROUND(AB$13*1440,0))-7))))</f>
        <v/>
      </c>
      <c r="AC20" s="26" t="n">
        <f aca="false">IF($A20="","",SUMIFS(Buchungen!$I$8:$I$127,Buchungen!$D$8:$D$127,$A20,Buchungen!$B$8:$B$127,$B$6,Buchungen!$N$8:$N$127,"&lt;&gt;Storniert"))</f>
        <v>5.5</v>
      </c>
      <c r="AD20" s="27" t="n">
        <f aca="false">IF($A20="","",IFERROR($AC20/($B$10*$B$9/60),0))</f>
        <v>0.423076923076923</v>
      </c>
      <c r="AE20" s="27" t="n">
        <f aca="false">IF($A20="","",IFERROR(AVERAGEIFS(Buchungen!$K$8:$K$127,Buchungen!$D$8:$D$127,$A20,Buchungen!$B$8:$B$127,$B$6,Buchungen!$N$8:$N$127,"Bestätigt")/Stammdaten!$D14,0))</f>
        <v>0.625</v>
      </c>
    </row>
    <row r="21" customFormat="false" ht="16.5" hidden="false" customHeight="true" outlineLevel="0" collapsed="false">
      <c r="A21" s="28" t="str">
        <f aca="false">IF(OR(Stammdaten!$A15="",Stammdaten!$F15="Nein"),"",Stammdaten!$A15)</f>
        <v>R-08</v>
      </c>
      <c r="B21" s="29" t="str">
        <f aca="false">IF($A21="","",Stammdaten!$B15&amp;"  ("&amp;Stammdaten!$D15&amp;" Plätze)")</f>
        <v>Schulungsraum  (16 Plätze)</v>
      </c>
      <c r="C21" s="30" t="str">
        <f aca="false">IF(C$13="","",IF(COUNTIFS(Buchungen!$D$8:$D$127,$A21,Buchungen!$B$8:$B$127,$B$6,Buchungen!$N$8:$N$127,"&lt;&gt;Storniert",Buchungen!$S$8:$S$127,"&lt;"&amp;(ROUND(C$13*1440,0)+$B$9),Buchungen!$T$8:$T$127,"&gt;"&amp;ROUND(C$13*1440,0))=0,"",IF(COUNTIFS(Buchungen!$D$8:$D$127,$A21,Buchungen!$B$8:$B$127,$B$6,Buchungen!$N$8:$N$127,"&lt;&gt;Storniert",Buchungen!$S$8:$S$127,"&lt;"&amp;(ROUND(C$13*1440,0)+$B$9),Buchungen!$T$8:$T$127,"&gt;"&amp;ROUND(C$13*1440,0))&gt;1,"!",INDEX(Buchungen!$P$8:$P$127,SUMIFS(Buchungen!$R$8:$R$127,Buchungen!$D$8:$D$127,$A21,Buchungen!$B$8:$B$127,$B$6,Buchungen!$N$8:$N$127,"&lt;&gt;Storniert",Buchungen!$S$8:$S$127,"&lt;"&amp;(ROUND(C$13*1440,0)+$B$9),Buchungen!$T$8:$T$127,"&gt;"&amp;ROUND(C$13*1440,0))-7))))</f>
        <v>SCHU</v>
      </c>
      <c r="D21" s="30" t="str">
        <f aca="false">IF(D$13="","",IF(COUNTIFS(Buchungen!$D$8:$D$127,$A21,Buchungen!$B$8:$B$127,$B$6,Buchungen!$N$8:$N$127,"&lt;&gt;Storniert",Buchungen!$S$8:$S$127,"&lt;"&amp;(ROUND(D$13*1440,0)+$B$9),Buchungen!$T$8:$T$127,"&gt;"&amp;ROUND(D$13*1440,0))=0,"",IF(COUNTIFS(Buchungen!$D$8:$D$127,$A21,Buchungen!$B$8:$B$127,$B$6,Buchungen!$N$8:$N$127,"&lt;&gt;Storniert",Buchungen!$S$8:$S$127,"&lt;"&amp;(ROUND(D$13*1440,0)+$B$9),Buchungen!$T$8:$T$127,"&gt;"&amp;ROUND(D$13*1440,0))&gt;1,"!",INDEX(Buchungen!$P$8:$P$127,SUMIFS(Buchungen!$R$8:$R$127,Buchungen!$D$8:$D$127,$A21,Buchungen!$B$8:$B$127,$B$6,Buchungen!$N$8:$N$127,"&lt;&gt;Storniert",Buchungen!$S$8:$S$127,"&lt;"&amp;(ROUND(D$13*1440,0)+$B$9),Buchungen!$T$8:$T$127,"&gt;"&amp;ROUND(D$13*1440,0))-7))))</f>
        <v>SCHU</v>
      </c>
      <c r="E21" s="30" t="str">
        <f aca="false">IF(E$13="","",IF(COUNTIFS(Buchungen!$D$8:$D$127,$A21,Buchungen!$B$8:$B$127,$B$6,Buchungen!$N$8:$N$127,"&lt;&gt;Storniert",Buchungen!$S$8:$S$127,"&lt;"&amp;(ROUND(E$13*1440,0)+$B$9),Buchungen!$T$8:$T$127,"&gt;"&amp;ROUND(E$13*1440,0))=0,"",IF(COUNTIFS(Buchungen!$D$8:$D$127,$A21,Buchungen!$B$8:$B$127,$B$6,Buchungen!$N$8:$N$127,"&lt;&gt;Storniert",Buchungen!$S$8:$S$127,"&lt;"&amp;(ROUND(E$13*1440,0)+$B$9),Buchungen!$T$8:$T$127,"&gt;"&amp;ROUND(E$13*1440,0))&gt;1,"!",INDEX(Buchungen!$P$8:$P$127,SUMIFS(Buchungen!$R$8:$R$127,Buchungen!$D$8:$D$127,$A21,Buchungen!$B$8:$B$127,$B$6,Buchungen!$N$8:$N$127,"&lt;&gt;Storniert",Buchungen!$S$8:$S$127,"&lt;"&amp;(ROUND(E$13*1440,0)+$B$9),Buchungen!$T$8:$T$127,"&gt;"&amp;ROUND(E$13*1440,0))-7))))</f>
        <v/>
      </c>
      <c r="F21" s="30" t="str">
        <f aca="false">IF(F$13="","",IF(COUNTIFS(Buchungen!$D$8:$D$127,$A21,Buchungen!$B$8:$B$127,$B$6,Buchungen!$N$8:$N$127,"&lt;&gt;Storniert",Buchungen!$S$8:$S$127,"&lt;"&amp;(ROUND(F$13*1440,0)+$B$9),Buchungen!$T$8:$T$127,"&gt;"&amp;ROUND(F$13*1440,0))=0,"",IF(COUNTIFS(Buchungen!$D$8:$D$127,$A21,Buchungen!$B$8:$B$127,$B$6,Buchungen!$N$8:$N$127,"&lt;&gt;Storniert",Buchungen!$S$8:$S$127,"&lt;"&amp;(ROUND(F$13*1440,0)+$B$9),Buchungen!$T$8:$T$127,"&gt;"&amp;ROUND(F$13*1440,0))&gt;1,"!",INDEX(Buchungen!$P$8:$P$127,SUMIFS(Buchungen!$R$8:$R$127,Buchungen!$D$8:$D$127,$A21,Buchungen!$B$8:$B$127,$B$6,Buchungen!$N$8:$N$127,"&lt;&gt;Storniert",Buchungen!$S$8:$S$127,"&lt;"&amp;(ROUND(F$13*1440,0)+$B$9),Buchungen!$T$8:$T$127,"&gt;"&amp;ROUND(F$13*1440,0))-7))))</f>
        <v/>
      </c>
      <c r="G21" s="30" t="str">
        <f aca="false">IF(G$13="","",IF(COUNTIFS(Buchungen!$D$8:$D$127,$A21,Buchungen!$B$8:$B$127,$B$6,Buchungen!$N$8:$N$127,"&lt;&gt;Storniert",Buchungen!$S$8:$S$127,"&lt;"&amp;(ROUND(G$13*1440,0)+$B$9),Buchungen!$T$8:$T$127,"&gt;"&amp;ROUND(G$13*1440,0))=0,"",IF(COUNTIFS(Buchungen!$D$8:$D$127,$A21,Buchungen!$B$8:$B$127,$B$6,Buchungen!$N$8:$N$127,"&lt;&gt;Storniert",Buchungen!$S$8:$S$127,"&lt;"&amp;(ROUND(G$13*1440,0)+$B$9),Buchungen!$T$8:$T$127,"&gt;"&amp;ROUND(G$13*1440,0))&gt;1,"!",INDEX(Buchungen!$P$8:$P$127,SUMIFS(Buchungen!$R$8:$R$127,Buchungen!$D$8:$D$127,$A21,Buchungen!$B$8:$B$127,$B$6,Buchungen!$N$8:$N$127,"&lt;&gt;Storniert",Buchungen!$S$8:$S$127,"&lt;"&amp;(ROUND(G$13*1440,0)+$B$9),Buchungen!$T$8:$T$127,"&gt;"&amp;ROUND(G$13*1440,0))-7))))</f>
        <v/>
      </c>
      <c r="H21" s="30" t="str">
        <f aca="false">IF(H$13="","",IF(COUNTIFS(Buchungen!$D$8:$D$127,$A21,Buchungen!$B$8:$B$127,$B$6,Buchungen!$N$8:$N$127,"&lt;&gt;Storniert",Buchungen!$S$8:$S$127,"&lt;"&amp;(ROUND(H$13*1440,0)+$B$9),Buchungen!$T$8:$T$127,"&gt;"&amp;ROUND(H$13*1440,0))=0,"",IF(COUNTIFS(Buchungen!$D$8:$D$127,$A21,Buchungen!$B$8:$B$127,$B$6,Buchungen!$N$8:$N$127,"&lt;&gt;Storniert",Buchungen!$S$8:$S$127,"&lt;"&amp;(ROUND(H$13*1440,0)+$B$9),Buchungen!$T$8:$T$127,"&gt;"&amp;ROUND(H$13*1440,0))&gt;1,"!",INDEX(Buchungen!$P$8:$P$127,SUMIFS(Buchungen!$R$8:$R$127,Buchungen!$D$8:$D$127,$A21,Buchungen!$B$8:$B$127,$B$6,Buchungen!$N$8:$N$127,"&lt;&gt;Storniert",Buchungen!$S$8:$S$127,"&lt;"&amp;(ROUND(H$13*1440,0)+$B$9),Buchungen!$T$8:$T$127,"&gt;"&amp;ROUND(H$13*1440,0))-7))))</f>
        <v/>
      </c>
      <c r="I21" s="30" t="str">
        <f aca="false">IF(I$13="","",IF(COUNTIFS(Buchungen!$D$8:$D$127,$A21,Buchungen!$B$8:$B$127,$B$6,Buchungen!$N$8:$N$127,"&lt;&gt;Storniert",Buchungen!$S$8:$S$127,"&lt;"&amp;(ROUND(I$13*1440,0)+$B$9),Buchungen!$T$8:$T$127,"&gt;"&amp;ROUND(I$13*1440,0))=0,"",IF(COUNTIFS(Buchungen!$D$8:$D$127,$A21,Buchungen!$B$8:$B$127,$B$6,Buchungen!$N$8:$N$127,"&lt;&gt;Storniert",Buchungen!$S$8:$S$127,"&lt;"&amp;(ROUND(I$13*1440,0)+$B$9),Buchungen!$T$8:$T$127,"&gt;"&amp;ROUND(I$13*1440,0))&gt;1,"!",INDEX(Buchungen!$P$8:$P$127,SUMIFS(Buchungen!$R$8:$R$127,Buchungen!$D$8:$D$127,$A21,Buchungen!$B$8:$B$127,$B$6,Buchungen!$N$8:$N$127,"&lt;&gt;Storniert",Buchungen!$S$8:$S$127,"&lt;"&amp;(ROUND(I$13*1440,0)+$B$9),Buchungen!$T$8:$T$127,"&gt;"&amp;ROUND(I$13*1440,0))-7))))</f>
        <v/>
      </c>
      <c r="J21" s="30" t="str">
        <f aca="false">IF(J$13="","",IF(COUNTIFS(Buchungen!$D$8:$D$127,$A21,Buchungen!$B$8:$B$127,$B$6,Buchungen!$N$8:$N$127,"&lt;&gt;Storniert",Buchungen!$S$8:$S$127,"&lt;"&amp;(ROUND(J$13*1440,0)+$B$9),Buchungen!$T$8:$T$127,"&gt;"&amp;ROUND(J$13*1440,0))=0,"",IF(COUNTIFS(Buchungen!$D$8:$D$127,$A21,Buchungen!$B$8:$B$127,$B$6,Buchungen!$N$8:$N$127,"&lt;&gt;Storniert",Buchungen!$S$8:$S$127,"&lt;"&amp;(ROUND(J$13*1440,0)+$B$9),Buchungen!$T$8:$T$127,"&gt;"&amp;ROUND(J$13*1440,0))&gt;1,"!",INDEX(Buchungen!$P$8:$P$127,SUMIFS(Buchungen!$R$8:$R$127,Buchungen!$D$8:$D$127,$A21,Buchungen!$B$8:$B$127,$B$6,Buchungen!$N$8:$N$127,"&lt;&gt;Storniert",Buchungen!$S$8:$S$127,"&lt;"&amp;(ROUND(J$13*1440,0)+$B$9),Buchungen!$T$8:$T$127,"&gt;"&amp;ROUND(J$13*1440,0))-7))))</f>
        <v/>
      </c>
      <c r="K21" s="30" t="str">
        <f aca="false">IF(K$13="","",IF(COUNTIFS(Buchungen!$D$8:$D$127,$A21,Buchungen!$B$8:$B$127,$B$6,Buchungen!$N$8:$N$127,"&lt;&gt;Storniert",Buchungen!$S$8:$S$127,"&lt;"&amp;(ROUND(K$13*1440,0)+$B$9),Buchungen!$T$8:$T$127,"&gt;"&amp;ROUND(K$13*1440,0))=0,"",IF(COUNTIFS(Buchungen!$D$8:$D$127,$A21,Buchungen!$B$8:$B$127,$B$6,Buchungen!$N$8:$N$127,"&lt;&gt;Storniert",Buchungen!$S$8:$S$127,"&lt;"&amp;(ROUND(K$13*1440,0)+$B$9),Buchungen!$T$8:$T$127,"&gt;"&amp;ROUND(K$13*1440,0))&gt;1,"!",INDEX(Buchungen!$P$8:$P$127,SUMIFS(Buchungen!$R$8:$R$127,Buchungen!$D$8:$D$127,$A21,Buchungen!$B$8:$B$127,$B$6,Buchungen!$N$8:$N$127,"&lt;&gt;Storniert",Buchungen!$S$8:$S$127,"&lt;"&amp;(ROUND(K$13*1440,0)+$B$9),Buchungen!$T$8:$T$127,"&gt;"&amp;ROUND(K$13*1440,0))-7))))</f>
        <v/>
      </c>
      <c r="L21" s="30" t="str">
        <f aca="false">IF(L$13="","",IF(COUNTIFS(Buchungen!$D$8:$D$127,$A21,Buchungen!$B$8:$B$127,$B$6,Buchungen!$N$8:$N$127,"&lt;&gt;Storniert",Buchungen!$S$8:$S$127,"&lt;"&amp;(ROUND(L$13*1440,0)+$B$9),Buchungen!$T$8:$T$127,"&gt;"&amp;ROUND(L$13*1440,0))=0,"",IF(COUNTIFS(Buchungen!$D$8:$D$127,$A21,Buchungen!$B$8:$B$127,$B$6,Buchungen!$N$8:$N$127,"&lt;&gt;Storniert",Buchungen!$S$8:$S$127,"&lt;"&amp;(ROUND(L$13*1440,0)+$B$9),Buchungen!$T$8:$T$127,"&gt;"&amp;ROUND(L$13*1440,0))&gt;1,"!",INDEX(Buchungen!$P$8:$P$127,SUMIFS(Buchungen!$R$8:$R$127,Buchungen!$D$8:$D$127,$A21,Buchungen!$B$8:$B$127,$B$6,Buchungen!$N$8:$N$127,"&lt;&gt;Storniert",Buchungen!$S$8:$S$127,"&lt;"&amp;(ROUND(L$13*1440,0)+$B$9),Buchungen!$T$8:$T$127,"&gt;"&amp;ROUND(L$13*1440,0))-7))))</f>
        <v/>
      </c>
      <c r="M21" s="30" t="str">
        <f aca="false">IF(M$13="","",IF(COUNTIFS(Buchungen!$D$8:$D$127,$A21,Buchungen!$B$8:$B$127,$B$6,Buchungen!$N$8:$N$127,"&lt;&gt;Storniert",Buchungen!$S$8:$S$127,"&lt;"&amp;(ROUND(M$13*1440,0)+$B$9),Buchungen!$T$8:$T$127,"&gt;"&amp;ROUND(M$13*1440,0))=0,"",IF(COUNTIFS(Buchungen!$D$8:$D$127,$A21,Buchungen!$B$8:$B$127,$B$6,Buchungen!$N$8:$N$127,"&lt;&gt;Storniert",Buchungen!$S$8:$S$127,"&lt;"&amp;(ROUND(M$13*1440,0)+$B$9),Buchungen!$T$8:$T$127,"&gt;"&amp;ROUND(M$13*1440,0))&gt;1,"!",INDEX(Buchungen!$P$8:$P$127,SUMIFS(Buchungen!$R$8:$R$127,Buchungen!$D$8:$D$127,$A21,Buchungen!$B$8:$B$127,$B$6,Buchungen!$N$8:$N$127,"&lt;&gt;Storniert",Buchungen!$S$8:$S$127,"&lt;"&amp;(ROUND(M$13*1440,0)+$B$9),Buchungen!$T$8:$T$127,"&gt;"&amp;ROUND(M$13*1440,0))-7))))</f>
        <v/>
      </c>
      <c r="N21" s="30" t="str">
        <f aca="false">IF(N$13="","",IF(COUNTIFS(Buchungen!$D$8:$D$127,$A21,Buchungen!$B$8:$B$127,$B$6,Buchungen!$N$8:$N$127,"&lt;&gt;Storniert",Buchungen!$S$8:$S$127,"&lt;"&amp;(ROUND(N$13*1440,0)+$B$9),Buchungen!$T$8:$T$127,"&gt;"&amp;ROUND(N$13*1440,0))=0,"",IF(COUNTIFS(Buchungen!$D$8:$D$127,$A21,Buchungen!$B$8:$B$127,$B$6,Buchungen!$N$8:$N$127,"&lt;&gt;Storniert",Buchungen!$S$8:$S$127,"&lt;"&amp;(ROUND(N$13*1440,0)+$B$9),Buchungen!$T$8:$T$127,"&gt;"&amp;ROUND(N$13*1440,0))&gt;1,"!",INDEX(Buchungen!$P$8:$P$127,SUMIFS(Buchungen!$R$8:$R$127,Buchungen!$D$8:$D$127,$A21,Buchungen!$B$8:$B$127,$B$6,Buchungen!$N$8:$N$127,"&lt;&gt;Storniert",Buchungen!$S$8:$S$127,"&lt;"&amp;(ROUND(N$13*1440,0)+$B$9),Buchungen!$T$8:$T$127,"&gt;"&amp;ROUND(N$13*1440,0))-7))))</f>
        <v/>
      </c>
      <c r="O21" s="30" t="str">
        <f aca="false">IF(O$13="","",IF(COUNTIFS(Buchungen!$D$8:$D$127,$A21,Buchungen!$B$8:$B$127,$B$6,Buchungen!$N$8:$N$127,"&lt;&gt;Storniert",Buchungen!$S$8:$S$127,"&lt;"&amp;(ROUND(O$13*1440,0)+$B$9),Buchungen!$T$8:$T$127,"&gt;"&amp;ROUND(O$13*1440,0))=0,"",IF(COUNTIFS(Buchungen!$D$8:$D$127,$A21,Buchungen!$B$8:$B$127,$B$6,Buchungen!$N$8:$N$127,"&lt;&gt;Storniert",Buchungen!$S$8:$S$127,"&lt;"&amp;(ROUND(O$13*1440,0)+$B$9),Buchungen!$T$8:$T$127,"&gt;"&amp;ROUND(O$13*1440,0))&gt;1,"!",INDEX(Buchungen!$P$8:$P$127,SUMIFS(Buchungen!$R$8:$R$127,Buchungen!$D$8:$D$127,$A21,Buchungen!$B$8:$B$127,$B$6,Buchungen!$N$8:$N$127,"&lt;&gt;Storniert",Buchungen!$S$8:$S$127,"&lt;"&amp;(ROUND(O$13*1440,0)+$B$9),Buchungen!$T$8:$T$127,"&gt;"&amp;ROUND(O$13*1440,0))-7))))</f>
        <v/>
      </c>
      <c r="P21" s="30" t="str">
        <f aca="false">IF(P$13="","",IF(COUNTIFS(Buchungen!$D$8:$D$127,$A21,Buchungen!$B$8:$B$127,$B$6,Buchungen!$N$8:$N$127,"&lt;&gt;Storniert",Buchungen!$S$8:$S$127,"&lt;"&amp;(ROUND(P$13*1440,0)+$B$9),Buchungen!$T$8:$T$127,"&gt;"&amp;ROUND(P$13*1440,0))=0,"",IF(COUNTIFS(Buchungen!$D$8:$D$127,$A21,Buchungen!$B$8:$B$127,$B$6,Buchungen!$N$8:$N$127,"&lt;&gt;Storniert",Buchungen!$S$8:$S$127,"&lt;"&amp;(ROUND(P$13*1440,0)+$B$9),Buchungen!$T$8:$T$127,"&gt;"&amp;ROUND(P$13*1440,0))&gt;1,"!",INDEX(Buchungen!$P$8:$P$127,SUMIFS(Buchungen!$R$8:$R$127,Buchungen!$D$8:$D$127,$A21,Buchungen!$B$8:$B$127,$B$6,Buchungen!$N$8:$N$127,"&lt;&gt;Storniert",Buchungen!$S$8:$S$127,"&lt;"&amp;(ROUND(P$13*1440,0)+$B$9),Buchungen!$T$8:$T$127,"&gt;"&amp;ROUND(P$13*1440,0))-7))))</f>
        <v/>
      </c>
      <c r="Q21" s="30" t="str">
        <f aca="false">IF(Q$13="","",IF(COUNTIFS(Buchungen!$D$8:$D$127,$A21,Buchungen!$B$8:$B$127,$B$6,Buchungen!$N$8:$N$127,"&lt;&gt;Storniert",Buchungen!$S$8:$S$127,"&lt;"&amp;(ROUND(Q$13*1440,0)+$B$9),Buchungen!$T$8:$T$127,"&gt;"&amp;ROUND(Q$13*1440,0))=0,"",IF(COUNTIFS(Buchungen!$D$8:$D$127,$A21,Buchungen!$B$8:$B$127,$B$6,Buchungen!$N$8:$N$127,"&lt;&gt;Storniert",Buchungen!$S$8:$S$127,"&lt;"&amp;(ROUND(Q$13*1440,0)+$B$9),Buchungen!$T$8:$T$127,"&gt;"&amp;ROUND(Q$13*1440,0))&gt;1,"!",INDEX(Buchungen!$P$8:$P$127,SUMIFS(Buchungen!$R$8:$R$127,Buchungen!$D$8:$D$127,$A21,Buchungen!$B$8:$B$127,$B$6,Buchungen!$N$8:$N$127,"&lt;&gt;Storniert",Buchungen!$S$8:$S$127,"&lt;"&amp;(ROUND(Q$13*1440,0)+$B$9),Buchungen!$T$8:$T$127,"&gt;"&amp;ROUND(Q$13*1440,0))-7))))</f>
        <v/>
      </c>
      <c r="R21" s="30" t="str">
        <f aca="false">IF(R$13="","",IF(COUNTIFS(Buchungen!$D$8:$D$127,$A21,Buchungen!$B$8:$B$127,$B$6,Buchungen!$N$8:$N$127,"&lt;&gt;Storniert",Buchungen!$S$8:$S$127,"&lt;"&amp;(ROUND(R$13*1440,0)+$B$9),Buchungen!$T$8:$T$127,"&gt;"&amp;ROUND(R$13*1440,0))=0,"",IF(COUNTIFS(Buchungen!$D$8:$D$127,$A21,Buchungen!$B$8:$B$127,$B$6,Buchungen!$N$8:$N$127,"&lt;&gt;Storniert",Buchungen!$S$8:$S$127,"&lt;"&amp;(ROUND(R$13*1440,0)+$B$9),Buchungen!$T$8:$T$127,"&gt;"&amp;ROUND(R$13*1440,0))&gt;1,"!",INDEX(Buchungen!$P$8:$P$127,SUMIFS(Buchungen!$R$8:$R$127,Buchungen!$D$8:$D$127,$A21,Buchungen!$B$8:$B$127,$B$6,Buchungen!$N$8:$N$127,"&lt;&gt;Storniert",Buchungen!$S$8:$S$127,"&lt;"&amp;(ROUND(R$13*1440,0)+$B$9),Buchungen!$T$8:$T$127,"&gt;"&amp;ROUND(R$13*1440,0))-7))))</f>
        <v/>
      </c>
      <c r="S21" s="30" t="str">
        <f aca="false">IF(S$13="","",IF(COUNTIFS(Buchungen!$D$8:$D$127,$A21,Buchungen!$B$8:$B$127,$B$6,Buchungen!$N$8:$N$127,"&lt;&gt;Storniert",Buchungen!$S$8:$S$127,"&lt;"&amp;(ROUND(S$13*1440,0)+$B$9),Buchungen!$T$8:$T$127,"&gt;"&amp;ROUND(S$13*1440,0))=0,"",IF(COUNTIFS(Buchungen!$D$8:$D$127,$A21,Buchungen!$B$8:$B$127,$B$6,Buchungen!$N$8:$N$127,"&lt;&gt;Storniert",Buchungen!$S$8:$S$127,"&lt;"&amp;(ROUND(S$13*1440,0)+$B$9),Buchungen!$T$8:$T$127,"&gt;"&amp;ROUND(S$13*1440,0))&gt;1,"!",INDEX(Buchungen!$P$8:$P$127,SUMIFS(Buchungen!$R$8:$R$127,Buchungen!$D$8:$D$127,$A21,Buchungen!$B$8:$B$127,$B$6,Buchungen!$N$8:$N$127,"&lt;&gt;Storniert",Buchungen!$S$8:$S$127,"&lt;"&amp;(ROUND(S$13*1440,0)+$B$9),Buchungen!$T$8:$T$127,"&gt;"&amp;ROUND(S$13*1440,0))-7))))</f>
        <v/>
      </c>
      <c r="T21" s="30" t="str">
        <f aca="false">IF(T$13="","",IF(COUNTIFS(Buchungen!$D$8:$D$127,$A21,Buchungen!$B$8:$B$127,$B$6,Buchungen!$N$8:$N$127,"&lt;&gt;Storniert",Buchungen!$S$8:$S$127,"&lt;"&amp;(ROUND(T$13*1440,0)+$B$9),Buchungen!$T$8:$T$127,"&gt;"&amp;ROUND(T$13*1440,0))=0,"",IF(COUNTIFS(Buchungen!$D$8:$D$127,$A21,Buchungen!$B$8:$B$127,$B$6,Buchungen!$N$8:$N$127,"&lt;&gt;Storniert",Buchungen!$S$8:$S$127,"&lt;"&amp;(ROUND(T$13*1440,0)+$B$9),Buchungen!$T$8:$T$127,"&gt;"&amp;ROUND(T$13*1440,0))&gt;1,"!",INDEX(Buchungen!$P$8:$P$127,SUMIFS(Buchungen!$R$8:$R$127,Buchungen!$D$8:$D$127,$A21,Buchungen!$B$8:$B$127,$B$6,Buchungen!$N$8:$N$127,"&lt;&gt;Storniert",Buchungen!$S$8:$S$127,"&lt;"&amp;(ROUND(T$13*1440,0)+$B$9),Buchungen!$T$8:$T$127,"&gt;"&amp;ROUND(T$13*1440,0))-7))))</f>
        <v/>
      </c>
      <c r="U21" s="30" t="str">
        <f aca="false">IF(U$13="","",IF(COUNTIFS(Buchungen!$D$8:$D$127,$A21,Buchungen!$B$8:$B$127,$B$6,Buchungen!$N$8:$N$127,"&lt;&gt;Storniert",Buchungen!$S$8:$S$127,"&lt;"&amp;(ROUND(U$13*1440,0)+$B$9),Buchungen!$T$8:$T$127,"&gt;"&amp;ROUND(U$13*1440,0))=0,"",IF(COUNTIFS(Buchungen!$D$8:$D$127,$A21,Buchungen!$B$8:$B$127,$B$6,Buchungen!$N$8:$N$127,"&lt;&gt;Storniert",Buchungen!$S$8:$S$127,"&lt;"&amp;(ROUND(U$13*1440,0)+$B$9),Buchungen!$T$8:$T$127,"&gt;"&amp;ROUND(U$13*1440,0))&gt;1,"!",INDEX(Buchungen!$P$8:$P$127,SUMIFS(Buchungen!$R$8:$R$127,Buchungen!$D$8:$D$127,$A21,Buchungen!$B$8:$B$127,$B$6,Buchungen!$N$8:$N$127,"&lt;&gt;Storniert",Buchungen!$S$8:$S$127,"&lt;"&amp;(ROUND(U$13*1440,0)+$B$9),Buchungen!$T$8:$T$127,"&gt;"&amp;ROUND(U$13*1440,0))-7))))</f>
        <v/>
      </c>
      <c r="V21" s="30" t="str">
        <f aca="false">IF(V$13="","",IF(COUNTIFS(Buchungen!$D$8:$D$127,$A21,Buchungen!$B$8:$B$127,$B$6,Buchungen!$N$8:$N$127,"&lt;&gt;Storniert",Buchungen!$S$8:$S$127,"&lt;"&amp;(ROUND(V$13*1440,0)+$B$9),Buchungen!$T$8:$T$127,"&gt;"&amp;ROUND(V$13*1440,0))=0,"",IF(COUNTIFS(Buchungen!$D$8:$D$127,$A21,Buchungen!$B$8:$B$127,$B$6,Buchungen!$N$8:$N$127,"&lt;&gt;Storniert",Buchungen!$S$8:$S$127,"&lt;"&amp;(ROUND(V$13*1440,0)+$B$9),Buchungen!$T$8:$T$127,"&gt;"&amp;ROUND(V$13*1440,0))&gt;1,"!",INDEX(Buchungen!$P$8:$P$127,SUMIFS(Buchungen!$R$8:$R$127,Buchungen!$D$8:$D$127,$A21,Buchungen!$B$8:$B$127,$B$6,Buchungen!$N$8:$N$127,"&lt;&gt;Storniert",Buchungen!$S$8:$S$127,"&lt;"&amp;(ROUND(V$13*1440,0)+$B$9),Buchungen!$T$8:$T$127,"&gt;"&amp;ROUND(V$13*1440,0))-7))))</f>
        <v/>
      </c>
      <c r="W21" s="30" t="str">
        <f aca="false">IF(W$13="","",IF(COUNTIFS(Buchungen!$D$8:$D$127,$A21,Buchungen!$B$8:$B$127,$B$6,Buchungen!$N$8:$N$127,"&lt;&gt;Storniert",Buchungen!$S$8:$S$127,"&lt;"&amp;(ROUND(W$13*1440,0)+$B$9),Buchungen!$T$8:$T$127,"&gt;"&amp;ROUND(W$13*1440,0))=0,"",IF(COUNTIFS(Buchungen!$D$8:$D$127,$A21,Buchungen!$B$8:$B$127,$B$6,Buchungen!$N$8:$N$127,"&lt;&gt;Storniert",Buchungen!$S$8:$S$127,"&lt;"&amp;(ROUND(W$13*1440,0)+$B$9),Buchungen!$T$8:$T$127,"&gt;"&amp;ROUND(W$13*1440,0))&gt;1,"!",INDEX(Buchungen!$P$8:$P$127,SUMIFS(Buchungen!$R$8:$R$127,Buchungen!$D$8:$D$127,$A21,Buchungen!$B$8:$B$127,$B$6,Buchungen!$N$8:$N$127,"&lt;&gt;Storniert",Buchungen!$S$8:$S$127,"&lt;"&amp;(ROUND(W$13*1440,0)+$B$9),Buchungen!$T$8:$T$127,"&gt;"&amp;ROUND(W$13*1440,0))-7))))</f>
        <v/>
      </c>
      <c r="X21" s="30" t="str">
        <f aca="false">IF(X$13="","",IF(COUNTIFS(Buchungen!$D$8:$D$127,$A21,Buchungen!$B$8:$B$127,$B$6,Buchungen!$N$8:$N$127,"&lt;&gt;Storniert",Buchungen!$S$8:$S$127,"&lt;"&amp;(ROUND(X$13*1440,0)+$B$9),Buchungen!$T$8:$T$127,"&gt;"&amp;ROUND(X$13*1440,0))=0,"",IF(COUNTIFS(Buchungen!$D$8:$D$127,$A21,Buchungen!$B$8:$B$127,$B$6,Buchungen!$N$8:$N$127,"&lt;&gt;Storniert",Buchungen!$S$8:$S$127,"&lt;"&amp;(ROUND(X$13*1440,0)+$B$9),Buchungen!$T$8:$T$127,"&gt;"&amp;ROUND(X$13*1440,0))&gt;1,"!",INDEX(Buchungen!$P$8:$P$127,SUMIFS(Buchungen!$R$8:$R$127,Buchungen!$D$8:$D$127,$A21,Buchungen!$B$8:$B$127,$B$6,Buchungen!$N$8:$N$127,"&lt;&gt;Storniert",Buchungen!$S$8:$S$127,"&lt;"&amp;(ROUND(X$13*1440,0)+$B$9),Buchungen!$T$8:$T$127,"&gt;"&amp;ROUND(X$13*1440,0))-7))))</f>
        <v/>
      </c>
      <c r="Y21" s="30" t="str">
        <f aca="false">IF(Y$13="","",IF(COUNTIFS(Buchungen!$D$8:$D$127,$A21,Buchungen!$B$8:$B$127,$B$6,Buchungen!$N$8:$N$127,"&lt;&gt;Storniert",Buchungen!$S$8:$S$127,"&lt;"&amp;(ROUND(Y$13*1440,0)+$B$9),Buchungen!$T$8:$T$127,"&gt;"&amp;ROUND(Y$13*1440,0))=0,"",IF(COUNTIFS(Buchungen!$D$8:$D$127,$A21,Buchungen!$B$8:$B$127,$B$6,Buchungen!$N$8:$N$127,"&lt;&gt;Storniert",Buchungen!$S$8:$S$127,"&lt;"&amp;(ROUND(Y$13*1440,0)+$B$9),Buchungen!$T$8:$T$127,"&gt;"&amp;ROUND(Y$13*1440,0))&gt;1,"!",INDEX(Buchungen!$P$8:$P$127,SUMIFS(Buchungen!$R$8:$R$127,Buchungen!$D$8:$D$127,$A21,Buchungen!$B$8:$B$127,$B$6,Buchungen!$N$8:$N$127,"&lt;&gt;Storniert",Buchungen!$S$8:$S$127,"&lt;"&amp;(ROUND(Y$13*1440,0)+$B$9),Buchungen!$T$8:$T$127,"&gt;"&amp;ROUND(Y$13*1440,0))-7))))</f>
        <v/>
      </c>
      <c r="Z21" s="30" t="str">
        <f aca="false">IF(Z$13="","",IF(COUNTIFS(Buchungen!$D$8:$D$127,$A21,Buchungen!$B$8:$B$127,$B$6,Buchungen!$N$8:$N$127,"&lt;&gt;Storniert",Buchungen!$S$8:$S$127,"&lt;"&amp;(ROUND(Z$13*1440,0)+$B$9),Buchungen!$T$8:$T$127,"&gt;"&amp;ROUND(Z$13*1440,0))=0,"",IF(COUNTIFS(Buchungen!$D$8:$D$127,$A21,Buchungen!$B$8:$B$127,$B$6,Buchungen!$N$8:$N$127,"&lt;&gt;Storniert",Buchungen!$S$8:$S$127,"&lt;"&amp;(ROUND(Z$13*1440,0)+$B$9),Buchungen!$T$8:$T$127,"&gt;"&amp;ROUND(Z$13*1440,0))&gt;1,"!",INDEX(Buchungen!$P$8:$P$127,SUMIFS(Buchungen!$R$8:$R$127,Buchungen!$D$8:$D$127,$A21,Buchungen!$B$8:$B$127,$B$6,Buchungen!$N$8:$N$127,"&lt;&gt;Storniert",Buchungen!$S$8:$S$127,"&lt;"&amp;(ROUND(Z$13*1440,0)+$B$9),Buchungen!$T$8:$T$127,"&gt;"&amp;ROUND(Z$13*1440,0))-7))))</f>
        <v/>
      </c>
      <c r="AA21" s="30" t="str">
        <f aca="false">IF(AA$13="","",IF(COUNTIFS(Buchungen!$D$8:$D$127,$A21,Buchungen!$B$8:$B$127,$B$6,Buchungen!$N$8:$N$127,"&lt;&gt;Storniert",Buchungen!$S$8:$S$127,"&lt;"&amp;(ROUND(AA$13*1440,0)+$B$9),Buchungen!$T$8:$T$127,"&gt;"&amp;ROUND(AA$13*1440,0))=0,"",IF(COUNTIFS(Buchungen!$D$8:$D$127,$A21,Buchungen!$B$8:$B$127,$B$6,Buchungen!$N$8:$N$127,"&lt;&gt;Storniert",Buchungen!$S$8:$S$127,"&lt;"&amp;(ROUND(AA$13*1440,0)+$B$9),Buchungen!$T$8:$T$127,"&gt;"&amp;ROUND(AA$13*1440,0))&gt;1,"!",INDEX(Buchungen!$P$8:$P$127,SUMIFS(Buchungen!$R$8:$R$127,Buchungen!$D$8:$D$127,$A21,Buchungen!$B$8:$B$127,$B$6,Buchungen!$N$8:$N$127,"&lt;&gt;Storniert",Buchungen!$S$8:$S$127,"&lt;"&amp;(ROUND(AA$13*1440,0)+$B$9),Buchungen!$T$8:$T$127,"&gt;"&amp;ROUND(AA$13*1440,0))-7))))</f>
        <v/>
      </c>
      <c r="AB21" s="30" t="str">
        <f aca="false">IF(AB$13="","",IF(COUNTIFS(Buchungen!$D$8:$D$127,$A21,Buchungen!$B$8:$B$127,$B$6,Buchungen!$N$8:$N$127,"&lt;&gt;Storniert",Buchungen!$S$8:$S$127,"&lt;"&amp;(ROUND(AB$13*1440,0)+$B$9),Buchungen!$T$8:$T$127,"&gt;"&amp;ROUND(AB$13*1440,0))=0,"",IF(COUNTIFS(Buchungen!$D$8:$D$127,$A21,Buchungen!$B$8:$B$127,$B$6,Buchungen!$N$8:$N$127,"&lt;&gt;Storniert",Buchungen!$S$8:$S$127,"&lt;"&amp;(ROUND(AB$13*1440,0)+$B$9),Buchungen!$T$8:$T$127,"&gt;"&amp;ROUND(AB$13*1440,0))&gt;1,"!",INDEX(Buchungen!$P$8:$P$127,SUMIFS(Buchungen!$R$8:$R$127,Buchungen!$D$8:$D$127,$A21,Buchungen!$B$8:$B$127,$B$6,Buchungen!$N$8:$N$127,"&lt;&gt;Storniert",Buchungen!$S$8:$S$127,"&lt;"&amp;(ROUND(AB$13*1440,0)+$B$9),Buchungen!$T$8:$T$127,"&gt;"&amp;ROUND(AB$13*1440,0))-7))))</f>
        <v/>
      </c>
      <c r="AC21" s="31" t="n">
        <f aca="false">IF($A21="","",SUMIFS(Buchungen!$I$8:$I$127,Buchungen!$D$8:$D$127,$A21,Buchungen!$B$8:$B$127,$B$6,Buchungen!$N$8:$N$127,"&lt;&gt;Storniert"))</f>
        <v>1</v>
      </c>
      <c r="AD21" s="32" t="n">
        <f aca="false">IF($A21="","",IFERROR($AC21/($B$10*$B$9/60),0))</f>
        <v>0.0769230769230769</v>
      </c>
      <c r="AE21" s="32" t="n">
        <f aca="false">IF($A21="","",IFERROR(AVERAGEIFS(Buchungen!$K$8:$K$127,Buchungen!$D$8:$D$127,$A21,Buchungen!$B$8:$B$127,$B$6,Buchungen!$N$8:$N$127,"Bestätigt")/Stammdaten!$D15,0))</f>
        <v>0.875</v>
      </c>
    </row>
    <row r="22" customFormat="false" ht="16.5" hidden="false" customHeight="true" outlineLevel="0" collapsed="false">
      <c r="A22" s="23" t="str">
        <f aca="false">IF(OR(Stammdaten!$A16="",Stammdaten!$F16="Nein"),"",Stammdaten!$A16)</f>
        <v>R-09</v>
      </c>
      <c r="B22" s="24" t="str">
        <f aca="false">IF($A22="","",Stammdaten!$B16&amp;"  ("&amp;Stammdaten!$D16&amp;" Plätze)")</f>
        <v>Videokonferenzraum  (8 Plätze)</v>
      </c>
      <c r="C22" s="25" t="str">
        <f aca="false">IF(C$13="","",IF(COUNTIFS(Buchungen!$D$8:$D$127,$A22,Buchungen!$B$8:$B$127,$B$6,Buchungen!$N$8:$N$127,"&lt;&gt;Storniert",Buchungen!$S$8:$S$127,"&lt;"&amp;(ROUND(C$13*1440,0)+$B$9),Buchungen!$T$8:$T$127,"&gt;"&amp;ROUND(C$13*1440,0))=0,"",IF(COUNTIFS(Buchungen!$D$8:$D$127,$A22,Buchungen!$B$8:$B$127,$B$6,Buchungen!$N$8:$N$127,"&lt;&gt;Storniert",Buchungen!$S$8:$S$127,"&lt;"&amp;(ROUND(C$13*1440,0)+$B$9),Buchungen!$T$8:$T$127,"&gt;"&amp;ROUND(C$13*1440,0))&gt;1,"!",INDEX(Buchungen!$P$8:$P$127,SUMIFS(Buchungen!$R$8:$R$127,Buchungen!$D$8:$D$127,$A22,Buchungen!$B$8:$B$127,$B$6,Buchungen!$N$8:$N$127,"&lt;&gt;Storniert",Buchungen!$S$8:$S$127,"&lt;"&amp;(ROUND(C$13*1440,0)+$B$9),Buchungen!$T$8:$T$127,"&gt;"&amp;ROUND(C$13*1440,0))-7))))</f>
        <v/>
      </c>
      <c r="D22" s="25" t="str">
        <f aca="false">IF(D$13="","",IF(COUNTIFS(Buchungen!$D$8:$D$127,$A22,Buchungen!$B$8:$B$127,$B$6,Buchungen!$N$8:$N$127,"&lt;&gt;Storniert",Buchungen!$S$8:$S$127,"&lt;"&amp;(ROUND(D$13*1440,0)+$B$9),Buchungen!$T$8:$T$127,"&gt;"&amp;ROUND(D$13*1440,0))=0,"",IF(COUNTIFS(Buchungen!$D$8:$D$127,$A22,Buchungen!$B$8:$B$127,$B$6,Buchungen!$N$8:$N$127,"&lt;&gt;Storniert",Buchungen!$S$8:$S$127,"&lt;"&amp;(ROUND(D$13*1440,0)+$B$9),Buchungen!$T$8:$T$127,"&gt;"&amp;ROUND(D$13*1440,0))&gt;1,"!",INDEX(Buchungen!$P$8:$P$127,SUMIFS(Buchungen!$R$8:$R$127,Buchungen!$D$8:$D$127,$A22,Buchungen!$B$8:$B$127,$B$6,Buchungen!$N$8:$N$127,"&lt;&gt;Storniert",Buchungen!$S$8:$S$127,"&lt;"&amp;(ROUND(D$13*1440,0)+$B$9),Buchungen!$T$8:$T$127,"&gt;"&amp;ROUND(D$13*1440,0))-7))))</f>
        <v/>
      </c>
      <c r="E22" s="25" t="str">
        <f aca="false">IF(E$13="","",IF(COUNTIFS(Buchungen!$D$8:$D$127,$A22,Buchungen!$B$8:$B$127,$B$6,Buchungen!$N$8:$N$127,"&lt;&gt;Storniert",Buchungen!$S$8:$S$127,"&lt;"&amp;(ROUND(E$13*1440,0)+$B$9),Buchungen!$T$8:$T$127,"&gt;"&amp;ROUND(E$13*1440,0))=0,"",IF(COUNTIFS(Buchungen!$D$8:$D$127,$A22,Buchungen!$B$8:$B$127,$B$6,Buchungen!$N$8:$N$127,"&lt;&gt;Storniert",Buchungen!$S$8:$S$127,"&lt;"&amp;(ROUND(E$13*1440,0)+$B$9),Buchungen!$T$8:$T$127,"&gt;"&amp;ROUND(E$13*1440,0))&gt;1,"!",INDEX(Buchungen!$P$8:$P$127,SUMIFS(Buchungen!$R$8:$R$127,Buchungen!$D$8:$D$127,$A22,Buchungen!$B$8:$B$127,$B$6,Buchungen!$N$8:$N$127,"&lt;&gt;Storniert",Buchungen!$S$8:$S$127,"&lt;"&amp;(ROUND(E$13*1440,0)+$B$9),Buchungen!$T$8:$T$127,"&gt;"&amp;ROUND(E$13*1440,0))-7))))</f>
        <v/>
      </c>
      <c r="F22" s="25" t="str">
        <f aca="false">IF(F$13="","",IF(COUNTIFS(Buchungen!$D$8:$D$127,$A22,Buchungen!$B$8:$B$127,$B$6,Buchungen!$N$8:$N$127,"&lt;&gt;Storniert",Buchungen!$S$8:$S$127,"&lt;"&amp;(ROUND(F$13*1440,0)+$B$9),Buchungen!$T$8:$T$127,"&gt;"&amp;ROUND(F$13*1440,0))=0,"",IF(COUNTIFS(Buchungen!$D$8:$D$127,$A22,Buchungen!$B$8:$B$127,$B$6,Buchungen!$N$8:$N$127,"&lt;&gt;Storniert",Buchungen!$S$8:$S$127,"&lt;"&amp;(ROUND(F$13*1440,0)+$B$9),Buchungen!$T$8:$T$127,"&gt;"&amp;ROUND(F$13*1440,0))&gt;1,"!",INDEX(Buchungen!$P$8:$P$127,SUMIFS(Buchungen!$R$8:$R$127,Buchungen!$D$8:$D$127,$A22,Buchungen!$B$8:$B$127,$B$6,Buchungen!$N$8:$N$127,"&lt;&gt;Storniert",Buchungen!$S$8:$S$127,"&lt;"&amp;(ROUND(F$13*1440,0)+$B$9),Buchungen!$T$8:$T$127,"&gt;"&amp;ROUND(F$13*1440,0))-7))))</f>
        <v>PROJ</v>
      </c>
      <c r="G22" s="25" t="str">
        <f aca="false">IF(G$13="","",IF(COUNTIFS(Buchungen!$D$8:$D$127,$A22,Buchungen!$B$8:$B$127,$B$6,Buchungen!$N$8:$N$127,"&lt;&gt;Storniert",Buchungen!$S$8:$S$127,"&lt;"&amp;(ROUND(G$13*1440,0)+$B$9),Buchungen!$T$8:$T$127,"&gt;"&amp;ROUND(G$13*1440,0))=0,"",IF(COUNTIFS(Buchungen!$D$8:$D$127,$A22,Buchungen!$B$8:$B$127,$B$6,Buchungen!$N$8:$N$127,"&lt;&gt;Storniert",Buchungen!$S$8:$S$127,"&lt;"&amp;(ROUND(G$13*1440,0)+$B$9),Buchungen!$T$8:$T$127,"&gt;"&amp;ROUND(G$13*1440,0))&gt;1,"!",INDEX(Buchungen!$P$8:$P$127,SUMIFS(Buchungen!$R$8:$R$127,Buchungen!$D$8:$D$127,$A22,Buchungen!$B$8:$B$127,$B$6,Buchungen!$N$8:$N$127,"&lt;&gt;Storniert",Buchungen!$S$8:$S$127,"&lt;"&amp;(ROUND(G$13*1440,0)+$B$9),Buchungen!$T$8:$T$127,"&gt;"&amp;ROUND(G$13*1440,0))-7))))</f>
        <v>PROJ</v>
      </c>
      <c r="H22" s="25" t="str">
        <f aca="false">IF(H$13="","",IF(COUNTIFS(Buchungen!$D$8:$D$127,$A22,Buchungen!$B$8:$B$127,$B$6,Buchungen!$N$8:$N$127,"&lt;&gt;Storniert",Buchungen!$S$8:$S$127,"&lt;"&amp;(ROUND(H$13*1440,0)+$B$9),Buchungen!$T$8:$T$127,"&gt;"&amp;ROUND(H$13*1440,0))=0,"",IF(COUNTIFS(Buchungen!$D$8:$D$127,$A22,Buchungen!$B$8:$B$127,$B$6,Buchungen!$N$8:$N$127,"&lt;&gt;Storniert",Buchungen!$S$8:$S$127,"&lt;"&amp;(ROUND(H$13*1440,0)+$B$9),Buchungen!$T$8:$T$127,"&gt;"&amp;ROUND(H$13*1440,0))&gt;1,"!",INDEX(Buchungen!$P$8:$P$127,SUMIFS(Buchungen!$R$8:$R$127,Buchungen!$D$8:$D$127,$A22,Buchungen!$B$8:$B$127,$B$6,Buchungen!$N$8:$N$127,"&lt;&gt;Storniert",Buchungen!$S$8:$S$127,"&lt;"&amp;(ROUND(H$13*1440,0)+$B$9),Buchungen!$T$8:$T$127,"&gt;"&amp;ROUND(H$13*1440,0))-7))))</f>
        <v>PROJ</v>
      </c>
      <c r="I22" s="25" t="str">
        <f aca="false">IF(I$13="","",IF(COUNTIFS(Buchungen!$D$8:$D$127,$A22,Buchungen!$B$8:$B$127,$B$6,Buchungen!$N$8:$N$127,"&lt;&gt;Storniert",Buchungen!$S$8:$S$127,"&lt;"&amp;(ROUND(I$13*1440,0)+$B$9),Buchungen!$T$8:$T$127,"&gt;"&amp;ROUND(I$13*1440,0))=0,"",IF(COUNTIFS(Buchungen!$D$8:$D$127,$A22,Buchungen!$B$8:$B$127,$B$6,Buchungen!$N$8:$N$127,"&lt;&gt;Storniert",Buchungen!$S$8:$S$127,"&lt;"&amp;(ROUND(I$13*1440,0)+$B$9),Buchungen!$T$8:$T$127,"&gt;"&amp;ROUND(I$13*1440,0))&gt;1,"!",INDEX(Buchungen!$P$8:$P$127,SUMIFS(Buchungen!$R$8:$R$127,Buchungen!$D$8:$D$127,$A22,Buchungen!$B$8:$B$127,$B$6,Buchungen!$N$8:$N$127,"&lt;&gt;Storniert",Buchungen!$S$8:$S$127,"&lt;"&amp;(ROUND(I$13*1440,0)+$B$9),Buchungen!$T$8:$T$127,"&gt;"&amp;ROUND(I$13*1440,0))-7))))</f>
        <v/>
      </c>
      <c r="J22" s="25" t="str">
        <f aca="false">IF(J$13="","",IF(COUNTIFS(Buchungen!$D$8:$D$127,$A22,Buchungen!$B$8:$B$127,$B$6,Buchungen!$N$8:$N$127,"&lt;&gt;Storniert",Buchungen!$S$8:$S$127,"&lt;"&amp;(ROUND(J$13*1440,0)+$B$9),Buchungen!$T$8:$T$127,"&gt;"&amp;ROUND(J$13*1440,0))=0,"",IF(COUNTIFS(Buchungen!$D$8:$D$127,$A22,Buchungen!$B$8:$B$127,$B$6,Buchungen!$N$8:$N$127,"&lt;&gt;Storniert",Buchungen!$S$8:$S$127,"&lt;"&amp;(ROUND(J$13*1440,0)+$B$9),Buchungen!$T$8:$T$127,"&gt;"&amp;ROUND(J$13*1440,0))&gt;1,"!",INDEX(Buchungen!$P$8:$P$127,SUMIFS(Buchungen!$R$8:$R$127,Buchungen!$D$8:$D$127,$A22,Buchungen!$B$8:$B$127,$B$6,Buchungen!$N$8:$N$127,"&lt;&gt;Storniert",Buchungen!$S$8:$S$127,"&lt;"&amp;(ROUND(J$13*1440,0)+$B$9),Buchungen!$T$8:$T$127,"&gt;"&amp;ROUND(J$13*1440,0))-7))))</f>
        <v>BEWT</v>
      </c>
      <c r="K22" s="25" t="str">
        <f aca="false">IF(K$13="","",IF(COUNTIFS(Buchungen!$D$8:$D$127,$A22,Buchungen!$B$8:$B$127,$B$6,Buchungen!$N$8:$N$127,"&lt;&gt;Storniert",Buchungen!$S$8:$S$127,"&lt;"&amp;(ROUND(K$13*1440,0)+$B$9),Buchungen!$T$8:$T$127,"&gt;"&amp;ROUND(K$13*1440,0))=0,"",IF(COUNTIFS(Buchungen!$D$8:$D$127,$A22,Buchungen!$B$8:$B$127,$B$6,Buchungen!$N$8:$N$127,"&lt;&gt;Storniert",Buchungen!$S$8:$S$127,"&lt;"&amp;(ROUND(K$13*1440,0)+$B$9),Buchungen!$T$8:$T$127,"&gt;"&amp;ROUND(K$13*1440,0))&gt;1,"!",INDEX(Buchungen!$P$8:$P$127,SUMIFS(Buchungen!$R$8:$R$127,Buchungen!$D$8:$D$127,$A22,Buchungen!$B$8:$B$127,$B$6,Buchungen!$N$8:$N$127,"&lt;&gt;Storniert",Buchungen!$S$8:$S$127,"&lt;"&amp;(ROUND(K$13*1440,0)+$B$9),Buchungen!$T$8:$T$127,"&gt;"&amp;ROUND(K$13*1440,0))-7))))</f>
        <v>BEWT</v>
      </c>
      <c r="L22" s="25" t="str">
        <f aca="false">IF(L$13="","",IF(COUNTIFS(Buchungen!$D$8:$D$127,$A22,Buchungen!$B$8:$B$127,$B$6,Buchungen!$N$8:$N$127,"&lt;&gt;Storniert",Buchungen!$S$8:$S$127,"&lt;"&amp;(ROUND(L$13*1440,0)+$B$9),Buchungen!$T$8:$T$127,"&gt;"&amp;ROUND(L$13*1440,0))=0,"",IF(COUNTIFS(Buchungen!$D$8:$D$127,$A22,Buchungen!$B$8:$B$127,$B$6,Buchungen!$N$8:$N$127,"&lt;&gt;Storniert",Buchungen!$S$8:$S$127,"&lt;"&amp;(ROUND(L$13*1440,0)+$B$9),Buchungen!$T$8:$T$127,"&gt;"&amp;ROUND(L$13*1440,0))&gt;1,"!",INDEX(Buchungen!$P$8:$P$127,SUMIFS(Buchungen!$R$8:$R$127,Buchungen!$D$8:$D$127,$A22,Buchungen!$B$8:$B$127,$B$6,Buchungen!$N$8:$N$127,"&lt;&gt;Storniert",Buchungen!$S$8:$S$127,"&lt;"&amp;(ROUND(L$13*1440,0)+$B$9),Buchungen!$T$8:$T$127,"&gt;"&amp;ROUND(L$13*1440,0))-7))))</f>
        <v>BEWT</v>
      </c>
      <c r="M22" s="25" t="str">
        <f aca="false">IF(M$13="","",IF(COUNTIFS(Buchungen!$D$8:$D$127,$A22,Buchungen!$B$8:$B$127,$B$6,Buchungen!$N$8:$N$127,"&lt;&gt;Storniert",Buchungen!$S$8:$S$127,"&lt;"&amp;(ROUND(M$13*1440,0)+$B$9),Buchungen!$T$8:$T$127,"&gt;"&amp;ROUND(M$13*1440,0))=0,"",IF(COUNTIFS(Buchungen!$D$8:$D$127,$A22,Buchungen!$B$8:$B$127,$B$6,Buchungen!$N$8:$N$127,"&lt;&gt;Storniert",Buchungen!$S$8:$S$127,"&lt;"&amp;(ROUND(M$13*1440,0)+$B$9),Buchungen!$T$8:$T$127,"&gt;"&amp;ROUND(M$13*1440,0))&gt;1,"!",INDEX(Buchungen!$P$8:$P$127,SUMIFS(Buchungen!$R$8:$R$127,Buchungen!$D$8:$D$127,$A22,Buchungen!$B$8:$B$127,$B$6,Buchungen!$N$8:$N$127,"&lt;&gt;Storniert",Buchungen!$S$8:$S$127,"&lt;"&amp;(ROUND(M$13*1440,0)+$B$9),Buchungen!$T$8:$T$127,"&gt;"&amp;ROUND(M$13*1440,0))-7))))</f>
        <v/>
      </c>
      <c r="N22" s="25" t="str">
        <f aca="false">IF(N$13="","",IF(COUNTIFS(Buchungen!$D$8:$D$127,$A22,Buchungen!$B$8:$B$127,$B$6,Buchungen!$N$8:$N$127,"&lt;&gt;Storniert",Buchungen!$S$8:$S$127,"&lt;"&amp;(ROUND(N$13*1440,0)+$B$9),Buchungen!$T$8:$T$127,"&gt;"&amp;ROUND(N$13*1440,0))=0,"",IF(COUNTIFS(Buchungen!$D$8:$D$127,$A22,Buchungen!$B$8:$B$127,$B$6,Buchungen!$N$8:$N$127,"&lt;&gt;Storniert",Buchungen!$S$8:$S$127,"&lt;"&amp;(ROUND(N$13*1440,0)+$B$9),Buchungen!$T$8:$T$127,"&gt;"&amp;ROUND(N$13*1440,0))&gt;1,"!",INDEX(Buchungen!$P$8:$P$127,SUMIFS(Buchungen!$R$8:$R$127,Buchungen!$D$8:$D$127,$A22,Buchungen!$B$8:$B$127,$B$6,Buchungen!$N$8:$N$127,"&lt;&gt;Storniert",Buchungen!$S$8:$S$127,"&lt;"&amp;(ROUND(N$13*1440,0)+$B$9),Buchungen!$T$8:$T$127,"&gt;"&amp;ROUND(N$13*1440,0))-7))))</f>
        <v/>
      </c>
      <c r="O22" s="25" t="str">
        <f aca="false">IF(O$13="","",IF(COUNTIFS(Buchungen!$D$8:$D$127,$A22,Buchungen!$B$8:$B$127,$B$6,Buchungen!$N$8:$N$127,"&lt;&gt;Storniert",Buchungen!$S$8:$S$127,"&lt;"&amp;(ROUND(O$13*1440,0)+$B$9),Buchungen!$T$8:$T$127,"&gt;"&amp;ROUND(O$13*1440,0))=0,"",IF(COUNTIFS(Buchungen!$D$8:$D$127,$A22,Buchungen!$B$8:$B$127,$B$6,Buchungen!$N$8:$N$127,"&lt;&gt;Storniert",Buchungen!$S$8:$S$127,"&lt;"&amp;(ROUND(O$13*1440,0)+$B$9),Buchungen!$T$8:$T$127,"&gt;"&amp;ROUND(O$13*1440,0))&gt;1,"!",INDEX(Buchungen!$P$8:$P$127,SUMIFS(Buchungen!$R$8:$R$127,Buchungen!$D$8:$D$127,$A22,Buchungen!$B$8:$B$127,$B$6,Buchungen!$N$8:$N$127,"&lt;&gt;Storniert",Buchungen!$S$8:$S$127,"&lt;"&amp;(ROUND(O$13*1440,0)+$B$9),Buchungen!$T$8:$T$127,"&gt;"&amp;ROUND(O$13*1440,0))-7))))</f>
        <v/>
      </c>
      <c r="P22" s="25" t="str">
        <f aca="false">IF(P$13="","",IF(COUNTIFS(Buchungen!$D$8:$D$127,$A22,Buchungen!$B$8:$B$127,$B$6,Buchungen!$N$8:$N$127,"&lt;&gt;Storniert",Buchungen!$S$8:$S$127,"&lt;"&amp;(ROUND(P$13*1440,0)+$B$9),Buchungen!$T$8:$T$127,"&gt;"&amp;ROUND(P$13*1440,0))=0,"",IF(COUNTIFS(Buchungen!$D$8:$D$127,$A22,Buchungen!$B$8:$B$127,$B$6,Buchungen!$N$8:$N$127,"&lt;&gt;Storniert",Buchungen!$S$8:$S$127,"&lt;"&amp;(ROUND(P$13*1440,0)+$B$9),Buchungen!$T$8:$T$127,"&gt;"&amp;ROUND(P$13*1440,0))&gt;1,"!",INDEX(Buchungen!$P$8:$P$127,SUMIFS(Buchungen!$R$8:$R$127,Buchungen!$D$8:$D$127,$A22,Buchungen!$B$8:$B$127,$B$6,Buchungen!$N$8:$N$127,"&lt;&gt;Storniert",Buchungen!$S$8:$S$127,"&lt;"&amp;(ROUND(P$13*1440,0)+$B$9),Buchungen!$T$8:$T$127,"&gt;"&amp;ROUND(P$13*1440,0))-7))))</f>
        <v/>
      </c>
      <c r="Q22" s="25" t="str">
        <f aca="false">IF(Q$13="","",IF(COUNTIFS(Buchungen!$D$8:$D$127,$A22,Buchungen!$B$8:$B$127,$B$6,Buchungen!$N$8:$N$127,"&lt;&gt;Storniert",Buchungen!$S$8:$S$127,"&lt;"&amp;(ROUND(Q$13*1440,0)+$B$9),Buchungen!$T$8:$T$127,"&gt;"&amp;ROUND(Q$13*1440,0))=0,"",IF(COUNTIFS(Buchungen!$D$8:$D$127,$A22,Buchungen!$B$8:$B$127,$B$6,Buchungen!$N$8:$N$127,"&lt;&gt;Storniert",Buchungen!$S$8:$S$127,"&lt;"&amp;(ROUND(Q$13*1440,0)+$B$9),Buchungen!$T$8:$T$127,"&gt;"&amp;ROUND(Q$13*1440,0))&gt;1,"!",INDEX(Buchungen!$P$8:$P$127,SUMIFS(Buchungen!$R$8:$R$127,Buchungen!$D$8:$D$127,$A22,Buchungen!$B$8:$B$127,$B$6,Buchungen!$N$8:$N$127,"&lt;&gt;Storniert",Buchungen!$S$8:$S$127,"&lt;"&amp;(ROUND(Q$13*1440,0)+$B$9),Buchungen!$T$8:$T$127,"&gt;"&amp;ROUND(Q$13*1440,0))-7))))</f>
        <v/>
      </c>
      <c r="R22" s="25" t="str">
        <f aca="false">IF(R$13="","",IF(COUNTIFS(Buchungen!$D$8:$D$127,$A22,Buchungen!$B$8:$B$127,$B$6,Buchungen!$N$8:$N$127,"&lt;&gt;Storniert",Buchungen!$S$8:$S$127,"&lt;"&amp;(ROUND(R$13*1440,0)+$B$9),Buchungen!$T$8:$T$127,"&gt;"&amp;ROUND(R$13*1440,0))=0,"",IF(COUNTIFS(Buchungen!$D$8:$D$127,$A22,Buchungen!$B$8:$B$127,$B$6,Buchungen!$N$8:$N$127,"&lt;&gt;Storniert",Buchungen!$S$8:$S$127,"&lt;"&amp;(ROUND(R$13*1440,0)+$B$9),Buchungen!$T$8:$T$127,"&gt;"&amp;ROUND(R$13*1440,0))&gt;1,"!",INDEX(Buchungen!$P$8:$P$127,SUMIFS(Buchungen!$R$8:$R$127,Buchungen!$D$8:$D$127,$A22,Buchungen!$B$8:$B$127,$B$6,Buchungen!$N$8:$N$127,"&lt;&gt;Storniert",Buchungen!$S$8:$S$127,"&lt;"&amp;(ROUND(R$13*1440,0)+$B$9),Buchungen!$T$8:$T$127,"&gt;"&amp;ROUND(R$13*1440,0))-7))))</f>
        <v/>
      </c>
      <c r="S22" s="25" t="str">
        <f aca="false">IF(S$13="","",IF(COUNTIFS(Buchungen!$D$8:$D$127,$A22,Buchungen!$B$8:$B$127,$B$6,Buchungen!$N$8:$N$127,"&lt;&gt;Storniert",Buchungen!$S$8:$S$127,"&lt;"&amp;(ROUND(S$13*1440,0)+$B$9),Buchungen!$T$8:$T$127,"&gt;"&amp;ROUND(S$13*1440,0))=0,"",IF(COUNTIFS(Buchungen!$D$8:$D$127,$A22,Buchungen!$B$8:$B$127,$B$6,Buchungen!$N$8:$N$127,"&lt;&gt;Storniert",Buchungen!$S$8:$S$127,"&lt;"&amp;(ROUND(S$13*1440,0)+$B$9),Buchungen!$T$8:$T$127,"&gt;"&amp;ROUND(S$13*1440,0))&gt;1,"!",INDEX(Buchungen!$P$8:$P$127,SUMIFS(Buchungen!$R$8:$R$127,Buchungen!$D$8:$D$127,$A22,Buchungen!$B$8:$B$127,$B$6,Buchungen!$N$8:$N$127,"&lt;&gt;Storniert",Buchungen!$S$8:$S$127,"&lt;"&amp;(ROUND(S$13*1440,0)+$B$9),Buchungen!$T$8:$T$127,"&gt;"&amp;ROUND(S$13*1440,0))-7))))</f>
        <v/>
      </c>
      <c r="T22" s="25" t="str">
        <f aca="false">IF(T$13="","",IF(COUNTIFS(Buchungen!$D$8:$D$127,$A22,Buchungen!$B$8:$B$127,$B$6,Buchungen!$N$8:$N$127,"&lt;&gt;Storniert",Buchungen!$S$8:$S$127,"&lt;"&amp;(ROUND(T$13*1440,0)+$B$9),Buchungen!$T$8:$T$127,"&gt;"&amp;ROUND(T$13*1440,0))=0,"",IF(COUNTIFS(Buchungen!$D$8:$D$127,$A22,Buchungen!$B$8:$B$127,$B$6,Buchungen!$N$8:$N$127,"&lt;&gt;Storniert",Buchungen!$S$8:$S$127,"&lt;"&amp;(ROUND(T$13*1440,0)+$B$9),Buchungen!$T$8:$T$127,"&gt;"&amp;ROUND(T$13*1440,0))&gt;1,"!",INDEX(Buchungen!$P$8:$P$127,SUMIFS(Buchungen!$R$8:$R$127,Buchungen!$D$8:$D$127,$A22,Buchungen!$B$8:$B$127,$B$6,Buchungen!$N$8:$N$127,"&lt;&gt;Storniert",Buchungen!$S$8:$S$127,"&lt;"&amp;(ROUND(T$13*1440,0)+$B$9),Buchungen!$T$8:$T$127,"&gt;"&amp;ROUND(T$13*1440,0))-7))))</f>
        <v/>
      </c>
      <c r="U22" s="25" t="str">
        <f aca="false">IF(U$13="","",IF(COUNTIFS(Buchungen!$D$8:$D$127,$A22,Buchungen!$B$8:$B$127,$B$6,Buchungen!$N$8:$N$127,"&lt;&gt;Storniert",Buchungen!$S$8:$S$127,"&lt;"&amp;(ROUND(U$13*1440,0)+$B$9),Buchungen!$T$8:$T$127,"&gt;"&amp;ROUND(U$13*1440,0))=0,"",IF(COUNTIFS(Buchungen!$D$8:$D$127,$A22,Buchungen!$B$8:$B$127,$B$6,Buchungen!$N$8:$N$127,"&lt;&gt;Storniert",Buchungen!$S$8:$S$127,"&lt;"&amp;(ROUND(U$13*1440,0)+$B$9),Buchungen!$T$8:$T$127,"&gt;"&amp;ROUND(U$13*1440,0))&gt;1,"!",INDEX(Buchungen!$P$8:$P$127,SUMIFS(Buchungen!$R$8:$R$127,Buchungen!$D$8:$D$127,$A22,Buchungen!$B$8:$B$127,$B$6,Buchungen!$N$8:$N$127,"&lt;&gt;Storniert",Buchungen!$S$8:$S$127,"&lt;"&amp;(ROUND(U$13*1440,0)+$B$9),Buchungen!$T$8:$T$127,"&gt;"&amp;ROUND(U$13*1440,0))-7))))</f>
        <v/>
      </c>
      <c r="V22" s="25" t="str">
        <f aca="false">IF(V$13="","",IF(COUNTIFS(Buchungen!$D$8:$D$127,$A22,Buchungen!$B$8:$B$127,$B$6,Buchungen!$N$8:$N$127,"&lt;&gt;Storniert",Buchungen!$S$8:$S$127,"&lt;"&amp;(ROUND(V$13*1440,0)+$B$9),Buchungen!$T$8:$T$127,"&gt;"&amp;ROUND(V$13*1440,0))=0,"",IF(COUNTIFS(Buchungen!$D$8:$D$127,$A22,Buchungen!$B$8:$B$127,$B$6,Buchungen!$N$8:$N$127,"&lt;&gt;Storniert",Buchungen!$S$8:$S$127,"&lt;"&amp;(ROUND(V$13*1440,0)+$B$9),Buchungen!$T$8:$T$127,"&gt;"&amp;ROUND(V$13*1440,0))&gt;1,"!",INDEX(Buchungen!$P$8:$P$127,SUMIFS(Buchungen!$R$8:$R$127,Buchungen!$D$8:$D$127,$A22,Buchungen!$B$8:$B$127,$B$6,Buchungen!$N$8:$N$127,"&lt;&gt;Storniert",Buchungen!$S$8:$S$127,"&lt;"&amp;(ROUND(V$13*1440,0)+$B$9),Buchungen!$T$8:$T$127,"&gt;"&amp;ROUND(V$13*1440,0))-7))))</f>
        <v/>
      </c>
      <c r="W22" s="25" t="str">
        <f aca="false">IF(W$13="","",IF(COUNTIFS(Buchungen!$D$8:$D$127,$A22,Buchungen!$B$8:$B$127,$B$6,Buchungen!$N$8:$N$127,"&lt;&gt;Storniert",Buchungen!$S$8:$S$127,"&lt;"&amp;(ROUND(W$13*1440,0)+$B$9),Buchungen!$T$8:$T$127,"&gt;"&amp;ROUND(W$13*1440,0))=0,"",IF(COUNTIFS(Buchungen!$D$8:$D$127,$A22,Buchungen!$B$8:$B$127,$B$6,Buchungen!$N$8:$N$127,"&lt;&gt;Storniert",Buchungen!$S$8:$S$127,"&lt;"&amp;(ROUND(W$13*1440,0)+$B$9),Buchungen!$T$8:$T$127,"&gt;"&amp;ROUND(W$13*1440,0))&gt;1,"!",INDEX(Buchungen!$P$8:$P$127,SUMIFS(Buchungen!$R$8:$R$127,Buchungen!$D$8:$D$127,$A22,Buchungen!$B$8:$B$127,$B$6,Buchungen!$N$8:$N$127,"&lt;&gt;Storniert",Buchungen!$S$8:$S$127,"&lt;"&amp;(ROUND(W$13*1440,0)+$B$9),Buchungen!$T$8:$T$127,"&gt;"&amp;ROUND(W$13*1440,0))-7))))</f>
        <v/>
      </c>
      <c r="X22" s="25" t="str">
        <f aca="false">IF(X$13="","",IF(COUNTIFS(Buchungen!$D$8:$D$127,$A22,Buchungen!$B$8:$B$127,$B$6,Buchungen!$N$8:$N$127,"&lt;&gt;Storniert",Buchungen!$S$8:$S$127,"&lt;"&amp;(ROUND(X$13*1440,0)+$B$9),Buchungen!$T$8:$T$127,"&gt;"&amp;ROUND(X$13*1440,0))=0,"",IF(COUNTIFS(Buchungen!$D$8:$D$127,$A22,Buchungen!$B$8:$B$127,$B$6,Buchungen!$N$8:$N$127,"&lt;&gt;Storniert",Buchungen!$S$8:$S$127,"&lt;"&amp;(ROUND(X$13*1440,0)+$B$9),Buchungen!$T$8:$T$127,"&gt;"&amp;ROUND(X$13*1440,0))&gt;1,"!",INDEX(Buchungen!$P$8:$P$127,SUMIFS(Buchungen!$R$8:$R$127,Buchungen!$D$8:$D$127,$A22,Buchungen!$B$8:$B$127,$B$6,Buchungen!$N$8:$N$127,"&lt;&gt;Storniert",Buchungen!$S$8:$S$127,"&lt;"&amp;(ROUND(X$13*1440,0)+$B$9),Buchungen!$T$8:$T$127,"&gt;"&amp;ROUND(X$13*1440,0))-7))))</f>
        <v/>
      </c>
      <c r="Y22" s="25" t="str">
        <f aca="false">IF(Y$13="","",IF(COUNTIFS(Buchungen!$D$8:$D$127,$A22,Buchungen!$B$8:$B$127,$B$6,Buchungen!$N$8:$N$127,"&lt;&gt;Storniert",Buchungen!$S$8:$S$127,"&lt;"&amp;(ROUND(Y$13*1440,0)+$B$9),Buchungen!$T$8:$T$127,"&gt;"&amp;ROUND(Y$13*1440,0))=0,"",IF(COUNTIFS(Buchungen!$D$8:$D$127,$A22,Buchungen!$B$8:$B$127,$B$6,Buchungen!$N$8:$N$127,"&lt;&gt;Storniert",Buchungen!$S$8:$S$127,"&lt;"&amp;(ROUND(Y$13*1440,0)+$B$9),Buchungen!$T$8:$T$127,"&gt;"&amp;ROUND(Y$13*1440,0))&gt;1,"!",INDEX(Buchungen!$P$8:$P$127,SUMIFS(Buchungen!$R$8:$R$127,Buchungen!$D$8:$D$127,$A22,Buchungen!$B$8:$B$127,$B$6,Buchungen!$N$8:$N$127,"&lt;&gt;Storniert",Buchungen!$S$8:$S$127,"&lt;"&amp;(ROUND(Y$13*1440,0)+$B$9),Buchungen!$T$8:$T$127,"&gt;"&amp;ROUND(Y$13*1440,0))-7))))</f>
        <v/>
      </c>
      <c r="Z22" s="25" t="str">
        <f aca="false">IF(Z$13="","",IF(COUNTIFS(Buchungen!$D$8:$D$127,$A22,Buchungen!$B$8:$B$127,$B$6,Buchungen!$N$8:$N$127,"&lt;&gt;Storniert",Buchungen!$S$8:$S$127,"&lt;"&amp;(ROUND(Z$13*1440,0)+$B$9),Buchungen!$T$8:$T$127,"&gt;"&amp;ROUND(Z$13*1440,0))=0,"",IF(COUNTIFS(Buchungen!$D$8:$D$127,$A22,Buchungen!$B$8:$B$127,$B$6,Buchungen!$N$8:$N$127,"&lt;&gt;Storniert",Buchungen!$S$8:$S$127,"&lt;"&amp;(ROUND(Z$13*1440,0)+$B$9),Buchungen!$T$8:$T$127,"&gt;"&amp;ROUND(Z$13*1440,0))&gt;1,"!",INDEX(Buchungen!$P$8:$P$127,SUMIFS(Buchungen!$R$8:$R$127,Buchungen!$D$8:$D$127,$A22,Buchungen!$B$8:$B$127,$B$6,Buchungen!$N$8:$N$127,"&lt;&gt;Storniert",Buchungen!$S$8:$S$127,"&lt;"&amp;(ROUND(Z$13*1440,0)+$B$9),Buchungen!$T$8:$T$127,"&gt;"&amp;ROUND(Z$13*1440,0))-7))))</f>
        <v/>
      </c>
      <c r="AA22" s="25" t="str">
        <f aca="false">IF(AA$13="","",IF(COUNTIFS(Buchungen!$D$8:$D$127,$A22,Buchungen!$B$8:$B$127,$B$6,Buchungen!$N$8:$N$127,"&lt;&gt;Storniert",Buchungen!$S$8:$S$127,"&lt;"&amp;(ROUND(AA$13*1440,0)+$B$9),Buchungen!$T$8:$T$127,"&gt;"&amp;ROUND(AA$13*1440,0))=0,"",IF(COUNTIFS(Buchungen!$D$8:$D$127,$A22,Buchungen!$B$8:$B$127,$B$6,Buchungen!$N$8:$N$127,"&lt;&gt;Storniert",Buchungen!$S$8:$S$127,"&lt;"&amp;(ROUND(AA$13*1440,0)+$B$9),Buchungen!$T$8:$T$127,"&gt;"&amp;ROUND(AA$13*1440,0))&gt;1,"!",INDEX(Buchungen!$P$8:$P$127,SUMIFS(Buchungen!$R$8:$R$127,Buchungen!$D$8:$D$127,$A22,Buchungen!$B$8:$B$127,$B$6,Buchungen!$N$8:$N$127,"&lt;&gt;Storniert",Buchungen!$S$8:$S$127,"&lt;"&amp;(ROUND(AA$13*1440,0)+$B$9),Buchungen!$T$8:$T$127,"&gt;"&amp;ROUND(AA$13*1440,0))-7))))</f>
        <v/>
      </c>
      <c r="AB22" s="25" t="str">
        <f aca="false">IF(AB$13="","",IF(COUNTIFS(Buchungen!$D$8:$D$127,$A22,Buchungen!$B$8:$B$127,$B$6,Buchungen!$N$8:$N$127,"&lt;&gt;Storniert",Buchungen!$S$8:$S$127,"&lt;"&amp;(ROUND(AB$13*1440,0)+$B$9),Buchungen!$T$8:$T$127,"&gt;"&amp;ROUND(AB$13*1440,0))=0,"",IF(COUNTIFS(Buchungen!$D$8:$D$127,$A22,Buchungen!$B$8:$B$127,$B$6,Buchungen!$N$8:$N$127,"&lt;&gt;Storniert",Buchungen!$S$8:$S$127,"&lt;"&amp;(ROUND(AB$13*1440,0)+$B$9),Buchungen!$T$8:$T$127,"&gt;"&amp;ROUND(AB$13*1440,0))&gt;1,"!",INDEX(Buchungen!$P$8:$P$127,SUMIFS(Buchungen!$R$8:$R$127,Buchungen!$D$8:$D$127,$A22,Buchungen!$B$8:$B$127,$B$6,Buchungen!$N$8:$N$127,"&lt;&gt;Storniert",Buchungen!$S$8:$S$127,"&lt;"&amp;(ROUND(AB$13*1440,0)+$B$9),Buchungen!$T$8:$T$127,"&gt;"&amp;ROUND(AB$13*1440,0))-7))))</f>
        <v/>
      </c>
      <c r="AC22" s="26" t="n">
        <f aca="false">IF($A22="","",SUMIFS(Buchungen!$I$8:$I$127,Buchungen!$D$8:$D$127,$A22,Buchungen!$B$8:$B$127,$B$6,Buchungen!$N$8:$N$127,"&lt;&gt;Storniert"))</f>
        <v>3</v>
      </c>
      <c r="AD22" s="27" t="n">
        <f aca="false">IF($A22="","",IFERROR($AC22/($B$10*$B$9/60),0))</f>
        <v>0.230769230769231</v>
      </c>
      <c r="AE22" s="27" t="n">
        <f aca="false">IF($A22="","",IFERROR(AVERAGEIFS(Buchungen!$K$8:$K$127,Buchungen!$D$8:$D$127,$A22,Buchungen!$B$8:$B$127,$B$6,Buchungen!$N$8:$N$127,"Bestätigt")/Stammdaten!$D16,0))</f>
        <v>0.875</v>
      </c>
    </row>
    <row r="23" customFormat="false" ht="16.5" hidden="false" customHeight="true" outlineLevel="0" collapsed="false">
      <c r="A23" s="28" t="str">
        <f aca="false">IF(OR(Stammdaten!$A17="",Stammdaten!$F17="Nein"),"",Stammdaten!$A17)</f>
        <v>R-10</v>
      </c>
      <c r="B23" s="29" t="str">
        <f aca="false">IF($A23="","",Stammdaten!$B17&amp;"  ("&amp;Stammdaten!$D17&amp;" Plätze)")</f>
        <v>Kreativraum  (12 Plätze)</v>
      </c>
      <c r="C23" s="30" t="str">
        <f aca="false">IF(C$13="","",IF(COUNTIFS(Buchungen!$D$8:$D$127,$A23,Buchungen!$B$8:$B$127,$B$6,Buchungen!$N$8:$N$127,"&lt;&gt;Storniert",Buchungen!$S$8:$S$127,"&lt;"&amp;(ROUND(C$13*1440,0)+$B$9),Buchungen!$T$8:$T$127,"&gt;"&amp;ROUND(C$13*1440,0))=0,"",IF(COUNTIFS(Buchungen!$D$8:$D$127,$A23,Buchungen!$B$8:$B$127,$B$6,Buchungen!$N$8:$N$127,"&lt;&gt;Storniert",Buchungen!$S$8:$S$127,"&lt;"&amp;(ROUND(C$13*1440,0)+$B$9),Buchungen!$T$8:$T$127,"&gt;"&amp;ROUND(C$13*1440,0))&gt;1,"!",INDEX(Buchungen!$P$8:$P$127,SUMIFS(Buchungen!$R$8:$R$127,Buchungen!$D$8:$D$127,$A23,Buchungen!$B$8:$B$127,$B$6,Buchungen!$N$8:$N$127,"&lt;&gt;Storniert",Buchungen!$S$8:$S$127,"&lt;"&amp;(ROUND(C$13*1440,0)+$B$9),Buchungen!$T$8:$T$127,"&gt;"&amp;ROUND(C$13*1440,0))-7))))</f>
        <v/>
      </c>
      <c r="D23" s="30" t="str">
        <f aca="false">IF(D$13="","",IF(COUNTIFS(Buchungen!$D$8:$D$127,$A23,Buchungen!$B$8:$B$127,$B$6,Buchungen!$N$8:$N$127,"&lt;&gt;Storniert",Buchungen!$S$8:$S$127,"&lt;"&amp;(ROUND(D$13*1440,0)+$B$9),Buchungen!$T$8:$T$127,"&gt;"&amp;ROUND(D$13*1440,0))=0,"",IF(COUNTIFS(Buchungen!$D$8:$D$127,$A23,Buchungen!$B$8:$B$127,$B$6,Buchungen!$N$8:$N$127,"&lt;&gt;Storniert",Buchungen!$S$8:$S$127,"&lt;"&amp;(ROUND(D$13*1440,0)+$B$9),Buchungen!$T$8:$T$127,"&gt;"&amp;ROUND(D$13*1440,0))&gt;1,"!",INDEX(Buchungen!$P$8:$P$127,SUMIFS(Buchungen!$R$8:$R$127,Buchungen!$D$8:$D$127,$A23,Buchungen!$B$8:$B$127,$B$6,Buchungen!$N$8:$N$127,"&lt;&gt;Storniert",Buchungen!$S$8:$S$127,"&lt;"&amp;(ROUND(D$13*1440,0)+$B$9),Buchungen!$T$8:$T$127,"&gt;"&amp;ROUND(D$13*1440,0))-7))))</f>
        <v/>
      </c>
      <c r="E23" s="30" t="str">
        <f aca="false">IF(E$13="","",IF(COUNTIFS(Buchungen!$D$8:$D$127,$A23,Buchungen!$B$8:$B$127,$B$6,Buchungen!$N$8:$N$127,"&lt;&gt;Storniert",Buchungen!$S$8:$S$127,"&lt;"&amp;(ROUND(E$13*1440,0)+$B$9),Buchungen!$T$8:$T$127,"&gt;"&amp;ROUND(E$13*1440,0))=0,"",IF(COUNTIFS(Buchungen!$D$8:$D$127,$A23,Buchungen!$B$8:$B$127,$B$6,Buchungen!$N$8:$N$127,"&lt;&gt;Storniert",Buchungen!$S$8:$S$127,"&lt;"&amp;(ROUND(E$13*1440,0)+$B$9),Buchungen!$T$8:$T$127,"&gt;"&amp;ROUND(E$13*1440,0))&gt;1,"!",INDEX(Buchungen!$P$8:$P$127,SUMIFS(Buchungen!$R$8:$R$127,Buchungen!$D$8:$D$127,$A23,Buchungen!$B$8:$B$127,$B$6,Buchungen!$N$8:$N$127,"&lt;&gt;Storniert",Buchungen!$S$8:$S$127,"&lt;"&amp;(ROUND(E$13*1440,0)+$B$9),Buchungen!$T$8:$T$127,"&gt;"&amp;ROUND(E$13*1440,0))-7))))</f>
        <v/>
      </c>
      <c r="F23" s="30" t="str">
        <f aca="false">IF(F$13="","",IF(COUNTIFS(Buchungen!$D$8:$D$127,$A23,Buchungen!$B$8:$B$127,$B$6,Buchungen!$N$8:$N$127,"&lt;&gt;Storniert",Buchungen!$S$8:$S$127,"&lt;"&amp;(ROUND(F$13*1440,0)+$B$9),Buchungen!$T$8:$T$127,"&gt;"&amp;ROUND(F$13*1440,0))=0,"",IF(COUNTIFS(Buchungen!$D$8:$D$127,$A23,Buchungen!$B$8:$B$127,$B$6,Buchungen!$N$8:$N$127,"&lt;&gt;Storniert",Buchungen!$S$8:$S$127,"&lt;"&amp;(ROUND(F$13*1440,0)+$B$9),Buchungen!$T$8:$T$127,"&gt;"&amp;ROUND(F$13*1440,0))&gt;1,"!",INDEX(Buchungen!$P$8:$P$127,SUMIFS(Buchungen!$R$8:$R$127,Buchungen!$D$8:$D$127,$A23,Buchungen!$B$8:$B$127,$B$6,Buchungen!$N$8:$N$127,"&lt;&gt;Storniert",Buchungen!$S$8:$S$127,"&lt;"&amp;(ROUND(F$13*1440,0)+$B$9),Buchungen!$T$8:$T$127,"&gt;"&amp;ROUND(F$13*1440,0))-7))))</f>
        <v/>
      </c>
      <c r="G23" s="30" t="str">
        <f aca="false">IF(G$13="","",IF(COUNTIFS(Buchungen!$D$8:$D$127,$A23,Buchungen!$B$8:$B$127,$B$6,Buchungen!$N$8:$N$127,"&lt;&gt;Storniert",Buchungen!$S$8:$S$127,"&lt;"&amp;(ROUND(G$13*1440,0)+$B$9),Buchungen!$T$8:$T$127,"&gt;"&amp;ROUND(G$13*1440,0))=0,"",IF(COUNTIFS(Buchungen!$D$8:$D$127,$A23,Buchungen!$B$8:$B$127,$B$6,Buchungen!$N$8:$N$127,"&lt;&gt;Storniert",Buchungen!$S$8:$S$127,"&lt;"&amp;(ROUND(G$13*1440,0)+$B$9),Buchungen!$T$8:$T$127,"&gt;"&amp;ROUND(G$13*1440,0))&gt;1,"!",INDEX(Buchungen!$P$8:$P$127,SUMIFS(Buchungen!$R$8:$R$127,Buchungen!$D$8:$D$127,$A23,Buchungen!$B$8:$B$127,$B$6,Buchungen!$N$8:$N$127,"&lt;&gt;Storniert",Buchungen!$S$8:$S$127,"&lt;"&amp;(ROUND(G$13*1440,0)+$B$9),Buchungen!$T$8:$T$127,"&gt;"&amp;ROUND(G$13*1440,0))-7))))</f>
        <v>ONBO*</v>
      </c>
      <c r="H23" s="30" t="str">
        <f aca="false">IF(H$13="","",IF(COUNTIFS(Buchungen!$D$8:$D$127,$A23,Buchungen!$B$8:$B$127,$B$6,Buchungen!$N$8:$N$127,"&lt;&gt;Storniert",Buchungen!$S$8:$S$127,"&lt;"&amp;(ROUND(H$13*1440,0)+$B$9),Buchungen!$T$8:$T$127,"&gt;"&amp;ROUND(H$13*1440,0))=0,"",IF(COUNTIFS(Buchungen!$D$8:$D$127,$A23,Buchungen!$B$8:$B$127,$B$6,Buchungen!$N$8:$N$127,"&lt;&gt;Storniert",Buchungen!$S$8:$S$127,"&lt;"&amp;(ROUND(H$13*1440,0)+$B$9),Buchungen!$T$8:$T$127,"&gt;"&amp;ROUND(H$13*1440,0))&gt;1,"!",INDEX(Buchungen!$P$8:$P$127,SUMIFS(Buchungen!$R$8:$R$127,Buchungen!$D$8:$D$127,$A23,Buchungen!$B$8:$B$127,$B$6,Buchungen!$N$8:$N$127,"&lt;&gt;Storniert",Buchungen!$S$8:$S$127,"&lt;"&amp;(ROUND(H$13*1440,0)+$B$9),Buchungen!$T$8:$T$127,"&gt;"&amp;ROUND(H$13*1440,0))-7))))</f>
        <v>ONBO*</v>
      </c>
      <c r="I23" s="30" t="str">
        <f aca="false">IF(I$13="","",IF(COUNTIFS(Buchungen!$D$8:$D$127,$A23,Buchungen!$B$8:$B$127,$B$6,Buchungen!$N$8:$N$127,"&lt;&gt;Storniert",Buchungen!$S$8:$S$127,"&lt;"&amp;(ROUND(I$13*1440,0)+$B$9),Buchungen!$T$8:$T$127,"&gt;"&amp;ROUND(I$13*1440,0))=0,"",IF(COUNTIFS(Buchungen!$D$8:$D$127,$A23,Buchungen!$B$8:$B$127,$B$6,Buchungen!$N$8:$N$127,"&lt;&gt;Storniert",Buchungen!$S$8:$S$127,"&lt;"&amp;(ROUND(I$13*1440,0)+$B$9),Buchungen!$T$8:$T$127,"&gt;"&amp;ROUND(I$13*1440,0))&gt;1,"!",INDEX(Buchungen!$P$8:$P$127,SUMIFS(Buchungen!$R$8:$R$127,Buchungen!$D$8:$D$127,$A23,Buchungen!$B$8:$B$127,$B$6,Buchungen!$N$8:$N$127,"&lt;&gt;Storniert",Buchungen!$S$8:$S$127,"&lt;"&amp;(ROUND(I$13*1440,0)+$B$9),Buchungen!$T$8:$T$127,"&gt;"&amp;ROUND(I$13*1440,0))-7))))</f>
        <v/>
      </c>
      <c r="J23" s="30" t="str">
        <f aca="false">IF(J$13="","",IF(COUNTIFS(Buchungen!$D$8:$D$127,$A23,Buchungen!$B$8:$B$127,$B$6,Buchungen!$N$8:$N$127,"&lt;&gt;Storniert",Buchungen!$S$8:$S$127,"&lt;"&amp;(ROUND(J$13*1440,0)+$B$9),Buchungen!$T$8:$T$127,"&gt;"&amp;ROUND(J$13*1440,0))=0,"",IF(COUNTIFS(Buchungen!$D$8:$D$127,$A23,Buchungen!$B$8:$B$127,$B$6,Buchungen!$N$8:$N$127,"&lt;&gt;Storniert",Buchungen!$S$8:$S$127,"&lt;"&amp;(ROUND(J$13*1440,0)+$B$9),Buchungen!$T$8:$T$127,"&gt;"&amp;ROUND(J$13*1440,0))&gt;1,"!",INDEX(Buchungen!$P$8:$P$127,SUMIFS(Buchungen!$R$8:$R$127,Buchungen!$D$8:$D$127,$A23,Buchungen!$B$8:$B$127,$B$6,Buchungen!$N$8:$N$127,"&lt;&gt;Storniert",Buchungen!$S$8:$S$127,"&lt;"&amp;(ROUND(J$13*1440,0)+$B$9),Buchungen!$T$8:$T$127,"&gt;"&amp;ROUND(J$13*1440,0))-7))))</f>
        <v/>
      </c>
      <c r="K23" s="30" t="str">
        <f aca="false">IF(K$13="","",IF(COUNTIFS(Buchungen!$D$8:$D$127,$A23,Buchungen!$B$8:$B$127,$B$6,Buchungen!$N$8:$N$127,"&lt;&gt;Storniert",Buchungen!$S$8:$S$127,"&lt;"&amp;(ROUND(K$13*1440,0)+$B$9),Buchungen!$T$8:$T$127,"&gt;"&amp;ROUND(K$13*1440,0))=0,"",IF(COUNTIFS(Buchungen!$D$8:$D$127,$A23,Buchungen!$B$8:$B$127,$B$6,Buchungen!$N$8:$N$127,"&lt;&gt;Storniert",Buchungen!$S$8:$S$127,"&lt;"&amp;(ROUND(K$13*1440,0)+$B$9),Buchungen!$T$8:$T$127,"&gt;"&amp;ROUND(K$13*1440,0))&gt;1,"!",INDEX(Buchungen!$P$8:$P$127,SUMIFS(Buchungen!$R$8:$R$127,Buchungen!$D$8:$D$127,$A23,Buchungen!$B$8:$B$127,$B$6,Buchungen!$N$8:$N$127,"&lt;&gt;Storniert",Buchungen!$S$8:$S$127,"&lt;"&amp;(ROUND(K$13*1440,0)+$B$9),Buchungen!$T$8:$T$127,"&gt;"&amp;ROUND(K$13*1440,0))-7))))</f>
        <v>VIKO</v>
      </c>
      <c r="L23" s="30" t="str">
        <f aca="false">IF(L$13="","",IF(COUNTIFS(Buchungen!$D$8:$D$127,$A23,Buchungen!$B$8:$B$127,$B$6,Buchungen!$N$8:$N$127,"&lt;&gt;Storniert",Buchungen!$S$8:$S$127,"&lt;"&amp;(ROUND(L$13*1440,0)+$B$9),Buchungen!$T$8:$T$127,"&gt;"&amp;ROUND(L$13*1440,0))=0,"",IF(COUNTIFS(Buchungen!$D$8:$D$127,$A23,Buchungen!$B$8:$B$127,$B$6,Buchungen!$N$8:$N$127,"&lt;&gt;Storniert",Buchungen!$S$8:$S$127,"&lt;"&amp;(ROUND(L$13*1440,0)+$B$9),Buchungen!$T$8:$T$127,"&gt;"&amp;ROUND(L$13*1440,0))&gt;1,"!",INDEX(Buchungen!$P$8:$P$127,SUMIFS(Buchungen!$R$8:$R$127,Buchungen!$D$8:$D$127,$A23,Buchungen!$B$8:$B$127,$B$6,Buchungen!$N$8:$N$127,"&lt;&gt;Storniert",Buchungen!$S$8:$S$127,"&lt;"&amp;(ROUND(L$13*1440,0)+$B$9),Buchungen!$T$8:$T$127,"&gt;"&amp;ROUND(L$13*1440,0))-7))))</f>
        <v>VIKO</v>
      </c>
      <c r="M23" s="30" t="str">
        <f aca="false">IF(M$13="","",IF(COUNTIFS(Buchungen!$D$8:$D$127,$A23,Buchungen!$B$8:$B$127,$B$6,Buchungen!$N$8:$N$127,"&lt;&gt;Storniert",Buchungen!$S$8:$S$127,"&lt;"&amp;(ROUND(M$13*1440,0)+$B$9),Buchungen!$T$8:$T$127,"&gt;"&amp;ROUND(M$13*1440,0))=0,"",IF(COUNTIFS(Buchungen!$D$8:$D$127,$A23,Buchungen!$B$8:$B$127,$B$6,Buchungen!$N$8:$N$127,"&lt;&gt;Storniert",Buchungen!$S$8:$S$127,"&lt;"&amp;(ROUND(M$13*1440,0)+$B$9),Buchungen!$T$8:$T$127,"&gt;"&amp;ROUND(M$13*1440,0))&gt;1,"!",INDEX(Buchungen!$P$8:$P$127,SUMIFS(Buchungen!$R$8:$R$127,Buchungen!$D$8:$D$127,$A23,Buchungen!$B$8:$B$127,$B$6,Buchungen!$N$8:$N$127,"&lt;&gt;Storniert",Buchungen!$S$8:$S$127,"&lt;"&amp;(ROUND(M$13*1440,0)+$B$9),Buchungen!$T$8:$T$127,"&gt;"&amp;ROUND(M$13*1440,0))-7))))</f>
        <v>VIKO</v>
      </c>
      <c r="N23" s="30" t="str">
        <f aca="false">IF(N$13="","",IF(COUNTIFS(Buchungen!$D$8:$D$127,$A23,Buchungen!$B$8:$B$127,$B$6,Buchungen!$N$8:$N$127,"&lt;&gt;Storniert",Buchungen!$S$8:$S$127,"&lt;"&amp;(ROUND(N$13*1440,0)+$B$9),Buchungen!$T$8:$T$127,"&gt;"&amp;ROUND(N$13*1440,0))=0,"",IF(COUNTIFS(Buchungen!$D$8:$D$127,$A23,Buchungen!$B$8:$B$127,$B$6,Buchungen!$N$8:$N$127,"&lt;&gt;Storniert",Buchungen!$S$8:$S$127,"&lt;"&amp;(ROUND(N$13*1440,0)+$B$9),Buchungen!$T$8:$T$127,"&gt;"&amp;ROUND(N$13*1440,0))&gt;1,"!",INDEX(Buchungen!$P$8:$P$127,SUMIFS(Buchungen!$R$8:$R$127,Buchungen!$D$8:$D$127,$A23,Buchungen!$B$8:$B$127,$B$6,Buchungen!$N$8:$N$127,"&lt;&gt;Storniert",Buchungen!$S$8:$S$127,"&lt;"&amp;(ROUND(N$13*1440,0)+$B$9),Buchungen!$T$8:$T$127,"&gt;"&amp;ROUND(N$13*1440,0))-7))))</f>
        <v>VIKO</v>
      </c>
      <c r="O23" s="30" t="str">
        <f aca="false">IF(O$13="","",IF(COUNTIFS(Buchungen!$D$8:$D$127,$A23,Buchungen!$B$8:$B$127,$B$6,Buchungen!$N$8:$N$127,"&lt;&gt;Storniert",Buchungen!$S$8:$S$127,"&lt;"&amp;(ROUND(O$13*1440,0)+$B$9),Buchungen!$T$8:$T$127,"&gt;"&amp;ROUND(O$13*1440,0))=0,"",IF(COUNTIFS(Buchungen!$D$8:$D$127,$A23,Buchungen!$B$8:$B$127,$B$6,Buchungen!$N$8:$N$127,"&lt;&gt;Storniert",Buchungen!$S$8:$S$127,"&lt;"&amp;(ROUND(O$13*1440,0)+$B$9),Buchungen!$T$8:$T$127,"&gt;"&amp;ROUND(O$13*1440,0))&gt;1,"!",INDEX(Buchungen!$P$8:$P$127,SUMIFS(Buchungen!$R$8:$R$127,Buchungen!$D$8:$D$127,$A23,Buchungen!$B$8:$B$127,$B$6,Buchungen!$N$8:$N$127,"&lt;&gt;Storniert",Buchungen!$S$8:$S$127,"&lt;"&amp;(ROUND(O$13*1440,0)+$B$9),Buchungen!$T$8:$T$127,"&gt;"&amp;ROUND(O$13*1440,0))-7))))</f>
        <v>VIKO</v>
      </c>
      <c r="P23" s="30" t="str">
        <f aca="false">IF(P$13="","",IF(COUNTIFS(Buchungen!$D$8:$D$127,$A23,Buchungen!$B$8:$B$127,$B$6,Buchungen!$N$8:$N$127,"&lt;&gt;Storniert",Buchungen!$S$8:$S$127,"&lt;"&amp;(ROUND(P$13*1440,0)+$B$9),Buchungen!$T$8:$T$127,"&gt;"&amp;ROUND(P$13*1440,0))=0,"",IF(COUNTIFS(Buchungen!$D$8:$D$127,$A23,Buchungen!$B$8:$B$127,$B$6,Buchungen!$N$8:$N$127,"&lt;&gt;Storniert",Buchungen!$S$8:$S$127,"&lt;"&amp;(ROUND(P$13*1440,0)+$B$9),Buchungen!$T$8:$T$127,"&gt;"&amp;ROUND(P$13*1440,0))&gt;1,"!",INDEX(Buchungen!$P$8:$P$127,SUMIFS(Buchungen!$R$8:$R$127,Buchungen!$D$8:$D$127,$A23,Buchungen!$B$8:$B$127,$B$6,Buchungen!$N$8:$N$127,"&lt;&gt;Storniert",Buchungen!$S$8:$S$127,"&lt;"&amp;(ROUND(P$13*1440,0)+$B$9),Buchungen!$T$8:$T$127,"&gt;"&amp;ROUND(P$13*1440,0))-7))))</f>
        <v>VIKO</v>
      </c>
      <c r="Q23" s="30" t="str">
        <f aca="false">IF(Q$13="","",IF(COUNTIFS(Buchungen!$D$8:$D$127,$A23,Buchungen!$B$8:$B$127,$B$6,Buchungen!$N$8:$N$127,"&lt;&gt;Storniert",Buchungen!$S$8:$S$127,"&lt;"&amp;(ROUND(Q$13*1440,0)+$B$9),Buchungen!$T$8:$T$127,"&gt;"&amp;ROUND(Q$13*1440,0))=0,"",IF(COUNTIFS(Buchungen!$D$8:$D$127,$A23,Buchungen!$B$8:$B$127,$B$6,Buchungen!$N$8:$N$127,"&lt;&gt;Storniert",Buchungen!$S$8:$S$127,"&lt;"&amp;(ROUND(Q$13*1440,0)+$B$9),Buchungen!$T$8:$T$127,"&gt;"&amp;ROUND(Q$13*1440,0))&gt;1,"!",INDEX(Buchungen!$P$8:$P$127,SUMIFS(Buchungen!$R$8:$R$127,Buchungen!$D$8:$D$127,$A23,Buchungen!$B$8:$B$127,$B$6,Buchungen!$N$8:$N$127,"&lt;&gt;Storniert",Buchungen!$S$8:$S$127,"&lt;"&amp;(ROUND(Q$13*1440,0)+$B$9),Buchungen!$T$8:$T$127,"&gt;"&amp;ROUND(Q$13*1440,0))-7))))</f>
        <v/>
      </c>
      <c r="R23" s="30" t="str">
        <f aca="false">IF(R$13="","",IF(COUNTIFS(Buchungen!$D$8:$D$127,$A23,Buchungen!$B$8:$B$127,$B$6,Buchungen!$N$8:$N$127,"&lt;&gt;Storniert",Buchungen!$S$8:$S$127,"&lt;"&amp;(ROUND(R$13*1440,0)+$B$9),Buchungen!$T$8:$T$127,"&gt;"&amp;ROUND(R$13*1440,0))=0,"",IF(COUNTIFS(Buchungen!$D$8:$D$127,$A23,Buchungen!$B$8:$B$127,$B$6,Buchungen!$N$8:$N$127,"&lt;&gt;Storniert",Buchungen!$S$8:$S$127,"&lt;"&amp;(ROUND(R$13*1440,0)+$B$9),Buchungen!$T$8:$T$127,"&gt;"&amp;ROUND(R$13*1440,0))&gt;1,"!",INDEX(Buchungen!$P$8:$P$127,SUMIFS(Buchungen!$R$8:$R$127,Buchungen!$D$8:$D$127,$A23,Buchungen!$B$8:$B$127,$B$6,Buchungen!$N$8:$N$127,"&lt;&gt;Storniert",Buchungen!$S$8:$S$127,"&lt;"&amp;(ROUND(R$13*1440,0)+$B$9),Buchungen!$T$8:$T$127,"&gt;"&amp;ROUND(R$13*1440,0))-7))))</f>
        <v/>
      </c>
      <c r="S23" s="30" t="str">
        <f aca="false">IF(S$13="","",IF(COUNTIFS(Buchungen!$D$8:$D$127,$A23,Buchungen!$B$8:$B$127,$B$6,Buchungen!$N$8:$N$127,"&lt;&gt;Storniert",Buchungen!$S$8:$S$127,"&lt;"&amp;(ROUND(S$13*1440,0)+$B$9),Buchungen!$T$8:$T$127,"&gt;"&amp;ROUND(S$13*1440,0))=0,"",IF(COUNTIFS(Buchungen!$D$8:$D$127,$A23,Buchungen!$B$8:$B$127,$B$6,Buchungen!$N$8:$N$127,"&lt;&gt;Storniert",Buchungen!$S$8:$S$127,"&lt;"&amp;(ROUND(S$13*1440,0)+$B$9),Buchungen!$T$8:$T$127,"&gt;"&amp;ROUND(S$13*1440,0))&gt;1,"!",INDEX(Buchungen!$P$8:$P$127,SUMIFS(Buchungen!$R$8:$R$127,Buchungen!$D$8:$D$127,$A23,Buchungen!$B$8:$B$127,$B$6,Buchungen!$N$8:$N$127,"&lt;&gt;Storniert",Buchungen!$S$8:$S$127,"&lt;"&amp;(ROUND(S$13*1440,0)+$B$9),Buchungen!$T$8:$T$127,"&gt;"&amp;ROUND(S$13*1440,0))-7))))</f>
        <v/>
      </c>
      <c r="T23" s="30" t="str">
        <f aca="false">IF(T$13="","",IF(COUNTIFS(Buchungen!$D$8:$D$127,$A23,Buchungen!$B$8:$B$127,$B$6,Buchungen!$N$8:$N$127,"&lt;&gt;Storniert",Buchungen!$S$8:$S$127,"&lt;"&amp;(ROUND(T$13*1440,0)+$B$9),Buchungen!$T$8:$T$127,"&gt;"&amp;ROUND(T$13*1440,0))=0,"",IF(COUNTIFS(Buchungen!$D$8:$D$127,$A23,Buchungen!$B$8:$B$127,$B$6,Buchungen!$N$8:$N$127,"&lt;&gt;Storniert",Buchungen!$S$8:$S$127,"&lt;"&amp;(ROUND(T$13*1440,0)+$B$9),Buchungen!$T$8:$T$127,"&gt;"&amp;ROUND(T$13*1440,0))&gt;1,"!",INDEX(Buchungen!$P$8:$P$127,SUMIFS(Buchungen!$R$8:$R$127,Buchungen!$D$8:$D$127,$A23,Buchungen!$B$8:$B$127,$B$6,Buchungen!$N$8:$N$127,"&lt;&gt;Storniert",Buchungen!$S$8:$S$127,"&lt;"&amp;(ROUND(T$13*1440,0)+$B$9),Buchungen!$T$8:$T$127,"&gt;"&amp;ROUND(T$13*1440,0))-7))))</f>
        <v/>
      </c>
      <c r="U23" s="30" t="str">
        <f aca="false">IF(U$13="","",IF(COUNTIFS(Buchungen!$D$8:$D$127,$A23,Buchungen!$B$8:$B$127,$B$6,Buchungen!$N$8:$N$127,"&lt;&gt;Storniert",Buchungen!$S$8:$S$127,"&lt;"&amp;(ROUND(U$13*1440,0)+$B$9),Buchungen!$T$8:$T$127,"&gt;"&amp;ROUND(U$13*1440,0))=0,"",IF(COUNTIFS(Buchungen!$D$8:$D$127,$A23,Buchungen!$B$8:$B$127,$B$6,Buchungen!$N$8:$N$127,"&lt;&gt;Storniert",Buchungen!$S$8:$S$127,"&lt;"&amp;(ROUND(U$13*1440,0)+$B$9),Buchungen!$T$8:$T$127,"&gt;"&amp;ROUND(U$13*1440,0))&gt;1,"!",INDEX(Buchungen!$P$8:$P$127,SUMIFS(Buchungen!$R$8:$R$127,Buchungen!$D$8:$D$127,$A23,Buchungen!$B$8:$B$127,$B$6,Buchungen!$N$8:$N$127,"&lt;&gt;Storniert",Buchungen!$S$8:$S$127,"&lt;"&amp;(ROUND(U$13*1440,0)+$B$9),Buchungen!$T$8:$T$127,"&gt;"&amp;ROUND(U$13*1440,0))-7))))</f>
        <v>BEWT*</v>
      </c>
      <c r="V23" s="30" t="str">
        <f aca="false">IF(V$13="","",IF(COUNTIFS(Buchungen!$D$8:$D$127,$A23,Buchungen!$B$8:$B$127,$B$6,Buchungen!$N$8:$N$127,"&lt;&gt;Storniert",Buchungen!$S$8:$S$127,"&lt;"&amp;(ROUND(V$13*1440,0)+$B$9),Buchungen!$T$8:$T$127,"&gt;"&amp;ROUND(V$13*1440,0))=0,"",IF(COUNTIFS(Buchungen!$D$8:$D$127,$A23,Buchungen!$B$8:$B$127,$B$6,Buchungen!$N$8:$N$127,"&lt;&gt;Storniert",Buchungen!$S$8:$S$127,"&lt;"&amp;(ROUND(V$13*1440,0)+$B$9),Buchungen!$T$8:$T$127,"&gt;"&amp;ROUND(V$13*1440,0))&gt;1,"!",INDEX(Buchungen!$P$8:$P$127,SUMIFS(Buchungen!$R$8:$R$127,Buchungen!$D$8:$D$127,$A23,Buchungen!$B$8:$B$127,$B$6,Buchungen!$N$8:$N$127,"&lt;&gt;Storniert",Buchungen!$S$8:$S$127,"&lt;"&amp;(ROUND(V$13*1440,0)+$B$9),Buchungen!$T$8:$T$127,"&gt;"&amp;ROUND(V$13*1440,0))-7))))</f>
        <v>BEWT*</v>
      </c>
      <c r="W23" s="30" t="str">
        <f aca="false">IF(W$13="","",IF(COUNTIFS(Buchungen!$D$8:$D$127,$A23,Buchungen!$B$8:$B$127,$B$6,Buchungen!$N$8:$N$127,"&lt;&gt;Storniert",Buchungen!$S$8:$S$127,"&lt;"&amp;(ROUND(W$13*1440,0)+$B$9),Buchungen!$T$8:$T$127,"&gt;"&amp;ROUND(W$13*1440,0))=0,"",IF(COUNTIFS(Buchungen!$D$8:$D$127,$A23,Buchungen!$B$8:$B$127,$B$6,Buchungen!$N$8:$N$127,"&lt;&gt;Storniert",Buchungen!$S$8:$S$127,"&lt;"&amp;(ROUND(W$13*1440,0)+$B$9),Buchungen!$T$8:$T$127,"&gt;"&amp;ROUND(W$13*1440,0))&gt;1,"!",INDEX(Buchungen!$P$8:$P$127,SUMIFS(Buchungen!$R$8:$R$127,Buchungen!$D$8:$D$127,$A23,Buchungen!$B$8:$B$127,$B$6,Buchungen!$N$8:$N$127,"&lt;&gt;Storniert",Buchungen!$S$8:$S$127,"&lt;"&amp;(ROUND(W$13*1440,0)+$B$9),Buchungen!$T$8:$T$127,"&gt;"&amp;ROUND(W$13*1440,0))-7))))</f>
        <v>BEWT*</v>
      </c>
      <c r="X23" s="30" t="str">
        <f aca="false">IF(X$13="","",IF(COUNTIFS(Buchungen!$D$8:$D$127,$A23,Buchungen!$B$8:$B$127,$B$6,Buchungen!$N$8:$N$127,"&lt;&gt;Storniert",Buchungen!$S$8:$S$127,"&lt;"&amp;(ROUND(X$13*1440,0)+$B$9),Buchungen!$T$8:$T$127,"&gt;"&amp;ROUND(X$13*1440,0))=0,"",IF(COUNTIFS(Buchungen!$D$8:$D$127,$A23,Buchungen!$B$8:$B$127,$B$6,Buchungen!$N$8:$N$127,"&lt;&gt;Storniert",Buchungen!$S$8:$S$127,"&lt;"&amp;(ROUND(X$13*1440,0)+$B$9),Buchungen!$T$8:$T$127,"&gt;"&amp;ROUND(X$13*1440,0))&gt;1,"!",INDEX(Buchungen!$P$8:$P$127,SUMIFS(Buchungen!$R$8:$R$127,Buchungen!$D$8:$D$127,$A23,Buchungen!$B$8:$B$127,$B$6,Buchungen!$N$8:$N$127,"&lt;&gt;Storniert",Buchungen!$S$8:$S$127,"&lt;"&amp;(ROUND(X$13*1440,0)+$B$9),Buchungen!$T$8:$T$127,"&gt;"&amp;ROUND(X$13*1440,0))-7))))</f>
        <v/>
      </c>
      <c r="Y23" s="30" t="str">
        <f aca="false">IF(Y$13="","",IF(COUNTIFS(Buchungen!$D$8:$D$127,$A23,Buchungen!$B$8:$B$127,$B$6,Buchungen!$N$8:$N$127,"&lt;&gt;Storniert",Buchungen!$S$8:$S$127,"&lt;"&amp;(ROUND(Y$13*1440,0)+$B$9),Buchungen!$T$8:$T$127,"&gt;"&amp;ROUND(Y$13*1440,0))=0,"",IF(COUNTIFS(Buchungen!$D$8:$D$127,$A23,Buchungen!$B$8:$B$127,$B$6,Buchungen!$N$8:$N$127,"&lt;&gt;Storniert",Buchungen!$S$8:$S$127,"&lt;"&amp;(ROUND(Y$13*1440,0)+$B$9),Buchungen!$T$8:$T$127,"&gt;"&amp;ROUND(Y$13*1440,0))&gt;1,"!",INDEX(Buchungen!$P$8:$P$127,SUMIFS(Buchungen!$R$8:$R$127,Buchungen!$D$8:$D$127,$A23,Buchungen!$B$8:$B$127,$B$6,Buchungen!$N$8:$N$127,"&lt;&gt;Storniert",Buchungen!$S$8:$S$127,"&lt;"&amp;(ROUND(Y$13*1440,0)+$B$9),Buchungen!$T$8:$T$127,"&gt;"&amp;ROUND(Y$13*1440,0))-7))))</f>
        <v/>
      </c>
      <c r="Z23" s="30" t="str">
        <f aca="false">IF(Z$13="","",IF(COUNTIFS(Buchungen!$D$8:$D$127,$A23,Buchungen!$B$8:$B$127,$B$6,Buchungen!$N$8:$N$127,"&lt;&gt;Storniert",Buchungen!$S$8:$S$127,"&lt;"&amp;(ROUND(Z$13*1440,0)+$B$9),Buchungen!$T$8:$T$127,"&gt;"&amp;ROUND(Z$13*1440,0))=0,"",IF(COUNTIFS(Buchungen!$D$8:$D$127,$A23,Buchungen!$B$8:$B$127,$B$6,Buchungen!$N$8:$N$127,"&lt;&gt;Storniert",Buchungen!$S$8:$S$127,"&lt;"&amp;(ROUND(Z$13*1440,0)+$B$9),Buchungen!$T$8:$T$127,"&gt;"&amp;ROUND(Z$13*1440,0))&gt;1,"!",INDEX(Buchungen!$P$8:$P$127,SUMIFS(Buchungen!$R$8:$R$127,Buchungen!$D$8:$D$127,$A23,Buchungen!$B$8:$B$127,$B$6,Buchungen!$N$8:$N$127,"&lt;&gt;Storniert",Buchungen!$S$8:$S$127,"&lt;"&amp;(ROUND(Z$13*1440,0)+$B$9),Buchungen!$T$8:$T$127,"&gt;"&amp;ROUND(Z$13*1440,0))-7))))</f>
        <v/>
      </c>
      <c r="AA23" s="30" t="str">
        <f aca="false">IF(AA$13="","",IF(COUNTIFS(Buchungen!$D$8:$D$127,$A23,Buchungen!$B$8:$B$127,$B$6,Buchungen!$N$8:$N$127,"&lt;&gt;Storniert",Buchungen!$S$8:$S$127,"&lt;"&amp;(ROUND(AA$13*1440,0)+$B$9),Buchungen!$T$8:$T$127,"&gt;"&amp;ROUND(AA$13*1440,0))=0,"",IF(COUNTIFS(Buchungen!$D$8:$D$127,$A23,Buchungen!$B$8:$B$127,$B$6,Buchungen!$N$8:$N$127,"&lt;&gt;Storniert",Buchungen!$S$8:$S$127,"&lt;"&amp;(ROUND(AA$13*1440,0)+$B$9),Buchungen!$T$8:$T$127,"&gt;"&amp;ROUND(AA$13*1440,0))&gt;1,"!",INDEX(Buchungen!$P$8:$P$127,SUMIFS(Buchungen!$R$8:$R$127,Buchungen!$D$8:$D$127,$A23,Buchungen!$B$8:$B$127,$B$6,Buchungen!$N$8:$N$127,"&lt;&gt;Storniert",Buchungen!$S$8:$S$127,"&lt;"&amp;(ROUND(AA$13*1440,0)+$B$9),Buchungen!$T$8:$T$127,"&gt;"&amp;ROUND(AA$13*1440,0))-7))))</f>
        <v/>
      </c>
      <c r="AB23" s="30" t="str">
        <f aca="false">IF(AB$13="","",IF(COUNTIFS(Buchungen!$D$8:$D$127,$A23,Buchungen!$B$8:$B$127,$B$6,Buchungen!$N$8:$N$127,"&lt;&gt;Storniert",Buchungen!$S$8:$S$127,"&lt;"&amp;(ROUND(AB$13*1440,0)+$B$9),Buchungen!$T$8:$T$127,"&gt;"&amp;ROUND(AB$13*1440,0))=0,"",IF(COUNTIFS(Buchungen!$D$8:$D$127,$A23,Buchungen!$B$8:$B$127,$B$6,Buchungen!$N$8:$N$127,"&lt;&gt;Storniert",Buchungen!$S$8:$S$127,"&lt;"&amp;(ROUND(AB$13*1440,0)+$B$9),Buchungen!$T$8:$T$127,"&gt;"&amp;ROUND(AB$13*1440,0))&gt;1,"!",INDEX(Buchungen!$P$8:$P$127,SUMIFS(Buchungen!$R$8:$R$127,Buchungen!$D$8:$D$127,$A23,Buchungen!$B$8:$B$127,$B$6,Buchungen!$N$8:$N$127,"&lt;&gt;Storniert",Buchungen!$S$8:$S$127,"&lt;"&amp;(ROUND(AB$13*1440,0)+$B$9),Buchungen!$T$8:$T$127,"&gt;"&amp;ROUND(AB$13*1440,0))-7))))</f>
        <v/>
      </c>
      <c r="AC23" s="31" t="n">
        <f aca="false">IF($A23="","",SUMIFS(Buchungen!$I$8:$I$127,Buchungen!$D$8:$D$127,$A23,Buchungen!$B$8:$B$127,$B$6,Buchungen!$N$8:$N$127,"&lt;&gt;Storniert"))</f>
        <v>5.5</v>
      </c>
      <c r="AD23" s="32" t="n">
        <f aca="false">IF($A23="","",IFERROR($AC23/($B$10*$B$9/60),0))</f>
        <v>0.423076923076923</v>
      </c>
      <c r="AE23" s="32" t="n">
        <f aca="false">IF($A23="","",IFERROR(AVERAGEIFS(Buchungen!$K$8:$K$127,Buchungen!$D$8:$D$127,$A23,Buchungen!$B$8:$B$127,$B$6,Buchungen!$N$8:$N$127,"Bestätigt")/Stammdaten!$D17,0))</f>
        <v>0.333333333333333</v>
      </c>
    </row>
    <row r="24" customFormat="false" ht="16.5" hidden="false" customHeight="true" outlineLevel="0" collapsed="false">
      <c r="A24" s="23" t="str">
        <f aca="false">IF(OR(Stammdaten!$A18="",Stammdaten!$F18="Nein"),"",Stammdaten!$A18)</f>
        <v>R-11</v>
      </c>
      <c r="B24" s="24" t="str">
        <f aca="false">IF($A24="","",Stammdaten!$B18&amp;"  ("&amp;Stammdaten!$D18&amp;" Plätze)")</f>
        <v>Mehrzweckraum  (40 Plätze)</v>
      </c>
      <c r="C24" s="25" t="str">
        <f aca="false">IF(C$13="","",IF(COUNTIFS(Buchungen!$D$8:$D$127,$A24,Buchungen!$B$8:$B$127,$B$6,Buchungen!$N$8:$N$127,"&lt;&gt;Storniert",Buchungen!$S$8:$S$127,"&lt;"&amp;(ROUND(C$13*1440,0)+$B$9),Buchungen!$T$8:$T$127,"&gt;"&amp;ROUND(C$13*1440,0))=0,"",IF(COUNTIFS(Buchungen!$D$8:$D$127,$A24,Buchungen!$B$8:$B$127,$B$6,Buchungen!$N$8:$N$127,"&lt;&gt;Storniert",Buchungen!$S$8:$S$127,"&lt;"&amp;(ROUND(C$13*1440,0)+$B$9),Buchungen!$T$8:$T$127,"&gt;"&amp;ROUND(C$13*1440,0))&gt;1,"!",INDEX(Buchungen!$P$8:$P$127,SUMIFS(Buchungen!$R$8:$R$127,Buchungen!$D$8:$D$127,$A24,Buchungen!$B$8:$B$127,$B$6,Buchungen!$N$8:$N$127,"&lt;&gt;Storniert",Buchungen!$S$8:$S$127,"&lt;"&amp;(ROUND(C$13*1440,0)+$B$9),Buchungen!$T$8:$T$127,"&gt;"&amp;ROUND(C$13*1440,0))-7))))</f>
        <v/>
      </c>
      <c r="D24" s="25" t="str">
        <f aca="false">IF(D$13="","",IF(COUNTIFS(Buchungen!$D$8:$D$127,$A24,Buchungen!$B$8:$B$127,$B$6,Buchungen!$N$8:$N$127,"&lt;&gt;Storniert",Buchungen!$S$8:$S$127,"&lt;"&amp;(ROUND(D$13*1440,0)+$B$9),Buchungen!$T$8:$T$127,"&gt;"&amp;ROUND(D$13*1440,0))=0,"",IF(COUNTIFS(Buchungen!$D$8:$D$127,$A24,Buchungen!$B$8:$B$127,$B$6,Buchungen!$N$8:$N$127,"&lt;&gt;Storniert",Buchungen!$S$8:$S$127,"&lt;"&amp;(ROUND(D$13*1440,0)+$B$9),Buchungen!$T$8:$T$127,"&gt;"&amp;ROUND(D$13*1440,0))&gt;1,"!",INDEX(Buchungen!$P$8:$P$127,SUMIFS(Buchungen!$R$8:$R$127,Buchungen!$D$8:$D$127,$A24,Buchungen!$B$8:$B$127,$B$6,Buchungen!$N$8:$N$127,"&lt;&gt;Storniert",Buchungen!$S$8:$S$127,"&lt;"&amp;(ROUND(D$13*1440,0)+$B$9),Buchungen!$T$8:$T$127,"&gt;"&amp;ROUND(D$13*1440,0))-7))))</f>
        <v>WTG</v>
      </c>
      <c r="E24" s="25" t="str">
        <f aca="false">IF(E$13="","",IF(COUNTIFS(Buchungen!$D$8:$D$127,$A24,Buchungen!$B$8:$B$127,$B$6,Buchungen!$N$8:$N$127,"&lt;&gt;Storniert",Buchungen!$S$8:$S$127,"&lt;"&amp;(ROUND(E$13*1440,0)+$B$9),Buchungen!$T$8:$T$127,"&gt;"&amp;ROUND(E$13*1440,0))=0,"",IF(COUNTIFS(Buchungen!$D$8:$D$127,$A24,Buchungen!$B$8:$B$127,$B$6,Buchungen!$N$8:$N$127,"&lt;&gt;Storniert",Buchungen!$S$8:$S$127,"&lt;"&amp;(ROUND(E$13*1440,0)+$B$9),Buchungen!$T$8:$T$127,"&gt;"&amp;ROUND(E$13*1440,0))&gt;1,"!",INDEX(Buchungen!$P$8:$P$127,SUMIFS(Buchungen!$R$8:$R$127,Buchungen!$D$8:$D$127,$A24,Buchungen!$B$8:$B$127,$B$6,Buchungen!$N$8:$N$127,"&lt;&gt;Storniert",Buchungen!$S$8:$S$127,"&lt;"&amp;(ROUND(E$13*1440,0)+$B$9),Buchungen!$T$8:$T$127,"&gt;"&amp;ROUND(E$13*1440,0))-7))))</f>
        <v>WTG</v>
      </c>
      <c r="F24" s="25" t="str">
        <f aca="false">IF(F$13="","",IF(COUNTIFS(Buchungen!$D$8:$D$127,$A24,Buchungen!$B$8:$B$127,$B$6,Buchungen!$N$8:$N$127,"&lt;&gt;Storniert",Buchungen!$S$8:$S$127,"&lt;"&amp;(ROUND(F$13*1440,0)+$B$9),Buchungen!$T$8:$T$127,"&gt;"&amp;ROUND(F$13*1440,0))=0,"",IF(COUNTIFS(Buchungen!$D$8:$D$127,$A24,Buchungen!$B$8:$B$127,$B$6,Buchungen!$N$8:$N$127,"&lt;&gt;Storniert",Buchungen!$S$8:$S$127,"&lt;"&amp;(ROUND(F$13*1440,0)+$B$9),Buchungen!$T$8:$T$127,"&gt;"&amp;ROUND(F$13*1440,0))&gt;1,"!",INDEX(Buchungen!$P$8:$P$127,SUMIFS(Buchungen!$R$8:$R$127,Buchungen!$D$8:$D$127,$A24,Buchungen!$B$8:$B$127,$B$6,Buchungen!$N$8:$N$127,"&lt;&gt;Storniert",Buchungen!$S$8:$S$127,"&lt;"&amp;(ROUND(F$13*1440,0)+$B$9),Buchungen!$T$8:$T$127,"&gt;"&amp;ROUND(F$13*1440,0))-7))))</f>
        <v>WTG</v>
      </c>
      <c r="G24" s="25" t="str">
        <f aca="false">IF(G$13="","",IF(COUNTIFS(Buchungen!$D$8:$D$127,$A24,Buchungen!$B$8:$B$127,$B$6,Buchungen!$N$8:$N$127,"&lt;&gt;Storniert",Buchungen!$S$8:$S$127,"&lt;"&amp;(ROUND(G$13*1440,0)+$B$9),Buchungen!$T$8:$T$127,"&gt;"&amp;ROUND(G$13*1440,0))=0,"",IF(COUNTIFS(Buchungen!$D$8:$D$127,$A24,Buchungen!$B$8:$B$127,$B$6,Buchungen!$N$8:$N$127,"&lt;&gt;Storniert",Buchungen!$S$8:$S$127,"&lt;"&amp;(ROUND(G$13*1440,0)+$B$9),Buchungen!$T$8:$T$127,"&gt;"&amp;ROUND(G$13*1440,0))&gt;1,"!",INDEX(Buchungen!$P$8:$P$127,SUMIFS(Buchungen!$R$8:$R$127,Buchungen!$D$8:$D$127,$A24,Buchungen!$B$8:$B$127,$B$6,Buchungen!$N$8:$N$127,"&lt;&gt;Storniert",Buchungen!$S$8:$S$127,"&lt;"&amp;(ROUND(G$13*1440,0)+$B$9),Buchungen!$T$8:$T$127,"&gt;"&amp;ROUND(G$13*1440,0))-7))))</f>
        <v>WTG</v>
      </c>
      <c r="H24" s="25" t="str">
        <f aca="false">IF(H$13="","",IF(COUNTIFS(Buchungen!$D$8:$D$127,$A24,Buchungen!$B$8:$B$127,$B$6,Buchungen!$N$8:$N$127,"&lt;&gt;Storniert",Buchungen!$S$8:$S$127,"&lt;"&amp;(ROUND(H$13*1440,0)+$B$9),Buchungen!$T$8:$T$127,"&gt;"&amp;ROUND(H$13*1440,0))=0,"",IF(COUNTIFS(Buchungen!$D$8:$D$127,$A24,Buchungen!$B$8:$B$127,$B$6,Buchungen!$N$8:$N$127,"&lt;&gt;Storniert",Buchungen!$S$8:$S$127,"&lt;"&amp;(ROUND(H$13*1440,0)+$B$9),Buchungen!$T$8:$T$127,"&gt;"&amp;ROUND(H$13*1440,0))&gt;1,"!",INDEX(Buchungen!$P$8:$P$127,SUMIFS(Buchungen!$R$8:$R$127,Buchungen!$D$8:$D$127,$A24,Buchungen!$B$8:$B$127,$B$6,Buchungen!$N$8:$N$127,"&lt;&gt;Storniert",Buchungen!$S$8:$S$127,"&lt;"&amp;(ROUND(H$13*1440,0)+$B$9),Buchungen!$T$8:$T$127,"&gt;"&amp;ROUND(H$13*1440,0))-7))))</f>
        <v/>
      </c>
      <c r="I24" s="25" t="str">
        <f aca="false">IF(I$13="","",IF(COUNTIFS(Buchungen!$D$8:$D$127,$A24,Buchungen!$B$8:$B$127,$B$6,Buchungen!$N$8:$N$127,"&lt;&gt;Storniert",Buchungen!$S$8:$S$127,"&lt;"&amp;(ROUND(I$13*1440,0)+$B$9),Buchungen!$T$8:$T$127,"&gt;"&amp;ROUND(I$13*1440,0))=0,"",IF(COUNTIFS(Buchungen!$D$8:$D$127,$A24,Buchungen!$B$8:$B$127,$B$6,Buchungen!$N$8:$N$127,"&lt;&gt;Storniert",Buchungen!$S$8:$S$127,"&lt;"&amp;(ROUND(I$13*1440,0)+$B$9),Buchungen!$T$8:$T$127,"&gt;"&amp;ROUND(I$13*1440,0))&gt;1,"!",INDEX(Buchungen!$P$8:$P$127,SUMIFS(Buchungen!$R$8:$R$127,Buchungen!$D$8:$D$127,$A24,Buchungen!$B$8:$B$127,$B$6,Buchungen!$N$8:$N$127,"&lt;&gt;Storniert",Buchungen!$S$8:$S$127,"&lt;"&amp;(ROUND(I$13*1440,0)+$B$9),Buchungen!$T$8:$T$127,"&gt;"&amp;ROUND(I$13*1440,0))-7))))</f>
        <v>JOUR</v>
      </c>
      <c r="J24" s="25" t="str">
        <f aca="false">IF(J$13="","",IF(COUNTIFS(Buchungen!$D$8:$D$127,$A24,Buchungen!$B$8:$B$127,$B$6,Buchungen!$N$8:$N$127,"&lt;&gt;Storniert",Buchungen!$S$8:$S$127,"&lt;"&amp;(ROUND(J$13*1440,0)+$B$9),Buchungen!$T$8:$T$127,"&gt;"&amp;ROUND(J$13*1440,0))=0,"",IF(COUNTIFS(Buchungen!$D$8:$D$127,$A24,Buchungen!$B$8:$B$127,$B$6,Buchungen!$N$8:$N$127,"&lt;&gt;Storniert",Buchungen!$S$8:$S$127,"&lt;"&amp;(ROUND(J$13*1440,0)+$B$9),Buchungen!$T$8:$T$127,"&gt;"&amp;ROUND(J$13*1440,0))&gt;1,"!",INDEX(Buchungen!$P$8:$P$127,SUMIFS(Buchungen!$R$8:$R$127,Buchungen!$D$8:$D$127,$A24,Buchungen!$B$8:$B$127,$B$6,Buchungen!$N$8:$N$127,"&lt;&gt;Storniert",Buchungen!$S$8:$S$127,"&lt;"&amp;(ROUND(J$13*1440,0)+$B$9),Buchungen!$T$8:$T$127,"&gt;"&amp;ROUND(J$13*1440,0))-7))))</f>
        <v>JOUR</v>
      </c>
      <c r="K24" s="25" t="str">
        <f aca="false">IF(K$13="","",IF(COUNTIFS(Buchungen!$D$8:$D$127,$A24,Buchungen!$B$8:$B$127,$B$6,Buchungen!$N$8:$N$127,"&lt;&gt;Storniert",Buchungen!$S$8:$S$127,"&lt;"&amp;(ROUND(K$13*1440,0)+$B$9),Buchungen!$T$8:$T$127,"&gt;"&amp;ROUND(K$13*1440,0))=0,"",IF(COUNTIFS(Buchungen!$D$8:$D$127,$A24,Buchungen!$B$8:$B$127,$B$6,Buchungen!$N$8:$N$127,"&lt;&gt;Storniert",Buchungen!$S$8:$S$127,"&lt;"&amp;(ROUND(K$13*1440,0)+$B$9),Buchungen!$T$8:$T$127,"&gt;"&amp;ROUND(K$13*1440,0))&gt;1,"!",INDEX(Buchungen!$P$8:$P$127,SUMIFS(Buchungen!$R$8:$R$127,Buchungen!$D$8:$D$127,$A24,Buchungen!$B$8:$B$127,$B$6,Buchungen!$N$8:$N$127,"&lt;&gt;Storniert",Buchungen!$S$8:$S$127,"&lt;"&amp;(ROUND(K$13*1440,0)+$B$9),Buchungen!$T$8:$T$127,"&gt;"&amp;ROUND(K$13*1440,0))-7))))</f>
        <v/>
      </c>
      <c r="L24" s="25" t="str">
        <f aca="false">IF(L$13="","",IF(COUNTIFS(Buchungen!$D$8:$D$127,$A24,Buchungen!$B$8:$B$127,$B$6,Buchungen!$N$8:$N$127,"&lt;&gt;Storniert",Buchungen!$S$8:$S$127,"&lt;"&amp;(ROUND(L$13*1440,0)+$B$9),Buchungen!$T$8:$T$127,"&gt;"&amp;ROUND(L$13*1440,0))=0,"",IF(COUNTIFS(Buchungen!$D$8:$D$127,$A24,Buchungen!$B$8:$B$127,$B$6,Buchungen!$N$8:$N$127,"&lt;&gt;Storniert",Buchungen!$S$8:$S$127,"&lt;"&amp;(ROUND(L$13*1440,0)+$B$9),Buchungen!$T$8:$T$127,"&gt;"&amp;ROUND(L$13*1440,0))&gt;1,"!",INDEX(Buchungen!$P$8:$P$127,SUMIFS(Buchungen!$R$8:$R$127,Buchungen!$D$8:$D$127,$A24,Buchungen!$B$8:$B$127,$B$6,Buchungen!$N$8:$N$127,"&lt;&gt;Storniert",Buchungen!$S$8:$S$127,"&lt;"&amp;(ROUND(L$13*1440,0)+$B$9),Buchungen!$T$8:$T$127,"&gt;"&amp;ROUND(L$13*1440,0))-7))))</f>
        <v/>
      </c>
      <c r="M24" s="25" t="str">
        <f aca="false">IF(M$13="","",IF(COUNTIFS(Buchungen!$D$8:$D$127,$A24,Buchungen!$B$8:$B$127,$B$6,Buchungen!$N$8:$N$127,"&lt;&gt;Storniert",Buchungen!$S$8:$S$127,"&lt;"&amp;(ROUND(M$13*1440,0)+$B$9),Buchungen!$T$8:$T$127,"&gt;"&amp;ROUND(M$13*1440,0))=0,"",IF(COUNTIFS(Buchungen!$D$8:$D$127,$A24,Buchungen!$B$8:$B$127,$B$6,Buchungen!$N$8:$N$127,"&lt;&gt;Storniert",Buchungen!$S$8:$S$127,"&lt;"&amp;(ROUND(M$13*1440,0)+$B$9),Buchungen!$T$8:$T$127,"&gt;"&amp;ROUND(M$13*1440,0))&gt;1,"!",INDEX(Buchungen!$P$8:$P$127,SUMIFS(Buchungen!$R$8:$R$127,Buchungen!$D$8:$D$127,$A24,Buchungen!$B$8:$B$127,$B$6,Buchungen!$N$8:$N$127,"&lt;&gt;Storniert",Buchungen!$S$8:$S$127,"&lt;"&amp;(ROUND(M$13*1440,0)+$B$9),Buchungen!$T$8:$T$127,"&gt;"&amp;ROUND(M$13*1440,0))-7))))</f>
        <v/>
      </c>
      <c r="N24" s="25" t="str">
        <f aca="false">IF(N$13="","",IF(COUNTIFS(Buchungen!$D$8:$D$127,$A24,Buchungen!$B$8:$B$127,$B$6,Buchungen!$N$8:$N$127,"&lt;&gt;Storniert",Buchungen!$S$8:$S$127,"&lt;"&amp;(ROUND(N$13*1440,0)+$B$9),Buchungen!$T$8:$T$127,"&gt;"&amp;ROUND(N$13*1440,0))=0,"",IF(COUNTIFS(Buchungen!$D$8:$D$127,$A24,Buchungen!$B$8:$B$127,$B$6,Buchungen!$N$8:$N$127,"&lt;&gt;Storniert",Buchungen!$S$8:$S$127,"&lt;"&amp;(ROUND(N$13*1440,0)+$B$9),Buchungen!$T$8:$T$127,"&gt;"&amp;ROUND(N$13*1440,0))&gt;1,"!",INDEX(Buchungen!$P$8:$P$127,SUMIFS(Buchungen!$R$8:$R$127,Buchungen!$D$8:$D$127,$A24,Buchungen!$B$8:$B$127,$B$6,Buchungen!$N$8:$N$127,"&lt;&gt;Storniert",Buchungen!$S$8:$S$127,"&lt;"&amp;(ROUND(N$13*1440,0)+$B$9),Buchungen!$T$8:$T$127,"&gt;"&amp;ROUND(N$13*1440,0))-7))))</f>
        <v/>
      </c>
      <c r="O24" s="25" t="str">
        <f aca="false">IF(O$13="","",IF(COUNTIFS(Buchungen!$D$8:$D$127,$A24,Buchungen!$B$8:$B$127,$B$6,Buchungen!$N$8:$N$127,"&lt;&gt;Storniert",Buchungen!$S$8:$S$127,"&lt;"&amp;(ROUND(O$13*1440,0)+$B$9),Buchungen!$T$8:$T$127,"&gt;"&amp;ROUND(O$13*1440,0))=0,"",IF(COUNTIFS(Buchungen!$D$8:$D$127,$A24,Buchungen!$B$8:$B$127,$B$6,Buchungen!$N$8:$N$127,"&lt;&gt;Storniert",Buchungen!$S$8:$S$127,"&lt;"&amp;(ROUND(O$13*1440,0)+$B$9),Buchungen!$T$8:$T$127,"&gt;"&amp;ROUND(O$13*1440,0))&gt;1,"!",INDEX(Buchungen!$P$8:$P$127,SUMIFS(Buchungen!$R$8:$R$127,Buchungen!$D$8:$D$127,$A24,Buchungen!$B$8:$B$127,$B$6,Buchungen!$N$8:$N$127,"&lt;&gt;Storniert",Buchungen!$S$8:$S$127,"&lt;"&amp;(ROUND(O$13*1440,0)+$B$9),Buchungen!$T$8:$T$127,"&gt;"&amp;ROUND(O$13*1440,0))-7))))</f>
        <v/>
      </c>
      <c r="P24" s="25" t="str">
        <f aca="false">IF(P$13="","",IF(COUNTIFS(Buchungen!$D$8:$D$127,$A24,Buchungen!$B$8:$B$127,$B$6,Buchungen!$N$8:$N$127,"&lt;&gt;Storniert",Buchungen!$S$8:$S$127,"&lt;"&amp;(ROUND(P$13*1440,0)+$B$9),Buchungen!$T$8:$T$127,"&gt;"&amp;ROUND(P$13*1440,0))=0,"",IF(COUNTIFS(Buchungen!$D$8:$D$127,$A24,Buchungen!$B$8:$B$127,$B$6,Buchungen!$N$8:$N$127,"&lt;&gt;Storniert",Buchungen!$S$8:$S$127,"&lt;"&amp;(ROUND(P$13*1440,0)+$B$9),Buchungen!$T$8:$T$127,"&gt;"&amp;ROUND(P$13*1440,0))&gt;1,"!",INDEX(Buchungen!$P$8:$P$127,SUMIFS(Buchungen!$R$8:$R$127,Buchungen!$D$8:$D$127,$A24,Buchungen!$B$8:$B$127,$B$6,Buchungen!$N$8:$N$127,"&lt;&gt;Storniert",Buchungen!$S$8:$S$127,"&lt;"&amp;(ROUND(P$13*1440,0)+$B$9),Buchungen!$T$8:$T$127,"&gt;"&amp;ROUND(P$13*1440,0))-7))))</f>
        <v/>
      </c>
      <c r="Q24" s="25" t="str">
        <f aca="false">IF(Q$13="","",IF(COUNTIFS(Buchungen!$D$8:$D$127,$A24,Buchungen!$B$8:$B$127,$B$6,Buchungen!$N$8:$N$127,"&lt;&gt;Storniert",Buchungen!$S$8:$S$127,"&lt;"&amp;(ROUND(Q$13*1440,0)+$B$9),Buchungen!$T$8:$T$127,"&gt;"&amp;ROUND(Q$13*1440,0))=0,"",IF(COUNTIFS(Buchungen!$D$8:$D$127,$A24,Buchungen!$B$8:$B$127,$B$6,Buchungen!$N$8:$N$127,"&lt;&gt;Storniert",Buchungen!$S$8:$S$127,"&lt;"&amp;(ROUND(Q$13*1440,0)+$B$9),Buchungen!$T$8:$T$127,"&gt;"&amp;ROUND(Q$13*1440,0))&gt;1,"!",INDEX(Buchungen!$P$8:$P$127,SUMIFS(Buchungen!$R$8:$R$127,Buchungen!$D$8:$D$127,$A24,Buchungen!$B$8:$B$127,$B$6,Buchungen!$N$8:$N$127,"&lt;&gt;Storniert",Buchungen!$S$8:$S$127,"&lt;"&amp;(ROUND(Q$13*1440,0)+$B$9),Buchungen!$T$8:$T$127,"&gt;"&amp;ROUND(Q$13*1440,0))-7))))</f>
        <v/>
      </c>
      <c r="R24" s="25" t="str">
        <f aca="false">IF(R$13="","",IF(COUNTIFS(Buchungen!$D$8:$D$127,$A24,Buchungen!$B$8:$B$127,$B$6,Buchungen!$N$8:$N$127,"&lt;&gt;Storniert",Buchungen!$S$8:$S$127,"&lt;"&amp;(ROUND(R$13*1440,0)+$B$9),Buchungen!$T$8:$T$127,"&gt;"&amp;ROUND(R$13*1440,0))=0,"",IF(COUNTIFS(Buchungen!$D$8:$D$127,$A24,Buchungen!$B$8:$B$127,$B$6,Buchungen!$N$8:$N$127,"&lt;&gt;Storniert",Buchungen!$S$8:$S$127,"&lt;"&amp;(ROUND(R$13*1440,0)+$B$9),Buchungen!$T$8:$T$127,"&gt;"&amp;ROUND(R$13*1440,0))&gt;1,"!",INDEX(Buchungen!$P$8:$P$127,SUMIFS(Buchungen!$R$8:$R$127,Buchungen!$D$8:$D$127,$A24,Buchungen!$B$8:$B$127,$B$6,Buchungen!$N$8:$N$127,"&lt;&gt;Storniert",Buchungen!$S$8:$S$127,"&lt;"&amp;(ROUND(R$13*1440,0)+$B$9),Buchungen!$T$8:$T$127,"&gt;"&amp;ROUND(R$13*1440,0))-7))))</f>
        <v/>
      </c>
      <c r="S24" s="25" t="str">
        <f aca="false">IF(S$13="","",IF(COUNTIFS(Buchungen!$D$8:$D$127,$A24,Buchungen!$B$8:$B$127,$B$6,Buchungen!$N$8:$N$127,"&lt;&gt;Storniert",Buchungen!$S$8:$S$127,"&lt;"&amp;(ROUND(S$13*1440,0)+$B$9),Buchungen!$T$8:$T$127,"&gt;"&amp;ROUND(S$13*1440,0))=0,"",IF(COUNTIFS(Buchungen!$D$8:$D$127,$A24,Buchungen!$B$8:$B$127,$B$6,Buchungen!$N$8:$N$127,"&lt;&gt;Storniert",Buchungen!$S$8:$S$127,"&lt;"&amp;(ROUND(S$13*1440,0)+$B$9),Buchungen!$T$8:$T$127,"&gt;"&amp;ROUND(S$13*1440,0))&gt;1,"!",INDEX(Buchungen!$P$8:$P$127,SUMIFS(Buchungen!$R$8:$R$127,Buchungen!$D$8:$D$127,$A24,Buchungen!$B$8:$B$127,$B$6,Buchungen!$N$8:$N$127,"&lt;&gt;Storniert",Buchungen!$S$8:$S$127,"&lt;"&amp;(ROUND(S$13*1440,0)+$B$9),Buchungen!$T$8:$T$127,"&gt;"&amp;ROUND(S$13*1440,0))-7))))</f>
        <v/>
      </c>
      <c r="T24" s="25" t="str">
        <f aca="false">IF(T$13="","",IF(COUNTIFS(Buchungen!$D$8:$D$127,$A24,Buchungen!$B$8:$B$127,$B$6,Buchungen!$N$8:$N$127,"&lt;&gt;Storniert",Buchungen!$S$8:$S$127,"&lt;"&amp;(ROUND(T$13*1440,0)+$B$9),Buchungen!$T$8:$T$127,"&gt;"&amp;ROUND(T$13*1440,0))=0,"",IF(COUNTIFS(Buchungen!$D$8:$D$127,$A24,Buchungen!$B$8:$B$127,$B$6,Buchungen!$N$8:$N$127,"&lt;&gt;Storniert",Buchungen!$S$8:$S$127,"&lt;"&amp;(ROUND(T$13*1440,0)+$B$9),Buchungen!$T$8:$T$127,"&gt;"&amp;ROUND(T$13*1440,0))&gt;1,"!",INDEX(Buchungen!$P$8:$P$127,SUMIFS(Buchungen!$R$8:$R$127,Buchungen!$D$8:$D$127,$A24,Buchungen!$B$8:$B$127,$B$6,Buchungen!$N$8:$N$127,"&lt;&gt;Storniert",Buchungen!$S$8:$S$127,"&lt;"&amp;(ROUND(T$13*1440,0)+$B$9),Buchungen!$T$8:$T$127,"&gt;"&amp;ROUND(T$13*1440,0))-7))))</f>
        <v/>
      </c>
      <c r="U24" s="25" t="str">
        <f aca="false">IF(U$13="","",IF(COUNTIFS(Buchungen!$D$8:$D$127,$A24,Buchungen!$B$8:$B$127,$B$6,Buchungen!$N$8:$N$127,"&lt;&gt;Storniert",Buchungen!$S$8:$S$127,"&lt;"&amp;(ROUND(U$13*1440,0)+$B$9),Buchungen!$T$8:$T$127,"&gt;"&amp;ROUND(U$13*1440,0))=0,"",IF(COUNTIFS(Buchungen!$D$8:$D$127,$A24,Buchungen!$B$8:$B$127,$B$6,Buchungen!$N$8:$N$127,"&lt;&gt;Storniert",Buchungen!$S$8:$S$127,"&lt;"&amp;(ROUND(U$13*1440,0)+$B$9),Buchungen!$T$8:$T$127,"&gt;"&amp;ROUND(U$13*1440,0))&gt;1,"!",INDEX(Buchungen!$P$8:$P$127,SUMIFS(Buchungen!$R$8:$R$127,Buchungen!$D$8:$D$127,$A24,Buchungen!$B$8:$B$127,$B$6,Buchungen!$N$8:$N$127,"&lt;&gt;Storniert",Buchungen!$S$8:$S$127,"&lt;"&amp;(ROUND(U$13*1440,0)+$B$9),Buchungen!$T$8:$T$127,"&gt;"&amp;ROUND(U$13*1440,0))-7))))</f>
        <v/>
      </c>
      <c r="V24" s="25" t="str">
        <f aca="false">IF(V$13="","",IF(COUNTIFS(Buchungen!$D$8:$D$127,$A24,Buchungen!$B$8:$B$127,$B$6,Buchungen!$N$8:$N$127,"&lt;&gt;Storniert",Buchungen!$S$8:$S$127,"&lt;"&amp;(ROUND(V$13*1440,0)+$B$9),Buchungen!$T$8:$T$127,"&gt;"&amp;ROUND(V$13*1440,0))=0,"",IF(COUNTIFS(Buchungen!$D$8:$D$127,$A24,Buchungen!$B$8:$B$127,$B$6,Buchungen!$N$8:$N$127,"&lt;&gt;Storniert",Buchungen!$S$8:$S$127,"&lt;"&amp;(ROUND(V$13*1440,0)+$B$9),Buchungen!$T$8:$T$127,"&gt;"&amp;ROUND(V$13*1440,0))&gt;1,"!",INDEX(Buchungen!$P$8:$P$127,SUMIFS(Buchungen!$R$8:$R$127,Buchungen!$D$8:$D$127,$A24,Buchungen!$B$8:$B$127,$B$6,Buchungen!$N$8:$N$127,"&lt;&gt;Storniert",Buchungen!$S$8:$S$127,"&lt;"&amp;(ROUND(V$13*1440,0)+$B$9),Buchungen!$T$8:$T$127,"&gt;"&amp;ROUND(V$13*1440,0))-7))))</f>
        <v/>
      </c>
      <c r="W24" s="25" t="str">
        <f aca="false">IF(W$13="","",IF(COUNTIFS(Buchungen!$D$8:$D$127,$A24,Buchungen!$B$8:$B$127,$B$6,Buchungen!$N$8:$N$127,"&lt;&gt;Storniert",Buchungen!$S$8:$S$127,"&lt;"&amp;(ROUND(W$13*1440,0)+$B$9),Buchungen!$T$8:$T$127,"&gt;"&amp;ROUND(W$13*1440,0))=0,"",IF(COUNTIFS(Buchungen!$D$8:$D$127,$A24,Buchungen!$B$8:$B$127,$B$6,Buchungen!$N$8:$N$127,"&lt;&gt;Storniert",Buchungen!$S$8:$S$127,"&lt;"&amp;(ROUND(W$13*1440,0)+$B$9),Buchungen!$T$8:$T$127,"&gt;"&amp;ROUND(W$13*1440,0))&gt;1,"!",INDEX(Buchungen!$P$8:$P$127,SUMIFS(Buchungen!$R$8:$R$127,Buchungen!$D$8:$D$127,$A24,Buchungen!$B$8:$B$127,$B$6,Buchungen!$N$8:$N$127,"&lt;&gt;Storniert",Buchungen!$S$8:$S$127,"&lt;"&amp;(ROUND(W$13*1440,0)+$B$9),Buchungen!$T$8:$T$127,"&gt;"&amp;ROUND(W$13*1440,0))-7))))</f>
        <v/>
      </c>
      <c r="X24" s="25" t="str">
        <f aca="false">IF(X$13="","",IF(COUNTIFS(Buchungen!$D$8:$D$127,$A24,Buchungen!$B$8:$B$127,$B$6,Buchungen!$N$8:$N$127,"&lt;&gt;Storniert",Buchungen!$S$8:$S$127,"&lt;"&amp;(ROUND(X$13*1440,0)+$B$9),Buchungen!$T$8:$T$127,"&gt;"&amp;ROUND(X$13*1440,0))=0,"",IF(COUNTIFS(Buchungen!$D$8:$D$127,$A24,Buchungen!$B$8:$B$127,$B$6,Buchungen!$N$8:$N$127,"&lt;&gt;Storniert",Buchungen!$S$8:$S$127,"&lt;"&amp;(ROUND(X$13*1440,0)+$B$9),Buchungen!$T$8:$T$127,"&gt;"&amp;ROUND(X$13*1440,0))&gt;1,"!",INDEX(Buchungen!$P$8:$P$127,SUMIFS(Buchungen!$R$8:$R$127,Buchungen!$D$8:$D$127,$A24,Buchungen!$B$8:$B$127,$B$6,Buchungen!$N$8:$N$127,"&lt;&gt;Storniert",Buchungen!$S$8:$S$127,"&lt;"&amp;(ROUND(X$13*1440,0)+$B$9),Buchungen!$T$8:$T$127,"&gt;"&amp;ROUND(X$13*1440,0))-7))))</f>
        <v/>
      </c>
      <c r="Y24" s="25" t="str">
        <f aca="false">IF(Y$13="","",IF(COUNTIFS(Buchungen!$D$8:$D$127,$A24,Buchungen!$B$8:$B$127,$B$6,Buchungen!$N$8:$N$127,"&lt;&gt;Storniert",Buchungen!$S$8:$S$127,"&lt;"&amp;(ROUND(Y$13*1440,0)+$B$9),Buchungen!$T$8:$T$127,"&gt;"&amp;ROUND(Y$13*1440,0))=0,"",IF(COUNTIFS(Buchungen!$D$8:$D$127,$A24,Buchungen!$B$8:$B$127,$B$6,Buchungen!$N$8:$N$127,"&lt;&gt;Storniert",Buchungen!$S$8:$S$127,"&lt;"&amp;(ROUND(Y$13*1440,0)+$B$9),Buchungen!$T$8:$T$127,"&gt;"&amp;ROUND(Y$13*1440,0))&gt;1,"!",INDEX(Buchungen!$P$8:$P$127,SUMIFS(Buchungen!$R$8:$R$127,Buchungen!$D$8:$D$127,$A24,Buchungen!$B$8:$B$127,$B$6,Buchungen!$N$8:$N$127,"&lt;&gt;Storniert",Buchungen!$S$8:$S$127,"&lt;"&amp;(ROUND(Y$13*1440,0)+$B$9),Buchungen!$T$8:$T$127,"&gt;"&amp;ROUND(Y$13*1440,0))-7))))</f>
        <v/>
      </c>
      <c r="Z24" s="25" t="str">
        <f aca="false">IF(Z$13="","",IF(COUNTIFS(Buchungen!$D$8:$D$127,$A24,Buchungen!$B$8:$B$127,$B$6,Buchungen!$N$8:$N$127,"&lt;&gt;Storniert",Buchungen!$S$8:$S$127,"&lt;"&amp;(ROUND(Z$13*1440,0)+$B$9),Buchungen!$T$8:$T$127,"&gt;"&amp;ROUND(Z$13*1440,0))=0,"",IF(COUNTIFS(Buchungen!$D$8:$D$127,$A24,Buchungen!$B$8:$B$127,$B$6,Buchungen!$N$8:$N$127,"&lt;&gt;Storniert",Buchungen!$S$8:$S$127,"&lt;"&amp;(ROUND(Z$13*1440,0)+$B$9),Buchungen!$T$8:$T$127,"&gt;"&amp;ROUND(Z$13*1440,0))&gt;1,"!",INDEX(Buchungen!$P$8:$P$127,SUMIFS(Buchungen!$R$8:$R$127,Buchungen!$D$8:$D$127,$A24,Buchungen!$B$8:$B$127,$B$6,Buchungen!$N$8:$N$127,"&lt;&gt;Storniert",Buchungen!$S$8:$S$127,"&lt;"&amp;(ROUND(Z$13*1440,0)+$B$9),Buchungen!$T$8:$T$127,"&gt;"&amp;ROUND(Z$13*1440,0))-7))))</f>
        <v/>
      </c>
      <c r="AA24" s="25" t="str">
        <f aca="false">IF(AA$13="","",IF(COUNTIFS(Buchungen!$D$8:$D$127,$A24,Buchungen!$B$8:$B$127,$B$6,Buchungen!$N$8:$N$127,"&lt;&gt;Storniert",Buchungen!$S$8:$S$127,"&lt;"&amp;(ROUND(AA$13*1440,0)+$B$9),Buchungen!$T$8:$T$127,"&gt;"&amp;ROUND(AA$13*1440,0))=0,"",IF(COUNTIFS(Buchungen!$D$8:$D$127,$A24,Buchungen!$B$8:$B$127,$B$6,Buchungen!$N$8:$N$127,"&lt;&gt;Storniert",Buchungen!$S$8:$S$127,"&lt;"&amp;(ROUND(AA$13*1440,0)+$B$9),Buchungen!$T$8:$T$127,"&gt;"&amp;ROUND(AA$13*1440,0))&gt;1,"!",INDEX(Buchungen!$P$8:$P$127,SUMIFS(Buchungen!$R$8:$R$127,Buchungen!$D$8:$D$127,$A24,Buchungen!$B$8:$B$127,$B$6,Buchungen!$N$8:$N$127,"&lt;&gt;Storniert",Buchungen!$S$8:$S$127,"&lt;"&amp;(ROUND(AA$13*1440,0)+$B$9),Buchungen!$T$8:$T$127,"&gt;"&amp;ROUND(AA$13*1440,0))-7))))</f>
        <v/>
      </c>
      <c r="AB24" s="25" t="str">
        <f aca="false">IF(AB$13="","",IF(COUNTIFS(Buchungen!$D$8:$D$127,$A24,Buchungen!$B$8:$B$127,$B$6,Buchungen!$N$8:$N$127,"&lt;&gt;Storniert",Buchungen!$S$8:$S$127,"&lt;"&amp;(ROUND(AB$13*1440,0)+$B$9),Buchungen!$T$8:$T$127,"&gt;"&amp;ROUND(AB$13*1440,0))=0,"",IF(COUNTIFS(Buchungen!$D$8:$D$127,$A24,Buchungen!$B$8:$B$127,$B$6,Buchungen!$N$8:$N$127,"&lt;&gt;Storniert",Buchungen!$S$8:$S$127,"&lt;"&amp;(ROUND(AB$13*1440,0)+$B$9),Buchungen!$T$8:$T$127,"&gt;"&amp;ROUND(AB$13*1440,0))&gt;1,"!",INDEX(Buchungen!$P$8:$P$127,SUMIFS(Buchungen!$R$8:$R$127,Buchungen!$D$8:$D$127,$A24,Buchungen!$B$8:$B$127,$B$6,Buchungen!$N$8:$N$127,"&lt;&gt;Storniert",Buchungen!$S$8:$S$127,"&lt;"&amp;(ROUND(AB$13*1440,0)+$B$9),Buchungen!$T$8:$T$127,"&gt;"&amp;ROUND(AB$13*1440,0))-7))))</f>
        <v/>
      </c>
      <c r="AC24" s="26" t="n">
        <f aca="false">IF($A24="","",SUMIFS(Buchungen!$I$8:$I$127,Buchungen!$D$8:$D$127,$A24,Buchungen!$B$8:$B$127,$B$6,Buchungen!$N$8:$N$127,"&lt;&gt;Storniert"))</f>
        <v>3</v>
      </c>
      <c r="AD24" s="27" t="n">
        <f aca="false">IF($A24="","",IFERROR($AC24/($B$10*$B$9/60),0))</f>
        <v>0.230769230769231</v>
      </c>
      <c r="AE24" s="27" t="n">
        <f aca="false">IF($A24="","",IFERROR(AVERAGEIFS(Buchungen!$K$8:$K$127,Buchungen!$D$8:$D$127,$A24,Buchungen!$B$8:$B$127,$B$6,Buchungen!$N$8:$N$127,"Bestätigt")/Stammdaten!$D18,0))</f>
        <v>0.6</v>
      </c>
    </row>
    <row r="25" customFormat="false" ht="16.5" hidden="false" customHeight="true" outlineLevel="0" collapsed="false">
      <c r="A25" s="28" t="str">
        <f aca="false">IF(OR(Stammdaten!$A19="",Stammdaten!$F19="Nein"),"",Stammdaten!$A19)</f>
        <v>R-12</v>
      </c>
      <c r="B25" s="29" t="str">
        <f aca="false">IF($A25="","",Stammdaten!$B19&amp;"  ("&amp;Stammdaten!$D19&amp;" Plätze)")</f>
        <v>Werkraum  (14 Plätze)</v>
      </c>
      <c r="C25" s="30" t="str">
        <f aca="false">IF(C$13="","",IF(COUNTIFS(Buchungen!$D$8:$D$127,$A25,Buchungen!$B$8:$B$127,$B$6,Buchungen!$N$8:$N$127,"&lt;&gt;Storniert",Buchungen!$S$8:$S$127,"&lt;"&amp;(ROUND(C$13*1440,0)+$B$9),Buchungen!$T$8:$T$127,"&gt;"&amp;ROUND(C$13*1440,0))=0,"",IF(COUNTIFS(Buchungen!$D$8:$D$127,$A25,Buchungen!$B$8:$B$127,$B$6,Buchungen!$N$8:$N$127,"&lt;&gt;Storniert",Buchungen!$S$8:$S$127,"&lt;"&amp;(ROUND(C$13*1440,0)+$B$9),Buchungen!$T$8:$T$127,"&gt;"&amp;ROUND(C$13*1440,0))&gt;1,"!",INDEX(Buchungen!$P$8:$P$127,SUMIFS(Buchungen!$R$8:$R$127,Buchungen!$D$8:$D$127,$A25,Buchungen!$B$8:$B$127,$B$6,Buchungen!$N$8:$N$127,"&lt;&gt;Storniert",Buchungen!$S$8:$S$127,"&lt;"&amp;(ROUND(C$13*1440,0)+$B$9),Buchungen!$T$8:$T$127,"&gt;"&amp;ROUND(C$13*1440,0))-7))))</f>
        <v/>
      </c>
      <c r="D25" s="30" t="str">
        <f aca="false">IF(D$13="","",IF(COUNTIFS(Buchungen!$D$8:$D$127,$A25,Buchungen!$B$8:$B$127,$B$6,Buchungen!$N$8:$N$127,"&lt;&gt;Storniert",Buchungen!$S$8:$S$127,"&lt;"&amp;(ROUND(D$13*1440,0)+$B$9),Buchungen!$T$8:$T$127,"&gt;"&amp;ROUND(D$13*1440,0))=0,"",IF(COUNTIFS(Buchungen!$D$8:$D$127,$A25,Buchungen!$B$8:$B$127,$B$6,Buchungen!$N$8:$N$127,"&lt;&gt;Storniert",Buchungen!$S$8:$S$127,"&lt;"&amp;(ROUND(D$13*1440,0)+$B$9),Buchungen!$T$8:$T$127,"&gt;"&amp;ROUND(D$13*1440,0))&gt;1,"!",INDEX(Buchungen!$P$8:$P$127,SUMIFS(Buchungen!$R$8:$R$127,Buchungen!$D$8:$D$127,$A25,Buchungen!$B$8:$B$127,$B$6,Buchungen!$N$8:$N$127,"&lt;&gt;Storniert",Buchungen!$S$8:$S$127,"&lt;"&amp;(ROUND(D$13*1440,0)+$B$9),Buchungen!$T$8:$T$127,"&gt;"&amp;ROUND(D$13*1440,0))-7))))</f>
        <v/>
      </c>
      <c r="E25" s="30" t="str">
        <f aca="false">IF(E$13="","",IF(COUNTIFS(Buchungen!$D$8:$D$127,$A25,Buchungen!$B$8:$B$127,$B$6,Buchungen!$N$8:$N$127,"&lt;&gt;Storniert",Buchungen!$S$8:$S$127,"&lt;"&amp;(ROUND(E$13*1440,0)+$B$9),Buchungen!$T$8:$T$127,"&gt;"&amp;ROUND(E$13*1440,0))=0,"",IF(COUNTIFS(Buchungen!$D$8:$D$127,$A25,Buchungen!$B$8:$B$127,$B$6,Buchungen!$N$8:$N$127,"&lt;&gt;Storniert",Buchungen!$S$8:$S$127,"&lt;"&amp;(ROUND(E$13*1440,0)+$B$9),Buchungen!$T$8:$T$127,"&gt;"&amp;ROUND(E$13*1440,0))&gt;1,"!",INDEX(Buchungen!$P$8:$P$127,SUMIFS(Buchungen!$R$8:$R$127,Buchungen!$D$8:$D$127,$A25,Buchungen!$B$8:$B$127,$B$6,Buchungen!$N$8:$N$127,"&lt;&gt;Storniert",Buchungen!$S$8:$S$127,"&lt;"&amp;(ROUND(E$13*1440,0)+$B$9),Buchungen!$T$8:$T$127,"&gt;"&amp;ROUND(E$13*1440,0))-7))))</f>
        <v/>
      </c>
      <c r="F25" s="30" t="str">
        <f aca="false">IF(F$13="","",IF(COUNTIFS(Buchungen!$D$8:$D$127,$A25,Buchungen!$B$8:$B$127,$B$6,Buchungen!$N$8:$N$127,"&lt;&gt;Storniert",Buchungen!$S$8:$S$127,"&lt;"&amp;(ROUND(F$13*1440,0)+$B$9),Buchungen!$T$8:$T$127,"&gt;"&amp;ROUND(F$13*1440,0))=0,"",IF(COUNTIFS(Buchungen!$D$8:$D$127,$A25,Buchungen!$B$8:$B$127,$B$6,Buchungen!$N$8:$N$127,"&lt;&gt;Storniert",Buchungen!$S$8:$S$127,"&lt;"&amp;(ROUND(F$13*1440,0)+$B$9),Buchungen!$T$8:$T$127,"&gt;"&amp;ROUND(F$13*1440,0))&gt;1,"!",INDEX(Buchungen!$P$8:$P$127,SUMIFS(Buchungen!$R$8:$R$127,Buchungen!$D$8:$D$127,$A25,Buchungen!$B$8:$B$127,$B$6,Buchungen!$N$8:$N$127,"&lt;&gt;Storniert",Buchungen!$S$8:$S$127,"&lt;"&amp;(ROUND(F$13*1440,0)+$B$9),Buchungen!$T$8:$T$127,"&gt;"&amp;ROUND(F$13*1440,0))-7))))</f>
        <v/>
      </c>
      <c r="G25" s="30" t="str">
        <f aca="false">IF(G$13="","",IF(COUNTIFS(Buchungen!$D$8:$D$127,$A25,Buchungen!$B$8:$B$127,$B$6,Buchungen!$N$8:$N$127,"&lt;&gt;Storniert",Buchungen!$S$8:$S$127,"&lt;"&amp;(ROUND(G$13*1440,0)+$B$9),Buchungen!$T$8:$T$127,"&gt;"&amp;ROUND(G$13*1440,0))=0,"",IF(COUNTIFS(Buchungen!$D$8:$D$127,$A25,Buchungen!$B$8:$B$127,$B$6,Buchungen!$N$8:$N$127,"&lt;&gt;Storniert",Buchungen!$S$8:$S$127,"&lt;"&amp;(ROUND(G$13*1440,0)+$B$9),Buchungen!$T$8:$T$127,"&gt;"&amp;ROUND(G$13*1440,0))&gt;1,"!",INDEX(Buchungen!$P$8:$P$127,SUMIFS(Buchungen!$R$8:$R$127,Buchungen!$D$8:$D$127,$A25,Buchungen!$B$8:$B$127,$B$6,Buchungen!$N$8:$N$127,"&lt;&gt;Storniert",Buchungen!$S$8:$S$127,"&lt;"&amp;(ROUND(G$13*1440,0)+$B$9),Buchungen!$T$8:$T$127,"&gt;"&amp;ROUND(G$13*1440,0))-7))))</f>
        <v>VIKO</v>
      </c>
      <c r="H25" s="30" t="str">
        <f aca="false">IF(H$13="","",IF(COUNTIFS(Buchungen!$D$8:$D$127,$A25,Buchungen!$B$8:$B$127,$B$6,Buchungen!$N$8:$N$127,"&lt;&gt;Storniert",Buchungen!$S$8:$S$127,"&lt;"&amp;(ROUND(H$13*1440,0)+$B$9),Buchungen!$T$8:$T$127,"&gt;"&amp;ROUND(H$13*1440,0))=0,"",IF(COUNTIFS(Buchungen!$D$8:$D$127,$A25,Buchungen!$B$8:$B$127,$B$6,Buchungen!$N$8:$N$127,"&lt;&gt;Storniert",Buchungen!$S$8:$S$127,"&lt;"&amp;(ROUND(H$13*1440,0)+$B$9),Buchungen!$T$8:$T$127,"&gt;"&amp;ROUND(H$13*1440,0))&gt;1,"!",INDEX(Buchungen!$P$8:$P$127,SUMIFS(Buchungen!$R$8:$R$127,Buchungen!$D$8:$D$127,$A25,Buchungen!$B$8:$B$127,$B$6,Buchungen!$N$8:$N$127,"&lt;&gt;Storniert",Buchungen!$S$8:$S$127,"&lt;"&amp;(ROUND(H$13*1440,0)+$B$9),Buchungen!$T$8:$T$127,"&gt;"&amp;ROUND(H$13*1440,0))-7))))</f>
        <v>VIKO</v>
      </c>
      <c r="I25" s="30" t="str">
        <f aca="false">IF(I$13="","",IF(COUNTIFS(Buchungen!$D$8:$D$127,$A25,Buchungen!$B$8:$B$127,$B$6,Buchungen!$N$8:$N$127,"&lt;&gt;Storniert",Buchungen!$S$8:$S$127,"&lt;"&amp;(ROUND(I$13*1440,0)+$B$9),Buchungen!$T$8:$T$127,"&gt;"&amp;ROUND(I$13*1440,0))=0,"",IF(COUNTIFS(Buchungen!$D$8:$D$127,$A25,Buchungen!$B$8:$B$127,$B$6,Buchungen!$N$8:$N$127,"&lt;&gt;Storniert",Buchungen!$S$8:$S$127,"&lt;"&amp;(ROUND(I$13*1440,0)+$B$9),Buchungen!$T$8:$T$127,"&gt;"&amp;ROUND(I$13*1440,0))&gt;1,"!",INDEX(Buchungen!$P$8:$P$127,SUMIFS(Buchungen!$R$8:$R$127,Buchungen!$D$8:$D$127,$A25,Buchungen!$B$8:$B$127,$B$6,Buchungen!$N$8:$N$127,"&lt;&gt;Storniert",Buchungen!$S$8:$S$127,"&lt;"&amp;(ROUND(I$13*1440,0)+$B$9),Buchungen!$T$8:$T$127,"&gt;"&amp;ROUND(I$13*1440,0))-7))))</f>
        <v>VIKO</v>
      </c>
      <c r="J25" s="30" t="str">
        <f aca="false">IF(J$13="","",IF(COUNTIFS(Buchungen!$D$8:$D$127,$A25,Buchungen!$B$8:$B$127,$B$6,Buchungen!$N$8:$N$127,"&lt;&gt;Storniert",Buchungen!$S$8:$S$127,"&lt;"&amp;(ROUND(J$13*1440,0)+$B$9),Buchungen!$T$8:$T$127,"&gt;"&amp;ROUND(J$13*1440,0))=0,"",IF(COUNTIFS(Buchungen!$D$8:$D$127,$A25,Buchungen!$B$8:$B$127,$B$6,Buchungen!$N$8:$N$127,"&lt;&gt;Storniert",Buchungen!$S$8:$S$127,"&lt;"&amp;(ROUND(J$13*1440,0)+$B$9),Buchungen!$T$8:$T$127,"&gt;"&amp;ROUND(J$13*1440,0))&gt;1,"!",INDEX(Buchungen!$P$8:$P$127,SUMIFS(Buchungen!$R$8:$R$127,Buchungen!$D$8:$D$127,$A25,Buchungen!$B$8:$B$127,$B$6,Buchungen!$N$8:$N$127,"&lt;&gt;Storniert",Buchungen!$S$8:$S$127,"&lt;"&amp;(ROUND(J$13*1440,0)+$B$9),Buchungen!$T$8:$T$127,"&gt;"&amp;ROUND(J$13*1440,0))-7))))</f>
        <v/>
      </c>
      <c r="K25" s="30" t="str">
        <f aca="false">IF(K$13="","",IF(COUNTIFS(Buchungen!$D$8:$D$127,$A25,Buchungen!$B$8:$B$127,$B$6,Buchungen!$N$8:$N$127,"&lt;&gt;Storniert",Buchungen!$S$8:$S$127,"&lt;"&amp;(ROUND(K$13*1440,0)+$B$9),Buchungen!$T$8:$T$127,"&gt;"&amp;ROUND(K$13*1440,0))=0,"",IF(COUNTIFS(Buchungen!$D$8:$D$127,$A25,Buchungen!$B$8:$B$127,$B$6,Buchungen!$N$8:$N$127,"&lt;&gt;Storniert",Buchungen!$S$8:$S$127,"&lt;"&amp;(ROUND(K$13*1440,0)+$B$9),Buchungen!$T$8:$T$127,"&gt;"&amp;ROUND(K$13*1440,0))&gt;1,"!",INDEX(Buchungen!$P$8:$P$127,SUMIFS(Buchungen!$R$8:$R$127,Buchungen!$D$8:$D$127,$A25,Buchungen!$B$8:$B$127,$B$6,Buchungen!$N$8:$N$127,"&lt;&gt;Storniert",Buchungen!$S$8:$S$127,"&lt;"&amp;(ROUND(K$13*1440,0)+$B$9),Buchungen!$T$8:$T$127,"&gt;"&amp;ROUND(K$13*1440,0))-7))))</f>
        <v/>
      </c>
      <c r="L25" s="30" t="str">
        <f aca="false">IF(L$13="","",IF(COUNTIFS(Buchungen!$D$8:$D$127,$A25,Buchungen!$B$8:$B$127,$B$6,Buchungen!$N$8:$N$127,"&lt;&gt;Storniert",Buchungen!$S$8:$S$127,"&lt;"&amp;(ROUND(L$13*1440,0)+$B$9),Buchungen!$T$8:$T$127,"&gt;"&amp;ROUND(L$13*1440,0))=0,"",IF(COUNTIFS(Buchungen!$D$8:$D$127,$A25,Buchungen!$B$8:$B$127,$B$6,Buchungen!$N$8:$N$127,"&lt;&gt;Storniert",Buchungen!$S$8:$S$127,"&lt;"&amp;(ROUND(L$13*1440,0)+$B$9),Buchungen!$T$8:$T$127,"&gt;"&amp;ROUND(L$13*1440,0))&gt;1,"!",INDEX(Buchungen!$P$8:$P$127,SUMIFS(Buchungen!$R$8:$R$127,Buchungen!$D$8:$D$127,$A25,Buchungen!$B$8:$B$127,$B$6,Buchungen!$N$8:$N$127,"&lt;&gt;Storniert",Buchungen!$S$8:$S$127,"&lt;"&amp;(ROUND(L$13*1440,0)+$B$9),Buchungen!$T$8:$T$127,"&gt;"&amp;ROUND(L$13*1440,0))-7))))</f>
        <v/>
      </c>
      <c r="M25" s="30" t="str">
        <f aca="false">IF(M$13="","",IF(COUNTIFS(Buchungen!$D$8:$D$127,$A25,Buchungen!$B$8:$B$127,$B$6,Buchungen!$N$8:$N$127,"&lt;&gt;Storniert",Buchungen!$S$8:$S$127,"&lt;"&amp;(ROUND(M$13*1440,0)+$B$9),Buchungen!$T$8:$T$127,"&gt;"&amp;ROUND(M$13*1440,0))=0,"",IF(COUNTIFS(Buchungen!$D$8:$D$127,$A25,Buchungen!$B$8:$B$127,$B$6,Buchungen!$N$8:$N$127,"&lt;&gt;Storniert",Buchungen!$S$8:$S$127,"&lt;"&amp;(ROUND(M$13*1440,0)+$B$9),Buchungen!$T$8:$T$127,"&gt;"&amp;ROUND(M$13*1440,0))&gt;1,"!",INDEX(Buchungen!$P$8:$P$127,SUMIFS(Buchungen!$R$8:$R$127,Buchungen!$D$8:$D$127,$A25,Buchungen!$B$8:$B$127,$B$6,Buchungen!$N$8:$N$127,"&lt;&gt;Storniert",Buchungen!$S$8:$S$127,"&lt;"&amp;(ROUND(M$13*1440,0)+$B$9),Buchungen!$T$8:$T$127,"&gt;"&amp;ROUND(M$13*1440,0))-7))))</f>
        <v/>
      </c>
      <c r="N25" s="30" t="str">
        <f aca="false">IF(N$13="","",IF(COUNTIFS(Buchungen!$D$8:$D$127,$A25,Buchungen!$B$8:$B$127,$B$6,Buchungen!$N$8:$N$127,"&lt;&gt;Storniert",Buchungen!$S$8:$S$127,"&lt;"&amp;(ROUND(N$13*1440,0)+$B$9),Buchungen!$T$8:$T$127,"&gt;"&amp;ROUND(N$13*1440,0))=0,"",IF(COUNTIFS(Buchungen!$D$8:$D$127,$A25,Buchungen!$B$8:$B$127,$B$6,Buchungen!$N$8:$N$127,"&lt;&gt;Storniert",Buchungen!$S$8:$S$127,"&lt;"&amp;(ROUND(N$13*1440,0)+$B$9),Buchungen!$T$8:$T$127,"&gt;"&amp;ROUND(N$13*1440,0))&gt;1,"!",INDEX(Buchungen!$P$8:$P$127,SUMIFS(Buchungen!$R$8:$R$127,Buchungen!$D$8:$D$127,$A25,Buchungen!$B$8:$B$127,$B$6,Buchungen!$N$8:$N$127,"&lt;&gt;Storniert",Buchungen!$S$8:$S$127,"&lt;"&amp;(ROUND(N$13*1440,0)+$B$9),Buchungen!$T$8:$T$127,"&gt;"&amp;ROUND(N$13*1440,0))-7))))</f>
        <v/>
      </c>
      <c r="O25" s="30" t="str">
        <f aca="false">IF(O$13="","",IF(COUNTIFS(Buchungen!$D$8:$D$127,$A25,Buchungen!$B$8:$B$127,$B$6,Buchungen!$N$8:$N$127,"&lt;&gt;Storniert",Buchungen!$S$8:$S$127,"&lt;"&amp;(ROUND(O$13*1440,0)+$B$9),Buchungen!$T$8:$T$127,"&gt;"&amp;ROUND(O$13*1440,0))=0,"",IF(COUNTIFS(Buchungen!$D$8:$D$127,$A25,Buchungen!$B$8:$B$127,$B$6,Buchungen!$N$8:$N$127,"&lt;&gt;Storniert",Buchungen!$S$8:$S$127,"&lt;"&amp;(ROUND(O$13*1440,0)+$B$9),Buchungen!$T$8:$T$127,"&gt;"&amp;ROUND(O$13*1440,0))&gt;1,"!",INDEX(Buchungen!$P$8:$P$127,SUMIFS(Buchungen!$R$8:$R$127,Buchungen!$D$8:$D$127,$A25,Buchungen!$B$8:$B$127,$B$6,Buchungen!$N$8:$N$127,"&lt;&gt;Storniert",Buchungen!$S$8:$S$127,"&lt;"&amp;(ROUND(O$13*1440,0)+$B$9),Buchungen!$T$8:$T$127,"&gt;"&amp;ROUND(O$13*1440,0))-7))))</f>
        <v/>
      </c>
      <c r="P25" s="30" t="str">
        <f aca="false">IF(P$13="","",IF(COUNTIFS(Buchungen!$D$8:$D$127,$A25,Buchungen!$B$8:$B$127,$B$6,Buchungen!$N$8:$N$127,"&lt;&gt;Storniert",Buchungen!$S$8:$S$127,"&lt;"&amp;(ROUND(P$13*1440,0)+$B$9),Buchungen!$T$8:$T$127,"&gt;"&amp;ROUND(P$13*1440,0))=0,"",IF(COUNTIFS(Buchungen!$D$8:$D$127,$A25,Buchungen!$B$8:$B$127,$B$6,Buchungen!$N$8:$N$127,"&lt;&gt;Storniert",Buchungen!$S$8:$S$127,"&lt;"&amp;(ROUND(P$13*1440,0)+$B$9),Buchungen!$T$8:$T$127,"&gt;"&amp;ROUND(P$13*1440,0))&gt;1,"!",INDEX(Buchungen!$P$8:$P$127,SUMIFS(Buchungen!$R$8:$R$127,Buchungen!$D$8:$D$127,$A25,Buchungen!$B$8:$B$127,$B$6,Buchungen!$N$8:$N$127,"&lt;&gt;Storniert",Buchungen!$S$8:$S$127,"&lt;"&amp;(ROUND(P$13*1440,0)+$B$9),Buchungen!$T$8:$T$127,"&gt;"&amp;ROUND(P$13*1440,0))-7))))</f>
        <v/>
      </c>
      <c r="Q25" s="30" t="str">
        <f aca="false">IF(Q$13="","",IF(COUNTIFS(Buchungen!$D$8:$D$127,$A25,Buchungen!$B$8:$B$127,$B$6,Buchungen!$N$8:$N$127,"&lt;&gt;Storniert",Buchungen!$S$8:$S$127,"&lt;"&amp;(ROUND(Q$13*1440,0)+$B$9),Buchungen!$T$8:$T$127,"&gt;"&amp;ROUND(Q$13*1440,0))=0,"",IF(COUNTIFS(Buchungen!$D$8:$D$127,$A25,Buchungen!$B$8:$B$127,$B$6,Buchungen!$N$8:$N$127,"&lt;&gt;Storniert",Buchungen!$S$8:$S$127,"&lt;"&amp;(ROUND(Q$13*1440,0)+$B$9),Buchungen!$T$8:$T$127,"&gt;"&amp;ROUND(Q$13*1440,0))&gt;1,"!",INDEX(Buchungen!$P$8:$P$127,SUMIFS(Buchungen!$R$8:$R$127,Buchungen!$D$8:$D$127,$A25,Buchungen!$B$8:$B$127,$B$6,Buchungen!$N$8:$N$127,"&lt;&gt;Storniert",Buchungen!$S$8:$S$127,"&lt;"&amp;(ROUND(Q$13*1440,0)+$B$9),Buchungen!$T$8:$T$127,"&gt;"&amp;ROUND(Q$13*1440,0))-7))))</f>
        <v/>
      </c>
      <c r="R25" s="30" t="str">
        <f aca="false">IF(R$13="","",IF(COUNTIFS(Buchungen!$D$8:$D$127,$A25,Buchungen!$B$8:$B$127,$B$6,Buchungen!$N$8:$N$127,"&lt;&gt;Storniert",Buchungen!$S$8:$S$127,"&lt;"&amp;(ROUND(R$13*1440,0)+$B$9),Buchungen!$T$8:$T$127,"&gt;"&amp;ROUND(R$13*1440,0))=0,"",IF(COUNTIFS(Buchungen!$D$8:$D$127,$A25,Buchungen!$B$8:$B$127,$B$6,Buchungen!$N$8:$N$127,"&lt;&gt;Storniert",Buchungen!$S$8:$S$127,"&lt;"&amp;(ROUND(R$13*1440,0)+$B$9),Buchungen!$T$8:$T$127,"&gt;"&amp;ROUND(R$13*1440,0))&gt;1,"!",INDEX(Buchungen!$P$8:$P$127,SUMIFS(Buchungen!$R$8:$R$127,Buchungen!$D$8:$D$127,$A25,Buchungen!$B$8:$B$127,$B$6,Buchungen!$N$8:$N$127,"&lt;&gt;Storniert",Buchungen!$S$8:$S$127,"&lt;"&amp;(ROUND(R$13*1440,0)+$B$9),Buchungen!$T$8:$T$127,"&gt;"&amp;ROUND(R$13*1440,0))-7))))</f>
        <v/>
      </c>
      <c r="S25" s="30" t="str">
        <f aca="false">IF(S$13="","",IF(COUNTIFS(Buchungen!$D$8:$D$127,$A25,Buchungen!$B$8:$B$127,$B$6,Buchungen!$N$8:$N$127,"&lt;&gt;Storniert",Buchungen!$S$8:$S$127,"&lt;"&amp;(ROUND(S$13*1440,0)+$B$9),Buchungen!$T$8:$T$127,"&gt;"&amp;ROUND(S$13*1440,0))=0,"",IF(COUNTIFS(Buchungen!$D$8:$D$127,$A25,Buchungen!$B$8:$B$127,$B$6,Buchungen!$N$8:$N$127,"&lt;&gt;Storniert",Buchungen!$S$8:$S$127,"&lt;"&amp;(ROUND(S$13*1440,0)+$B$9),Buchungen!$T$8:$T$127,"&gt;"&amp;ROUND(S$13*1440,0))&gt;1,"!",INDEX(Buchungen!$P$8:$P$127,SUMIFS(Buchungen!$R$8:$R$127,Buchungen!$D$8:$D$127,$A25,Buchungen!$B$8:$B$127,$B$6,Buchungen!$N$8:$N$127,"&lt;&gt;Storniert",Buchungen!$S$8:$S$127,"&lt;"&amp;(ROUND(S$13*1440,0)+$B$9),Buchungen!$T$8:$T$127,"&gt;"&amp;ROUND(S$13*1440,0))-7))))</f>
        <v/>
      </c>
      <c r="T25" s="30" t="str">
        <f aca="false">IF(T$13="","",IF(COUNTIFS(Buchungen!$D$8:$D$127,$A25,Buchungen!$B$8:$B$127,$B$6,Buchungen!$N$8:$N$127,"&lt;&gt;Storniert",Buchungen!$S$8:$S$127,"&lt;"&amp;(ROUND(T$13*1440,0)+$B$9),Buchungen!$T$8:$T$127,"&gt;"&amp;ROUND(T$13*1440,0))=0,"",IF(COUNTIFS(Buchungen!$D$8:$D$127,$A25,Buchungen!$B$8:$B$127,$B$6,Buchungen!$N$8:$N$127,"&lt;&gt;Storniert",Buchungen!$S$8:$S$127,"&lt;"&amp;(ROUND(T$13*1440,0)+$B$9),Buchungen!$T$8:$T$127,"&gt;"&amp;ROUND(T$13*1440,0))&gt;1,"!",INDEX(Buchungen!$P$8:$P$127,SUMIFS(Buchungen!$R$8:$R$127,Buchungen!$D$8:$D$127,$A25,Buchungen!$B$8:$B$127,$B$6,Buchungen!$N$8:$N$127,"&lt;&gt;Storniert",Buchungen!$S$8:$S$127,"&lt;"&amp;(ROUND(T$13*1440,0)+$B$9),Buchungen!$T$8:$T$127,"&gt;"&amp;ROUND(T$13*1440,0))-7))))</f>
        <v/>
      </c>
      <c r="U25" s="30" t="str">
        <f aca="false">IF(U$13="","",IF(COUNTIFS(Buchungen!$D$8:$D$127,$A25,Buchungen!$B$8:$B$127,$B$6,Buchungen!$N$8:$N$127,"&lt;&gt;Storniert",Buchungen!$S$8:$S$127,"&lt;"&amp;(ROUND(U$13*1440,0)+$B$9),Buchungen!$T$8:$T$127,"&gt;"&amp;ROUND(U$13*1440,0))=0,"",IF(COUNTIFS(Buchungen!$D$8:$D$127,$A25,Buchungen!$B$8:$B$127,$B$6,Buchungen!$N$8:$N$127,"&lt;&gt;Storniert",Buchungen!$S$8:$S$127,"&lt;"&amp;(ROUND(U$13*1440,0)+$B$9),Buchungen!$T$8:$T$127,"&gt;"&amp;ROUND(U$13*1440,0))&gt;1,"!",INDEX(Buchungen!$P$8:$P$127,SUMIFS(Buchungen!$R$8:$R$127,Buchungen!$D$8:$D$127,$A25,Buchungen!$B$8:$B$127,$B$6,Buchungen!$N$8:$N$127,"&lt;&gt;Storniert",Buchungen!$S$8:$S$127,"&lt;"&amp;(ROUND(U$13*1440,0)+$B$9),Buchungen!$T$8:$T$127,"&gt;"&amp;ROUND(U$13*1440,0))-7))))</f>
        <v/>
      </c>
      <c r="V25" s="30" t="str">
        <f aca="false">IF(V$13="","",IF(COUNTIFS(Buchungen!$D$8:$D$127,$A25,Buchungen!$B$8:$B$127,$B$6,Buchungen!$N$8:$N$127,"&lt;&gt;Storniert",Buchungen!$S$8:$S$127,"&lt;"&amp;(ROUND(V$13*1440,0)+$B$9),Buchungen!$T$8:$T$127,"&gt;"&amp;ROUND(V$13*1440,0))=0,"",IF(COUNTIFS(Buchungen!$D$8:$D$127,$A25,Buchungen!$B$8:$B$127,$B$6,Buchungen!$N$8:$N$127,"&lt;&gt;Storniert",Buchungen!$S$8:$S$127,"&lt;"&amp;(ROUND(V$13*1440,0)+$B$9),Buchungen!$T$8:$T$127,"&gt;"&amp;ROUND(V$13*1440,0))&gt;1,"!",INDEX(Buchungen!$P$8:$P$127,SUMIFS(Buchungen!$R$8:$R$127,Buchungen!$D$8:$D$127,$A25,Buchungen!$B$8:$B$127,$B$6,Buchungen!$N$8:$N$127,"&lt;&gt;Storniert",Buchungen!$S$8:$S$127,"&lt;"&amp;(ROUND(V$13*1440,0)+$B$9),Buchungen!$T$8:$T$127,"&gt;"&amp;ROUND(V$13*1440,0))-7))))</f>
        <v/>
      </c>
      <c r="W25" s="30" t="str">
        <f aca="false">IF(W$13="","",IF(COUNTIFS(Buchungen!$D$8:$D$127,$A25,Buchungen!$B$8:$B$127,$B$6,Buchungen!$N$8:$N$127,"&lt;&gt;Storniert",Buchungen!$S$8:$S$127,"&lt;"&amp;(ROUND(W$13*1440,0)+$B$9),Buchungen!$T$8:$T$127,"&gt;"&amp;ROUND(W$13*1440,0))=0,"",IF(COUNTIFS(Buchungen!$D$8:$D$127,$A25,Buchungen!$B$8:$B$127,$B$6,Buchungen!$N$8:$N$127,"&lt;&gt;Storniert",Buchungen!$S$8:$S$127,"&lt;"&amp;(ROUND(W$13*1440,0)+$B$9),Buchungen!$T$8:$T$127,"&gt;"&amp;ROUND(W$13*1440,0))&gt;1,"!",INDEX(Buchungen!$P$8:$P$127,SUMIFS(Buchungen!$R$8:$R$127,Buchungen!$D$8:$D$127,$A25,Buchungen!$B$8:$B$127,$B$6,Buchungen!$N$8:$N$127,"&lt;&gt;Storniert",Buchungen!$S$8:$S$127,"&lt;"&amp;(ROUND(W$13*1440,0)+$B$9),Buchungen!$T$8:$T$127,"&gt;"&amp;ROUND(W$13*1440,0))-7))))</f>
        <v/>
      </c>
      <c r="X25" s="30" t="str">
        <f aca="false">IF(X$13="","",IF(COUNTIFS(Buchungen!$D$8:$D$127,$A25,Buchungen!$B$8:$B$127,$B$6,Buchungen!$N$8:$N$127,"&lt;&gt;Storniert",Buchungen!$S$8:$S$127,"&lt;"&amp;(ROUND(X$13*1440,0)+$B$9),Buchungen!$T$8:$T$127,"&gt;"&amp;ROUND(X$13*1440,0))=0,"",IF(COUNTIFS(Buchungen!$D$8:$D$127,$A25,Buchungen!$B$8:$B$127,$B$6,Buchungen!$N$8:$N$127,"&lt;&gt;Storniert",Buchungen!$S$8:$S$127,"&lt;"&amp;(ROUND(X$13*1440,0)+$B$9),Buchungen!$T$8:$T$127,"&gt;"&amp;ROUND(X$13*1440,0))&gt;1,"!",INDEX(Buchungen!$P$8:$P$127,SUMIFS(Buchungen!$R$8:$R$127,Buchungen!$D$8:$D$127,$A25,Buchungen!$B$8:$B$127,$B$6,Buchungen!$N$8:$N$127,"&lt;&gt;Storniert",Buchungen!$S$8:$S$127,"&lt;"&amp;(ROUND(X$13*1440,0)+$B$9),Buchungen!$T$8:$T$127,"&gt;"&amp;ROUND(X$13*1440,0))-7))))</f>
        <v/>
      </c>
      <c r="Y25" s="30" t="str">
        <f aca="false">IF(Y$13="","",IF(COUNTIFS(Buchungen!$D$8:$D$127,$A25,Buchungen!$B$8:$B$127,$B$6,Buchungen!$N$8:$N$127,"&lt;&gt;Storniert",Buchungen!$S$8:$S$127,"&lt;"&amp;(ROUND(Y$13*1440,0)+$B$9),Buchungen!$T$8:$T$127,"&gt;"&amp;ROUND(Y$13*1440,0))=0,"",IF(COUNTIFS(Buchungen!$D$8:$D$127,$A25,Buchungen!$B$8:$B$127,$B$6,Buchungen!$N$8:$N$127,"&lt;&gt;Storniert",Buchungen!$S$8:$S$127,"&lt;"&amp;(ROUND(Y$13*1440,0)+$B$9),Buchungen!$T$8:$T$127,"&gt;"&amp;ROUND(Y$13*1440,0))&gt;1,"!",INDEX(Buchungen!$P$8:$P$127,SUMIFS(Buchungen!$R$8:$R$127,Buchungen!$D$8:$D$127,$A25,Buchungen!$B$8:$B$127,$B$6,Buchungen!$N$8:$N$127,"&lt;&gt;Storniert",Buchungen!$S$8:$S$127,"&lt;"&amp;(ROUND(Y$13*1440,0)+$B$9),Buchungen!$T$8:$T$127,"&gt;"&amp;ROUND(Y$13*1440,0))-7))))</f>
        <v/>
      </c>
      <c r="Z25" s="30" t="str">
        <f aca="false">IF(Z$13="","",IF(COUNTIFS(Buchungen!$D$8:$D$127,$A25,Buchungen!$B$8:$B$127,$B$6,Buchungen!$N$8:$N$127,"&lt;&gt;Storniert",Buchungen!$S$8:$S$127,"&lt;"&amp;(ROUND(Z$13*1440,0)+$B$9),Buchungen!$T$8:$T$127,"&gt;"&amp;ROUND(Z$13*1440,0))=0,"",IF(COUNTIFS(Buchungen!$D$8:$D$127,$A25,Buchungen!$B$8:$B$127,$B$6,Buchungen!$N$8:$N$127,"&lt;&gt;Storniert",Buchungen!$S$8:$S$127,"&lt;"&amp;(ROUND(Z$13*1440,0)+$B$9),Buchungen!$T$8:$T$127,"&gt;"&amp;ROUND(Z$13*1440,0))&gt;1,"!",INDEX(Buchungen!$P$8:$P$127,SUMIFS(Buchungen!$R$8:$R$127,Buchungen!$D$8:$D$127,$A25,Buchungen!$B$8:$B$127,$B$6,Buchungen!$N$8:$N$127,"&lt;&gt;Storniert",Buchungen!$S$8:$S$127,"&lt;"&amp;(ROUND(Z$13*1440,0)+$B$9),Buchungen!$T$8:$T$127,"&gt;"&amp;ROUND(Z$13*1440,0))-7))))</f>
        <v/>
      </c>
      <c r="AA25" s="30" t="str">
        <f aca="false">IF(AA$13="","",IF(COUNTIFS(Buchungen!$D$8:$D$127,$A25,Buchungen!$B$8:$B$127,$B$6,Buchungen!$N$8:$N$127,"&lt;&gt;Storniert",Buchungen!$S$8:$S$127,"&lt;"&amp;(ROUND(AA$13*1440,0)+$B$9),Buchungen!$T$8:$T$127,"&gt;"&amp;ROUND(AA$13*1440,0))=0,"",IF(COUNTIFS(Buchungen!$D$8:$D$127,$A25,Buchungen!$B$8:$B$127,$B$6,Buchungen!$N$8:$N$127,"&lt;&gt;Storniert",Buchungen!$S$8:$S$127,"&lt;"&amp;(ROUND(AA$13*1440,0)+$B$9),Buchungen!$T$8:$T$127,"&gt;"&amp;ROUND(AA$13*1440,0))&gt;1,"!",INDEX(Buchungen!$P$8:$P$127,SUMIFS(Buchungen!$R$8:$R$127,Buchungen!$D$8:$D$127,$A25,Buchungen!$B$8:$B$127,$B$6,Buchungen!$N$8:$N$127,"&lt;&gt;Storniert",Buchungen!$S$8:$S$127,"&lt;"&amp;(ROUND(AA$13*1440,0)+$B$9),Buchungen!$T$8:$T$127,"&gt;"&amp;ROUND(AA$13*1440,0))-7))))</f>
        <v/>
      </c>
      <c r="AB25" s="30" t="str">
        <f aca="false">IF(AB$13="","",IF(COUNTIFS(Buchungen!$D$8:$D$127,$A25,Buchungen!$B$8:$B$127,$B$6,Buchungen!$N$8:$N$127,"&lt;&gt;Storniert",Buchungen!$S$8:$S$127,"&lt;"&amp;(ROUND(AB$13*1440,0)+$B$9),Buchungen!$T$8:$T$127,"&gt;"&amp;ROUND(AB$13*1440,0))=0,"",IF(COUNTIFS(Buchungen!$D$8:$D$127,$A25,Buchungen!$B$8:$B$127,$B$6,Buchungen!$N$8:$N$127,"&lt;&gt;Storniert",Buchungen!$S$8:$S$127,"&lt;"&amp;(ROUND(AB$13*1440,0)+$B$9),Buchungen!$T$8:$T$127,"&gt;"&amp;ROUND(AB$13*1440,0))&gt;1,"!",INDEX(Buchungen!$P$8:$P$127,SUMIFS(Buchungen!$R$8:$R$127,Buchungen!$D$8:$D$127,$A25,Buchungen!$B$8:$B$127,$B$6,Buchungen!$N$8:$N$127,"&lt;&gt;Storniert",Buchungen!$S$8:$S$127,"&lt;"&amp;(ROUND(AB$13*1440,0)+$B$9),Buchungen!$T$8:$T$127,"&gt;"&amp;ROUND(AB$13*1440,0))-7))))</f>
        <v/>
      </c>
      <c r="AC25" s="31" t="n">
        <f aca="false">IF($A25="","",SUMIFS(Buchungen!$I$8:$I$127,Buchungen!$D$8:$D$127,$A25,Buchungen!$B$8:$B$127,$B$6,Buchungen!$N$8:$N$127,"&lt;&gt;Storniert"))</f>
        <v>1.5</v>
      </c>
      <c r="AD25" s="32" t="n">
        <f aca="false">IF($A25="","",IFERROR($AC25/($B$10*$B$9/60),0))</f>
        <v>0.115384615384615</v>
      </c>
      <c r="AE25" s="32" t="n">
        <f aca="false">IF($A25="","",IFERROR(AVERAGEIFS(Buchungen!$K$8:$K$127,Buchungen!$D$8:$D$127,$A25,Buchungen!$B$8:$B$127,$B$6,Buchungen!$N$8:$N$127,"Bestätigt")/Stammdaten!$D19,0))</f>
        <v>0.357142857142857</v>
      </c>
    </row>
    <row r="26" customFormat="false" ht="6.75" hidden="false" customHeight="true" outlineLevel="0" collapsed="false"/>
    <row r="27" customFormat="false" ht="15" hidden="false" customHeight="true" outlineLevel="0" collapsed="false">
      <c r="A27" s="33" t="s">
        <v>24</v>
      </c>
      <c r="B27" s="33"/>
      <c r="C27" s="34" t="n">
        <f aca="false">IF(C$13="","",COUNTIF(C$14:C$25,"?*"))</f>
        <v>1</v>
      </c>
      <c r="D27" s="34" t="n">
        <f aca="false">IF(D$13="","",COUNTIF(D$14:D$25,"?*"))</f>
        <v>6</v>
      </c>
      <c r="E27" s="34" t="n">
        <f aca="false">IF(E$13="","",COUNTIF(E$14:E$25,"?*"))</f>
        <v>6</v>
      </c>
      <c r="F27" s="34" t="n">
        <f aca="false">IF(F$13="","",COUNTIF(F$14:F$25,"?*"))</f>
        <v>6</v>
      </c>
      <c r="G27" s="34" t="n">
        <f aca="false">IF(G$13="","",COUNTIF(G$14:G$25,"?*"))</f>
        <v>7</v>
      </c>
      <c r="H27" s="34" t="n">
        <f aca="false">IF(H$13="","",COUNTIF(H$14:H$25,"?*"))</f>
        <v>7</v>
      </c>
      <c r="I27" s="34" t="n">
        <f aca="false">IF(I$13="","",COUNTIF(I$14:I$25,"?*"))</f>
        <v>7</v>
      </c>
      <c r="J27" s="34" t="n">
        <f aca="false">IF(J$13="","",COUNTIF(J$14:J$25,"?*"))</f>
        <v>4</v>
      </c>
      <c r="K27" s="34" t="n">
        <f aca="false">IF(K$13="","",COUNTIF(K$14:K$25,"?*"))</f>
        <v>4</v>
      </c>
      <c r="L27" s="34" t="n">
        <f aca="false">IF(L$13="","",COUNTIF(L$14:L$25,"?*"))</f>
        <v>5</v>
      </c>
      <c r="M27" s="34" t="n">
        <f aca="false">IF(M$13="","",COUNTIF(M$14:M$25,"?*"))</f>
        <v>3</v>
      </c>
      <c r="N27" s="34" t="n">
        <f aca="false">IF(N$13="","",COUNTIF(N$14:N$25,"?*"))</f>
        <v>3</v>
      </c>
      <c r="O27" s="34" t="n">
        <f aca="false">IF(O$13="","",COUNTIF(O$14:O$25,"?*"))</f>
        <v>3</v>
      </c>
      <c r="P27" s="34" t="n">
        <f aca="false">IF(P$13="","",COUNTIF(P$14:P$25,"?*"))</f>
        <v>3</v>
      </c>
      <c r="Q27" s="34" t="n">
        <f aca="false">IF(Q$13="","",COUNTIF(Q$14:Q$25,"?*"))</f>
        <v>2</v>
      </c>
      <c r="R27" s="34" t="n">
        <f aca="false">IF(R$13="","",COUNTIF(R$14:R$25,"?*"))</f>
        <v>1</v>
      </c>
      <c r="S27" s="34" t="n">
        <f aca="false">IF(S$13="","",COUNTIF(S$14:S$25,"?*"))</f>
        <v>0</v>
      </c>
      <c r="T27" s="34" t="n">
        <f aca="false">IF(T$13="","",COUNTIF(T$14:T$25,"?*"))</f>
        <v>1</v>
      </c>
      <c r="U27" s="34" t="n">
        <f aca="false">IF(U$13="","",COUNTIF(U$14:U$25,"?*"))</f>
        <v>2</v>
      </c>
      <c r="V27" s="34" t="n">
        <f aca="false">IF(V$13="","",COUNTIF(V$14:V$25,"?*"))</f>
        <v>2</v>
      </c>
      <c r="W27" s="34" t="n">
        <f aca="false">IF(W$13="","",COUNTIF(W$14:W$25,"?*"))</f>
        <v>1</v>
      </c>
      <c r="X27" s="34" t="n">
        <f aca="false">IF(X$13="","",COUNTIF(X$14:X$25,"?*"))</f>
        <v>0</v>
      </c>
      <c r="Y27" s="34" t="n">
        <f aca="false">IF(Y$13="","",COUNTIF(Y$14:Y$25,"?*"))</f>
        <v>0</v>
      </c>
      <c r="Z27" s="34" t="n">
        <f aca="false">IF(Z$13="","",COUNTIF(Z$14:Z$25,"?*"))</f>
        <v>0</v>
      </c>
      <c r="AA27" s="34" t="n">
        <f aca="false">IF(AA$13="","",COUNTIF(AA$14:AA$25,"?*"))</f>
        <v>0</v>
      </c>
      <c r="AB27" s="34" t="n">
        <f aca="false">IF(AB$13="","",COUNTIF(AB$14:AB$25,"?*"))</f>
        <v>0</v>
      </c>
      <c r="AC27" s="35" t="n">
        <f aca="false">SUM($C$27:$AB$27)</f>
        <v>74</v>
      </c>
      <c r="AD27" s="36"/>
      <c r="AE27" s="36"/>
    </row>
    <row r="28" customFormat="false" ht="15" hidden="false" customHeight="true" outlineLevel="0" collapsed="false">
      <c r="A28" s="37" t="s">
        <v>25</v>
      </c>
      <c r="B28" s="37"/>
      <c r="C28" s="38" t="n">
        <f aca="false">IF(C$13="","",$C$7-COUNTIF(C$14:C$25,"?*"))</f>
        <v>11</v>
      </c>
      <c r="D28" s="38" t="n">
        <f aca="false">IF(D$13="","",$C$7-COUNTIF(D$14:D$25,"?*"))</f>
        <v>6</v>
      </c>
      <c r="E28" s="38" t="n">
        <f aca="false">IF(E$13="","",$C$7-COUNTIF(E$14:E$25,"?*"))</f>
        <v>6</v>
      </c>
      <c r="F28" s="38" t="n">
        <f aca="false">IF(F$13="","",$C$7-COUNTIF(F$14:F$25,"?*"))</f>
        <v>6</v>
      </c>
      <c r="G28" s="38" t="n">
        <f aca="false">IF(G$13="","",$C$7-COUNTIF(G$14:G$25,"?*"))</f>
        <v>5</v>
      </c>
      <c r="H28" s="38" t="n">
        <f aca="false">IF(H$13="","",$C$7-COUNTIF(H$14:H$25,"?*"))</f>
        <v>5</v>
      </c>
      <c r="I28" s="38" t="n">
        <f aca="false">IF(I$13="","",$C$7-COUNTIF(I$14:I$25,"?*"))</f>
        <v>5</v>
      </c>
      <c r="J28" s="38" t="n">
        <f aca="false">IF(J$13="","",$C$7-COUNTIF(J$14:J$25,"?*"))</f>
        <v>8</v>
      </c>
      <c r="K28" s="38" t="n">
        <f aca="false">IF(K$13="","",$C$7-COUNTIF(K$14:K$25,"?*"))</f>
        <v>8</v>
      </c>
      <c r="L28" s="38" t="n">
        <f aca="false">IF(L$13="","",$C$7-COUNTIF(L$14:L$25,"?*"))</f>
        <v>7</v>
      </c>
      <c r="M28" s="38" t="n">
        <f aca="false">IF(M$13="","",$C$7-COUNTIF(M$14:M$25,"?*"))</f>
        <v>9</v>
      </c>
      <c r="N28" s="38" t="n">
        <f aca="false">IF(N$13="","",$C$7-COUNTIF(N$14:N$25,"?*"))</f>
        <v>9</v>
      </c>
      <c r="O28" s="38" t="n">
        <f aca="false">IF(O$13="","",$C$7-COUNTIF(O$14:O$25,"?*"))</f>
        <v>9</v>
      </c>
      <c r="P28" s="38" t="n">
        <f aca="false">IF(P$13="","",$C$7-COUNTIF(P$14:P$25,"?*"))</f>
        <v>9</v>
      </c>
      <c r="Q28" s="38" t="n">
        <f aca="false">IF(Q$13="","",$C$7-COUNTIF(Q$14:Q$25,"?*"))</f>
        <v>10</v>
      </c>
      <c r="R28" s="38" t="n">
        <f aca="false">IF(R$13="","",$C$7-COUNTIF(R$14:R$25,"?*"))</f>
        <v>11</v>
      </c>
      <c r="S28" s="38" t="n">
        <f aca="false">IF(S$13="","",$C$7-COUNTIF(S$14:S$25,"?*"))</f>
        <v>12</v>
      </c>
      <c r="T28" s="38" t="n">
        <f aca="false">IF(T$13="","",$C$7-COUNTIF(T$14:T$25,"?*"))</f>
        <v>11</v>
      </c>
      <c r="U28" s="38" t="n">
        <f aca="false">IF(U$13="","",$C$7-COUNTIF(U$14:U$25,"?*"))</f>
        <v>10</v>
      </c>
      <c r="V28" s="38" t="n">
        <f aca="false">IF(V$13="","",$C$7-COUNTIF(V$14:V$25,"?*"))</f>
        <v>10</v>
      </c>
      <c r="W28" s="38" t="n">
        <f aca="false">IF(W$13="","",$C$7-COUNTIF(W$14:W$25,"?*"))</f>
        <v>11</v>
      </c>
      <c r="X28" s="38" t="n">
        <f aca="false">IF(X$13="","",$C$7-COUNTIF(X$14:X$25,"?*"))</f>
        <v>12</v>
      </c>
      <c r="Y28" s="38" t="n">
        <f aca="false">IF(Y$13="","",$C$7-COUNTIF(Y$14:Y$25,"?*"))</f>
        <v>12</v>
      </c>
      <c r="Z28" s="38" t="n">
        <f aca="false">IF(Z$13="","",$C$7-COUNTIF(Z$14:Z$25,"?*"))</f>
        <v>12</v>
      </c>
      <c r="AA28" s="38" t="n">
        <f aca="false">IF(AA$13="","",$C$7-COUNTIF(AA$14:AA$25,"?*"))</f>
        <v>12</v>
      </c>
      <c r="AB28" s="38" t="n">
        <f aca="false">IF(AB$13="","",$C$7-COUNTIF(AB$14:AB$25,"?*"))</f>
        <v>12</v>
      </c>
      <c r="AC28" s="39"/>
      <c r="AD28" s="36"/>
      <c r="AE28" s="36"/>
    </row>
    <row r="29" customFormat="false" ht="15" hidden="false" customHeight="true" outlineLevel="0" collapsed="false">
      <c r="A29" s="37" t="s">
        <v>22</v>
      </c>
      <c r="B29" s="37"/>
      <c r="C29" s="40" t="n">
        <f aca="false">IF(C$13="","",IFERROR(C27/$C$7,0))</f>
        <v>0.0833333333333333</v>
      </c>
      <c r="D29" s="40" t="n">
        <f aca="false">IF(D$13="","",IFERROR(D27/$C$7,0))</f>
        <v>0.5</v>
      </c>
      <c r="E29" s="40" t="n">
        <f aca="false">IF(E$13="","",IFERROR(E27/$C$7,0))</f>
        <v>0.5</v>
      </c>
      <c r="F29" s="40" t="n">
        <f aca="false">IF(F$13="","",IFERROR(F27/$C$7,0))</f>
        <v>0.5</v>
      </c>
      <c r="G29" s="40" t="n">
        <f aca="false">IF(G$13="","",IFERROR(G27/$C$7,0))</f>
        <v>0.583333333333333</v>
      </c>
      <c r="H29" s="40" t="n">
        <f aca="false">IF(H$13="","",IFERROR(H27/$C$7,0))</f>
        <v>0.583333333333333</v>
      </c>
      <c r="I29" s="40" t="n">
        <f aca="false">IF(I$13="","",IFERROR(I27/$C$7,0))</f>
        <v>0.583333333333333</v>
      </c>
      <c r="J29" s="40" t="n">
        <f aca="false">IF(J$13="","",IFERROR(J27/$C$7,0))</f>
        <v>0.333333333333333</v>
      </c>
      <c r="K29" s="40" t="n">
        <f aca="false">IF(K$13="","",IFERROR(K27/$C$7,0))</f>
        <v>0.333333333333333</v>
      </c>
      <c r="L29" s="40" t="n">
        <f aca="false">IF(L$13="","",IFERROR(L27/$C$7,0))</f>
        <v>0.416666666666667</v>
      </c>
      <c r="M29" s="40" t="n">
        <f aca="false">IF(M$13="","",IFERROR(M27/$C$7,0))</f>
        <v>0.25</v>
      </c>
      <c r="N29" s="40" t="n">
        <f aca="false">IF(N$13="","",IFERROR(N27/$C$7,0))</f>
        <v>0.25</v>
      </c>
      <c r="O29" s="40" t="n">
        <f aca="false">IF(O$13="","",IFERROR(O27/$C$7,0))</f>
        <v>0.25</v>
      </c>
      <c r="P29" s="40" t="n">
        <f aca="false">IF(P$13="","",IFERROR(P27/$C$7,0))</f>
        <v>0.25</v>
      </c>
      <c r="Q29" s="40" t="n">
        <f aca="false">IF(Q$13="","",IFERROR(Q27/$C$7,0))</f>
        <v>0.166666666666667</v>
      </c>
      <c r="R29" s="40" t="n">
        <f aca="false">IF(R$13="","",IFERROR(R27/$C$7,0))</f>
        <v>0.0833333333333333</v>
      </c>
      <c r="S29" s="40" t="n">
        <f aca="false">IF(S$13="","",IFERROR(S27/$C$7,0))</f>
        <v>0</v>
      </c>
      <c r="T29" s="40" t="n">
        <f aca="false">IF(T$13="","",IFERROR(T27/$C$7,0))</f>
        <v>0.0833333333333333</v>
      </c>
      <c r="U29" s="40" t="n">
        <f aca="false">IF(U$13="","",IFERROR(U27/$C$7,0))</f>
        <v>0.166666666666667</v>
      </c>
      <c r="V29" s="40" t="n">
        <f aca="false">IF(V$13="","",IFERROR(V27/$C$7,0))</f>
        <v>0.166666666666667</v>
      </c>
      <c r="W29" s="40" t="n">
        <f aca="false">IF(W$13="","",IFERROR(W27/$C$7,0))</f>
        <v>0.0833333333333333</v>
      </c>
      <c r="X29" s="40" t="n">
        <f aca="false">IF(X$13="","",IFERROR(X27/$C$7,0))</f>
        <v>0</v>
      </c>
      <c r="Y29" s="40" t="n">
        <f aca="false">IF(Y$13="","",IFERROR(Y27/$C$7,0))</f>
        <v>0</v>
      </c>
      <c r="Z29" s="40" t="n">
        <f aca="false">IF(Z$13="","",IFERROR(Z27/$C$7,0))</f>
        <v>0</v>
      </c>
      <c r="AA29" s="40" t="n">
        <f aca="false">IF(AA$13="","",IFERROR(AA27/$C$7,0))</f>
        <v>0</v>
      </c>
      <c r="AB29" s="40" t="n">
        <f aca="false">IF(AB$13="","",IFERROR(AB27/$C$7,0))</f>
        <v>0</v>
      </c>
      <c r="AC29" s="41" t="n">
        <f aca="false">IFERROR(SUM($AC$14:$AC$25)/($C$7*$B$10*$B$9/60),0)</f>
        <v>0.237179487179487</v>
      </c>
      <c r="AD29" s="36"/>
      <c r="AE29" s="36"/>
    </row>
    <row r="31" customFormat="false" ht="19.5" hidden="false" customHeight="true" outlineLevel="0" collapsed="false">
      <c r="A31" s="42" t="str">
        <f aca="false">"WOCHENÜBERSICHT – GEBUCHTE STUNDEN JE RAUM  (KW "&amp;$B$12&amp;")"</f>
        <v>WOCHENÜBERSICHT – GEBUCHTE STUNDEN JE RAUM  (KW 30)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</row>
    <row r="32" customFormat="false" ht="6.75" hidden="false" customHeight="true" outlineLevel="0" collapsed="false"/>
    <row r="33" customFormat="false" ht="21.75" hidden="false" customHeight="true" outlineLevel="0" collapsed="false">
      <c r="A33" s="43" t="s">
        <v>19</v>
      </c>
      <c r="B33" s="43" t="s">
        <v>20</v>
      </c>
      <c r="C33" s="44" t="n">
        <f aca="false">$B$6-WEEKDAY($B$6,2)+1</f>
        <v>46223</v>
      </c>
      <c r="D33" s="44" t="n">
        <f aca="false">$B$6-WEEKDAY($B$6,2)+2</f>
        <v>46224</v>
      </c>
      <c r="E33" s="44" t="n">
        <f aca="false">$B$6-WEEKDAY($B$6,2)+3</f>
        <v>46225</v>
      </c>
      <c r="F33" s="44" t="n">
        <f aca="false">$B$6-WEEKDAY($B$6,2)+4</f>
        <v>46226</v>
      </c>
      <c r="G33" s="44" t="n">
        <f aca="false">$B$6-WEEKDAY($B$6,2)+5</f>
        <v>46227</v>
      </c>
      <c r="H33" s="44" t="n">
        <f aca="false">$B$6-WEEKDAY($B$6,2)+6</f>
        <v>46228</v>
      </c>
      <c r="I33" s="44" t="n">
        <f aca="false">$B$6-WEEKDAY($B$6,2)+7</f>
        <v>46229</v>
      </c>
      <c r="J33" s="45" t="s">
        <v>26</v>
      </c>
      <c r="K33" s="45" t="s">
        <v>27</v>
      </c>
      <c r="L33" s="45" t="s">
        <v>28</v>
      </c>
    </row>
    <row r="34" customFormat="false" ht="15.75" hidden="false" customHeight="true" outlineLevel="0" collapsed="false">
      <c r="A34" s="46" t="str">
        <f aca="false">IF($A14="","",$A14)</f>
        <v>R-01</v>
      </c>
      <c r="B34" s="47" t="str">
        <f aca="false">IF($A14="","",Stammdaten!$B8)</f>
        <v>Besprechungsraum 1</v>
      </c>
      <c r="C34" s="48" t="n">
        <f aca="false">IF($A34="","",SUMIFS(Buchungen!$I$8:$I$127,Buchungen!$D$8:$D$127,$A34,Buchungen!$B$8:$B$127,C$33,Buchungen!$N$8:$N$127,"&lt;&gt;Storniert"))</f>
        <v>1.5</v>
      </c>
      <c r="D34" s="48" t="n">
        <f aca="false">IF($A34="","",SUMIFS(Buchungen!$I$8:$I$127,Buchungen!$D$8:$D$127,$A34,Buchungen!$B$8:$B$127,D$33,Buchungen!$N$8:$N$127,"&lt;&gt;Storniert"))</f>
        <v>2.5</v>
      </c>
      <c r="E34" s="48" t="n">
        <f aca="false">IF($A34="","",SUMIFS(Buchungen!$I$8:$I$127,Buchungen!$D$8:$D$127,$A34,Buchungen!$B$8:$B$127,E$33,Buchungen!$N$8:$N$127,"&lt;&gt;Storniert"))</f>
        <v>2</v>
      </c>
      <c r="F34" s="48" t="n">
        <f aca="false">IF($A34="","",SUMIFS(Buchungen!$I$8:$I$127,Buchungen!$D$8:$D$127,$A34,Buchungen!$B$8:$B$127,F$33,Buchungen!$N$8:$N$127,"&lt;&gt;Storniert"))</f>
        <v>4</v>
      </c>
      <c r="G34" s="48" t="n">
        <f aca="false">IF($A34="","",SUMIFS(Buchungen!$I$8:$I$127,Buchungen!$D$8:$D$127,$A34,Buchungen!$B$8:$B$127,G$33,Buchungen!$N$8:$N$127,"&lt;&gt;Storniert"))</f>
        <v>6</v>
      </c>
      <c r="H34" s="48" t="n">
        <f aca="false">IF($A34="","",SUMIFS(Buchungen!$I$8:$I$127,Buchungen!$D$8:$D$127,$A34,Buchungen!$B$8:$B$127,H$33,Buchungen!$N$8:$N$127,"&lt;&gt;Storniert"))</f>
        <v>0</v>
      </c>
      <c r="I34" s="48" t="n">
        <f aca="false">IF($A34="","",SUMIFS(Buchungen!$I$8:$I$127,Buchungen!$D$8:$D$127,$A34,Buchungen!$B$8:$B$127,I$33,Buchungen!$N$8:$N$127,"&lt;&gt;Storniert"))</f>
        <v>2</v>
      </c>
      <c r="J34" s="49" t="n">
        <f aca="false">IF($A34="","",SUM($C34:$I34))</f>
        <v>18</v>
      </c>
      <c r="K34" s="27" t="n">
        <f aca="false">IF($A34="","",IFERROR($J34/(5*$B$10*$B$9/60),0))</f>
        <v>0.276923076923077</v>
      </c>
      <c r="L34" s="50" t="n">
        <f aca="false">IF($A34="","",COUNTIFS(Buchungen!$D$8:$D$127,$A34,Buchungen!$B$8:$B$127,"&gt;="&amp;$C$33,Buchungen!$B$8:$B$127,"&lt;="&amp;$I$33,Buchungen!$N$8:$N$127,"&lt;&gt;Storniert"))</f>
        <v>10</v>
      </c>
    </row>
    <row r="35" customFormat="false" ht="15.75" hidden="false" customHeight="true" outlineLevel="0" collapsed="false">
      <c r="A35" s="51" t="str">
        <f aca="false">IF($A15="","",$A15)</f>
        <v>R-02</v>
      </c>
      <c r="B35" s="52" t="str">
        <f aca="false">IF($A15="","",Stammdaten!$B9)</f>
        <v>Besprechungsraum 2</v>
      </c>
      <c r="C35" s="53" t="n">
        <f aca="false">IF($A35="","",SUMIFS(Buchungen!$I$8:$I$127,Buchungen!$D$8:$D$127,$A35,Buchungen!$B$8:$B$127,C$33,Buchungen!$N$8:$N$127,"&lt;&gt;Storniert"))</f>
        <v>6.5</v>
      </c>
      <c r="D35" s="53" t="n">
        <f aca="false">IF($A35="","",SUMIFS(Buchungen!$I$8:$I$127,Buchungen!$D$8:$D$127,$A35,Buchungen!$B$8:$B$127,D$33,Buchungen!$N$8:$N$127,"&lt;&gt;Storniert"))</f>
        <v>0</v>
      </c>
      <c r="E35" s="53" t="n">
        <f aca="false">IF($A35="","",SUMIFS(Buchungen!$I$8:$I$127,Buchungen!$D$8:$D$127,$A35,Buchungen!$B$8:$B$127,E$33,Buchungen!$N$8:$N$127,"&lt;&gt;Storniert"))</f>
        <v>3</v>
      </c>
      <c r="F35" s="53" t="n">
        <f aca="false">IF($A35="","",SUMIFS(Buchungen!$I$8:$I$127,Buchungen!$D$8:$D$127,$A35,Buchungen!$B$8:$B$127,F$33,Buchungen!$N$8:$N$127,"&lt;&gt;Storniert"))</f>
        <v>3</v>
      </c>
      <c r="G35" s="53" t="n">
        <f aca="false">IF($A35="","",SUMIFS(Buchungen!$I$8:$I$127,Buchungen!$D$8:$D$127,$A35,Buchungen!$B$8:$B$127,G$33,Buchungen!$N$8:$N$127,"&lt;&gt;Storniert"))</f>
        <v>4</v>
      </c>
      <c r="H35" s="53" t="n">
        <f aca="false">IF($A35="","",SUMIFS(Buchungen!$I$8:$I$127,Buchungen!$D$8:$D$127,$A35,Buchungen!$B$8:$B$127,H$33,Buchungen!$N$8:$N$127,"&lt;&gt;Storniert"))</f>
        <v>0</v>
      </c>
      <c r="I35" s="53" t="n">
        <f aca="false">IF($A35="","",SUMIFS(Buchungen!$I$8:$I$127,Buchungen!$D$8:$D$127,$A35,Buchungen!$B$8:$B$127,I$33,Buchungen!$N$8:$N$127,"&lt;&gt;Storniert"))</f>
        <v>0</v>
      </c>
      <c r="J35" s="54" t="n">
        <f aca="false">IF($A35="","",SUM($C35:$I35))</f>
        <v>16.5</v>
      </c>
      <c r="K35" s="32" t="n">
        <f aca="false">IF($A35="","",IFERROR($J35/(5*$B$10*$B$9/60),0))</f>
        <v>0.253846153846154</v>
      </c>
      <c r="L35" s="55" t="n">
        <f aca="false">IF($A35="","",COUNTIFS(Buchungen!$D$8:$D$127,$A35,Buchungen!$B$8:$B$127,"&gt;="&amp;$C$33,Buchungen!$B$8:$B$127,"&lt;="&amp;$I$33,Buchungen!$N$8:$N$127,"&lt;&gt;Storniert"))</f>
        <v>9</v>
      </c>
    </row>
    <row r="36" customFormat="false" ht="15.75" hidden="false" customHeight="true" outlineLevel="0" collapsed="false">
      <c r="A36" s="46" t="str">
        <f aca="false">IF($A16="","",$A16)</f>
        <v>R-03</v>
      </c>
      <c r="B36" s="47" t="str">
        <f aca="false">IF($A16="","",Stammdaten!$B10)</f>
        <v>Projektraum</v>
      </c>
      <c r="C36" s="48" t="n">
        <f aca="false">IF($A36="","",SUMIFS(Buchungen!$I$8:$I$127,Buchungen!$D$8:$D$127,$A36,Buchungen!$B$8:$B$127,C$33,Buchungen!$N$8:$N$127,"&lt;&gt;Storniert"))</f>
        <v>5.5</v>
      </c>
      <c r="D36" s="48" t="n">
        <f aca="false">IF($A36="","",SUMIFS(Buchungen!$I$8:$I$127,Buchungen!$D$8:$D$127,$A36,Buchungen!$B$8:$B$127,D$33,Buchungen!$N$8:$N$127,"&lt;&gt;Storniert"))</f>
        <v>5</v>
      </c>
      <c r="E36" s="48" t="n">
        <f aca="false">IF($A36="","",SUMIFS(Buchungen!$I$8:$I$127,Buchungen!$D$8:$D$127,$A36,Buchungen!$B$8:$B$127,E$33,Buchungen!$N$8:$N$127,"&lt;&gt;Storniert"))</f>
        <v>1</v>
      </c>
      <c r="F36" s="48" t="n">
        <f aca="false">IF($A36="","",SUMIFS(Buchungen!$I$8:$I$127,Buchungen!$D$8:$D$127,$A36,Buchungen!$B$8:$B$127,F$33,Buchungen!$N$8:$N$127,"&lt;&gt;Storniert"))</f>
        <v>1</v>
      </c>
      <c r="G36" s="48" t="n">
        <f aca="false">IF($A36="","",SUMIFS(Buchungen!$I$8:$I$127,Buchungen!$D$8:$D$127,$A36,Buchungen!$B$8:$B$127,G$33,Buchungen!$N$8:$N$127,"&lt;&gt;Storniert"))</f>
        <v>5</v>
      </c>
      <c r="H36" s="48" t="n">
        <f aca="false">IF($A36="","",SUMIFS(Buchungen!$I$8:$I$127,Buchungen!$D$8:$D$127,$A36,Buchungen!$B$8:$B$127,H$33,Buchungen!$N$8:$N$127,"&lt;&gt;Storniert"))</f>
        <v>0</v>
      </c>
      <c r="I36" s="48" t="n">
        <f aca="false">IF($A36="","",SUMIFS(Buchungen!$I$8:$I$127,Buchungen!$D$8:$D$127,$A36,Buchungen!$B$8:$B$127,I$33,Buchungen!$N$8:$N$127,"&lt;&gt;Storniert"))</f>
        <v>0</v>
      </c>
      <c r="J36" s="49" t="n">
        <f aca="false">IF($A36="","",SUM($C36:$I36))</f>
        <v>17.5</v>
      </c>
      <c r="K36" s="27" t="n">
        <f aca="false">IF($A36="","",IFERROR($J36/(5*$B$10*$B$9/60),0))</f>
        <v>0.269230769230769</v>
      </c>
      <c r="L36" s="50" t="n">
        <f aca="false">IF($A36="","",COUNTIFS(Buchungen!$D$8:$D$127,$A36,Buchungen!$B$8:$B$127,"&gt;="&amp;$C$33,Buchungen!$B$8:$B$127,"&lt;="&amp;$I$33,Buchungen!$N$8:$N$127,"&lt;&gt;Storniert"))</f>
        <v>9</v>
      </c>
    </row>
    <row r="37" customFormat="false" ht="15.75" hidden="false" customHeight="true" outlineLevel="0" collapsed="false">
      <c r="A37" s="51" t="str">
        <f aca="false">IF($A17="","",$A17)</f>
        <v>R-04</v>
      </c>
      <c r="B37" s="52" t="str">
        <f aca="false">IF($A17="","",Stammdaten!$B11)</f>
        <v>Sitzungszimmer</v>
      </c>
      <c r="C37" s="53" t="n">
        <f aca="false">IF($A37="","",SUMIFS(Buchungen!$I$8:$I$127,Buchungen!$D$8:$D$127,$A37,Buchungen!$B$8:$B$127,C$33,Buchungen!$N$8:$N$127,"&lt;&gt;Storniert"))</f>
        <v>7</v>
      </c>
      <c r="D37" s="53" t="n">
        <f aca="false">IF($A37="","",SUMIFS(Buchungen!$I$8:$I$127,Buchungen!$D$8:$D$127,$A37,Buchungen!$B$8:$B$127,D$33,Buchungen!$N$8:$N$127,"&lt;&gt;Storniert"))</f>
        <v>3.5</v>
      </c>
      <c r="E37" s="53" t="n">
        <f aca="false">IF($A37="","",SUMIFS(Buchungen!$I$8:$I$127,Buchungen!$D$8:$D$127,$A37,Buchungen!$B$8:$B$127,E$33,Buchungen!$N$8:$N$127,"&lt;&gt;Storniert"))</f>
        <v>2</v>
      </c>
      <c r="F37" s="53" t="n">
        <f aca="false">IF($A37="","",SUMIFS(Buchungen!$I$8:$I$127,Buchungen!$D$8:$D$127,$A37,Buchungen!$B$8:$B$127,F$33,Buchungen!$N$8:$N$127,"&lt;&gt;Storniert"))</f>
        <v>4.5</v>
      </c>
      <c r="G37" s="53" t="n">
        <f aca="false">IF($A37="","",SUMIFS(Buchungen!$I$8:$I$127,Buchungen!$D$8:$D$127,$A37,Buchungen!$B$8:$B$127,G$33,Buchungen!$N$8:$N$127,"&lt;&gt;Storniert"))</f>
        <v>1.5</v>
      </c>
      <c r="H37" s="53" t="n">
        <f aca="false">IF($A37="","",SUMIFS(Buchungen!$I$8:$I$127,Buchungen!$D$8:$D$127,$A37,Buchungen!$B$8:$B$127,H$33,Buchungen!$N$8:$N$127,"&lt;&gt;Storniert"))</f>
        <v>0</v>
      </c>
      <c r="I37" s="53" t="n">
        <f aca="false">IF($A37="","",SUMIFS(Buchungen!$I$8:$I$127,Buchungen!$D$8:$D$127,$A37,Buchungen!$B$8:$B$127,I$33,Buchungen!$N$8:$N$127,"&lt;&gt;Storniert"))</f>
        <v>1.5</v>
      </c>
      <c r="J37" s="54" t="n">
        <f aca="false">IF($A37="","",SUM($C37:$I37))</f>
        <v>20</v>
      </c>
      <c r="K37" s="32" t="n">
        <f aca="false">IF($A37="","",IFERROR($J37/(5*$B$10*$B$9/60),0))</f>
        <v>0.307692307692308</v>
      </c>
      <c r="L37" s="55" t="n">
        <f aca="false">IF($A37="","",COUNTIFS(Buchungen!$D$8:$D$127,$A37,Buchungen!$B$8:$B$127,"&gt;="&amp;$C$33,Buchungen!$B$8:$B$127,"&lt;="&amp;$I$33,Buchungen!$N$8:$N$127,"&lt;&gt;Storniert"))</f>
        <v>10</v>
      </c>
    </row>
    <row r="38" customFormat="false" ht="15.75" hidden="false" customHeight="true" outlineLevel="0" collapsed="false">
      <c r="A38" s="46" t="str">
        <f aca="false">IF($A18="","",$A18)</f>
        <v>R-05</v>
      </c>
      <c r="B38" s="47" t="str">
        <f aca="false">IF($A18="","",Stammdaten!$B12)</f>
        <v>Konferenzraum</v>
      </c>
      <c r="C38" s="48" t="n">
        <f aca="false">IF($A38="","",SUMIFS(Buchungen!$I$8:$I$127,Buchungen!$D$8:$D$127,$A38,Buchungen!$B$8:$B$127,C$33,Buchungen!$N$8:$N$127,"&lt;&gt;Storniert"))</f>
        <v>3</v>
      </c>
      <c r="D38" s="48" t="n">
        <f aca="false">IF($A38="","",SUMIFS(Buchungen!$I$8:$I$127,Buchungen!$D$8:$D$127,$A38,Buchungen!$B$8:$B$127,D$33,Buchungen!$N$8:$N$127,"&lt;&gt;Storniert"))</f>
        <v>3</v>
      </c>
      <c r="E38" s="48" t="n">
        <f aca="false">IF($A38="","",SUMIFS(Buchungen!$I$8:$I$127,Buchungen!$D$8:$D$127,$A38,Buchungen!$B$8:$B$127,E$33,Buchungen!$N$8:$N$127,"&lt;&gt;Storniert"))</f>
        <v>5.5</v>
      </c>
      <c r="F38" s="48" t="n">
        <f aca="false">IF($A38="","",SUMIFS(Buchungen!$I$8:$I$127,Buchungen!$D$8:$D$127,$A38,Buchungen!$B$8:$B$127,F$33,Buchungen!$N$8:$N$127,"&lt;&gt;Storniert"))</f>
        <v>1.5</v>
      </c>
      <c r="G38" s="48" t="n">
        <f aca="false">IF($A38="","",SUMIFS(Buchungen!$I$8:$I$127,Buchungen!$D$8:$D$127,$A38,Buchungen!$B$8:$B$127,G$33,Buchungen!$N$8:$N$127,"&lt;&gt;Storniert"))</f>
        <v>1</v>
      </c>
      <c r="H38" s="48" t="n">
        <f aca="false">IF($A38="","",SUMIFS(Buchungen!$I$8:$I$127,Buchungen!$D$8:$D$127,$A38,Buchungen!$B$8:$B$127,H$33,Buchungen!$N$8:$N$127,"&lt;&gt;Storniert"))</f>
        <v>2</v>
      </c>
      <c r="I38" s="48" t="n">
        <f aca="false">IF($A38="","",SUMIFS(Buchungen!$I$8:$I$127,Buchungen!$D$8:$D$127,$A38,Buchungen!$B$8:$B$127,I$33,Buchungen!$N$8:$N$127,"&lt;&gt;Storniert"))</f>
        <v>1</v>
      </c>
      <c r="J38" s="49" t="n">
        <f aca="false">IF($A38="","",SUM($C38:$I38))</f>
        <v>17</v>
      </c>
      <c r="K38" s="27" t="n">
        <f aca="false">IF($A38="","",IFERROR($J38/(5*$B$10*$B$9/60),0))</f>
        <v>0.261538461538462</v>
      </c>
      <c r="L38" s="50" t="n">
        <f aca="false">IF($A38="","",COUNTIFS(Buchungen!$D$8:$D$127,$A38,Buchungen!$B$8:$B$127,"&gt;="&amp;$C$33,Buchungen!$B$8:$B$127,"&lt;="&amp;$I$33,Buchungen!$N$8:$N$127,"&lt;&gt;Storniert"))</f>
        <v>11</v>
      </c>
    </row>
    <row r="39" customFormat="false" ht="15.75" hidden="false" customHeight="true" outlineLevel="0" collapsed="false">
      <c r="A39" s="51" t="str">
        <f aca="false">IF($A19="","",$A19)</f>
        <v>R-06</v>
      </c>
      <c r="B39" s="52" t="str">
        <f aca="false">IF($A19="","",Stammdaten!$B13)</f>
        <v>Seminarraum A</v>
      </c>
      <c r="C39" s="53" t="n">
        <f aca="false">IF($A39="","",SUMIFS(Buchungen!$I$8:$I$127,Buchungen!$D$8:$D$127,$A39,Buchungen!$B$8:$B$127,C$33,Buchungen!$N$8:$N$127,"&lt;&gt;Storniert"))</f>
        <v>4</v>
      </c>
      <c r="D39" s="53" t="n">
        <f aca="false">IF($A39="","",SUMIFS(Buchungen!$I$8:$I$127,Buchungen!$D$8:$D$127,$A39,Buchungen!$B$8:$B$127,D$33,Buchungen!$N$8:$N$127,"&lt;&gt;Storniert"))</f>
        <v>4</v>
      </c>
      <c r="E39" s="53" t="n">
        <f aca="false">IF($A39="","",SUMIFS(Buchungen!$I$8:$I$127,Buchungen!$D$8:$D$127,$A39,Buchungen!$B$8:$B$127,E$33,Buchungen!$N$8:$N$127,"&lt;&gt;Storniert"))</f>
        <v>3</v>
      </c>
      <c r="F39" s="53" t="n">
        <f aca="false">IF($A39="","",SUMIFS(Buchungen!$I$8:$I$127,Buchungen!$D$8:$D$127,$A39,Buchungen!$B$8:$B$127,F$33,Buchungen!$N$8:$N$127,"&lt;&gt;Storniert"))</f>
        <v>3.5</v>
      </c>
      <c r="G39" s="53" t="n">
        <f aca="false">IF($A39="","",SUMIFS(Buchungen!$I$8:$I$127,Buchungen!$D$8:$D$127,$A39,Buchungen!$B$8:$B$127,G$33,Buchungen!$N$8:$N$127,"&lt;&gt;Storniert"))</f>
        <v>2</v>
      </c>
      <c r="H39" s="53" t="n">
        <f aca="false">IF($A39="","",SUMIFS(Buchungen!$I$8:$I$127,Buchungen!$D$8:$D$127,$A39,Buchungen!$B$8:$B$127,H$33,Buchungen!$N$8:$N$127,"&lt;&gt;Storniert"))</f>
        <v>0</v>
      </c>
      <c r="I39" s="53" t="n">
        <f aca="false">IF($A39="","",SUMIFS(Buchungen!$I$8:$I$127,Buchungen!$D$8:$D$127,$A39,Buchungen!$B$8:$B$127,I$33,Buchungen!$N$8:$N$127,"&lt;&gt;Storniert"))</f>
        <v>0</v>
      </c>
      <c r="J39" s="54" t="n">
        <f aca="false">IF($A39="","",SUM($C39:$I39))</f>
        <v>16.5</v>
      </c>
      <c r="K39" s="32" t="n">
        <f aca="false">IF($A39="","",IFERROR($J39/(5*$B$10*$B$9/60),0))</f>
        <v>0.253846153846154</v>
      </c>
      <c r="L39" s="55" t="n">
        <f aca="false">IF($A39="","",COUNTIFS(Buchungen!$D$8:$D$127,$A39,Buchungen!$B$8:$B$127,"&gt;="&amp;$C$33,Buchungen!$B$8:$B$127,"&lt;="&amp;$I$33,Buchungen!$N$8:$N$127,"&lt;&gt;Storniert"))</f>
        <v>9</v>
      </c>
    </row>
    <row r="40" customFormat="false" ht="15.75" hidden="false" customHeight="true" outlineLevel="0" collapsed="false">
      <c r="A40" s="46" t="str">
        <f aca="false">IF($A20="","",$A20)</f>
        <v>R-07</v>
      </c>
      <c r="B40" s="47" t="str">
        <f aca="false">IF($A20="","",Stammdaten!$B14)</f>
        <v>Seminarraum B</v>
      </c>
      <c r="C40" s="48" t="n">
        <f aca="false">IF($A40="","",SUMIFS(Buchungen!$I$8:$I$127,Buchungen!$D$8:$D$127,$A40,Buchungen!$B$8:$B$127,C$33,Buchungen!$N$8:$N$127,"&lt;&gt;Storniert"))</f>
        <v>2</v>
      </c>
      <c r="D40" s="48" t="n">
        <f aca="false">IF($A40="","",SUMIFS(Buchungen!$I$8:$I$127,Buchungen!$D$8:$D$127,$A40,Buchungen!$B$8:$B$127,D$33,Buchungen!$N$8:$N$127,"&lt;&gt;Storniert"))</f>
        <v>3</v>
      </c>
      <c r="E40" s="48" t="n">
        <f aca="false">IF($A40="","",SUMIFS(Buchungen!$I$8:$I$127,Buchungen!$D$8:$D$127,$A40,Buchungen!$B$8:$B$127,E$33,Buchungen!$N$8:$N$127,"&lt;&gt;Storniert"))</f>
        <v>1.5</v>
      </c>
      <c r="F40" s="48" t="n">
        <f aca="false">IF($A40="","",SUMIFS(Buchungen!$I$8:$I$127,Buchungen!$D$8:$D$127,$A40,Buchungen!$B$8:$B$127,F$33,Buchungen!$N$8:$N$127,"&lt;&gt;Storniert"))</f>
        <v>5.5</v>
      </c>
      <c r="G40" s="48" t="n">
        <f aca="false">IF($A40="","",SUMIFS(Buchungen!$I$8:$I$127,Buchungen!$D$8:$D$127,$A40,Buchungen!$B$8:$B$127,G$33,Buchungen!$N$8:$N$127,"&lt;&gt;Storniert"))</f>
        <v>3</v>
      </c>
      <c r="H40" s="48" t="n">
        <f aca="false">IF($A40="","",SUMIFS(Buchungen!$I$8:$I$127,Buchungen!$D$8:$D$127,$A40,Buchungen!$B$8:$B$127,H$33,Buchungen!$N$8:$N$127,"&lt;&gt;Storniert"))</f>
        <v>2</v>
      </c>
      <c r="I40" s="48" t="n">
        <f aca="false">IF($A40="","",SUMIFS(Buchungen!$I$8:$I$127,Buchungen!$D$8:$D$127,$A40,Buchungen!$B$8:$B$127,I$33,Buchungen!$N$8:$N$127,"&lt;&gt;Storniert"))</f>
        <v>0</v>
      </c>
      <c r="J40" s="49" t="n">
        <f aca="false">IF($A40="","",SUM($C40:$I40))</f>
        <v>17</v>
      </c>
      <c r="K40" s="27" t="n">
        <f aca="false">IF($A40="","",IFERROR($J40/(5*$B$10*$B$9/60),0))</f>
        <v>0.261538461538462</v>
      </c>
      <c r="L40" s="50" t="n">
        <f aca="false">IF($A40="","",COUNTIFS(Buchungen!$D$8:$D$127,$A40,Buchungen!$B$8:$B$127,"&gt;="&amp;$C$33,Buchungen!$B$8:$B$127,"&lt;="&amp;$I$33,Buchungen!$N$8:$N$127,"&lt;&gt;Storniert"))</f>
        <v>10</v>
      </c>
    </row>
    <row r="41" customFormat="false" ht="15.75" hidden="false" customHeight="true" outlineLevel="0" collapsed="false">
      <c r="A41" s="51" t="str">
        <f aca="false">IF($A21="","",$A21)</f>
        <v>R-08</v>
      </c>
      <c r="B41" s="52" t="str">
        <f aca="false">IF($A21="","",Stammdaten!$B15)</f>
        <v>Schulungsraum</v>
      </c>
      <c r="C41" s="53" t="n">
        <f aca="false">IF($A41="","",SUMIFS(Buchungen!$I$8:$I$127,Buchungen!$D$8:$D$127,$A41,Buchungen!$B$8:$B$127,C$33,Buchungen!$N$8:$N$127,"&lt;&gt;Storniert"))</f>
        <v>4.5</v>
      </c>
      <c r="D41" s="53" t="n">
        <f aca="false">IF($A41="","",SUMIFS(Buchungen!$I$8:$I$127,Buchungen!$D$8:$D$127,$A41,Buchungen!$B$8:$B$127,D$33,Buchungen!$N$8:$N$127,"&lt;&gt;Storniert"))</f>
        <v>1.5</v>
      </c>
      <c r="E41" s="53" t="n">
        <f aca="false">IF($A41="","",SUMIFS(Buchungen!$I$8:$I$127,Buchungen!$D$8:$D$127,$A41,Buchungen!$B$8:$B$127,E$33,Buchungen!$N$8:$N$127,"&lt;&gt;Storniert"))</f>
        <v>3.5</v>
      </c>
      <c r="F41" s="53" t="n">
        <f aca="false">IF($A41="","",SUMIFS(Buchungen!$I$8:$I$127,Buchungen!$D$8:$D$127,$A41,Buchungen!$B$8:$B$127,F$33,Buchungen!$N$8:$N$127,"&lt;&gt;Storniert"))</f>
        <v>1</v>
      </c>
      <c r="G41" s="53" t="n">
        <f aca="false">IF($A41="","",SUMIFS(Buchungen!$I$8:$I$127,Buchungen!$D$8:$D$127,$A41,Buchungen!$B$8:$B$127,G$33,Buchungen!$N$8:$N$127,"&lt;&gt;Storniert"))</f>
        <v>3</v>
      </c>
      <c r="H41" s="53" t="n">
        <f aca="false">IF($A41="","",SUMIFS(Buchungen!$I$8:$I$127,Buchungen!$D$8:$D$127,$A41,Buchungen!$B$8:$B$127,H$33,Buchungen!$N$8:$N$127,"&lt;&gt;Storniert"))</f>
        <v>0</v>
      </c>
      <c r="I41" s="53" t="n">
        <f aca="false">IF($A41="","",SUMIFS(Buchungen!$I$8:$I$127,Buchungen!$D$8:$D$127,$A41,Buchungen!$B$8:$B$127,I$33,Buchungen!$N$8:$N$127,"&lt;&gt;Storniert"))</f>
        <v>0</v>
      </c>
      <c r="J41" s="54" t="n">
        <f aca="false">IF($A41="","",SUM($C41:$I41))</f>
        <v>13.5</v>
      </c>
      <c r="K41" s="32" t="n">
        <f aca="false">IF($A41="","",IFERROR($J41/(5*$B$10*$B$9/60),0))</f>
        <v>0.207692307692308</v>
      </c>
      <c r="L41" s="55" t="n">
        <f aca="false">IF($A41="","",COUNTIFS(Buchungen!$D$8:$D$127,$A41,Buchungen!$B$8:$B$127,"&gt;="&amp;$C$33,Buchungen!$B$8:$B$127,"&lt;="&amp;$I$33,Buchungen!$N$8:$N$127,"&lt;&gt;Storniert"))</f>
        <v>8</v>
      </c>
    </row>
    <row r="42" customFormat="false" ht="15.75" hidden="false" customHeight="true" outlineLevel="0" collapsed="false">
      <c r="A42" s="46" t="str">
        <f aca="false">IF($A22="","",$A22)</f>
        <v>R-09</v>
      </c>
      <c r="B42" s="47" t="str">
        <f aca="false">IF($A22="","",Stammdaten!$B16)</f>
        <v>Videokonferenzraum</v>
      </c>
      <c r="C42" s="48" t="n">
        <f aca="false">IF($A42="","",SUMIFS(Buchungen!$I$8:$I$127,Buchungen!$D$8:$D$127,$A42,Buchungen!$B$8:$B$127,C$33,Buchungen!$N$8:$N$127,"&lt;&gt;Storniert"))</f>
        <v>6.5</v>
      </c>
      <c r="D42" s="48" t="n">
        <f aca="false">IF($A42="","",SUMIFS(Buchungen!$I$8:$I$127,Buchungen!$D$8:$D$127,$A42,Buchungen!$B$8:$B$127,D$33,Buchungen!$N$8:$N$127,"&lt;&gt;Storniert"))</f>
        <v>4</v>
      </c>
      <c r="E42" s="48" t="n">
        <f aca="false">IF($A42="","",SUMIFS(Buchungen!$I$8:$I$127,Buchungen!$D$8:$D$127,$A42,Buchungen!$B$8:$B$127,E$33,Buchungen!$N$8:$N$127,"&lt;&gt;Storniert"))</f>
        <v>4</v>
      </c>
      <c r="F42" s="48" t="n">
        <f aca="false">IF($A42="","",SUMIFS(Buchungen!$I$8:$I$127,Buchungen!$D$8:$D$127,$A42,Buchungen!$B$8:$B$127,F$33,Buchungen!$N$8:$N$127,"&lt;&gt;Storniert"))</f>
        <v>3</v>
      </c>
      <c r="G42" s="48" t="n">
        <f aca="false">IF($A42="","",SUMIFS(Buchungen!$I$8:$I$127,Buchungen!$D$8:$D$127,$A42,Buchungen!$B$8:$B$127,G$33,Buchungen!$N$8:$N$127,"&lt;&gt;Storniert"))</f>
        <v>3</v>
      </c>
      <c r="H42" s="48" t="n">
        <f aca="false">IF($A42="","",SUMIFS(Buchungen!$I$8:$I$127,Buchungen!$D$8:$D$127,$A42,Buchungen!$B$8:$B$127,H$33,Buchungen!$N$8:$N$127,"&lt;&gt;Storniert"))</f>
        <v>0</v>
      </c>
      <c r="I42" s="48" t="n">
        <f aca="false">IF($A42="","",SUMIFS(Buchungen!$I$8:$I$127,Buchungen!$D$8:$D$127,$A42,Buchungen!$B$8:$B$127,I$33,Buchungen!$N$8:$N$127,"&lt;&gt;Storniert"))</f>
        <v>0</v>
      </c>
      <c r="J42" s="49" t="n">
        <f aca="false">IF($A42="","",SUM($C42:$I42))</f>
        <v>20.5</v>
      </c>
      <c r="K42" s="27" t="n">
        <f aca="false">IF($A42="","",IFERROR($J42/(5*$B$10*$B$9/60),0))</f>
        <v>0.315384615384615</v>
      </c>
      <c r="L42" s="50" t="n">
        <f aca="false">IF($A42="","",COUNTIFS(Buchungen!$D$8:$D$127,$A42,Buchungen!$B$8:$B$127,"&gt;="&amp;$C$33,Buchungen!$B$8:$B$127,"&lt;="&amp;$I$33,Buchungen!$N$8:$N$127,"&lt;&gt;Storniert"))</f>
        <v>12</v>
      </c>
    </row>
    <row r="43" customFormat="false" ht="15.75" hidden="false" customHeight="true" outlineLevel="0" collapsed="false">
      <c r="A43" s="51" t="str">
        <f aca="false">IF($A23="","",$A23)</f>
        <v>R-10</v>
      </c>
      <c r="B43" s="52" t="str">
        <f aca="false">IF($A23="","",Stammdaten!$B17)</f>
        <v>Kreativraum</v>
      </c>
      <c r="C43" s="53" t="n">
        <f aca="false">IF($A43="","",SUMIFS(Buchungen!$I$8:$I$127,Buchungen!$D$8:$D$127,$A43,Buchungen!$B$8:$B$127,C$33,Buchungen!$N$8:$N$127,"&lt;&gt;Storniert"))</f>
        <v>3</v>
      </c>
      <c r="D43" s="53" t="n">
        <f aca="false">IF($A43="","",SUMIFS(Buchungen!$I$8:$I$127,Buchungen!$D$8:$D$127,$A43,Buchungen!$B$8:$B$127,D$33,Buchungen!$N$8:$N$127,"&lt;&gt;Storniert"))</f>
        <v>2</v>
      </c>
      <c r="E43" s="53" t="n">
        <f aca="false">IF($A43="","",SUMIFS(Buchungen!$I$8:$I$127,Buchungen!$D$8:$D$127,$A43,Buchungen!$B$8:$B$127,E$33,Buchungen!$N$8:$N$127,"&lt;&gt;Storniert"))</f>
        <v>2</v>
      </c>
      <c r="F43" s="53" t="n">
        <f aca="false">IF($A43="","",SUMIFS(Buchungen!$I$8:$I$127,Buchungen!$D$8:$D$127,$A43,Buchungen!$B$8:$B$127,F$33,Buchungen!$N$8:$N$127,"&lt;&gt;Storniert"))</f>
        <v>5.5</v>
      </c>
      <c r="G43" s="53" t="n">
        <f aca="false">IF($A43="","",SUMIFS(Buchungen!$I$8:$I$127,Buchungen!$D$8:$D$127,$A43,Buchungen!$B$8:$B$127,G$33,Buchungen!$N$8:$N$127,"&lt;&gt;Storniert"))</f>
        <v>1.5</v>
      </c>
      <c r="H43" s="53" t="n">
        <f aca="false">IF($A43="","",SUMIFS(Buchungen!$I$8:$I$127,Buchungen!$D$8:$D$127,$A43,Buchungen!$B$8:$B$127,H$33,Buchungen!$N$8:$N$127,"&lt;&gt;Storniert"))</f>
        <v>0</v>
      </c>
      <c r="I43" s="53" t="n">
        <f aca="false">IF($A43="","",SUMIFS(Buchungen!$I$8:$I$127,Buchungen!$D$8:$D$127,$A43,Buchungen!$B$8:$B$127,I$33,Buchungen!$N$8:$N$127,"&lt;&gt;Storniert"))</f>
        <v>0</v>
      </c>
      <c r="J43" s="54" t="n">
        <f aca="false">IF($A43="","",SUM($C43:$I43))</f>
        <v>14</v>
      </c>
      <c r="K43" s="32" t="n">
        <f aca="false">IF($A43="","",IFERROR($J43/(5*$B$10*$B$9/60),0))</f>
        <v>0.215384615384615</v>
      </c>
      <c r="L43" s="55" t="n">
        <f aca="false">IF($A43="","",COUNTIFS(Buchungen!$D$8:$D$127,$A43,Buchungen!$B$8:$B$127,"&gt;="&amp;$C$33,Buchungen!$B$8:$B$127,"&lt;="&amp;$I$33,Buchungen!$N$8:$N$127,"&lt;&gt;Storniert"))</f>
        <v>9</v>
      </c>
    </row>
    <row r="44" customFormat="false" ht="15.75" hidden="false" customHeight="true" outlineLevel="0" collapsed="false">
      <c r="A44" s="46" t="str">
        <f aca="false">IF($A24="","",$A24)</f>
        <v>R-11</v>
      </c>
      <c r="B44" s="47" t="str">
        <f aca="false">IF($A24="","",Stammdaten!$B18)</f>
        <v>Mehrzweckraum</v>
      </c>
      <c r="C44" s="48" t="n">
        <f aca="false">IF($A44="","",SUMIFS(Buchungen!$I$8:$I$127,Buchungen!$D$8:$D$127,$A44,Buchungen!$B$8:$B$127,C$33,Buchungen!$N$8:$N$127,"&lt;&gt;Storniert"))</f>
        <v>2.5</v>
      </c>
      <c r="D44" s="48" t="n">
        <f aca="false">IF($A44="","",SUMIFS(Buchungen!$I$8:$I$127,Buchungen!$D$8:$D$127,$A44,Buchungen!$B$8:$B$127,D$33,Buchungen!$N$8:$N$127,"&lt;&gt;Storniert"))</f>
        <v>5</v>
      </c>
      <c r="E44" s="48" t="n">
        <f aca="false">IF($A44="","",SUMIFS(Buchungen!$I$8:$I$127,Buchungen!$D$8:$D$127,$A44,Buchungen!$B$8:$B$127,E$33,Buchungen!$N$8:$N$127,"&lt;&gt;Storniert"))</f>
        <v>2.5</v>
      </c>
      <c r="F44" s="48" t="n">
        <f aca="false">IF($A44="","",SUMIFS(Buchungen!$I$8:$I$127,Buchungen!$D$8:$D$127,$A44,Buchungen!$B$8:$B$127,F$33,Buchungen!$N$8:$N$127,"&lt;&gt;Storniert"))</f>
        <v>3</v>
      </c>
      <c r="G44" s="48" t="n">
        <f aca="false">IF($A44="","",SUMIFS(Buchungen!$I$8:$I$127,Buchungen!$D$8:$D$127,$A44,Buchungen!$B$8:$B$127,G$33,Buchungen!$N$8:$N$127,"&lt;&gt;Storniert"))</f>
        <v>5.5</v>
      </c>
      <c r="H44" s="48" t="n">
        <f aca="false">IF($A44="","",SUMIFS(Buchungen!$I$8:$I$127,Buchungen!$D$8:$D$127,$A44,Buchungen!$B$8:$B$127,H$33,Buchungen!$N$8:$N$127,"&lt;&gt;Storniert"))</f>
        <v>0</v>
      </c>
      <c r="I44" s="48" t="n">
        <f aca="false">IF($A44="","",SUMIFS(Buchungen!$I$8:$I$127,Buchungen!$D$8:$D$127,$A44,Buchungen!$B$8:$B$127,I$33,Buchungen!$N$8:$N$127,"&lt;&gt;Storniert"))</f>
        <v>2</v>
      </c>
      <c r="J44" s="49" t="n">
        <f aca="false">IF($A44="","",SUM($C44:$I44))</f>
        <v>20.5</v>
      </c>
      <c r="K44" s="27" t="n">
        <f aca="false">IF($A44="","",IFERROR($J44/(5*$B$10*$B$9/60),0))</f>
        <v>0.315384615384615</v>
      </c>
      <c r="L44" s="50" t="n">
        <f aca="false">IF($A44="","",COUNTIFS(Buchungen!$D$8:$D$127,$A44,Buchungen!$B$8:$B$127,"&gt;="&amp;$C$33,Buchungen!$B$8:$B$127,"&lt;="&amp;$I$33,Buchungen!$N$8:$N$127,"&lt;&gt;Storniert"))</f>
        <v>12</v>
      </c>
    </row>
    <row r="45" customFormat="false" ht="15.75" hidden="false" customHeight="true" outlineLevel="0" collapsed="false">
      <c r="A45" s="51" t="str">
        <f aca="false">IF($A25="","",$A25)</f>
        <v>R-12</v>
      </c>
      <c r="B45" s="52" t="str">
        <f aca="false">IF($A25="","",Stammdaten!$B19)</f>
        <v>Werkraum</v>
      </c>
      <c r="C45" s="53" t="n">
        <f aca="false">IF($A45="","",SUMIFS(Buchungen!$I$8:$I$127,Buchungen!$D$8:$D$127,$A45,Buchungen!$B$8:$B$127,C$33,Buchungen!$N$8:$N$127,"&lt;&gt;Storniert"))</f>
        <v>2.5</v>
      </c>
      <c r="D45" s="53" t="n">
        <f aca="false">IF($A45="","",SUMIFS(Buchungen!$I$8:$I$127,Buchungen!$D$8:$D$127,$A45,Buchungen!$B$8:$B$127,D$33,Buchungen!$N$8:$N$127,"&lt;&gt;Storniert"))</f>
        <v>2.5</v>
      </c>
      <c r="E45" s="53" t="n">
        <f aca="false">IF($A45="","",SUMIFS(Buchungen!$I$8:$I$127,Buchungen!$D$8:$D$127,$A45,Buchungen!$B$8:$B$127,E$33,Buchungen!$N$8:$N$127,"&lt;&gt;Storniert"))</f>
        <v>1</v>
      </c>
      <c r="F45" s="53" t="n">
        <f aca="false">IF($A45="","",SUMIFS(Buchungen!$I$8:$I$127,Buchungen!$D$8:$D$127,$A45,Buchungen!$B$8:$B$127,F$33,Buchungen!$N$8:$N$127,"&lt;&gt;Storniert"))</f>
        <v>1.5</v>
      </c>
      <c r="G45" s="53" t="n">
        <f aca="false">IF($A45="","",SUMIFS(Buchungen!$I$8:$I$127,Buchungen!$D$8:$D$127,$A45,Buchungen!$B$8:$B$127,G$33,Buchungen!$N$8:$N$127,"&lt;&gt;Storniert"))</f>
        <v>4</v>
      </c>
      <c r="H45" s="53" t="n">
        <f aca="false">IF($A45="","",SUMIFS(Buchungen!$I$8:$I$127,Buchungen!$D$8:$D$127,$A45,Buchungen!$B$8:$B$127,H$33,Buchungen!$N$8:$N$127,"&lt;&gt;Storniert"))</f>
        <v>0</v>
      </c>
      <c r="I45" s="53" t="n">
        <f aca="false">IF($A45="","",SUMIFS(Buchungen!$I$8:$I$127,Buchungen!$D$8:$D$127,$A45,Buchungen!$B$8:$B$127,I$33,Buchungen!$N$8:$N$127,"&lt;&gt;Storniert"))</f>
        <v>0</v>
      </c>
      <c r="J45" s="54" t="n">
        <f aca="false">IF($A45="","",SUM($C45:$I45))</f>
        <v>11.5</v>
      </c>
      <c r="K45" s="32" t="n">
        <f aca="false">IF($A45="","",IFERROR($J45/(5*$B$10*$B$9/60),0))</f>
        <v>0.176923076923077</v>
      </c>
      <c r="L45" s="55" t="n">
        <f aca="false">IF($A45="","",COUNTIFS(Buchungen!$D$8:$D$127,$A45,Buchungen!$B$8:$B$127,"&gt;="&amp;$C$33,Buchungen!$B$8:$B$127,"&lt;="&amp;$I$33,Buchungen!$N$8:$N$127,"&lt;&gt;Storniert"))</f>
        <v>8</v>
      </c>
    </row>
    <row r="46" customFormat="false" ht="18" hidden="false" customHeight="true" outlineLevel="0" collapsed="false">
      <c r="A46" s="56" t="s">
        <v>29</v>
      </c>
      <c r="B46" s="56"/>
      <c r="C46" s="57" t="n">
        <f aca="false">SUM(C34:C45)</f>
        <v>48.5</v>
      </c>
      <c r="D46" s="57" t="n">
        <f aca="false">SUM(D34:D45)</f>
        <v>36</v>
      </c>
      <c r="E46" s="57" t="n">
        <f aca="false">SUM(E34:E45)</f>
        <v>31</v>
      </c>
      <c r="F46" s="57" t="n">
        <f aca="false">SUM(F34:F45)</f>
        <v>37</v>
      </c>
      <c r="G46" s="57" t="n">
        <f aca="false">SUM(G34:G45)</f>
        <v>39.5</v>
      </c>
      <c r="H46" s="57" t="n">
        <f aca="false">SUM(H34:H45)</f>
        <v>4</v>
      </c>
      <c r="I46" s="57" t="n">
        <f aca="false">SUM(I34:I45)</f>
        <v>6.5</v>
      </c>
      <c r="J46" s="58" t="n">
        <f aca="false">SUM($J$34:$J$45)</f>
        <v>202.5</v>
      </c>
      <c r="K46" s="59" t="n">
        <f aca="false">IFERROR($J$46/(5*$C$7*$B$10*$B$9/60),0)</f>
        <v>0.259615384615385</v>
      </c>
      <c r="L46" s="60" t="n">
        <f aca="false">SUM($L$34:$L$45)</f>
        <v>117</v>
      </c>
    </row>
  </sheetData>
  <mergeCells count="26">
    <mergeCell ref="A2:N2"/>
    <mergeCell ref="V2:AE3"/>
    <mergeCell ref="A3:N3"/>
    <mergeCell ref="A5:B5"/>
    <mergeCell ref="C6:F6"/>
    <mergeCell ref="G6:J6"/>
    <mergeCell ref="K6:N6"/>
    <mergeCell ref="O6:R6"/>
    <mergeCell ref="S6:V6"/>
    <mergeCell ref="W6:Z6"/>
    <mergeCell ref="AA6:AC6"/>
    <mergeCell ref="AD6:AE6"/>
    <mergeCell ref="C7:F7"/>
    <mergeCell ref="G7:J7"/>
    <mergeCell ref="K7:N7"/>
    <mergeCell ref="O7:R7"/>
    <mergeCell ref="S7:V7"/>
    <mergeCell ref="W7:Z7"/>
    <mergeCell ref="AA7:AC7"/>
    <mergeCell ref="AD7:AE7"/>
    <mergeCell ref="C8:AE12"/>
    <mergeCell ref="A27:B27"/>
    <mergeCell ref="A28:B28"/>
    <mergeCell ref="A29:B29"/>
    <mergeCell ref="A31:L31"/>
    <mergeCell ref="A46:B46"/>
  </mergeCells>
  <conditionalFormatting sqref="C14:AB25">
    <cfRule type="cellIs" priority="2" operator="equal" aboveAverage="0" equalAverage="0" bottom="0" percent="0" rank="0" text="" dxfId="0">
      <formula>"!"</formula>
    </cfRule>
    <cfRule type="cellIs" priority="3" operator="equal" aboveAverage="0" equalAverage="0" bottom="0" percent="0" rank="0" text="" dxfId="1">
      <formula>"WTG"</formula>
    </cfRule>
    <cfRule type="expression" priority="4" aboveAverage="0" equalAverage="0" bottom="0" percent="0" rank="0" text="" dxfId="2">
      <formula>RIGHT(C14,1)="*"</formula>
    </cfRule>
    <cfRule type="expression" priority="5" aboveAverage="0" equalAverage="0" bottom="0" percent="0" rank="0" text="" dxfId="3">
      <formula>C14&lt;&gt;""</formula>
    </cfRule>
    <cfRule type="expression" priority="6" aboveAverage="0" equalAverage="0" bottom="0" percent="0" rank="0" text="" dxfId="4">
      <formula>C$13=""</formula>
    </cfRule>
  </conditionalFormatting>
  <conditionalFormatting sqref="C27:AB29">
    <cfRule type="expression" priority="7" aboveAverage="0" equalAverage="0" bottom="0" percent="0" rank="0" text="" dxfId="4">
      <formula>C$13=""</formula>
    </cfRule>
  </conditionalFormatting>
  <conditionalFormatting sqref="C29:AB29">
    <cfRule type="cellIs" priority="8" operator="greaterThanOrEqual" aboveAverage="0" equalAverage="0" bottom="0" percent="0" rank="0" text="" dxfId="5">
      <formula>0.85</formula>
    </cfRule>
  </conditionalFormatting>
  <conditionalFormatting sqref="C34:I45">
    <cfRule type="cellIs" priority="9" operator="greaterThan" aboveAverage="0" equalAverage="0" bottom="0" percent="0" rank="0" text="" dxfId="6">
      <formula>0</formula>
    </cfRule>
  </conditionalFormatting>
  <conditionalFormatting sqref="AE7">
    <cfRule type="cellIs" priority="10" operator="lessThan" aboveAverage="0" equalAverage="0" bottom="0" percent="0" rank="0" text="" dxfId="7">
      <formula>0.4</formula>
    </cfRule>
  </conditionalFormatting>
  <conditionalFormatting sqref="AD7">
    <cfRule type="cellIs" priority="11" operator="greaterThan" aboveAverage="0" equalAverage="0" bottom="0" percent="0" rank="0" text="" dxfId="8">
      <formula>0</formula>
    </cfRule>
  </conditionalFormatting>
  <dataValidations count="1">
    <dataValidation allowBlank="false" errorStyle="stop" operator="between" showDropDown="false" showErrorMessage="false" showInputMessage="false" sqref="B6" type="date">
      <formula1>2026-1-1</formula1>
      <formula2>2027-12-31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E9F1E"/>
    <pageSetUpPr fitToPage="true"/>
  </sheetPr>
  <dimension ref="A1:T129"/>
  <sheetViews>
    <sheetView showFormulas="false" showGridLines="false" showRowColHeaders="true" showZeros="true" rightToLeft="false" tabSelected="false" showOutlineSymbols="true" defaultGridColor="true" view="normal" topLeftCell="A1" colorId="64" zoomScale="95" zoomScaleNormal="95" zoomScalePageLayoutView="100" workbookViewId="0">
      <pane xSplit="4" ySplit="7" topLeftCell="E8" activePane="bottomRight" state="frozen"/>
      <selection pane="topLeft" activeCell="A1" activeCellId="0" sqref="A1"/>
      <selection pane="topRight" activeCell="E1" activeCellId="0" sqref="E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3" min="2" style="0" width="12"/>
    <col collapsed="false" customWidth="true" hidden="false" outlineLevel="0" max="4" min="4" style="0" width="9"/>
    <col collapsed="false" customWidth="true" hidden="false" outlineLevel="0" max="5" min="5" style="0" width="26"/>
    <col collapsed="false" customWidth="true" hidden="false" outlineLevel="0" max="6" min="6" style="0" width="8"/>
    <col collapsed="false" customWidth="true" hidden="false" outlineLevel="0" max="8" min="7" style="0" width="9"/>
    <col collapsed="false" customWidth="true" hidden="false" outlineLevel="0" max="9" min="9" style="0" width="10"/>
    <col collapsed="false" customWidth="true" hidden="false" outlineLevel="0" max="10" min="10" style="0" width="20"/>
    <col collapsed="false" customWidth="true" hidden="false" outlineLevel="0" max="11" min="11" style="0" width="11"/>
    <col collapsed="false" customWidth="true" hidden="false" outlineLevel="0" max="12" min="12" style="0" width="18"/>
    <col collapsed="false" customWidth="true" hidden="false" outlineLevel="0" max="13" min="13" style="0" width="22"/>
    <col collapsed="false" customWidth="true" hidden="false" outlineLevel="0" max="14" min="14" style="0" width="17"/>
    <col collapsed="false" customWidth="true" hidden="false" outlineLevel="0" max="15" min="15" style="0" width="18"/>
    <col collapsed="false" customWidth="true" hidden="false" outlineLevel="0" max="16" min="16" style="0" width="9"/>
    <col collapsed="false" customWidth="true" hidden="false" outlineLevel="0" max="17" min="17" style="0" width="26"/>
    <col collapsed="false" customWidth="true" hidden="false" outlineLevel="0" max="18" min="18" style="0" width="8"/>
    <col collapsed="false" customWidth="true" hidden="false" outlineLevel="0" max="20" min="19" style="0" width="10"/>
  </cols>
  <sheetData>
    <row r="1" customFormat="false" ht="6.7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27.75" hidden="false" customHeight="true" outlineLevel="0" collapsed="false">
      <c r="A2" s="61" t="s">
        <v>30</v>
      </c>
      <c r="B2" s="61"/>
      <c r="C2" s="61"/>
      <c r="D2" s="61"/>
      <c r="E2" s="61"/>
      <c r="F2" s="61"/>
      <c r="G2" s="61"/>
      <c r="H2" s="6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customFormat="false" ht="15.75" hidden="false" customHeight="true" outlineLevel="0" collapsed="false">
      <c r="A3" s="62" t="s">
        <v>31</v>
      </c>
      <c r="B3" s="62"/>
      <c r="C3" s="62"/>
      <c r="D3" s="62"/>
      <c r="E3" s="62"/>
      <c r="F3" s="62"/>
      <c r="G3" s="62"/>
      <c r="H3" s="6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customFormat="false" ht="4.5" hidden="false" customHeight="tru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6" customFormat="false" ht="21.75" hidden="false" customHeight="true" outlineLevel="0" collapsed="false">
      <c r="A6" s="63" t="s">
        <v>32</v>
      </c>
      <c r="B6" s="63"/>
      <c r="C6" s="64" t="n">
        <f aca="false">COUNTA($A$8:$A$127)</f>
        <v>120</v>
      </c>
      <c r="D6" s="63" t="s">
        <v>33</v>
      </c>
      <c r="E6" s="63"/>
      <c r="F6" s="65" t="n">
        <f aca="false">SUMIF($N$8:$N$127,"&lt;&gt;Storniert",$I$8:$I$127)</f>
        <v>202.5</v>
      </c>
      <c r="G6" s="63" t="s">
        <v>34</v>
      </c>
      <c r="H6" s="63"/>
      <c r="I6" s="66" t="n">
        <f aca="false">IFERROR(AVERAGEIF($N$8:$N$127,"Bestätigt",$I$8:$I$127),0)</f>
        <v>1.69101123595506</v>
      </c>
      <c r="J6" s="67" t="s">
        <v>35</v>
      </c>
      <c r="K6" s="68" t="n">
        <f aca="false">IFERROR(AVERAGEIF($N$8:$N$127,"Bestätigt",$K$8:$K$127),0)</f>
        <v>10.2022471910112</v>
      </c>
      <c r="L6" s="63" t="s">
        <v>36</v>
      </c>
      <c r="M6" s="63"/>
      <c r="N6" s="64" t="n">
        <f aca="false">COUNTIF($N$8:$N$127,"Reserviert")</f>
        <v>25</v>
      </c>
      <c r="O6" s="67" t="s">
        <v>37</v>
      </c>
      <c r="P6" s="64" t="n">
        <f aca="false">COUNTA($A$8:$A$127)-COUNTIF($O$8:$O$127,"OK")-COUNTIF($O$8:$O$127,"–")</f>
        <v>0</v>
      </c>
    </row>
    <row r="7" customFormat="false" ht="27.75" hidden="false" customHeight="true" outlineLevel="0" collapsed="false">
      <c r="A7" s="69" t="s">
        <v>38</v>
      </c>
      <c r="B7" s="69" t="s">
        <v>39</v>
      </c>
      <c r="C7" s="69" t="s">
        <v>11</v>
      </c>
      <c r="D7" s="69" t="s">
        <v>19</v>
      </c>
      <c r="E7" s="69" t="s">
        <v>40</v>
      </c>
      <c r="F7" s="69" t="s">
        <v>41</v>
      </c>
      <c r="G7" s="69" t="s">
        <v>42</v>
      </c>
      <c r="H7" s="69" t="s">
        <v>43</v>
      </c>
      <c r="I7" s="69" t="s">
        <v>44</v>
      </c>
      <c r="J7" s="69" t="s">
        <v>45</v>
      </c>
      <c r="K7" s="69" t="s">
        <v>46</v>
      </c>
      <c r="L7" s="69" t="s">
        <v>47</v>
      </c>
      <c r="M7" s="69" t="s">
        <v>48</v>
      </c>
      <c r="N7" s="69" t="s">
        <v>49</v>
      </c>
      <c r="O7" s="69" t="s">
        <v>50</v>
      </c>
      <c r="P7" s="69" t="s">
        <v>51</v>
      </c>
      <c r="Q7" s="69" t="s">
        <v>52</v>
      </c>
      <c r="R7" s="70" t="s">
        <v>53</v>
      </c>
      <c r="S7" s="70" t="s">
        <v>54</v>
      </c>
      <c r="T7" s="70" t="s">
        <v>55</v>
      </c>
    </row>
    <row r="8" customFormat="false" ht="15" hidden="false" customHeight="true" outlineLevel="0" collapsed="false">
      <c r="A8" s="71" t="s">
        <v>56</v>
      </c>
      <c r="B8" s="72" t="n">
        <v>46223</v>
      </c>
      <c r="C8" s="73" t="n">
        <f aca="false">IF($B8="","",$B8)</f>
        <v>46223</v>
      </c>
      <c r="D8" s="71" t="s">
        <v>57</v>
      </c>
      <c r="E8" s="74" t="s">
        <v>58</v>
      </c>
      <c r="F8" s="71" t="s">
        <v>59</v>
      </c>
      <c r="G8" s="75" t="n">
        <v>0.3125</v>
      </c>
      <c r="H8" s="75" t="n">
        <v>0.375</v>
      </c>
      <c r="I8" s="76" t="n">
        <f aca="false">IF(OR($G8="",$H8=""),"",ROUND(($H8-$G8)*24,2))</f>
        <v>1.5</v>
      </c>
      <c r="J8" s="77" t="s">
        <v>60</v>
      </c>
      <c r="K8" s="78" t="n">
        <v>2</v>
      </c>
      <c r="L8" s="77" t="s">
        <v>61</v>
      </c>
      <c r="M8" s="77" t="s">
        <v>62</v>
      </c>
      <c r="N8" s="77" t="s">
        <v>63</v>
      </c>
      <c r="O8" s="79" t="str">
        <f aca="false">IF($A8="","",IF(OR($B8="",$G8="",$H8=""),"Angaben fehlen",IF($H8&lt;=$G8,"Zeit prüfen",IF($N8="Storniert","–",IF(COUNTIFS($D$8:$D$127,$D8,$B$8:$B$127,$B8,$N$8:$N$127,"&lt;&gt;Storniert",$S$8:$S$127,"&lt;"&amp;$T8,$T$8:$T$127,"&gt;"&amp;$S8)&gt;1,"Überschneidung",IF($K8&gt;IFERROR(INDEX(Stammdaten!$D$8:$D$19,MATCH($D8,Stammdaten!$A$8:$A$19,0)),999),"Kapazität prüfen","OK"))))))</f>
        <v>OK</v>
      </c>
      <c r="P8" s="80" t="str">
        <f aca="false">IF($A8="","",IF($N8="Reserviert",$F8&amp;"*",$F8))</f>
        <v>JOUR</v>
      </c>
      <c r="Q8" s="81"/>
      <c r="R8" s="82" t="n">
        <f aca="false">IF($A8="","",ROW())</f>
        <v>8</v>
      </c>
      <c r="S8" s="82" t="n">
        <f aca="false">IF($G8="","",ROUND($G8*1440,0))</f>
        <v>450</v>
      </c>
      <c r="T8" s="82" t="n">
        <f aca="false">IF($H8="","",ROUND($H8*1440,0))</f>
        <v>540</v>
      </c>
    </row>
    <row r="9" customFormat="false" ht="15" hidden="false" customHeight="true" outlineLevel="0" collapsed="false">
      <c r="A9" s="71" t="s">
        <v>64</v>
      </c>
      <c r="B9" s="72" t="n">
        <v>46223</v>
      </c>
      <c r="C9" s="83" t="n">
        <f aca="false">IF($B9="","",$B9)</f>
        <v>46223</v>
      </c>
      <c r="D9" s="71" t="s">
        <v>65</v>
      </c>
      <c r="E9" s="74" t="s">
        <v>66</v>
      </c>
      <c r="F9" s="71" t="s">
        <v>67</v>
      </c>
      <c r="G9" s="75" t="n">
        <v>0.3125</v>
      </c>
      <c r="H9" s="75" t="n">
        <v>0.375</v>
      </c>
      <c r="I9" s="84" t="n">
        <f aca="false">IF(OR($G9="",$H9=""),"",ROUND(($H9-$G9)*24,2))</f>
        <v>1.5</v>
      </c>
      <c r="J9" s="77" t="s">
        <v>68</v>
      </c>
      <c r="K9" s="78" t="n">
        <v>6</v>
      </c>
      <c r="L9" s="77" t="s">
        <v>69</v>
      </c>
      <c r="M9" s="77" t="s">
        <v>70</v>
      </c>
      <c r="N9" s="77" t="s">
        <v>63</v>
      </c>
      <c r="O9" s="85" t="str">
        <f aca="false">IF($A9="","",IF(OR($B9="",$G9="",$H9=""),"Angaben fehlen",IF($H9&lt;=$G9,"Zeit prüfen",IF($N9="Storniert","–",IF(COUNTIFS($D$8:$D$127,$D9,$B$8:$B$127,$B9,$N$8:$N$127,"&lt;&gt;Storniert",$S$8:$S$127,"&lt;"&amp;$T9,$T$8:$T$127,"&gt;"&amp;$S9)&gt;1,"Überschneidung",IF($K9&gt;IFERROR(INDEX(Stammdaten!$D$8:$D$19,MATCH($D9,Stammdaten!$A$8:$A$19,0)),999),"Kapazität prüfen","OK"))))))</f>
        <v>OK</v>
      </c>
      <c r="P9" s="86" t="str">
        <f aca="false">IF($A9="","",IF($N9="Reserviert",$F9&amp;"*",$F9))</f>
        <v>KUND</v>
      </c>
      <c r="Q9" s="81"/>
      <c r="R9" s="87" t="n">
        <f aca="false">IF($A9="","",ROW())</f>
        <v>9</v>
      </c>
      <c r="S9" s="87" t="n">
        <f aca="false">IF($G9="","",ROUND($G9*1440,0))</f>
        <v>450</v>
      </c>
      <c r="T9" s="87" t="n">
        <f aca="false">IF($H9="","",ROUND($H9*1440,0))</f>
        <v>540</v>
      </c>
    </row>
    <row r="10" customFormat="false" ht="15" hidden="false" customHeight="true" outlineLevel="0" collapsed="false">
      <c r="A10" s="71" t="s">
        <v>71</v>
      </c>
      <c r="B10" s="72" t="n">
        <v>46223</v>
      </c>
      <c r="C10" s="73" t="n">
        <f aca="false">IF($B10="","",$B10)</f>
        <v>46223</v>
      </c>
      <c r="D10" s="71" t="s">
        <v>72</v>
      </c>
      <c r="E10" s="74" t="s">
        <v>73</v>
      </c>
      <c r="F10" s="71" t="s">
        <v>74</v>
      </c>
      <c r="G10" s="75" t="n">
        <v>0.3125</v>
      </c>
      <c r="H10" s="75" t="n">
        <v>0.395833333333333</v>
      </c>
      <c r="I10" s="76" t="n">
        <f aca="false">IF(OR($G10="",$H10=""),"",ROUND(($H10-$G10)*24,2))</f>
        <v>2</v>
      </c>
      <c r="J10" s="77" t="s">
        <v>75</v>
      </c>
      <c r="K10" s="78" t="n">
        <v>3</v>
      </c>
      <c r="L10" s="77" t="s">
        <v>61</v>
      </c>
      <c r="M10" s="77" t="s">
        <v>62</v>
      </c>
      <c r="N10" s="77" t="s">
        <v>76</v>
      </c>
      <c r="O10" s="79" t="str">
        <f aca="false">IF($A10="","",IF(OR($B10="",$G10="",$H10=""),"Angaben fehlen",IF($H10&lt;=$G10,"Zeit prüfen",IF($N10="Storniert","–",IF(COUNTIFS($D$8:$D$127,$D10,$B$8:$B$127,$B10,$N$8:$N$127,"&lt;&gt;Storniert",$S$8:$S$127,"&lt;"&amp;$T10,$T$8:$T$127,"&gt;"&amp;$S10)&gt;1,"Überschneidung",IF($K10&gt;IFERROR(INDEX(Stammdaten!$D$8:$D$19,MATCH($D10,Stammdaten!$A$8:$A$19,0)),999),"Kapazität prüfen","OK"))))))</f>
        <v>OK</v>
      </c>
      <c r="P10" s="80" t="str">
        <f aca="false">IF($A10="","",IF($N10="Reserviert",$F10&amp;"*",$F10))</f>
        <v>BEWT*</v>
      </c>
      <c r="Q10" s="81" t="s">
        <v>77</v>
      </c>
      <c r="R10" s="82" t="n">
        <f aca="false">IF($A10="","",ROW())</f>
        <v>10</v>
      </c>
      <c r="S10" s="82" t="n">
        <f aca="false">IF($G10="","",ROUND($G10*1440,0))</f>
        <v>450</v>
      </c>
      <c r="T10" s="82" t="n">
        <f aca="false">IF($H10="","",ROUND($H10*1440,0))</f>
        <v>570</v>
      </c>
    </row>
    <row r="11" customFormat="false" ht="15" hidden="false" customHeight="true" outlineLevel="0" collapsed="false">
      <c r="A11" s="71" t="s">
        <v>78</v>
      </c>
      <c r="B11" s="72" t="n">
        <v>46223</v>
      </c>
      <c r="C11" s="83" t="n">
        <f aca="false">IF($B11="","",$B11)</f>
        <v>46223</v>
      </c>
      <c r="D11" s="71" t="s">
        <v>79</v>
      </c>
      <c r="E11" s="74" t="s">
        <v>80</v>
      </c>
      <c r="F11" s="71" t="s">
        <v>81</v>
      </c>
      <c r="G11" s="75" t="n">
        <v>0.3125</v>
      </c>
      <c r="H11" s="75" t="n">
        <v>0.4375</v>
      </c>
      <c r="I11" s="84" t="n">
        <f aca="false">IF(OR($G11="",$H11=""),"",ROUND(($H11-$G11)*24,2))</f>
        <v>3</v>
      </c>
      <c r="J11" s="77" t="s">
        <v>82</v>
      </c>
      <c r="K11" s="78" t="n">
        <v>3</v>
      </c>
      <c r="L11" s="77" t="s">
        <v>83</v>
      </c>
      <c r="M11" s="77" t="s">
        <v>84</v>
      </c>
      <c r="N11" s="77" t="s">
        <v>63</v>
      </c>
      <c r="O11" s="85" t="str">
        <f aca="false">IF($A11="","",IF(OR($B11="",$G11="",$H11=""),"Angaben fehlen",IF($H11&lt;=$G11,"Zeit prüfen",IF($N11="Storniert","–",IF(COUNTIFS($D$8:$D$127,$D11,$B$8:$B$127,$B11,$N$8:$N$127,"&lt;&gt;Storniert",$S$8:$S$127,"&lt;"&amp;$T11,$T$8:$T$127,"&gt;"&amp;$S11)&gt;1,"Überschneidung",IF($K11&gt;IFERROR(INDEX(Stammdaten!$D$8:$D$19,MATCH($D11,Stammdaten!$A$8:$A$19,0)),999),"Kapazität prüfen","OK"))))))</f>
        <v>OK</v>
      </c>
      <c r="P11" s="86" t="str">
        <f aca="false">IF($A11="","",IF($N11="Reserviert",$F11&amp;"*",$F11))</f>
        <v>ONBO</v>
      </c>
      <c r="Q11" s="81" t="s">
        <v>85</v>
      </c>
      <c r="R11" s="87" t="n">
        <f aca="false">IF($A11="","",ROW())</f>
        <v>11</v>
      </c>
      <c r="S11" s="87" t="n">
        <f aca="false">IF($G11="","",ROUND($G11*1440,0))</f>
        <v>450</v>
      </c>
      <c r="T11" s="87" t="n">
        <f aca="false">IF($H11="","",ROUND($H11*1440,0))</f>
        <v>630</v>
      </c>
    </row>
    <row r="12" customFormat="false" ht="15" hidden="false" customHeight="true" outlineLevel="0" collapsed="false">
      <c r="A12" s="71" t="s">
        <v>86</v>
      </c>
      <c r="B12" s="72" t="n">
        <v>46223</v>
      </c>
      <c r="C12" s="73" t="n">
        <f aca="false">IF($B12="","",$B12)</f>
        <v>46223</v>
      </c>
      <c r="D12" s="71" t="s">
        <v>87</v>
      </c>
      <c r="E12" s="74" t="s">
        <v>66</v>
      </c>
      <c r="F12" s="71" t="s">
        <v>67</v>
      </c>
      <c r="G12" s="75" t="n">
        <v>0.333333333333333</v>
      </c>
      <c r="H12" s="75" t="n">
        <v>0.375</v>
      </c>
      <c r="I12" s="76" t="n">
        <f aca="false">IF(OR($G12="",$H12=""),"",ROUND(($H12-$G12)*24,2))</f>
        <v>1</v>
      </c>
      <c r="J12" s="77" t="s">
        <v>88</v>
      </c>
      <c r="K12" s="78" t="n">
        <v>6</v>
      </c>
      <c r="L12" s="77" t="s">
        <v>83</v>
      </c>
      <c r="M12" s="77" t="s">
        <v>84</v>
      </c>
      <c r="N12" s="77" t="s">
        <v>63</v>
      </c>
      <c r="O12" s="79" t="str">
        <f aca="false">IF($A12="","",IF(OR($B12="",$G12="",$H12=""),"Angaben fehlen",IF($H12&lt;=$G12,"Zeit prüfen",IF($N12="Storniert","–",IF(COUNTIFS($D$8:$D$127,$D12,$B$8:$B$127,$B12,$N$8:$N$127,"&lt;&gt;Storniert",$S$8:$S$127,"&lt;"&amp;$T12,$T$8:$T$127,"&gt;"&amp;$S12)&gt;1,"Überschneidung",IF($K12&gt;IFERROR(INDEX(Stammdaten!$D$8:$D$19,MATCH($D12,Stammdaten!$A$8:$A$19,0)),999),"Kapazität prüfen","OK"))))))</f>
        <v>OK</v>
      </c>
      <c r="P12" s="80" t="str">
        <f aca="false">IF($A12="","",IF($N12="Reserviert",$F12&amp;"*",$F12))</f>
        <v>KUND</v>
      </c>
      <c r="Q12" s="81"/>
      <c r="R12" s="82" t="n">
        <f aca="false">IF($A12="","",ROW())</f>
        <v>12</v>
      </c>
      <c r="S12" s="82" t="n">
        <f aca="false">IF($G12="","",ROUND($G12*1440,0))</f>
        <v>480</v>
      </c>
      <c r="T12" s="82" t="n">
        <f aca="false">IF($H12="","",ROUND($H12*1440,0))</f>
        <v>540</v>
      </c>
    </row>
    <row r="13" customFormat="false" ht="15" hidden="false" customHeight="true" outlineLevel="0" collapsed="false">
      <c r="A13" s="71" t="s">
        <v>89</v>
      </c>
      <c r="B13" s="72" t="n">
        <v>46223</v>
      </c>
      <c r="C13" s="83" t="n">
        <f aca="false">IF($B13="","",$B13)</f>
        <v>46223</v>
      </c>
      <c r="D13" s="71" t="s">
        <v>90</v>
      </c>
      <c r="E13" s="74" t="s">
        <v>73</v>
      </c>
      <c r="F13" s="71" t="s">
        <v>74</v>
      </c>
      <c r="G13" s="75" t="n">
        <v>0.333333333333333</v>
      </c>
      <c r="H13" s="75" t="n">
        <v>0.458333333333333</v>
      </c>
      <c r="I13" s="84" t="n">
        <f aca="false">IF(OR($G13="",$H13=""),"",ROUND(($H13-$G13)*24,2))</f>
        <v>3</v>
      </c>
      <c r="J13" s="77" t="s">
        <v>82</v>
      </c>
      <c r="K13" s="78" t="n">
        <v>12</v>
      </c>
      <c r="L13" s="77" t="s">
        <v>91</v>
      </c>
      <c r="M13" s="77" t="s">
        <v>92</v>
      </c>
      <c r="N13" s="77" t="s">
        <v>63</v>
      </c>
      <c r="O13" s="85" t="str">
        <f aca="false">IF($A13="","",IF(OR($B13="",$G13="",$H13=""),"Angaben fehlen",IF($H13&lt;=$G13,"Zeit prüfen",IF($N13="Storniert","–",IF(COUNTIFS($D$8:$D$127,$D13,$B$8:$B$127,$B13,$N$8:$N$127,"&lt;&gt;Storniert",$S$8:$S$127,"&lt;"&amp;$T13,$T$8:$T$127,"&gt;"&amp;$S13)&gt;1,"Überschneidung",IF($K13&gt;IFERROR(INDEX(Stammdaten!$D$8:$D$19,MATCH($D13,Stammdaten!$A$8:$A$19,0)),999),"Kapazität prüfen","OK"))))))</f>
        <v>OK</v>
      </c>
      <c r="P13" s="86" t="str">
        <f aca="false">IF($A13="","",IF($N13="Reserviert",$F13&amp;"*",$F13))</f>
        <v>BEWT</v>
      </c>
      <c r="Q13" s="81"/>
      <c r="R13" s="87" t="n">
        <f aca="false">IF($A13="","",ROW())</f>
        <v>13</v>
      </c>
      <c r="S13" s="87" t="n">
        <f aca="false">IF($G13="","",ROUND($G13*1440,0))</f>
        <v>480</v>
      </c>
      <c r="T13" s="87" t="n">
        <f aca="false">IF($H13="","",ROUND($H13*1440,0))</f>
        <v>660</v>
      </c>
    </row>
    <row r="14" customFormat="false" ht="15" hidden="false" customHeight="true" outlineLevel="0" collapsed="false">
      <c r="A14" s="71" t="s">
        <v>93</v>
      </c>
      <c r="B14" s="72" t="n">
        <v>46223</v>
      </c>
      <c r="C14" s="73" t="n">
        <f aca="false">IF($B14="","",$B14)</f>
        <v>46223</v>
      </c>
      <c r="D14" s="71" t="s">
        <v>94</v>
      </c>
      <c r="E14" s="74" t="s">
        <v>95</v>
      </c>
      <c r="F14" s="71" t="s">
        <v>96</v>
      </c>
      <c r="G14" s="75" t="n">
        <v>0.333333333333333</v>
      </c>
      <c r="H14" s="75" t="n">
        <v>0.416666666666667</v>
      </c>
      <c r="I14" s="76" t="n">
        <f aca="false">IF(OR($G14="",$H14=""),"",ROUND(($H14-$G14)*24,2))</f>
        <v>2</v>
      </c>
      <c r="J14" s="77" t="s">
        <v>97</v>
      </c>
      <c r="K14" s="78" t="n">
        <v>20</v>
      </c>
      <c r="L14" s="77" t="s">
        <v>98</v>
      </c>
      <c r="M14" s="77" t="s">
        <v>99</v>
      </c>
      <c r="N14" s="77" t="s">
        <v>63</v>
      </c>
      <c r="O14" s="79" t="str">
        <f aca="false">IF($A14="","",IF(OR($B14="",$G14="",$H14=""),"Angaben fehlen",IF($H14&lt;=$G14,"Zeit prüfen",IF($N14="Storniert","–",IF(COUNTIFS($D$8:$D$127,$D14,$B$8:$B$127,$B14,$N$8:$N$127,"&lt;&gt;Storniert",$S$8:$S$127,"&lt;"&amp;$T14,$T$8:$T$127,"&gt;"&amp;$S14)&gt;1,"Überschneidung",IF($K14&gt;IFERROR(INDEX(Stammdaten!$D$8:$D$19,MATCH($D14,Stammdaten!$A$8:$A$19,0)),999),"Kapazität prüfen","OK"))))))</f>
        <v>OK</v>
      </c>
      <c r="P14" s="80" t="str">
        <f aca="false">IF($A14="","",IF($N14="Reserviert",$F14&amp;"*",$F14))</f>
        <v>SCHU</v>
      </c>
      <c r="Q14" s="81" t="s">
        <v>85</v>
      </c>
      <c r="R14" s="82" t="n">
        <f aca="false">IF($A14="","",ROW())</f>
        <v>14</v>
      </c>
      <c r="S14" s="82" t="n">
        <f aca="false">IF($G14="","",ROUND($G14*1440,0))</f>
        <v>480</v>
      </c>
      <c r="T14" s="82" t="n">
        <f aca="false">IF($H14="","",ROUND($H14*1440,0))</f>
        <v>600</v>
      </c>
    </row>
    <row r="15" customFormat="false" ht="15" hidden="false" customHeight="true" outlineLevel="0" collapsed="false">
      <c r="A15" s="71" t="s">
        <v>100</v>
      </c>
      <c r="B15" s="72" t="n">
        <v>46223</v>
      </c>
      <c r="C15" s="83" t="n">
        <f aca="false">IF($B15="","",$B15)</f>
        <v>46223</v>
      </c>
      <c r="D15" s="71" t="s">
        <v>101</v>
      </c>
      <c r="E15" s="74" t="s">
        <v>66</v>
      </c>
      <c r="F15" s="71" t="s">
        <v>67</v>
      </c>
      <c r="G15" s="75" t="n">
        <v>0.333333333333333</v>
      </c>
      <c r="H15" s="75" t="n">
        <v>0.395833333333333</v>
      </c>
      <c r="I15" s="84" t="n">
        <f aca="false">IF(OR($G15="",$H15=""),"",ROUND(($H15-$G15)*24,2))</f>
        <v>1.5</v>
      </c>
      <c r="J15" s="77" t="s">
        <v>75</v>
      </c>
      <c r="K15" s="78" t="n">
        <v>8</v>
      </c>
      <c r="L15" s="77" t="s">
        <v>61</v>
      </c>
      <c r="M15" s="77" t="s">
        <v>70</v>
      </c>
      <c r="N15" s="77" t="s">
        <v>63</v>
      </c>
      <c r="O15" s="85" t="str">
        <f aca="false">IF($A15="","",IF(OR($B15="",$G15="",$H15=""),"Angaben fehlen",IF($H15&lt;=$G15,"Zeit prüfen",IF($N15="Storniert","–",IF(COUNTIFS($D$8:$D$127,$D15,$B$8:$B$127,$B15,$N$8:$N$127,"&lt;&gt;Storniert",$S$8:$S$127,"&lt;"&amp;$T15,$T$8:$T$127,"&gt;"&amp;$S15)&gt;1,"Überschneidung",IF($K15&gt;IFERROR(INDEX(Stammdaten!$D$8:$D$19,MATCH($D15,Stammdaten!$A$8:$A$19,0)),999),"Kapazität prüfen","OK"))))))</f>
        <v>OK</v>
      </c>
      <c r="P15" s="86" t="str">
        <f aca="false">IF($A15="","",IF($N15="Reserviert",$F15&amp;"*",$F15))</f>
        <v>KUND</v>
      </c>
      <c r="Q15" s="81" t="s">
        <v>102</v>
      </c>
      <c r="R15" s="87" t="n">
        <f aca="false">IF($A15="","",ROW())</f>
        <v>15</v>
      </c>
      <c r="S15" s="87" t="n">
        <f aca="false">IF($G15="","",ROUND($G15*1440,0))</f>
        <v>480</v>
      </c>
      <c r="T15" s="87" t="n">
        <f aca="false">IF($H15="","",ROUND($H15*1440,0))</f>
        <v>570</v>
      </c>
    </row>
    <row r="16" customFormat="false" ht="15" hidden="false" customHeight="true" outlineLevel="0" collapsed="false">
      <c r="A16" s="71" t="s">
        <v>103</v>
      </c>
      <c r="B16" s="72" t="n">
        <v>46223</v>
      </c>
      <c r="C16" s="73" t="n">
        <f aca="false">IF($B16="","",$B16)</f>
        <v>46223</v>
      </c>
      <c r="D16" s="71" t="s">
        <v>104</v>
      </c>
      <c r="E16" s="74" t="s">
        <v>105</v>
      </c>
      <c r="F16" s="71" t="s">
        <v>106</v>
      </c>
      <c r="G16" s="75" t="n">
        <v>0.354166666666667</v>
      </c>
      <c r="H16" s="75" t="n">
        <v>0.4375</v>
      </c>
      <c r="I16" s="76" t="n">
        <f aca="false">IF(OR($G16="",$H16=""),"",ROUND(($H16-$G16)*24,2))</f>
        <v>2</v>
      </c>
      <c r="J16" s="77" t="s">
        <v>107</v>
      </c>
      <c r="K16" s="78" t="n">
        <v>3</v>
      </c>
      <c r="L16" s="77" t="s">
        <v>83</v>
      </c>
      <c r="M16" s="77" t="s">
        <v>108</v>
      </c>
      <c r="N16" s="77" t="s">
        <v>76</v>
      </c>
      <c r="O16" s="79" t="str">
        <f aca="false">IF($A16="","",IF(OR($B16="",$G16="",$H16=""),"Angaben fehlen",IF($H16&lt;=$G16,"Zeit prüfen",IF($N16="Storniert","–",IF(COUNTIFS($D$8:$D$127,$D16,$B$8:$B$127,$B16,$N$8:$N$127,"&lt;&gt;Storniert",$S$8:$S$127,"&lt;"&amp;$T16,$T$8:$T$127,"&gt;"&amp;$S16)&gt;1,"Überschneidung",IF($K16&gt;IFERROR(INDEX(Stammdaten!$D$8:$D$19,MATCH($D16,Stammdaten!$A$8:$A$19,0)),999),"Kapazität prüfen","OK"))))))</f>
        <v>OK</v>
      </c>
      <c r="P16" s="80" t="str">
        <f aca="false">IF($A16="","",IF($N16="Reserviert",$F16&amp;"*",$F16))</f>
        <v>VIKO*</v>
      </c>
      <c r="Q16" s="81" t="s">
        <v>77</v>
      </c>
      <c r="R16" s="82" t="n">
        <f aca="false">IF($A16="","",ROW())</f>
        <v>16</v>
      </c>
      <c r="S16" s="82" t="n">
        <f aca="false">IF($G16="","",ROUND($G16*1440,0))</f>
        <v>510</v>
      </c>
      <c r="T16" s="82" t="n">
        <f aca="false">IF($H16="","",ROUND($H16*1440,0))</f>
        <v>630</v>
      </c>
    </row>
    <row r="17" customFormat="false" ht="15" hidden="false" customHeight="true" outlineLevel="0" collapsed="false">
      <c r="A17" s="71" t="s">
        <v>109</v>
      </c>
      <c r="B17" s="72" t="n">
        <v>46223</v>
      </c>
      <c r="C17" s="83" t="n">
        <f aca="false">IF($B17="","",$B17)</f>
        <v>46223</v>
      </c>
      <c r="D17" s="71" t="s">
        <v>110</v>
      </c>
      <c r="E17" s="74" t="s">
        <v>105</v>
      </c>
      <c r="F17" s="71" t="s">
        <v>106</v>
      </c>
      <c r="G17" s="75" t="n">
        <v>0.354166666666667</v>
      </c>
      <c r="H17" s="75" t="n">
        <v>0.395833333333333</v>
      </c>
      <c r="I17" s="84" t="n">
        <f aca="false">IF(OR($G17="",$H17=""),"",ROUND(($H17-$G17)*24,2))</f>
        <v>1</v>
      </c>
      <c r="J17" s="77" t="s">
        <v>107</v>
      </c>
      <c r="K17" s="78" t="n">
        <v>9</v>
      </c>
      <c r="L17" s="77" t="s">
        <v>61</v>
      </c>
      <c r="M17" s="77" t="s">
        <v>62</v>
      </c>
      <c r="N17" s="77" t="s">
        <v>63</v>
      </c>
      <c r="O17" s="85" t="str">
        <f aca="false">IF($A17="","",IF(OR($B17="",$G17="",$H17=""),"Angaben fehlen",IF($H17&lt;=$G17,"Zeit prüfen",IF($N17="Storniert","–",IF(COUNTIFS($D$8:$D$127,$D17,$B$8:$B$127,$B17,$N$8:$N$127,"&lt;&gt;Storniert",$S$8:$S$127,"&lt;"&amp;$T17,$T$8:$T$127,"&gt;"&amp;$S17)&gt;1,"Überschneidung",IF($K17&gt;IFERROR(INDEX(Stammdaten!$D$8:$D$19,MATCH($D17,Stammdaten!$A$8:$A$19,0)),999),"Kapazität prüfen","OK"))))))</f>
        <v>OK</v>
      </c>
      <c r="P17" s="86" t="str">
        <f aca="false">IF($A17="","",IF($N17="Reserviert",$F17&amp;"*",$F17))</f>
        <v>VIKO</v>
      </c>
      <c r="Q17" s="81" t="s">
        <v>111</v>
      </c>
      <c r="R17" s="87" t="n">
        <f aca="false">IF($A17="","",ROW())</f>
        <v>17</v>
      </c>
      <c r="S17" s="87" t="n">
        <f aca="false">IF($G17="","",ROUND($G17*1440,0))</f>
        <v>510</v>
      </c>
      <c r="T17" s="87" t="n">
        <f aca="false">IF($H17="","",ROUND($H17*1440,0))</f>
        <v>570</v>
      </c>
    </row>
    <row r="18" customFormat="false" ht="15" hidden="false" customHeight="true" outlineLevel="0" collapsed="false">
      <c r="A18" s="71" t="s">
        <v>112</v>
      </c>
      <c r="B18" s="72" t="n">
        <v>46223</v>
      </c>
      <c r="C18" s="73" t="n">
        <f aca="false">IF($B18="","",$B18)</f>
        <v>46223</v>
      </c>
      <c r="D18" s="71" t="s">
        <v>113</v>
      </c>
      <c r="E18" s="74" t="s">
        <v>114</v>
      </c>
      <c r="F18" s="71" t="s">
        <v>115</v>
      </c>
      <c r="G18" s="75" t="n">
        <v>0.375</v>
      </c>
      <c r="H18" s="75" t="n">
        <v>0.416666666666667</v>
      </c>
      <c r="I18" s="76" t="n">
        <f aca="false">IF(OR($G18="",$H18=""),"",ROUND(($H18-$G18)*24,2))</f>
        <v>1</v>
      </c>
      <c r="J18" s="77" t="s">
        <v>60</v>
      </c>
      <c r="K18" s="78" t="n">
        <v>0</v>
      </c>
      <c r="L18" s="77" t="s">
        <v>69</v>
      </c>
      <c r="M18" s="77" t="s">
        <v>99</v>
      </c>
      <c r="N18" s="77" t="s">
        <v>116</v>
      </c>
      <c r="O18" s="79" t="str">
        <f aca="false">IF($A18="","",IF(OR($B18="",$G18="",$H18=""),"Angaben fehlen",IF($H18&lt;=$G18,"Zeit prüfen",IF($N18="Storniert","–",IF(COUNTIFS($D$8:$D$127,$D18,$B$8:$B$127,$B18,$N$8:$N$127,"&lt;&gt;Storniert",$S$8:$S$127,"&lt;"&amp;$T18,$T$8:$T$127,"&gt;"&amp;$S18)&gt;1,"Überschneidung",IF($K18&gt;IFERROR(INDEX(Stammdaten!$D$8:$D$19,MATCH($D18,Stammdaten!$A$8:$A$19,0)),999),"Kapazität prüfen","OK"))))))</f>
        <v>OK</v>
      </c>
      <c r="P18" s="80" t="str">
        <f aca="false">IF($A18="","",IF($N18="Reserviert",$F18&amp;"*",$F18))</f>
        <v>WTG</v>
      </c>
      <c r="Q18" s="81" t="s">
        <v>117</v>
      </c>
      <c r="R18" s="82" t="n">
        <f aca="false">IF($A18="","",ROW())</f>
        <v>18</v>
      </c>
      <c r="S18" s="82" t="n">
        <f aca="false">IF($G18="","",ROUND($G18*1440,0))</f>
        <v>540</v>
      </c>
      <c r="T18" s="82" t="n">
        <f aca="false">IF($H18="","",ROUND($H18*1440,0))</f>
        <v>600</v>
      </c>
    </row>
    <row r="19" customFormat="false" ht="15" hidden="false" customHeight="true" outlineLevel="0" collapsed="false">
      <c r="A19" s="71" t="s">
        <v>118</v>
      </c>
      <c r="B19" s="72" t="n">
        <v>46223</v>
      </c>
      <c r="C19" s="83" t="n">
        <f aca="false">IF($B19="","",$B19)</f>
        <v>46223</v>
      </c>
      <c r="D19" s="71" t="s">
        <v>119</v>
      </c>
      <c r="E19" s="74" t="s">
        <v>80</v>
      </c>
      <c r="F19" s="71" t="s">
        <v>81</v>
      </c>
      <c r="G19" s="75" t="n">
        <v>0.375</v>
      </c>
      <c r="H19" s="75" t="n">
        <v>0.416666666666667</v>
      </c>
      <c r="I19" s="84" t="n">
        <f aca="false">IF(OR($G19="",$H19=""),"",ROUND(($H19-$G19)*24,2))</f>
        <v>1</v>
      </c>
      <c r="J19" s="77" t="s">
        <v>88</v>
      </c>
      <c r="K19" s="78" t="n">
        <v>30</v>
      </c>
      <c r="L19" s="77" t="s">
        <v>91</v>
      </c>
      <c r="M19" s="77" t="s">
        <v>92</v>
      </c>
      <c r="N19" s="77" t="s">
        <v>63</v>
      </c>
      <c r="O19" s="85" t="str">
        <f aca="false">IF($A19="","",IF(OR($B19="",$G19="",$H19=""),"Angaben fehlen",IF($H19&lt;=$G19,"Zeit prüfen",IF($N19="Storniert","–",IF(COUNTIFS($D$8:$D$127,$D19,$B$8:$B$127,$B19,$N$8:$N$127,"&lt;&gt;Storniert",$S$8:$S$127,"&lt;"&amp;$T19,$T$8:$T$127,"&gt;"&amp;$S19)&gt;1,"Überschneidung",IF($K19&gt;IFERROR(INDEX(Stammdaten!$D$8:$D$19,MATCH($D19,Stammdaten!$A$8:$A$19,0)),999),"Kapazität prüfen","OK"))))))</f>
        <v>OK</v>
      </c>
      <c r="P19" s="86" t="str">
        <f aca="false">IF($A19="","",IF($N19="Reserviert",$F19&amp;"*",$F19))</f>
        <v>ONBO</v>
      </c>
      <c r="Q19" s="81"/>
      <c r="R19" s="87" t="n">
        <f aca="false">IF($A19="","",ROW())</f>
        <v>19</v>
      </c>
      <c r="S19" s="87" t="n">
        <f aca="false">IF($G19="","",ROUND($G19*1440,0))</f>
        <v>540</v>
      </c>
      <c r="T19" s="87" t="n">
        <f aca="false">IF($H19="","",ROUND($H19*1440,0))</f>
        <v>600</v>
      </c>
    </row>
    <row r="20" customFormat="false" ht="15" hidden="false" customHeight="true" outlineLevel="0" collapsed="false">
      <c r="A20" s="71" t="s">
        <v>120</v>
      </c>
      <c r="B20" s="72" t="n">
        <v>46223</v>
      </c>
      <c r="C20" s="73" t="n">
        <f aca="false">IF($B20="","",$B20)</f>
        <v>46223</v>
      </c>
      <c r="D20" s="71" t="s">
        <v>101</v>
      </c>
      <c r="E20" s="74" t="s">
        <v>58</v>
      </c>
      <c r="F20" s="71" t="s">
        <v>59</v>
      </c>
      <c r="G20" s="75" t="n">
        <v>0.416666666666667</v>
      </c>
      <c r="H20" s="75" t="n">
        <v>0.479166666666667</v>
      </c>
      <c r="I20" s="76" t="n">
        <f aca="false">IF(OR($G20="",$H20=""),"",ROUND(($H20-$G20)*24,2))</f>
        <v>1.5</v>
      </c>
      <c r="J20" s="77" t="s">
        <v>121</v>
      </c>
      <c r="K20" s="78" t="n">
        <v>10</v>
      </c>
      <c r="L20" s="77" t="s">
        <v>61</v>
      </c>
      <c r="M20" s="77" t="s">
        <v>62</v>
      </c>
      <c r="N20" s="77" t="s">
        <v>63</v>
      </c>
      <c r="O20" s="79" t="str">
        <f aca="false">IF($A20="","",IF(OR($B20="",$G20="",$H20=""),"Angaben fehlen",IF($H20&lt;=$G20,"Zeit prüfen",IF($N20="Storniert","–",IF(COUNTIFS($D$8:$D$127,$D20,$B$8:$B$127,$B20,$N$8:$N$127,"&lt;&gt;Storniert",$S$8:$S$127,"&lt;"&amp;$T20,$T$8:$T$127,"&gt;"&amp;$S20)&gt;1,"Überschneidung",IF($K20&gt;IFERROR(INDEX(Stammdaten!$D$8:$D$19,MATCH($D20,Stammdaten!$A$8:$A$19,0)),999),"Kapazität prüfen","OK"))))))</f>
        <v>OK</v>
      </c>
      <c r="P20" s="80" t="str">
        <f aca="false">IF($A20="","",IF($N20="Reserviert",$F20&amp;"*",$F20))</f>
        <v>JOUR</v>
      </c>
      <c r="Q20" s="81" t="s">
        <v>85</v>
      </c>
      <c r="R20" s="82" t="n">
        <f aca="false">IF($A20="","",ROW())</f>
        <v>20</v>
      </c>
      <c r="S20" s="82" t="n">
        <f aca="false">IF($G20="","",ROUND($G20*1440,0))</f>
        <v>600</v>
      </c>
      <c r="T20" s="82" t="n">
        <f aca="false">IF($H20="","",ROUND($H20*1440,0))</f>
        <v>690</v>
      </c>
    </row>
    <row r="21" customFormat="false" ht="15" hidden="false" customHeight="true" outlineLevel="0" collapsed="false">
      <c r="A21" s="71" t="s">
        <v>122</v>
      </c>
      <c r="B21" s="72" t="n">
        <v>46223</v>
      </c>
      <c r="C21" s="83" t="n">
        <f aca="false">IF($B21="","",$B21)</f>
        <v>46223</v>
      </c>
      <c r="D21" s="71" t="s">
        <v>72</v>
      </c>
      <c r="E21" s="74" t="s">
        <v>73</v>
      </c>
      <c r="F21" s="71" t="s">
        <v>74</v>
      </c>
      <c r="G21" s="75" t="n">
        <v>0.4375</v>
      </c>
      <c r="H21" s="75" t="n">
        <v>0.520833333333333</v>
      </c>
      <c r="I21" s="84" t="n">
        <f aca="false">IF(OR($G21="",$H21=""),"",ROUND(($H21-$G21)*24,2))</f>
        <v>2</v>
      </c>
      <c r="J21" s="77" t="s">
        <v>123</v>
      </c>
      <c r="K21" s="78" t="n">
        <v>9</v>
      </c>
      <c r="L21" s="77" t="s">
        <v>98</v>
      </c>
      <c r="M21" s="77" t="s">
        <v>99</v>
      </c>
      <c r="N21" s="77" t="s">
        <v>63</v>
      </c>
      <c r="O21" s="85" t="str">
        <f aca="false">IF($A21="","",IF(OR($B21="",$G21="",$H21=""),"Angaben fehlen",IF($H21&lt;=$G21,"Zeit prüfen",IF($N21="Storniert","–",IF(COUNTIFS($D$8:$D$127,$D21,$B$8:$B$127,$B21,$N$8:$N$127,"&lt;&gt;Storniert",$S$8:$S$127,"&lt;"&amp;$T21,$T$8:$T$127,"&gt;"&amp;$S21)&gt;1,"Überschneidung",IF($K21&gt;IFERROR(INDEX(Stammdaten!$D$8:$D$19,MATCH($D21,Stammdaten!$A$8:$A$19,0)),999),"Kapazität prüfen","OK"))))))</f>
        <v>OK</v>
      </c>
      <c r="P21" s="86" t="str">
        <f aca="false">IF($A21="","",IF($N21="Reserviert",$F21&amp;"*",$F21))</f>
        <v>BEWT</v>
      </c>
      <c r="Q21" s="81" t="s">
        <v>124</v>
      </c>
      <c r="R21" s="87" t="n">
        <f aca="false">IF($A21="","",ROW())</f>
        <v>21</v>
      </c>
      <c r="S21" s="87" t="n">
        <f aca="false">IF($G21="","",ROUND($G21*1440,0))</f>
        <v>630</v>
      </c>
      <c r="T21" s="87" t="n">
        <f aca="false">IF($H21="","",ROUND($H21*1440,0))</f>
        <v>750</v>
      </c>
    </row>
    <row r="22" customFormat="false" ht="15" hidden="false" customHeight="true" outlineLevel="0" collapsed="false">
      <c r="A22" s="71" t="s">
        <v>125</v>
      </c>
      <c r="B22" s="72" t="n">
        <v>46223</v>
      </c>
      <c r="C22" s="73" t="n">
        <f aca="false">IF($B22="","",$B22)</f>
        <v>46223</v>
      </c>
      <c r="D22" s="71" t="s">
        <v>110</v>
      </c>
      <c r="E22" s="74" t="s">
        <v>80</v>
      </c>
      <c r="F22" s="71" t="s">
        <v>81</v>
      </c>
      <c r="G22" s="75" t="n">
        <v>0.4375</v>
      </c>
      <c r="H22" s="75" t="n">
        <v>0.5</v>
      </c>
      <c r="I22" s="76" t="n">
        <f aca="false">IF(OR($G22="",$H22=""),"",ROUND(($H22-$G22)*24,2))</f>
        <v>1.5</v>
      </c>
      <c r="J22" s="77" t="s">
        <v>68</v>
      </c>
      <c r="K22" s="78" t="n">
        <v>11</v>
      </c>
      <c r="L22" s="77" t="s">
        <v>91</v>
      </c>
      <c r="M22" s="77" t="s">
        <v>92</v>
      </c>
      <c r="N22" s="77" t="s">
        <v>63</v>
      </c>
      <c r="O22" s="79" t="str">
        <f aca="false">IF($A22="","",IF(OR($B22="",$G22="",$H22=""),"Angaben fehlen",IF($H22&lt;=$G22,"Zeit prüfen",IF($N22="Storniert","–",IF(COUNTIFS($D$8:$D$127,$D22,$B$8:$B$127,$B22,$N$8:$N$127,"&lt;&gt;Storniert",$S$8:$S$127,"&lt;"&amp;$T22,$T$8:$T$127,"&gt;"&amp;$S22)&gt;1,"Überschneidung",IF($K22&gt;IFERROR(INDEX(Stammdaten!$D$8:$D$19,MATCH($D22,Stammdaten!$A$8:$A$19,0)),999),"Kapazität prüfen","OK"))))))</f>
        <v>OK</v>
      </c>
      <c r="P22" s="80" t="str">
        <f aca="false">IF($A22="","",IF($N22="Reserviert",$F22&amp;"*",$F22))</f>
        <v>ONBO</v>
      </c>
      <c r="Q22" s="81"/>
      <c r="R22" s="82" t="n">
        <f aca="false">IF($A22="","",ROW())</f>
        <v>22</v>
      </c>
      <c r="S22" s="82" t="n">
        <f aca="false">IF($G22="","",ROUND($G22*1440,0))</f>
        <v>630</v>
      </c>
      <c r="T22" s="82" t="n">
        <f aca="false">IF($H22="","",ROUND($H22*1440,0))</f>
        <v>720</v>
      </c>
    </row>
    <row r="23" customFormat="false" ht="15" hidden="false" customHeight="true" outlineLevel="0" collapsed="false">
      <c r="A23" s="71" t="s">
        <v>126</v>
      </c>
      <c r="B23" s="72" t="n">
        <v>46223</v>
      </c>
      <c r="C23" s="83" t="n">
        <f aca="false">IF($B23="","",$B23)</f>
        <v>46223</v>
      </c>
      <c r="D23" s="71" t="s">
        <v>65</v>
      </c>
      <c r="E23" s="74" t="s">
        <v>127</v>
      </c>
      <c r="F23" s="71" t="s">
        <v>128</v>
      </c>
      <c r="G23" s="75" t="n">
        <v>0.458333333333333</v>
      </c>
      <c r="H23" s="75" t="n">
        <v>0.583333333333333</v>
      </c>
      <c r="I23" s="84" t="n">
        <f aca="false">IF(OR($G23="",$H23=""),"",ROUND(($H23-$G23)*24,2))</f>
        <v>3</v>
      </c>
      <c r="J23" s="77" t="s">
        <v>88</v>
      </c>
      <c r="K23" s="78" t="n">
        <v>2</v>
      </c>
      <c r="L23" s="77" t="s">
        <v>83</v>
      </c>
      <c r="M23" s="77" t="s">
        <v>92</v>
      </c>
      <c r="N23" s="77" t="s">
        <v>76</v>
      </c>
      <c r="O23" s="85" t="str">
        <f aca="false">IF($A23="","",IF(OR($B23="",$G23="",$H23=""),"Angaben fehlen",IF($H23&lt;=$G23,"Zeit prüfen",IF($N23="Storniert","–",IF(COUNTIFS($D$8:$D$127,$D23,$B$8:$B$127,$B23,$N$8:$N$127,"&lt;&gt;Storniert",$S$8:$S$127,"&lt;"&amp;$T23,$T$8:$T$127,"&gt;"&amp;$S23)&gt;1,"Überschneidung",IF($K23&gt;IFERROR(INDEX(Stammdaten!$D$8:$D$19,MATCH($D23,Stammdaten!$A$8:$A$19,0)),999),"Kapazität prüfen","OK"))))))</f>
        <v>OK</v>
      </c>
      <c r="P23" s="86" t="str">
        <f aca="false">IF($A23="","",IF($N23="Reserviert",$F23&amp;"*",$F23))</f>
        <v>FORT*</v>
      </c>
      <c r="Q23" s="81" t="s">
        <v>77</v>
      </c>
      <c r="R23" s="87" t="n">
        <f aca="false">IF($A23="","",ROW())</f>
        <v>23</v>
      </c>
      <c r="S23" s="87" t="n">
        <f aca="false">IF($G23="","",ROUND($G23*1440,0))</f>
        <v>660</v>
      </c>
      <c r="T23" s="87" t="n">
        <f aca="false">IF($H23="","",ROUND($H23*1440,0))</f>
        <v>840</v>
      </c>
    </row>
    <row r="24" customFormat="false" ht="15" hidden="false" customHeight="true" outlineLevel="0" collapsed="false">
      <c r="A24" s="71" t="s">
        <v>129</v>
      </c>
      <c r="B24" s="72" t="n">
        <v>46223</v>
      </c>
      <c r="C24" s="73" t="n">
        <f aca="false">IF($B24="","",$B24)</f>
        <v>46223</v>
      </c>
      <c r="D24" s="71" t="s">
        <v>104</v>
      </c>
      <c r="E24" s="74" t="s">
        <v>130</v>
      </c>
      <c r="F24" s="71" t="s">
        <v>131</v>
      </c>
      <c r="G24" s="75" t="n">
        <v>0.458333333333333</v>
      </c>
      <c r="H24" s="75" t="n">
        <v>0.541666666666667</v>
      </c>
      <c r="I24" s="76" t="n">
        <f aca="false">IF(OR($G24="",$H24=""),"",ROUND(($H24-$G24)*24,2))</f>
        <v>2</v>
      </c>
      <c r="J24" s="77" t="s">
        <v>123</v>
      </c>
      <c r="K24" s="78" t="n">
        <v>4</v>
      </c>
      <c r="L24" s="77" t="s">
        <v>91</v>
      </c>
      <c r="M24" s="77" t="s">
        <v>84</v>
      </c>
      <c r="N24" s="77" t="s">
        <v>63</v>
      </c>
      <c r="O24" s="79" t="str">
        <f aca="false">IF($A24="","",IF(OR($B24="",$G24="",$H24=""),"Angaben fehlen",IF($H24&lt;=$G24,"Zeit prüfen",IF($N24="Storniert","–",IF(COUNTIFS($D$8:$D$127,$D24,$B$8:$B$127,$B24,$N$8:$N$127,"&lt;&gt;Storniert",$S$8:$S$127,"&lt;"&amp;$T24,$T$8:$T$127,"&gt;"&amp;$S24)&gt;1,"Überschneidung",IF($K24&gt;IFERROR(INDEX(Stammdaten!$D$8:$D$19,MATCH($D24,Stammdaten!$A$8:$A$19,0)),999),"Kapazität prüfen","OK"))))))</f>
        <v>OK</v>
      </c>
      <c r="P24" s="80" t="str">
        <f aca="false">IF($A24="","",IF($N24="Reserviert",$F24&amp;"*",$F24))</f>
        <v>KLAU</v>
      </c>
      <c r="Q24" s="81" t="s">
        <v>102</v>
      </c>
      <c r="R24" s="82" t="n">
        <f aca="false">IF($A24="","",ROW())</f>
        <v>24</v>
      </c>
      <c r="S24" s="82" t="n">
        <f aca="false">IF($G24="","",ROUND($G24*1440,0))</f>
        <v>660</v>
      </c>
      <c r="T24" s="82" t="n">
        <f aca="false">IF($H24="","",ROUND($H24*1440,0))</f>
        <v>780</v>
      </c>
    </row>
    <row r="25" customFormat="false" ht="15" hidden="false" customHeight="true" outlineLevel="0" collapsed="false">
      <c r="A25" s="71" t="s">
        <v>132</v>
      </c>
      <c r="B25" s="72" t="n">
        <v>46223</v>
      </c>
      <c r="C25" s="83" t="n">
        <f aca="false">IF($B25="","",$B25)</f>
        <v>46223</v>
      </c>
      <c r="D25" s="71" t="s">
        <v>87</v>
      </c>
      <c r="E25" s="74" t="s">
        <v>133</v>
      </c>
      <c r="F25" s="71" t="s">
        <v>134</v>
      </c>
      <c r="G25" s="75" t="n">
        <v>0.458333333333333</v>
      </c>
      <c r="H25" s="75" t="n">
        <v>0.5</v>
      </c>
      <c r="I25" s="84" t="n">
        <f aca="false">IF(OR($G25="",$H25=""),"",ROUND(($H25-$G25)*24,2))</f>
        <v>1</v>
      </c>
      <c r="J25" s="77" t="s">
        <v>82</v>
      </c>
      <c r="K25" s="78" t="n">
        <v>6</v>
      </c>
      <c r="L25" s="77" t="s">
        <v>91</v>
      </c>
      <c r="M25" s="77" t="s">
        <v>99</v>
      </c>
      <c r="N25" s="77" t="s">
        <v>63</v>
      </c>
      <c r="O25" s="85" t="str">
        <f aca="false">IF($A25="","",IF(OR($B25="",$G25="",$H25=""),"Angaben fehlen",IF($H25&lt;=$G25,"Zeit prüfen",IF($N25="Storniert","–",IF(COUNTIFS($D$8:$D$127,$D25,$B$8:$B$127,$B25,$N$8:$N$127,"&lt;&gt;Storniert",$S$8:$S$127,"&lt;"&amp;$T25,$T$8:$T$127,"&gt;"&amp;$S25)&gt;1,"Überschneidung",IF($K25&gt;IFERROR(INDEX(Stammdaten!$D$8:$D$19,MATCH($D25,Stammdaten!$A$8:$A$19,0)),999),"Kapazität prüfen","OK"))))))</f>
        <v>OK</v>
      </c>
      <c r="P25" s="86" t="str">
        <f aca="false">IF($A25="","",IF($N25="Reserviert",$F25&amp;"*",$F25))</f>
        <v>SITZ</v>
      </c>
      <c r="Q25" s="81" t="s">
        <v>111</v>
      </c>
      <c r="R25" s="87" t="n">
        <f aca="false">IF($A25="","",ROW())</f>
        <v>25</v>
      </c>
      <c r="S25" s="87" t="n">
        <f aca="false">IF($G25="","",ROUND($G25*1440,0))</f>
        <v>660</v>
      </c>
      <c r="T25" s="87" t="n">
        <f aca="false">IF($H25="","",ROUND($H25*1440,0))</f>
        <v>720</v>
      </c>
    </row>
    <row r="26" customFormat="false" ht="15" hidden="false" customHeight="true" outlineLevel="0" collapsed="false">
      <c r="A26" s="71" t="s">
        <v>135</v>
      </c>
      <c r="B26" s="72" t="n">
        <v>46223</v>
      </c>
      <c r="C26" s="73" t="n">
        <f aca="false">IF($B26="","",$B26)</f>
        <v>46223</v>
      </c>
      <c r="D26" s="71" t="s">
        <v>113</v>
      </c>
      <c r="E26" s="74" t="s">
        <v>130</v>
      </c>
      <c r="F26" s="71" t="s">
        <v>131</v>
      </c>
      <c r="G26" s="75" t="n">
        <v>0.458333333333333</v>
      </c>
      <c r="H26" s="75" t="n">
        <v>0.541666666666667</v>
      </c>
      <c r="I26" s="76" t="n">
        <f aca="false">IF(OR($G26="",$H26=""),"",ROUND(($H26-$G26)*24,2))</f>
        <v>2</v>
      </c>
      <c r="J26" s="77" t="s">
        <v>123</v>
      </c>
      <c r="K26" s="78" t="n">
        <v>8</v>
      </c>
      <c r="L26" s="77" t="s">
        <v>98</v>
      </c>
      <c r="M26" s="77" t="s">
        <v>70</v>
      </c>
      <c r="N26" s="77" t="s">
        <v>63</v>
      </c>
      <c r="O26" s="79" t="str">
        <f aca="false">IF($A26="","",IF(OR($B26="",$G26="",$H26=""),"Angaben fehlen",IF($H26&lt;=$G26,"Zeit prüfen",IF($N26="Storniert","–",IF(COUNTIFS($D$8:$D$127,$D26,$B$8:$B$127,$B26,$N$8:$N$127,"&lt;&gt;Storniert",$S$8:$S$127,"&lt;"&amp;$T26,$T$8:$T$127,"&gt;"&amp;$S26)&gt;1,"Überschneidung",IF($K26&gt;IFERROR(INDEX(Stammdaten!$D$8:$D$19,MATCH($D26,Stammdaten!$A$8:$A$19,0)),999),"Kapazität prüfen","OK"))))))</f>
        <v>OK</v>
      </c>
      <c r="P26" s="80" t="str">
        <f aca="false">IF($A26="","",IF($N26="Reserviert",$F26&amp;"*",$F26))</f>
        <v>KLAU</v>
      </c>
      <c r="Q26" s="81"/>
      <c r="R26" s="82" t="n">
        <f aca="false">IF($A26="","",ROW())</f>
        <v>26</v>
      </c>
      <c r="S26" s="82" t="n">
        <f aca="false">IF($G26="","",ROUND($G26*1440,0))</f>
        <v>660</v>
      </c>
      <c r="T26" s="82" t="n">
        <f aca="false">IF($H26="","",ROUND($H26*1440,0))</f>
        <v>780</v>
      </c>
    </row>
    <row r="27" customFormat="false" ht="15" hidden="false" customHeight="true" outlineLevel="0" collapsed="false">
      <c r="A27" s="71" t="s">
        <v>136</v>
      </c>
      <c r="B27" s="72" t="n">
        <v>46223</v>
      </c>
      <c r="C27" s="83" t="n">
        <f aca="false">IF($B27="","",$B27)</f>
        <v>46223</v>
      </c>
      <c r="D27" s="71" t="s">
        <v>79</v>
      </c>
      <c r="E27" s="74" t="s">
        <v>95</v>
      </c>
      <c r="F27" s="71" t="s">
        <v>96</v>
      </c>
      <c r="G27" s="75" t="n">
        <v>0.458333333333333</v>
      </c>
      <c r="H27" s="75" t="n">
        <v>0.541666666666667</v>
      </c>
      <c r="I27" s="84" t="n">
        <f aca="false">IF(OR($G27="",$H27=""),"",ROUND(($H27-$G27)*24,2))</f>
        <v>2</v>
      </c>
      <c r="J27" s="77" t="s">
        <v>97</v>
      </c>
      <c r="K27" s="78" t="n">
        <v>2</v>
      </c>
      <c r="L27" s="77" t="s">
        <v>91</v>
      </c>
      <c r="M27" s="77" t="s">
        <v>99</v>
      </c>
      <c r="N27" s="77" t="s">
        <v>76</v>
      </c>
      <c r="O27" s="85" t="str">
        <f aca="false">IF($A27="","",IF(OR($B27="",$G27="",$H27=""),"Angaben fehlen",IF($H27&lt;=$G27,"Zeit prüfen",IF($N27="Storniert","–",IF(COUNTIFS($D$8:$D$127,$D27,$B$8:$B$127,$B27,$N$8:$N$127,"&lt;&gt;Storniert",$S$8:$S$127,"&lt;"&amp;$T27,$T$8:$T$127,"&gt;"&amp;$S27)&gt;1,"Überschneidung",IF($K27&gt;IFERROR(INDEX(Stammdaten!$D$8:$D$19,MATCH($D27,Stammdaten!$A$8:$A$19,0)),999),"Kapazität prüfen","OK"))))))</f>
        <v>OK</v>
      </c>
      <c r="P27" s="86" t="str">
        <f aca="false">IF($A27="","",IF($N27="Reserviert",$F27&amp;"*",$F27))</f>
        <v>SCHU*</v>
      </c>
      <c r="Q27" s="81" t="s">
        <v>77</v>
      </c>
      <c r="R27" s="87" t="n">
        <f aca="false">IF($A27="","",ROW())</f>
        <v>27</v>
      </c>
      <c r="S27" s="87" t="n">
        <f aca="false">IF($G27="","",ROUND($G27*1440,0))</f>
        <v>660</v>
      </c>
      <c r="T27" s="87" t="n">
        <f aca="false">IF($H27="","",ROUND($H27*1440,0))</f>
        <v>780</v>
      </c>
    </row>
    <row r="28" customFormat="false" ht="15" hidden="false" customHeight="true" outlineLevel="0" collapsed="false">
      <c r="A28" s="71" t="s">
        <v>137</v>
      </c>
      <c r="B28" s="72" t="n">
        <v>46223</v>
      </c>
      <c r="C28" s="73" t="n">
        <f aca="false">IF($B28="","",$B28)</f>
        <v>46223</v>
      </c>
      <c r="D28" s="71" t="s">
        <v>90</v>
      </c>
      <c r="E28" s="74" t="s">
        <v>114</v>
      </c>
      <c r="F28" s="71" t="s">
        <v>115</v>
      </c>
      <c r="G28" s="75" t="n">
        <v>0.479166666666667</v>
      </c>
      <c r="H28" s="75" t="n">
        <v>0.520833333333333</v>
      </c>
      <c r="I28" s="76" t="n">
        <f aca="false">IF(OR($G28="",$H28=""),"",ROUND(($H28-$G28)*24,2))</f>
        <v>1</v>
      </c>
      <c r="J28" s="77" t="s">
        <v>60</v>
      </c>
      <c r="K28" s="78" t="n">
        <v>0</v>
      </c>
      <c r="L28" s="77" t="s">
        <v>69</v>
      </c>
      <c r="M28" s="77" t="s">
        <v>99</v>
      </c>
      <c r="N28" s="77" t="s">
        <v>116</v>
      </c>
      <c r="O28" s="79" t="str">
        <f aca="false">IF($A28="","",IF(OR($B28="",$G28="",$H28=""),"Angaben fehlen",IF($H28&lt;=$G28,"Zeit prüfen",IF($N28="Storniert","–",IF(COUNTIFS($D$8:$D$127,$D28,$B$8:$B$127,$B28,$N$8:$N$127,"&lt;&gt;Storniert",$S$8:$S$127,"&lt;"&amp;$T28,$T$8:$T$127,"&gt;"&amp;$S28)&gt;1,"Überschneidung",IF($K28&gt;IFERROR(INDEX(Stammdaten!$D$8:$D$19,MATCH($D28,Stammdaten!$A$8:$A$19,0)),999),"Kapazität prüfen","OK"))))))</f>
        <v>OK</v>
      </c>
      <c r="P28" s="80" t="str">
        <f aca="false">IF($A28="","",IF($N28="Reserviert",$F28&amp;"*",$F28))</f>
        <v>WTG</v>
      </c>
      <c r="Q28" s="81" t="s">
        <v>117</v>
      </c>
      <c r="R28" s="82" t="n">
        <f aca="false">IF($A28="","",ROW())</f>
        <v>28</v>
      </c>
      <c r="S28" s="82" t="n">
        <f aca="false">IF($G28="","",ROUND($G28*1440,0))</f>
        <v>690</v>
      </c>
      <c r="T28" s="82" t="n">
        <f aca="false">IF($H28="","",ROUND($H28*1440,0))</f>
        <v>750</v>
      </c>
    </row>
    <row r="29" customFormat="false" ht="15" hidden="false" customHeight="true" outlineLevel="0" collapsed="false">
      <c r="A29" s="71" t="s">
        <v>138</v>
      </c>
      <c r="B29" s="72" t="n">
        <v>46223</v>
      </c>
      <c r="C29" s="83" t="n">
        <f aca="false">IF($B29="","",$B29)</f>
        <v>46223</v>
      </c>
      <c r="D29" s="71" t="s">
        <v>119</v>
      </c>
      <c r="E29" s="74" t="s">
        <v>95</v>
      </c>
      <c r="F29" s="71" t="s">
        <v>96</v>
      </c>
      <c r="G29" s="75" t="n">
        <v>0.5</v>
      </c>
      <c r="H29" s="75" t="n">
        <v>0.5625</v>
      </c>
      <c r="I29" s="84" t="n">
        <f aca="false">IF(OR($G29="",$H29=""),"",ROUND(($H29-$G29)*24,2))</f>
        <v>1.5</v>
      </c>
      <c r="J29" s="77" t="s">
        <v>121</v>
      </c>
      <c r="K29" s="78" t="n">
        <v>23</v>
      </c>
      <c r="L29" s="77" t="s">
        <v>83</v>
      </c>
      <c r="M29" s="77" t="s">
        <v>62</v>
      </c>
      <c r="N29" s="77" t="s">
        <v>63</v>
      </c>
      <c r="O29" s="85" t="str">
        <f aca="false">IF($A29="","",IF(OR($B29="",$G29="",$H29=""),"Angaben fehlen",IF($H29&lt;=$G29,"Zeit prüfen",IF($N29="Storniert","–",IF(COUNTIFS($D$8:$D$127,$D29,$B$8:$B$127,$B29,$N$8:$N$127,"&lt;&gt;Storniert",$S$8:$S$127,"&lt;"&amp;$T29,$T$8:$T$127,"&gt;"&amp;$S29)&gt;1,"Überschneidung",IF($K29&gt;IFERROR(INDEX(Stammdaten!$D$8:$D$19,MATCH($D29,Stammdaten!$A$8:$A$19,0)),999),"Kapazität prüfen","OK"))))))</f>
        <v>OK</v>
      </c>
      <c r="P29" s="86" t="str">
        <f aca="false">IF($A29="","",IF($N29="Reserviert",$F29&amp;"*",$F29))</f>
        <v>SCHU</v>
      </c>
      <c r="Q29" s="81"/>
      <c r="R29" s="87" t="n">
        <f aca="false">IF($A29="","",ROW())</f>
        <v>29</v>
      </c>
      <c r="S29" s="87" t="n">
        <f aca="false">IF($G29="","",ROUND($G29*1440,0))</f>
        <v>720</v>
      </c>
      <c r="T29" s="87" t="n">
        <f aca="false">IF($H29="","",ROUND($H29*1440,0))</f>
        <v>810</v>
      </c>
    </row>
    <row r="30" customFormat="false" ht="15" hidden="false" customHeight="true" outlineLevel="0" collapsed="false">
      <c r="A30" s="71" t="s">
        <v>139</v>
      </c>
      <c r="B30" s="72" t="n">
        <v>46223</v>
      </c>
      <c r="C30" s="73" t="n">
        <f aca="false">IF($B30="","",$B30)</f>
        <v>46223</v>
      </c>
      <c r="D30" s="71" t="s">
        <v>72</v>
      </c>
      <c r="E30" s="74" t="s">
        <v>73</v>
      </c>
      <c r="F30" s="71" t="s">
        <v>74</v>
      </c>
      <c r="G30" s="75" t="n">
        <v>0.541666666666667</v>
      </c>
      <c r="H30" s="75" t="n">
        <v>0.604166666666667</v>
      </c>
      <c r="I30" s="76" t="n">
        <f aca="false">IF(OR($G30="",$H30=""),"",ROUND(($H30-$G30)*24,2))</f>
        <v>1.5</v>
      </c>
      <c r="J30" s="77" t="s">
        <v>82</v>
      </c>
      <c r="K30" s="78" t="n">
        <v>8</v>
      </c>
      <c r="L30" s="77" t="s">
        <v>61</v>
      </c>
      <c r="M30" s="77" t="s">
        <v>99</v>
      </c>
      <c r="N30" s="77" t="s">
        <v>63</v>
      </c>
      <c r="O30" s="79" t="str">
        <f aca="false">IF($A30="","",IF(OR($B30="",$G30="",$H30=""),"Angaben fehlen",IF($H30&lt;=$G30,"Zeit prüfen",IF($N30="Storniert","–",IF(COUNTIFS($D$8:$D$127,$D30,$B$8:$B$127,$B30,$N$8:$N$127,"&lt;&gt;Storniert",$S$8:$S$127,"&lt;"&amp;$T30,$T$8:$T$127,"&gt;"&amp;$S30)&gt;1,"Überschneidung",IF($K30&gt;IFERROR(INDEX(Stammdaten!$D$8:$D$19,MATCH($D30,Stammdaten!$A$8:$A$19,0)),999),"Kapazität prüfen","OK"))))))</f>
        <v>OK</v>
      </c>
      <c r="P30" s="80" t="str">
        <f aca="false">IF($A30="","",IF($N30="Reserviert",$F30&amp;"*",$F30))</f>
        <v>BEWT</v>
      </c>
      <c r="Q30" s="81"/>
      <c r="R30" s="82" t="n">
        <f aca="false">IF($A30="","",ROW())</f>
        <v>30</v>
      </c>
      <c r="S30" s="82" t="n">
        <f aca="false">IF($G30="","",ROUND($G30*1440,0))</f>
        <v>780</v>
      </c>
      <c r="T30" s="82" t="n">
        <f aca="false">IF($H30="","",ROUND($H30*1440,0))</f>
        <v>870</v>
      </c>
    </row>
    <row r="31" customFormat="false" ht="15" hidden="false" customHeight="true" outlineLevel="0" collapsed="false">
      <c r="A31" s="71" t="s">
        <v>140</v>
      </c>
      <c r="B31" s="72" t="n">
        <v>46223</v>
      </c>
      <c r="C31" s="83" t="n">
        <f aca="false">IF($B31="","",$B31)</f>
        <v>46223</v>
      </c>
      <c r="D31" s="71" t="s">
        <v>87</v>
      </c>
      <c r="E31" s="74" t="s">
        <v>141</v>
      </c>
      <c r="F31" s="71" t="s">
        <v>142</v>
      </c>
      <c r="G31" s="75" t="n">
        <v>0.541666666666667</v>
      </c>
      <c r="H31" s="75" t="n">
        <v>0.583333333333333</v>
      </c>
      <c r="I31" s="84" t="n">
        <f aca="false">IF(OR($G31="",$H31=""),"",ROUND(($H31-$G31)*24,2))</f>
        <v>1</v>
      </c>
      <c r="J31" s="77" t="s">
        <v>82</v>
      </c>
      <c r="K31" s="78" t="n">
        <v>19</v>
      </c>
      <c r="L31" s="77" t="s">
        <v>91</v>
      </c>
      <c r="M31" s="77" t="s">
        <v>84</v>
      </c>
      <c r="N31" s="77" t="s">
        <v>63</v>
      </c>
      <c r="O31" s="85" t="str">
        <f aca="false">IF($A31="","",IF(OR($B31="",$G31="",$H31=""),"Angaben fehlen",IF($H31&lt;=$G31,"Zeit prüfen",IF($N31="Storniert","–",IF(COUNTIFS($D$8:$D$127,$D31,$B$8:$B$127,$B31,$N$8:$N$127,"&lt;&gt;Storniert",$S$8:$S$127,"&lt;"&amp;$T31,$T$8:$T$127,"&gt;"&amp;$S31)&gt;1,"Überschneidung",IF($K31&gt;IFERROR(INDEX(Stammdaten!$D$8:$D$19,MATCH($D31,Stammdaten!$A$8:$A$19,0)),999),"Kapazität prüfen","OK"))))))</f>
        <v>OK</v>
      </c>
      <c r="P31" s="86" t="str">
        <f aca="false">IF($A31="","",IF($N31="Reserviert",$F31&amp;"*",$F31))</f>
        <v>PROJ</v>
      </c>
      <c r="Q31" s="81" t="s">
        <v>85</v>
      </c>
      <c r="R31" s="87" t="n">
        <f aca="false">IF($A31="","",ROW())</f>
        <v>31</v>
      </c>
      <c r="S31" s="87" t="n">
        <f aca="false">IF($G31="","",ROUND($G31*1440,0))</f>
        <v>780</v>
      </c>
      <c r="T31" s="87" t="n">
        <f aca="false">IF($H31="","",ROUND($H31*1440,0))</f>
        <v>840</v>
      </c>
    </row>
    <row r="32" customFormat="false" ht="15" hidden="false" customHeight="true" outlineLevel="0" collapsed="false">
      <c r="A32" s="71" t="s">
        <v>143</v>
      </c>
      <c r="B32" s="72" t="n">
        <v>46223</v>
      </c>
      <c r="C32" s="73" t="n">
        <f aca="false">IF($B32="","",$B32)</f>
        <v>46223</v>
      </c>
      <c r="D32" s="71" t="s">
        <v>113</v>
      </c>
      <c r="E32" s="74" t="s">
        <v>105</v>
      </c>
      <c r="F32" s="71" t="s">
        <v>106</v>
      </c>
      <c r="G32" s="75" t="n">
        <v>0.5625</v>
      </c>
      <c r="H32" s="75" t="n">
        <v>0.625</v>
      </c>
      <c r="I32" s="76" t="n">
        <f aca="false">IF(OR($G32="",$H32=""),"",ROUND(($H32-$G32)*24,2))</f>
        <v>1.5</v>
      </c>
      <c r="J32" s="77" t="s">
        <v>68</v>
      </c>
      <c r="K32" s="78" t="n">
        <v>12</v>
      </c>
      <c r="L32" s="77" t="s">
        <v>69</v>
      </c>
      <c r="M32" s="77" t="s">
        <v>92</v>
      </c>
      <c r="N32" s="77" t="s">
        <v>76</v>
      </c>
      <c r="O32" s="79" t="str">
        <f aca="false">IF($A32="","",IF(OR($B32="",$G32="",$H32=""),"Angaben fehlen",IF($H32&lt;=$G32,"Zeit prüfen",IF($N32="Storniert","–",IF(COUNTIFS($D$8:$D$127,$D32,$B$8:$B$127,$B32,$N$8:$N$127,"&lt;&gt;Storniert",$S$8:$S$127,"&lt;"&amp;$T32,$T$8:$T$127,"&gt;"&amp;$S32)&gt;1,"Überschneidung",IF($K32&gt;IFERROR(INDEX(Stammdaten!$D$8:$D$19,MATCH($D32,Stammdaten!$A$8:$A$19,0)),999),"Kapazität prüfen","OK"))))))</f>
        <v>OK</v>
      </c>
      <c r="P32" s="80" t="str">
        <f aca="false">IF($A32="","",IF($N32="Reserviert",$F32&amp;"*",$F32))</f>
        <v>VIKO*</v>
      </c>
      <c r="Q32" s="81" t="s">
        <v>77</v>
      </c>
      <c r="R32" s="82" t="n">
        <f aca="false">IF($A32="","",ROW())</f>
        <v>32</v>
      </c>
      <c r="S32" s="82" t="n">
        <f aca="false">IF($G32="","",ROUND($G32*1440,0))</f>
        <v>810</v>
      </c>
      <c r="T32" s="82" t="n">
        <f aca="false">IF($H32="","",ROUND($H32*1440,0))</f>
        <v>900</v>
      </c>
    </row>
    <row r="33" customFormat="false" ht="15" hidden="false" customHeight="true" outlineLevel="0" collapsed="false">
      <c r="A33" s="71" t="s">
        <v>144</v>
      </c>
      <c r="B33" s="72" t="n">
        <v>46223</v>
      </c>
      <c r="C33" s="83" t="n">
        <f aca="false">IF($B33="","",$B33)</f>
        <v>46223</v>
      </c>
      <c r="D33" s="71" t="s">
        <v>79</v>
      </c>
      <c r="E33" s="74" t="s">
        <v>141</v>
      </c>
      <c r="F33" s="71" t="s">
        <v>142</v>
      </c>
      <c r="G33" s="75" t="n">
        <v>0.583333333333333</v>
      </c>
      <c r="H33" s="75" t="n">
        <v>0.645833333333333</v>
      </c>
      <c r="I33" s="84" t="n">
        <f aca="false">IF(OR($G33="",$H33=""),"",ROUND(($H33-$G33)*24,2))</f>
        <v>1.5</v>
      </c>
      <c r="J33" s="77" t="s">
        <v>123</v>
      </c>
      <c r="K33" s="78" t="n">
        <v>2</v>
      </c>
      <c r="L33" s="77" t="s">
        <v>69</v>
      </c>
      <c r="M33" s="77" t="s">
        <v>70</v>
      </c>
      <c r="N33" s="77" t="s">
        <v>63</v>
      </c>
      <c r="O33" s="85" t="str">
        <f aca="false">IF($A33="","",IF(OR($B33="",$G33="",$H33=""),"Angaben fehlen",IF($H33&lt;=$G33,"Zeit prüfen",IF($N33="Storniert","–",IF(COUNTIFS($D$8:$D$127,$D33,$B$8:$B$127,$B33,$N$8:$N$127,"&lt;&gt;Storniert",$S$8:$S$127,"&lt;"&amp;$T33,$T$8:$T$127,"&gt;"&amp;$S33)&gt;1,"Überschneidung",IF($K33&gt;IFERROR(INDEX(Stammdaten!$D$8:$D$19,MATCH($D33,Stammdaten!$A$8:$A$19,0)),999),"Kapazität prüfen","OK"))))))</f>
        <v>OK</v>
      </c>
      <c r="P33" s="86" t="str">
        <f aca="false">IF($A33="","",IF($N33="Reserviert",$F33&amp;"*",$F33))</f>
        <v>PROJ</v>
      </c>
      <c r="Q33" s="81" t="s">
        <v>85</v>
      </c>
      <c r="R33" s="87" t="n">
        <f aca="false">IF($A33="","",ROW())</f>
        <v>33</v>
      </c>
      <c r="S33" s="87" t="n">
        <f aca="false">IF($G33="","",ROUND($G33*1440,0))</f>
        <v>840</v>
      </c>
      <c r="T33" s="87" t="n">
        <f aca="false">IF($H33="","",ROUND($H33*1440,0))</f>
        <v>930</v>
      </c>
    </row>
    <row r="34" customFormat="false" ht="15" hidden="false" customHeight="true" outlineLevel="0" collapsed="false">
      <c r="A34" s="71" t="s">
        <v>145</v>
      </c>
      <c r="B34" s="72" t="n">
        <v>46223</v>
      </c>
      <c r="C34" s="73" t="n">
        <f aca="false">IF($B34="","",$B34)</f>
        <v>46223</v>
      </c>
      <c r="D34" s="71" t="s">
        <v>65</v>
      </c>
      <c r="E34" s="74" t="s">
        <v>146</v>
      </c>
      <c r="F34" s="71" t="s">
        <v>147</v>
      </c>
      <c r="G34" s="75" t="n">
        <v>0.604166666666667</v>
      </c>
      <c r="H34" s="75" t="n">
        <v>0.6875</v>
      </c>
      <c r="I34" s="76" t="n">
        <f aca="false">IF(OR($G34="",$H34=""),"",ROUND(($H34-$G34)*24,2))</f>
        <v>2</v>
      </c>
      <c r="J34" s="77" t="s">
        <v>68</v>
      </c>
      <c r="K34" s="78" t="n">
        <v>7</v>
      </c>
      <c r="L34" s="77" t="s">
        <v>83</v>
      </c>
      <c r="M34" s="77" t="s">
        <v>92</v>
      </c>
      <c r="N34" s="77" t="s">
        <v>76</v>
      </c>
      <c r="O34" s="79" t="str">
        <f aca="false">IF($A34="","",IF(OR($B34="",$G34="",$H34=""),"Angaben fehlen",IF($H34&lt;=$G34,"Zeit prüfen",IF($N34="Storniert","–",IF(COUNTIFS($D$8:$D$127,$D34,$B$8:$B$127,$B34,$N$8:$N$127,"&lt;&gt;Storniert",$S$8:$S$127,"&lt;"&amp;$T34,$T$8:$T$127,"&gt;"&amp;$S34)&gt;1,"Überschneidung",IF($K34&gt;IFERROR(INDEX(Stammdaten!$D$8:$D$19,MATCH($D34,Stammdaten!$A$8:$A$19,0)),999),"Kapazität prüfen","OK"))))))</f>
        <v>OK</v>
      </c>
      <c r="P34" s="80" t="str">
        <f aca="false">IF($A34="","",IF($N34="Reserviert",$F34&amp;"*",$F34))</f>
        <v>BEWE*</v>
      </c>
      <c r="Q34" s="81" t="s">
        <v>77</v>
      </c>
      <c r="R34" s="82" t="n">
        <f aca="false">IF($A34="","",ROW())</f>
        <v>34</v>
      </c>
      <c r="S34" s="82" t="n">
        <f aca="false">IF($G34="","",ROUND($G34*1440,0))</f>
        <v>870</v>
      </c>
      <c r="T34" s="82" t="n">
        <f aca="false">IF($H34="","",ROUND($H34*1440,0))</f>
        <v>990</v>
      </c>
    </row>
    <row r="35" customFormat="false" ht="15" hidden="false" customHeight="true" outlineLevel="0" collapsed="false">
      <c r="A35" s="71" t="s">
        <v>148</v>
      </c>
      <c r="B35" s="72" t="n">
        <v>46223</v>
      </c>
      <c r="C35" s="83" t="n">
        <f aca="false">IF($B35="","",$B35)</f>
        <v>46223</v>
      </c>
      <c r="D35" s="71" t="s">
        <v>104</v>
      </c>
      <c r="E35" s="74" t="s">
        <v>73</v>
      </c>
      <c r="F35" s="71" t="s">
        <v>74</v>
      </c>
      <c r="G35" s="75" t="n">
        <v>0.625</v>
      </c>
      <c r="H35" s="75" t="n">
        <v>0.75</v>
      </c>
      <c r="I35" s="84" t="n">
        <f aca="false">IF(OR($G35="",$H35=""),"",ROUND(($H35-$G35)*24,2))</f>
        <v>3</v>
      </c>
      <c r="J35" s="77" t="s">
        <v>68</v>
      </c>
      <c r="K35" s="78" t="n">
        <v>7</v>
      </c>
      <c r="L35" s="77" t="s">
        <v>61</v>
      </c>
      <c r="M35" s="77" t="s">
        <v>62</v>
      </c>
      <c r="N35" s="77" t="s">
        <v>63</v>
      </c>
      <c r="O35" s="85" t="str">
        <f aca="false">IF($A35="","",IF(OR($B35="",$G35="",$H35=""),"Angaben fehlen",IF($H35&lt;=$G35,"Zeit prüfen",IF($N35="Storniert","–",IF(COUNTIFS($D$8:$D$127,$D35,$B$8:$B$127,$B35,$N$8:$N$127,"&lt;&gt;Storniert",$S$8:$S$127,"&lt;"&amp;$T35,$T$8:$T$127,"&gt;"&amp;$S35)&gt;1,"Überschneidung",IF($K35&gt;IFERROR(INDEX(Stammdaten!$D$8:$D$19,MATCH($D35,Stammdaten!$A$8:$A$19,0)),999),"Kapazität prüfen","OK"))))))</f>
        <v>OK</v>
      </c>
      <c r="P35" s="86" t="str">
        <f aca="false">IF($A35="","",IF($N35="Reserviert",$F35&amp;"*",$F35))</f>
        <v>BEWT</v>
      </c>
      <c r="Q35" s="81"/>
      <c r="R35" s="87" t="n">
        <f aca="false">IF($A35="","",ROW())</f>
        <v>35</v>
      </c>
      <c r="S35" s="87" t="n">
        <f aca="false">IF($G35="","",ROUND($G35*1440,0))</f>
        <v>900</v>
      </c>
      <c r="T35" s="87" t="n">
        <f aca="false">IF($H35="","",ROUND($H35*1440,0))</f>
        <v>1080</v>
      </c>
    </row>
    <row r="36" customFormat="false" ht="15" hidden="false" customHeight="true" outlineLevel="0" collapsed="false">
      <c r="A36" s="71" t="s">
        <v>149</v>
      </c>
      <c r="B36" s="72" t="n">
        <v>46224</v>
      </c>
      <c r="C36" s="73" t="n">
        <f aca="false">IF($B36="","",$B36)</f>
        <v>46224</v>
      </c>
      <c r="D36" s="71" t="s">
        <v>72</v>
      </c>
      <c r="E36" s="74" t="s">
        <v>66</v>
      </c>
      <c r="F36" s="71" t="s">
        <v>67</v>
      </c>
      <c r="G36" s="75" t="n">
        <v>0.291666666666667</v>
      </c>
      <c r="H36" s="75" t="n">
        <v>0.375</v>
      </c>
      <c r="I36" s="76" t="n">
        <f aca="false">IF(OR($G36="",$H36=""),"",ROUND(($H36-$G36)*24,2))</f>
        <v>2</v>
      </c>
      <c r="J36" s="77" t="s">
        <v>97</v>
      </c>
      <c r="K36" s="78" t="n">
        <v>9</v>
      </c>
      <c r="L36" s="77" t="s">
        <v>83</v>
      </c>
      <c r="M36" s="77" t="s">
        <v>108</v>
      </c>
      <c r="N36" s="77" t="s">
        <v>63</v>
      </c>
      <c r="O36" s="79" t="str">
        <f aca="false">IF($A36="","",IF(OR($B36="",$G36="",$H36=""),"Angaben fehlen",IF($H36&lt;=$G36,"Zeit prüfen",IF($N36="Storniert","–",IF(COUNTIFS($D$8:$D$127,$D36,$B$8:$B$127,$B36,$N$8:$N$127,"&lt;&gt;Storniert",$S$8:$S$127,"&lt;"&amp;$T36,$T$8:$T$127,"&gt;"&amp;$S36)&gt;1,"Überschneidung",IF($K36&gt;IFERROR(INDEX(Stammdaten!$D$8:$D$19,MATCH($D36,Stammdaten!$A$8:$A$19,0)),999),"Kapazität prüfen","OK"))))))</f>
        <v>OK</v>
      </c>
      <c r="P36" s="80" t="str">
        <f aca="false">IF($A36="","",IF($N36="Reserviert",$F36&amp;"*",$F36))</f>
        <v>KUND</v>
      </c>
      <c r="Q36" s="81"/>
      <c r="R36" s="82" t="n">
        <f aca="false">IF($A36="","",ROW())</f>
        <v>36</v>
      </c>
      <c r="S36" s="82" t="n">
        <f aca="false">IF($G36="","",ROUND($G36*1440,0))</f>
        <v>420</v>
      </c>
      <c r="T36" s="82" t="n">
        <f aca="false">IF($H36="","",ROUND($H36*1440,0))</f>
        <v>540</v>
      </c>
    </row>
    <row r="37" customFormat="false" ht="15" hidden="false" customHeight="true" outlineLevel="0" collapsed="false">
      <c r="A37" s="71" t="s">
        <v>150</v>
      </c>
      <c r="B37" s="72" t="n">
        <v>46224</v>
      </c>
      <c r="C37" s="83" t="n">
        <f aca="false">IF($B37="","",$B37)</f>
        <v>46224</v>
      </c>
      <c r="D37" s="71" t="s">
        <v>79</v>
      </c>
      <c r="E37" s="74" t="s">
        <v>151</v>
      </c>
      <c r="F37" s="71" t="s">
        <v>152</v>
      </c>
      <c r="G37" s="75" t="n">
        <v>0.291666666666667</v>
      </c>
      <c r="H37" s="75" t="n">
        <v>0.416666666666667</v>
      </c>
      <c r="I37" s="84" t="n">
        <f aca="false">IF(OR($G37="",$H37=""),"",ROUND(($H37-$G37)*24,2))</f>
        <v>3</v>
      </c>
      <c r="J37" s="77" t="s">
        <v>107</v>
      </c>
      <c r="K37" s="78" t="n">
        <v>5</v>
      </c>
      <c r="L37" s="77" t="s">
        <v>98</v>
      </c>
      <c r="M37" s="77" t="s">
        <v>99</v>
      </c>
      <c r="N37" s="77" t="s">
        <v>63</v>
      </c>
      <c r="O37" s="85" t="str">
        <f aca="false">IF($A37="","",IF(OR($B37="",$G37="",$H37=""),"Angaben fehlen",IF($H37&lt;=$G37,"Zeit prüfen",IF($N37="Storniert","–",IF(COUNTIFS($D$8:$D$127,$D37,$B$8:$B$127,$B37,$N$8:$N$127,"&lt;&gt;Storniert",$S$8:$S$127,"&lt;"&amp;$T37,$T$8:$T$127,"&gt;"&amp;$S37)&gt;1,"Überschneidung",IF($K37&gt;IFERROR(INDEX(Stammdaten!$D$8:$D$19,MATCH($D37,Stammdaten!$A$8:$A$19,0)),999),"Kapazität prüfen","OK"))))))</f>
        <v>OK</v>
      </c>
      <c r="P37" s="86" t="str">
        <f aca="false">IF($A37="","",IF($N37="Reserviert",$F37&amp;"*",$F37))</f>
        <v>INFO</v>
      </c>
      <c r="Q37" s="81"/>
      <c r="R37" s="87" t="n">
        <f aca="false">IF($A37="","",ROW())</f>
        <v>37</v>
      </c>
      <c r="S37" s="87" t="n">
        <f aca="false">IF($G37="","",ROUND($G37*1440,0))</f>
        <v>420</v>
      </c>
      <c r="T37" s="87" t="n">
        <f aca="false">IF($H37="","",ROUND($H37*1440,0))</f>
        <v>600</v>
      </c>
    </row>
    <row r="38" customFormat="false" ht="15" hidden="false" customHeight="true" outlineLevel="0" collapsed="false">
      <c r="A38" s="71" t="s">
        <v>153</v>
      </c>
      <c r="B38" s="72" t="n">
        <v>46224</v>
      </c>
      <c r="C38" s="73" t="n">
        <f aca="false">IF($B38="","",$B38)</f>
        <v>46224</v>
      </c>
      <c r="D38" s="71" t="s">
        <v>104</v>
      </c>
      <c r="E38" s="74" t="s">
        <v>151</v>
      </c>
      <c r="F38" s="71" t="s">
        <v>152</v>
      </c>
      <c r="G38" s="75" t="n">
        <v>0.3125</v>
      </c>
      <c r="H38" s="75" t="n">
        <v>0.375</v>
      </c>
      <c r="I38" s="76" t="n">
        <f aca="false">IF(OR($G38="",$H38=""),"",ROUND(($H38-$G38)*24,2))</f>
        <v>1.5</v>
      </c>
      <c r="J38" s="77" t="s">
        <v>75</v>
      </c>
      <c r="K38" s="78" t="n">
        <v>10</v>
      </c>
      <c r="L38" s="77" t="s">
        <v>154</v>
      </c>
      <c r="M38" s="77" t="s">
        <v>70</v>
      </c>
      <c r="N38" s="77" t="s">
        <v>63</v>
      </c>
      <c r="O38" s="79" t="str">
        <f aca="false">IF($A38="","",IF(OR($B38="",$G38="",$H38=""),"Angaben fehlen",IF($H38&lt;=$G38,"Zeit prüfen",IF($N38="Storniert","–",IF(COUNTIFS($D$8:$D$127,$D38,$B$8:$B$127,$B38,$N$8:$N$127,"&lt;&gt;Storniert",$S$8:$S$127,"&lt;"&amp;$T38,$T$8:$T$127,"&gt;"&amp;$S38)&gt;1,"Überschneidung",IF($K38&gt;IFERROR(INDEX(Stammdaten!$D$8:$D$19,MATCH($D38,Stammdaten!$A$8:$A$19,0)),999),"Kapazität prüfen","OK"))))))</f>
        <v>OK</v>
      </c>
      <c r="P38" s="80" t="str">
        <f aca="false">IF($A38="","",IF($N38="Reserviert",$F38&amp;"*",$F38))</f>
        <v>INFO</v>
      </c>
      <c r="Q38" s="81"/>
      <c r="R38" s="82" t="n">
        <f aca="false">IF($A38="","",ROW())</f>
        <v>38</v>
      </c>
      <c r="S38" s="82" t="n">
        <f aca="false">IF($G38="","",ROUND($G38*1440,0))</f>
        <v>450</v>
      </c>
      <c r="T38" s="82" t="n">
        <f aca="false">IF($H38="","",ROUND($H38*1440,0))</f>
        <v>540</v>
      </c>
    </row>
    <row r="39" customFormat="false" ht="15" hidden="false" customHeight="true" outlineLevel="0" collapsed="false">
      <c r="A39" s="71" t="s">
        <v>155</v>
      </c>
      <c r="B39" s="72" t="n">
        <v>46224</v>
      </c>
      <c r="C39" s="83" t="n">
        <f aca="false">IF($B39="","",$B39)</f>
        <v>46224</v>
      </c>
      <c r="D39" s="71" t="s">
        <v>90</v>
      </c>
      <c r="E39" s="74" t="s">
        <v>127</v>
      </c>
      <c r="F39" s="71" t="s">
        <v>128</v>
      </c>
      <c r="G39" s="75" t="n">
        <v>0.3125</v>
      </c>
      <c r="H39" s="75" t="n">
        <v>0.395833333333333</v>
      </c>
      <c r="I39" s="84" t="n">
        <f aca="false">IF(OR($G39="",$H39=""),"",ROUND(($H39-$G39)*24,2))</f>
        <v>2</v>
      </c>
      <c r="J39" s="77" t="s">
        <v>97</v>
      </c>
      <c r="K39" s="78" t="n">
        <v>18</v>
      </c>
      <c r="L39" s="77" t="s">
        <v>61</v>
      </c>
      <c r="M39" s="77" t="s">
        <v>70</v>
      </c>
      <c r="N39" s="77" t="s">
        <v>63</v>
      </c>
      <c r="O39" s="85" t="str">
        <f aca="false">IF($A39="","",IF(OR($B39="",$G39="",$H39=""),"Angaben fehlen",IF($H39&lt;=$G39,"Zeit prüfen",IF($N39="Storniert","–",IF(COUNTIFS($D$8:$D$127,$D39,$B$8:$B$127,$B39,$N$8:$N$127,"&lt;&gt;Storniert",$S$8:$S$127,"&lt;"&amp;$T39,$T$8:$T$127,"&gt;"&amp;$S39)&gt;1,"Überschneidung",IF($K39&gt;IFERROR(INDEX(Stammdaten!$D$8:$D$19,MATCH($D39,Stammdaten!$A$8:$A$19,0)),999),"Kapazität prüfen","OK"))))))</f>
        <v>OK</v>
      </c>
      <c r="P39" s="86" t="str">
        <f aca="false">IF($A39="","",IF($N39="Reserviert",$F39&amp;"*",$F39))</f>
        <v>FORT</v>
      </c>
      <c r="Q39" s="81" t="s">
        <v>111</v>
      </c>
      <c r="R39" s="87" t="n">
        <f aca="false">IF($A39="","",ROW())</f>
        <v>39</v>
      </c>
      <c r="S39" s="87" t="n">
        <f aca="false">IF($G39="","",ROUND($G39*1440,0))</f>
        <v>450</v>
      </c>
      <c r="T39" s="87" t="n">
        <f aca="false">IF($H39="","",ROUND($H39*1440,0))</f>
        <v>570</v>
      </c>
    </row>
    <row r="40" customFormat="false" ht="15" hidden="false" customHeight="true" outlineLevel="0" collapsed="false">
      <c r="A40" s="71" t="s">
        <v>156</v>
      </c>
      <c r="B40" s="72" t="n">
        <v>46224</v>
      </c>
      <c r="C40" s="73" t="n">
        <f aca="false">IF($B40="","",$B40)</f>
        <v>46224</v>
      </c>
      <c r="D40" s="71" t="s">
        <v>87</v>
      </c>
      <c r="E40" s="74" t="s">
        <v>141</v>
      </c>
      <c r="F40" s="71" t="s">
        <v>142</v>
      </c>
      <c r="G40" s="75" t="n">
        <v>0.333333333333333</v>
      </c>
      <c r="H40" s="75" t="n">
        <v>0.458333333333333</v>
      </c>
      <c r="I40" s="76" t="n">
        <f aca="false">IF(OR($G40="",$H40=""),"",ROUND(($H40-$G40)*24,2))</f>
        <v>3</v>
      </c>
      <c r="J40" s="77" t="s">
        <v>82</v>
      </c>
      <c r="K40" s="78" t="n">
        <v>10</v>
      </c>
      <c r="L40" s="77" t="s">
        <v>154</v>
      </c>
      <c r="M40" s="77" t="s">
        <v>62</v>
      </c>
      <c r="N40" s="77" t="s">
        <v>63</v>
      </c>
      <c r="O40" s="79" t="str">
        <f aca="false">IF($A40="","",IF(OR($B40="",$G40="",$H40=""),"Angaben fehlen",IF($H40&lt;=$G40,"Zeit prüfen",IF($N40="Storniert","–",IF(COUNTIFS($D$8:$D$127,$D40,$B$8:$B$127,$B40,$N$8:$N$127,"&lt;&gt;Storniert",$S$8:$S$127,"&lt;"&amp;$T40,$T$8:$T$127,"&gt;"&amp;$S40)&gt;1,"Überschneidung",IF($K40&gt;IFERROR(INDEX(Stammdaten!$D$8:$D$19,MATCH($D40,Stammdaten!$A$8:$A$19,0)),999),"Kapazität prüfen","OK"))))))</f>
        <v>OK</v>
      </c>
      <c r="P40" s="80" t="str">
        <f aca="false">IF($A40="","",IF($N40="Reserviert",$F40&amp;"*",$F40))</f>
        <v>PROJ</v>
      </c>
      <c r="Q40" s="81"/>
      <c r="R40" s="82" t="n">
        <f aca="false">IF($A40="","",ROW())</f>
        <v>40</v>
      </c>
      <c r="S40" s="82" t="n">
        <f aca="false">IF($G40="","",ROUND($G40*1440,0))</f>
        <v>480</v>
      </c>
      <c r="T40" s="82" t="n">
        <f aca="false">IF($H40="","",ROUND($H40*1440,0))</f>
        <v>660</v>
      </c>
    </row>
    <row r="41" customFormat="false" ht="15" hidden="false" customHeight="true" outlineLevel="0" collapsed="false">
      <c r="A41" s="71" t="s">
        <v>157</v>
      </c>
      <c r="B41" s="72" t="n">
        <v>46224</v>
      </c>
      <c r="C41" s="83" t="n">
        <f aca="false">IF($B41="","",$B41)</f>
        <v>46224</v>
      </c>
      <c r="D41" s="71" t="s">
        <v>94</v>
      </c>
      <c r="E41" s="74" t="s">
        <v>151</v>
      </c>
      <c r="F41" s="71" t="s">
        <v>152</v>
      </c>
      <c r="G41" s="75" t="n">
        <v>0.333333333333333</v>
      </c>
      <c r="H41" s="75" t="n">
        <v>0.395833333333333</v>
      </c>
      <c r="I41" s="84" t="n">
        <f aca="false">IF(OR($G41="",$H41=""),"",ROUND(($H41-$G41)*24,2))</f>
        <v>1.5</v>
      </c>
      <c r="J41" s="77" t="s">
        <v>82</v>
      </c>
      <c r="K41" s="78" t="n">
        <v>8</v>
      </c>
      <c r="L41" s="77" t="s">
        <v>83</v>
      </c>
      <c r="M41" s="77" t="s">
        <v>62</v>
      </c>
      <c r="N41" s="77" t="s">
        <v>63</v>
      </c>
      <c r="O41" s="85" t="str">
        <f aca="false">IF($A41="","",IF(OR($B41="",$G41="",$H41=""),"Angaben fehlen",IF($H41&lt;=$G41,"Zeit prüfen",IF($N41="Storniert","–",IF(COUNTIFS($D$8:$D$127,$D41,$B$8:$B$127,$B41,$N$8:$N$127,"&lt;&gt;Storniert",$S$8:$S$127,"&lt;"&amp;$T41,$T$8:$T$127,"&gt;"&amp;$S41)&gt;1,"Überschneidung",IF($K41&gt;IFERROR(INDEX(Stammdaten!$D$8:$D$19,MATCH($D41,Stammdaten!$A$8:$A$19,0)),999),"Kapazität prüfen","OK"))))))</f>
        <v>OK</v>
      </c>
      <c r="P41" s="86" t="str">
        <f aca="false">IF($A41="","",IF($N41="Reserviert",$F41&amp;"*",$F41))</f>
        <v>INFO</v>
      </c>
      <c r="Q41" s="81"/>
      <c r="R41" s="87" t="n">
        <f aca="false">IF($A41="","",ROW())</f>
        <v>41</v>
      </c>
      <c r="S41" s="87" t="n">
        <f aca="false">IF($G41="","",ROUND($G41*1440,0))</f>
        <v>480</v>
      </c>
      <c r="T41" s="87" t="n">
        <f aca="false">IF($H41="","",ROUND($H41*1440,0))</f>
        <v>570</v>
      </c>
    </row>
    <row r="42" customFormat="false" ht="15" hidden="false" customHeight="true" outlineLevel="0" collapsed="false">
      <c r="A42" s="71" t="s">
        <v>158</v>
      </c>
      <c r="B42" s="72" t="n">
        <v>46224</v>
      </c>
      <c r="C42" s="73" t="n">
        <f aca="false">IF($B42="","",$B42)</f>
        <v>46224</v>
      </c>
      <c r="D42" s="71" t="s">
        <v>101</v>
      </c>
      <c r="E42" s="74" t="s">
        <v>133</v>
      </c>
      <c r="F42" s="71" t="s">
        <v>134</v>
      </c>
      <c r="G42" s="75" t="n">
        <v>0.354166666666667</v>
      </c>
      <c r="H42" s="75" t="n">
        <v>0.395833333333333</v>
      </c>
      <c r="I42" s="76" t="n">
        <f aca="false">IF(OR($G42="",$H42=""),"",ROUND(($H42-$G42)*24,2))</f>
        <v>1</v>
      </c>
      <c r="J42" s="77" t="s">
        <v>68</v>
      </c>
      <c r="K42" s="78" t="n">
        <v>5</v>
      </c>
      <c r="L42" s="77" t="s">
        <v>154</v>
      </c>
      <c r="M42" s="77" t="s">
        <v>99</v>
      </c>
      <c r="N42" s="77" t="s">
        <v>63</v>
      </c>
      <c r="O42" s="79" t="str">
        <f aca="false">IF($A42="","",IF(OR($B42="",$G42="",$H42=""),"Angaben fehlen",IF($H42&lt;=$G42,"Zeit prüfen",IF($N42="Storniert","–",IF(COUNTIFS($D$8:$D$127,$D42,$B$8:$B$127,$B42,$N$8:$N$127,"&lt;&gt;Storniert",$S$8:$S$127,"&lt;"&amp;$T42,$T$8:$T$127,"&gt;"&amp;$S42)&gt;1,"Überschneidung",IF($K42&gt;IFERROR(INDEX(Stammdaten!$D$8:$D$19,MATCH($D42,Stammdaten!$A$8:$A$19,0)),999),"Kapazität prüfen","OK"))))))</f>
        <v>OK</v>
      </c>
      <c r="P42" s="80" t="str">
        <f aca="false">IF($A42="","",IF($N42="Reserviert",$F42&amp;"*",$F42))</f>
        <v>SITZ</v>
      </c>
      <c r="Q42" s="81" t="s">
        <v>124</v>
      </c>
      <c r="R42" s="82" t="n">
        <f aca="false">IF($A42="","",ROW())</f>
        <v>42</v>
      </c>
      <c r="S42" s="82" t="n">
        <f aca="false">IF($G42="","",ROUND($G42*1440,0))</f>
        <v>510</v>
      </c>
      <c r="T42" s="82" t="n">
        <f aca="false">IF($H42="","",ROUND($H42*1440,0))</f>
        <v>570</v>
      </c>
    </row>
    <row r="43" customFormat="false" ht="15" hidden="false" customHeight="true" outlineLevel="0" collapsed="false">
      <c r="A43" s="71" t="s">
        <v>159</v>
      </c>
      <c r="B43" s="72" t="n">
        <v>46224</v>
      </c>
      <c r="C43" s="83" t="n">
        <f aca="false">IF($B43="","",$B43)</f>
        <v>46224</v>
      </c>
      <c r="D43" s="71" t="s">
        <v>119</v>
      </c>
      <c r="E43" s="74" t="s">
        <v>160</v>
      </c>
      <c r="F43" s="71" t="s">
        <v>161</v>
      </c>
      <c r="G43" s="75" t="n">
        <v>0.354166666666667</v>
      </c>
      <c r="H43" s="75" t="n">
        <v>0.4375</v>
      </c>
      <c r="I43" s="84" t="n">
        <f aca="false">IF(OR($G43="",$H43=""),"",ROUND(($H43-$G43)*24,2))</f>
        <v>2</v>
      </c>
      <c r="J43" s="77" t="s">
        <v>68</v>
      </c>
      <c r="K43" s="78" t="n">
        <v>32</v>
      </c>
      <c r="L43" s="77" t="s">
        <v>83</v>
      </c>
      <c r="M43" s="77" t="s">
        <v>62</v>
      </c>
      <c r="N43" s="77" t="s">
        <v>63</v>
      </c>
      <c r="O43" s="85" t="str">
        <f aca="false">IF($A43="","",IF(OR($B43="",$G43="",$H43=""),"Angaben fehlen",IF($H43&lt;=$G43,"Zeit prüfen",IF($N43="Storniert","–",IF(COUNTIFS($D$8:$D$127,$D43,$B$8:$B$127,$B43,$N$8:$N$127,"&lt;&gt;Storniert",$S$8:$S$127,"&lt;"&amp;$T43,$T$8:$T$127,"&gt;"&amp;$S43)&gt;1,"Überschneidung",IF($K43&gt;IFERROR(INDEX(Stammdaten!$D$8:$D$19,MATCH($D43,Stammdaten!$A$8:$A$19,0)),999),"Kapazität prüfen","OK"))))))</f>
        <v>OK</v>
      </c>
      <c r="P43" s="86" t="str">
        <f aca="false">IF($A43="","",IF($N43="Reserviert",$F43&amp;"*",$F43))</f>
        <v>TEAM</v>
      </c>
      <c r="Q43" s="81"/>
      <c r="R43" s="87" t="n">
        <f aca="false">IF($A43="","",ROW())</f>
        <v>43</v>
      </c>
      <c r="S43" s="87" t="n">
        <f aca="false">IF($G43="","",ROUND($G43*1440,0))</f>
        <v>510</v>
      </c>
      <c r="T43" s="87" t="n">
        <f aca="false">IF($H43="","",ROUND($H43*1440,0))</f>
        <v>630</v>
      </c>
    </row>
    <row r="44" customFormat="false" ht="15" hidden="false" customHeight="true" outlineLevel="0" collapsed="false">
      <c r="A44" s="71" t="s">
        <v>162</v>
      </c>
      <c r="B44" s="72" t="n">
        <v>46224</v>
      </c>
      <c r="C44" s="73" t="n">
        <f aca="false">IF($B44="","",$B44)</f>
        <v>46224</v>
      </c>
      <c r="D44" s="71" t="s">
        <v>110</v>
      </c>
      <c r="E44" s="74" t="s">
        <v>130</v>
      </c>
      <c r="F44" s="71" t="s">
        <v>131</v>
      </c>
      <c r="G44" s="75" t="n">
        <v>0.354166666666667</v>
      </c>
      <c r="H44" s="75" t="n">
        <v>0.395833333333333</v>
      </c>
      <c r="I44" s="76" t="n">
        <f aca="false">IF(OR($G44="",$H44=""),"",ROUND(($H44-$G44)*24,2))</f>
        <v>1</v>
      </c>
      <c r="J44" s="77" t="s">
        <v>121</v>
      </c>
      <c r="K44" s="78" t="n">
        <v>11</v>
      </c>
      <c r="L44" s="77" t="s">
        <v>69</v>
      </c>
      <c r="M44" s="77" t="s">
        <v>99</v>
      </c>
      <c r="N44" s="77" t="s">
        <v>63</v>
      </c>
      <c r="O44" s="79" t="str">
        <f aca="false">IF($A44="","",IF(OR($B44="",$G44="",$H44=""),"Angaben fehlen",IF($H44&lt;=$G44,"Zeit prüfen",IF($N44="Storniert","–",IF(COUNTIFS($D$8:$D$127,$D44,$B$8:$B$127,$B44,$N$8:$N$127,"&lt;&gt;Storniert",$S$8:$S$127,"&lt;"&amp;$T44,$T$8:$T$127,"&gt;"&amp;$S44)&gt;1,"Überschneidung",IF($K44&gt;IFERROR(INDEX(Stammdaten!$D$8:$D$19,MATCH($D44,Stammdaten!$A$8:$A$19,0)),999),"Kapazität prüfen","OK"))))))</f>
        <v>OK</v>
      </c>
      <c r="P44" s="80" t="str">
        <f aca="false">IF($A44="","",IF($N44="Reserviert",$F44&amp;"*",$F44))</f>
        <v>KLAU</v>
      </c>
      <c r="Q44" s="81"/>
      <c r="R44" s="82" t="n">
        <f aca="false">IF($A44="","",ROW())</f>
        <v>44</v>
      </c>
      <c r="S44" s="82" t="n">
        <f aca="false">IF($G44="","",ROUND($G44*1440,0))</f>
        <v>510</v>
      </c>
      <c r="T44" s="82" t="n">
        <f aca="false">IF($H44="","",ROUND($H44*1440,0))</f>
        <v>570</v>
      </c>
    </row>
    <row r="45" customFormat="false" ht="15" hidden="false" customHeight="true" outlineLevel="0" collapsed="false">
      <c r="A45" s="71" t="s">
        <v>163</v>
      </c>
      <c r="B45" s="72" t="n">
        <v>46224</v>
      </c>
      <c r="C45" s="83" t="n">
        <f aca="false">IF($B45="","",$B45)</f>
        <v>46224</v>
      </c>
      <c r="D45" s="71" t="s">
        <v>57</v>
      </c>
      <c r="E45" s="74" t="s">
        <v>164</v>
      </c>
      <c r="F45" s="71" t="s">
        <v>165</v>
      </c>
      <c r="G45" s="75" t="n">
        <v>0.375</v>
      </c>
      <c r="H45" s="75" t="n">
        <v>0.4375</v>
      </c>
      <c r="I45" s="84" t="n">
        <f aca="false">IF(OR($G45="",$H45=""),"",ROUND(($H45-$G45)*24,2))</f>
        <v>1.5</v>
      </c>
      <c r="J45" s="77" t="s">
        <v>60</v>
      </c>
      <c r="K45" s="78" t="n">
        <v>2</v>
      </c>
      <c r="L45" s="77" t="s">
        <v>61</v>
      </c>
      <c r="M45" s="77" t="s">
        <v>92</v>
      </c>
      <c r="N45" s="77" t="s">
        <v>76</v>
      </c>
      <c r="O45" s="85" t="str">
        <f aca="false">IF($A45="","",IF(OR($B45="",$G45="",$H45=""),"Angaben fehlen",IF($H45&lt;=$G45,"Zeit prüfen",IF($N45="Storniert","–",IF(COUNTIFS($D$8:$D$127,$D45,$B$8:$B$127,$B45,$N$8:$N$127,"&lt;&gt;Storniert",$S$8:$S$127,"&lt;"&amp;$T45,$T$8:$T$127,"&gt;"&amp;$S45)&gt;1,"Überschneidung",IF($K45&gt;IFERROR(INDEX(Stammdaten!$D$8:$D$19,MATCH($D45,Stammdaten!$A$8:$A$19,0)),999),"Kapazität prüfen","OK"))))))</f>
        <v>OK</v>
      </c>
      <c r="P45" s="86" t="str">
        <f aca="false">IF($A45="","",IF($N45="Reserviert",$F45&amp;"*",$F45))</f>
        <v>PLAN*</v>
      </c>
      <c r="Q45" s="81" t="s">
        <v>77</v>
      </c>
      <c r="R45" s="87" t="n">
        <f aca="false">IF($A45="","",ROW())</f>
        <v>45</v>
      </c>
      <c r="S45" s="87" t="n">
        <f aca="false">IF($G45="","",ROUND($G45*1440,0))</f>
        <v>540</v>
      </c>
      <c r="T45" s="87" t="n">
        <f aca="false">IF($H45="","",ROUND($H45*1440,0))</f>
        <v>630</v>
      </c>
    </row>
    <row r="46" customFormat="false" ht="15" hidden="false" customHeight="true" outlineLevel="0" collapsed="false">
      <c r="A46" s="71" t="s">
        <v>166</v>
      </c>
      <c r="B46" s="72" t="n">
        <v>46224</v>
      </c>
      <c r="C46" s="73" t="n">
        <f aca="false">IF($B46="","",$B46)</f>
        <v>46224</v>
      </c>
      <c r="D46" s="71" t="s">
        <v>65</v>
      </c>
      <c r="E46" s="74" t="s">
        <v>127</v>
      </c>
      <c r="F46" s="71" t="s">
        <v>128</v>
      </c>
      <c r="G46" s="75" t="n">
        <v>0.375</v>
      </c>
      <c r="H46" s="75" t="n">
        <v>0.458333333333333</v>
      </c>
      <c r="I46" s="76" t="n">
        <f aca="false">IF(OR($G46="",$H46=""),"",ROUND(($H46-$G46)*24,2))</f>
        <v>2</v>
      </c>
      <c r="J46" s="77" t="s">
        <v>123</v>
      </c>
      <c r="K46" s="78" t="n">
        <v>3</v>
      </c>
      <c r="L46" s="77" t="s">
        <v>91</v>
      </c>
      <c r="M46" s="77" t="s">
        <v>62</v>
      </c>
      <c r="N46" s="77" t="s">
        <v>167</v>
      </c>
      <c r="O46" s="79" t="str">
        <f aca="false">IF($A46="","",IF(OR($B46="",$G46="",$H46=""),"Angaben fehlen",IF($H46&lt;=$G46,"Zeit prüfen",IF($N46="Storniert","–",IF(COUNTIFS($D$8:$D$127,$D46,$B$8:$B$127,$B46,$N$8:$N$127,"&lt;&gt;Storniert",$S$8:$S$127,"&lt;"&amp;$T46,$T$8:$T$127,"&gt;"&amp;$S46)&gt;1,"Überschneidung",IF($K46&gt;IFERROR(INDEX(Stammdaten!$D$8:$D$19,MATCH($D46,Stammdaten!$A$8:$A$19,0)),999),"Kapazität prüfen","OK"))))))</f>
        <v>–</v>
      </c>
      <c r="P46" s="80" t="str">
        <f aca="false">IF($A46="","",IF($N46="Reserviert",$F46&amp;"*",$F46))</f>
        <v>FORT</v>
      </c>
      <c r="Q46" s="81" t="s">
        <v>168</v>
      </c>
      <c r="R46" s="82" t="n">
        <f aca="false">IF($A46="","",ROW())</f>
        <v>46</v>
      </c>
      <c r="S46" s="82" t="n">
        <f aca="false">IF($G46="","",ROUND($G46*1440,0))</f>
        <v>540</v>
      </c>
      <c r="T46" s="82" t="n">
        <f aca="false">IF($H46="","",ROUND($H46*1440,0))</f>
        <v>660</v>
      </c>
    </row>
    <row r="47" customFormat="false" ht="15" hidden="false" customHeight="true" outlineLevel="0" collapsed="false">
      <c r="A47" s="71" t="s">
        <v>169</v>
      </c>
      <c r="B47" s="72" t="n">
        <v>46224</v>
      </c>
      <c r="C47" s="83" t="n">
        <f aca="false">IF($B47="","",$B47)</f>
        <v>46224</v>
      </c>
      <c r="D47" s="71" t="s">
        <v>113</v>
      </c>
      <c r="E47" s="74" t="s">
        <v>80</v>
      </c>
      <c r="F47" s="71" t="s">
        <v>81</v>
      </c>
      <c r="G47" s="75" t="n">
        <v>0.375</v>
      </c>
      <c r="H47" s="75" t="n">
        <v>0.4375</v>
      </c>
      <c r="I47" s="84" t="n">
        <f aca="false">IF(OR($G47="",$H47=""),"",ROUND(($H47-$G47)*24,2))</f>
        <v>1.5</v>
      </c>
      <c r="J47" s="77" t="s">
        <v>82</v>
      </c>
      <c r="K47" s="78" t="n">
        <v>13</v>
      </c>
      <c r="L47" s="77" t="s">
        <v>154</v>
      </c>
      <c r="M47" s="77" t="s">
        <v>62</v>
      </c>
      <c r="N47" s="77" t="s">
        <v>63</v>
      </c>
      <c r="O47" s="85" t="str">
        <f aca="false">IF($A47="","",IF(OR($B47="",$G47="",$H47=""),"Angaben fehlen",IF($H47&lt;=$G47,"Zeit prüfen",IF($N47="Storniert","–",IF(COUNTIFS($D$8:$D$127,$D47,$B$8:$B$127,$B47,$N$8:$N$127,"&lt;&gt;Storniert",$S$8:$S$127,"&lt;"&amp;$T47,$T$8:$T$127,"&gt;"&amp;$S47)&gt;1,"Überschneidung",IF($K47&gt;IFERROR(INDEX(Stammdaten!$D$8:$D$19,MATCH($D47,Stammdaten!$A$8:$A$19,0)),999),"Kapazität prüfen","OK"))))))</f>
        <v>OK</v>
      </c>
      <c r="P47" s="86" t="str">
        <f aca="false">IF($A47="","",IF($N47="Reserviert",$F47&amp;"*",$F47))</f>
        <v>ONBO</v>
      </c>
      <c r="Q47" s="81"/>
      <c r="R47" s="87" t="n">
        <f aca="false">IF($A47="","",ROW())</f>
        <v>47</v>
      </c>
      <c r="S47" s="87" t="n">
        <f aca="false">IF($G47="","",ROUND($G47*1440,0))</f>
        <v>540</v>
      </c>
      <c r="T47" s="87" t="n">
        <f aca="false">IF($H47="","",ROUND($H47*1440,0))</f>
        <v>630</v>
      </c>
    </row>
    <row r="48" customFormat="false" ht="15" hidden="false" customHeight="true" outlineLevel="0" collapsed="false">
      <c r="A48" s="71" t="s">
        <v>170</v>
      </c>
      <c r="B48" s="72" t="n">
        <v>46224</v>
      </c>
      <c r="C48" s="73" t="n">
        <f aca="false">IF($B48="","",$B48)</f>
        <v>46224</v>
      </c>
      <c r="D48" s="71" t="s">
        <v>72</v>
      </c>
      <c r="E48" s="74" t="s">
        <v>146</v>
      </c>
      <c r="F48" s="71" t="s">
        <v>147</v>
      </c>
      <c r="G48" s="75" t="n">
        <v>0.395833333333333</v>
      </c>
      <c r="H48" s="75" t="n">
        <v>0.520833333333333</v>
      </c>
      <c r="I48" s="76" t="n">
        <f aca="false">IF(OR($G48="",$H48=""),"",ROUND(($H48-$G48)*24,2))</f>
        <v>3</v>
      </c>
      <c r="J48" s="77" t="s">
        <v>75</v>
      </c>
      <c r="K48" s="78" t="n">
        <v>6</v>
      </c>
      <c r="L48" s="77" t="s">
        <v>154</v>
      </c>
      <c r="M48" s="77" t="s">
        <v>84</v>
      </c>
      <c r="N48" s="77" t="s">
        <v>76</v>
      </c>
      <c r="O48" s="79" t="str">
        <f aca="false">IF($A48="","",IF(OR($B48="",$G48="",$H48=""),"Angaben fehlen",IF($H48&lt;=$G48,"Zeit prüfen",IF($N48="Storniert","–",IF(COUNTIFS($D$8:$D$127,$D48,$B$8:$B$127,$B48,$N$8:$N$127,"&lt;&gt;Storniert",$S$8:$S$127,"&lt;"&amp;$T48,$T$8:$T$127,"&gt;"&amp;$S48)&gt;1,"Überschneidung",IF($K48&gt;IFERROR(INDEX(Stammdaten!$D$8:$D$19,MATCH($D48,Stammdaten!$A$8:$A$19,0)),999),"Kapazität prüfen","OK"))))))</f>
        <v>OK</v>
      </c>
      <c r="P48" s="80" t="str">
        <f aca="false">IF($A48="","",IF($N48="Reserviert",$F48&amp;"*",$F48))</f>
        <v>BEWE*</v>
      </c>
      <c r="Q48" s="81" t="s">
        <v>77</v>
      </c>
      <c r="R48" s="82" t="n">
        <f aca="false">IF($A48="","",ROW())</f>
        <v>48</v>
      </c>
      <c r="S48" s="82" t="n">
        <f aca="false">IF($G48="","",ROUND($G48*1440,0))</f>
        <v>570</v>
      </c>
      <c r="T48" s="82" t="n">
        <f aca="false">IF($H48="","",ROUND($H48*1440,0))</f>
        <v>750</v>
      </c>
    </row>
    <row r="49" customFormat="false" ht="15" hidden="false" customHeight="true" outlineLevel="0" collapsed="false">
      <c r="A49" s="71" t="s">
        <v>171</v>
      </c>
      <c r="B49" s="72" t="n">
        <v>46224</v>
      </c>
      <c r="C49" s="83" t="n">
        <f aca="false">IF($B49="","",$B49)</f>
        <v>46224</v>
      </c>
      <c r="D49" s="71" t="s">
        <v>104</v>
      </c>
      <c r="E49" s="74" t="s">
        <v>95</v>
      </c>
      <c r="F49" s="71" t="s">
        <v>96</v>
      </c>
      <c r="G49" s="75" t="n">
        <v>0.416666666666667</v>
      </c>
      <c r="H49" s="75" t="n">
        <v>0.5</v>
      </c>
      <c r="I49" s="84" t="n">
        <f aca="false">IF(OR($G49="",$H49=""),"",ROUND(($H49-$G49)*24,2))</f>
        <v>2</v>
      </c>
      <c r="J49" s="77" t="s">
        <v>82</v>
      </c>
      <c r="K49" s="78" t="n">
        <v>9</v>
      </c>
      <c r="L49" s="77" t="s">
        <v>154</v>
      </c>
      <c r="M49" s="77" t="s">
        <v>108</v>
      </c>
      <c r="N49" s="77" t="s">
        <v>76</v>
      </c>
      <c r="O49" s="85" t="str">
        <f aca="false">IF($A49="","",IF(OR($B49="",$G49="",$H49=""),"Angaben fehlen",IF($H49&lt;=$G49,"Zeit prüfen",IF($N49="Storniert","–",IF(COUNTIFS($D$8:$D$127,$D49,$B$8:$B$127,$B49,$N$8:$N$127,"&lt;&gt;Storniert",$S$8:$S$127,"&lt;"&amp;$T49,$T$8:$T$127,"&gt;"&amp;$S49)&gt;1,"Überschneidung",IF($K49&gt;IFERROR(INDEX(Stammdaten!$D$8:$D$19,MATCH($D49,Stammdaten!$A$8:$A$19,0)),999),"Kapazität prüfen","OK"))))))</f>
        <v>OK</v>
      </c>
      <c r="P49" s="86" t="str">
        <f aca="false">IF($A49="","",IF($N49="Reserviert",$F49&amp;"*",$F49))</f>
        <v>SCHU*</v>
      </c>
      <c r="Q49" s="81" t="s">
        <v>77</v>
      </c>
      <c r="R49" s="87" t="n">
        <f aca="false">IF($A49="","",ROW())</f>
        <v>49</v>
      </c>
      <c r="S49" s="87" t="n">
        <f aca="false">IF($G49="","",ROUND($G49*1440,0))</f>
        <v>600</v>
      </c>
      <c r="T49" s="87" t="n">
        <f aca="false">IF($H49="","",ROUND($H49*1440,0))</f>
        <v>720</v>
      </c>
    </row>
    <row r="50" customFormat="false" ht="15" hidden="false" customHeight="true" outlineLevel="0" collapsed="false">
      <c r="A50" s="71" t="s">
        <v>172</v>
      </c>
      <c r="B50" s="72" t="n">
        <v>46224</v>
      </c>
      <c r="C50" s="73" t="n">
        <f aca="false">IF($B50="","",$B50)</f>
        <v>46224</v>
      </c>
      <c r="D50" s="71" t="s">
        <v>90</v>
      </c>
      <c r="E50" s="74" t="s">
        <v>173</v>
      </c>
      <c r="F50" s="71" t="s">
        <v>174</v>
      </c>
      <c r="G50" s="75" t="n">
        <v>0.416666666666667</v>
      </c>
      <c r="H50" s="75" t="n">
        <v>0.5</v>
      </c>
      <c r="I50" s="76" t="n">
        <f aca="false">IF(OR($G50="",$H50=""),"",ROUND(($H50-$G50)*24,2))</f>
        <v>2</v>
      </c>
      <c r="J50" s="77" t="s">
        <v>123</v>
      </c>
      <c r="K50" s="78" t="n">
        <v>17</v>
      </c>
      <c r="L50" s="77" t="s">
        <v>69</v>
      </c>
      <c r="M50" s="77" t="s">
        <v>92</v>
      </c>
      <c r="N50" s="77" t="s">
        <v>76</v>
      </c>
      <c r="O50" s="79" t="str">
        <f aca="false">IF($A50="","",IF(OR($B50="",$G50="",$H50=""),"Angaben fehlen",IF($H50&lt;=$G50,"Zeit prüfen",IF($N50="Storniert","–",IF(COUNTIFS($D$8:$D$127,$D50,$B$8:$B$127,$B50,$N$8:$N$127,"&lt;&gt;Storniert",$S$8:$S$127,"&lt;"&amp;$T50,$T$8:$T$127,"&gt;"&amp;$S50)&gt;1,"Überschneidung",IF($K50&gt;IFERROR(INDEX(Stammdaten!$D$8:$D$19,MATCH($D50,Stammdaten!$A$8:$A$19,0)),999),"Kapazität prüfen","OK"))))))</f>
        <v>OK</v>
      </c>
      <c r="P50" s="80" t="str">
        <f aca="false">IF($A50="","",IF($N50="Reserviert",$F50&amp;"*",$F50))</f>
        <v>ABT*</v>
      </c>
      <c r="Q50" s="81" t="s">
        <v>77</v>
      </c>
      <c r="R50" s="82" t="n">
        <f aca="false">IF($A50="","",ROW())</f>
        <v>50</v>
      </c>
      <c r="S50" s="82" t="n">
        <f aca="false">IF($G50="","",ROUND($G50*1440,0))</f>
        <v>600</v>
      </c>
      <c r="T50" s="82" t="n">
        <f aca="false">IF($H50="","",ROUND($H50*1440,0))</f>
        <v>720</v>
      </c>
    </row>
    <row r="51" customFormat="false" ht="15" hidden="false" customHeight="true" outlineLevel="0" collapsed="false">
      <c r="A51" s="71" t="s">
        <v>175</v>
      </c>
      <c r="B51" s="72" t="n">
        <v>46224</v>
      </c>
      <c r="C51" s="83" t="n">
        <f aca="false">IF($B51="","",$B51)</f>
        <v>46224</v>
      </c>
      <c r="D51" s="71" t="s">
        <v>79</v>
      </c>
      <c r="E51" s="74" t="s">
        <v>151</v>
      </c>
      <c r="F51" s="71" t="s">
        <v>152</v>
      </c>
      <c r="G51" s="75" t="n">
        <v>0.4375</v>
      </c>
      <c r="H51" s="75" t="n">
        <v>0.479166666666667</v>
      </c>
      <c r="I51" s="84" t="n">
        <f aca="false">IF(OR($G51="",$H51=""),"",ROUND(($H51-$G51)*24,2))</f>
        <v>1</v>
      </c>
      <c r="J51" s="77" t="s">
        <v>107</v>
      </c>
      <c r="K51" s="78" t="n">
        <v>3</v>
      </c>
      <c r="L51" s="77" t="s">
        <v>154</v>
      </c>
      <c r="M51" s="77" t="s">
        <v>84</v>
      </c>
      <c r="N51" s="77" t="s">
        <v>63</v>
      </c>
      <c r="O51" s="85" t="str">
        <f aca="false">IF($A51="","",IF(OR($B51="",$G51="",$H51=""),"Angaben fehlen",IF($H51&lt;=$G51,"Zeit prüfen",IF($N51="Storniert","–",IF(COUNTIFS($D$8:$D$127,$D51,$B$8:$B$127,$B51,$N$8:$N$127,"&lt;&gt;Storniert",$S$8:$S$127,"&lt;"&amp;$T51,$T$8:$T$127,"&gt;"&amp;$S51)&gt;1,"Überschneidung",IF($K51&gt;IFERROR(INDEX(Stammdaten!$D$8:$D$19,MATCH($D51,Stammdaten!$A$8:$A$19,0)),999),"Kapazität prüfen","OK"))))))</f>
        <v>OK</v>
      </c>
      <c r="P51" s="86" t="str">
        <f aca="false">IF($A51="","",IF($N51="Reserviert",$F51&amp;"*",$F51))</f>
        <v>INFO</v>
      </c>
      <c r="Q51" s="81"/>
      <c r="R51" s="87" t="n">
        <f aca="false">IF($A51="","",ROW())</f>
        <v>51</v>
      </c>
      <c r="S51" s="87" t="n">
        <f aca="false">IF($G51="","",ROUND($G51*1440,0))</f>
        <v>630</v>
      </c>
      <c r="T51" s="87" t="n">
        <f aca="false">IF($H51="","",ROUND($H51*1440,0))</f>
        <v>690</v>
      </c>
    </row>
    <row r="52" customFormat="false" ht="15" hidden="false" customHeight="true" outlineLevel="0" collapsed="false">
      <c r="A52" s="71" t="s">
        <v>176</v>
      </c>
      <c r="B52" s="72" t="n">
        <v>46224</v>
      </c>
      <c r="C52" s="73" t="n">
        <f aca="false">IF($B52="","",$B52)</f>
        <v>46224</v>
      </c>
      <c r="D52" s="71" t="s">
        <v>101</v>
      </c>
      <c r="E52" s="74" t="s">
        <v>160</v>
      </c>
      <c r="F52" s="71" t="s">
        <v>161</v>
      </c>
      <c r="G52" s="75" t="n">
        <v>0.4375</v>
      </c>
      <c r="H52" s="75" t="n">
        <v>0.479166666666667</v>
      </c>
      <c r="I52" s="76" t="n">
        <f aca="false">IF(OR($G52="",$H52=""),"",ROUND(($H52-$G52)*24,2))</f>
        <v>1</v>
      </c>
      <c r="J52" s="77" t="s">
        <v>75</v>
      </c>
      <c r="K52" s="78" t="n">
        <v>5</v>
      </c>
      <c r="L52" s="77" t="s">
        <v>83</v>
      </c>
      <c r="M52" s="77" t="s">
        <v>62</v>
      </c>
      <c r="N52" s="77" t="s">
        <v>63</v>
      </c>
      <c r="O52" s="79" t="str">
        <f aca="false">IF($A52="","",IF(OR($B52="",$G52="",$H52=""),"Angaben fehlen",IF($H52&lt;=$G52,"Zeit prüfen",IF($N52="Storniert","–",IF(COUNTIFS($D$8:$D$127,$D52,$B$8:$B$127,$B52,$N$8:$N$127,"&lt;&gt;Storniert",$S$8:$S$127,"&lt;"&amp;$T52,$T$8:$T$127,"&gt;"&amp;$S52)&gt;1,"Überschneidung",IF($K52&gt;IFERROR(INDEX(Stammdaten!$D$8:$D$19,MATCH($D52,Stammdaten!$A$8:$A$19,0)),999),"Kapazität prüfen","OK"))))))</f>
        <v>OK</v>
      </c>
      <c r="P52" s="80" t="str">
        <f aca="false">IF($A52="","",IF($N52="Reserviert",$F52&amp;"*",$F52))</f>
        <v>TEAM</v>
      </c>
      <c r="Q52" s="81" t="s">
        <v>102</v>
      </c>
      <c r="R52" s="82" t="n">
        <f aca="false">IF($A52="","",ROW())</f>
        <v>52</v>
      </c>
      <c r="S52" s="82" t="n">
        <f aca="false">IF($G52="","",ROUND($G52*1440,0))</f>
        <v>630</v>
      </c>
      <c r="T52" s="82" t="n">
        <f aca="false">IF($H52="","",ROUND($H52*1440,0))</f>
        <v>690</v>
      </c>
    </row>
    <row r="53" customFormat="false" ht="15" hidden="false" customHeight="true" outlineLevel="0" collapsed="false">
      <c r="A53" s="71" t="s">
        <v>177</v>
      </c>
      <c r="B53" s="72" t="n">
        <v>46224</v>
      </c>
      <c r="C53" s="83" t="n">
        <f aca="false">IF($B53="","",$B53)</f>
        <v>46224</v>
      </c>
      <c r="D53" s="71" t="s">
        <v>94</v>
      </c>
      <c r="E53" s="74" t="s">
        <v>66</v>
      </c>
      <c r="F53" s="71" t="s">
        <v>67</v>
      </c>
      <c r="G53" s="75" t="n">
        <v>0.479166666666667</v>
      </c>
      <c r="H53" s="75" t="n">
        <v>0.541666666666667</v>
      </c>
      <c r="I53" s="84" t="n">
        <f aca="false">IF(OR($G53="",$H53=""),"",ROUND(($H53-$G53)*24,2))</f>
        <v>1.5</v>
      </c>
      <c r="J53" s="77" t="s">
        <v>88</v>
      </c>
      <c r="K53" s="78" t="n">
        <v>18</v>
      </c>
      <c r="L53" s="77" t="s">
        <v>154</v>
      </c>
      <c r="M53" s="77" t="s">
        <v>108</v>
      </c>
      <c r="N53" s="77" t="s">
        <v>63</v>
      </c>
      <c r="O53" s="85" t="str">
        <f aca="false">IF($A53="","",IF(OR($B53="",$G53="",$H53=""),"Angaben fehlen",IF($H53&lt;=$G53,"Zeit prüfen",IF($N53="Storniert","–",IF(COUNTIFS($D$8:$D$127,$D53,$B$8:$B$127,$B53,$N$8:$N$127,"&lt;&gt;Storniert",$S$8:$S$127,"&lt;"&amp;$T53,$T$8:$T$127,"&gt;"&amp;$S53)&gt;1,"Überschneidung",IF($K53&gt;IFERROR(INDEX(Stammdaten!$D$8:$D$19,MATCH($D53,Stammdaten!$A$8:$A$19,0)),999),"Kapazität prüfen","OK"))))))</f>
        <v>OK</v>
      </c>
      <c r="P53" s="86" t="str">
        <f aca="false">IF($A53="","",IF($N53="Reserviert",$F53&amp;"*",$F53))</f>
        <v>KUND</v>
      </c>
      <c r="Q53" s="81" t="s">
        <v>124</v>
      </c>
      <c r="R53" s="87" t="n">
        <f aca="false">IF($A53="","",ROW())</f>
        <v>53</v>
      </c>
      <c r="S53" s="87" t="n">
        <f aca="false">IF($G53="","",ROUND($G53*1440,0))</f>
        <v>690</v>
      </c>
      <c r="T53" s="87" t="n">
        <f aca="false">IF($H53="","",ROUND($H53*1440,0))</f>
        <v>780</v>
      </c>
    </row>
    <row r="54" customFormat="false" ht="15" hidden="false" customHeight="true" outlineLevel="0" collapsed="false">
      <c r="A54" s="71" t="s">
        <v>178</v>
      </c>
      <c r="B54" s="72" t="n">
        <v>46224</v>
      </c>
      <c r="C54" s="73" t="n">
        <f aca="false">IF($B54="","",$B54)</f>
        <v>46224</v>
      </c>
      <c r="D54" s="71" t="s">
        <v>110</v>
      </c>
      <c r="E54" s="74" t="s">
        <v>58</v>
      </c>
      <c r="F54" s="71" t="s">
        <v>59</v>
      </c>
      <c r="G54" s="75" t="n">
        <v>0.479166666666667</v>
      </c>
      <c r="H54" s="75" t="n">
        <v>0.541666666666667</v>
      </c>
      <c r="I54" s="76" t="n">
        <f aca="false">IF(OR($G54="",$H54=""),"",ROUND(($H54-$G54)*24,2))</f>
        <v>1.5</v>
      </c>
      <c r="J54" s="77" t="s">
        <v>107</v>
      </c>
      <c r="K54" s="78" t="n">
        <v>7</v>
      </c>
      <c r="L54" s="77" t="s">
        <v>154</v>
      </c>
      <c r="M54" s="77" t="s">
        <v>108</v>
      </c>
      <c r="N54" s="77" t="s">
        <v>63</v>
      </c>
      <c r="O54" s="79" t="str">
        <f aca="false">IF($A54="","",IF(OR($B54="",$G54="",$H54=""),"Angaben fehlen",IF($H54&lt;=$G54,"Zeit prüfen",IF($N54="Storniert","–",IF(COUNTIFS($D$8:$D$127,$D54,$B$8:$B$127,$B54,$N$8:$N$127,"&lt;&gt;Storniert",$S$8:$S$127,"&lt;"&amp;$T54,$T$8:$T$127,"&gt;"&amp;$S54)&gt;1,"Überschneidung",IF($K54&gt;IFERROR(INDEX(Stammdaten!$D$8:$D$19,MATCH($D54,Stammdaten!$A$8:$A$19,0)),999),"Kapazität prüfen","OK"))))))</f>
        <v>OK</v>
      </c>
      <c r="P54" s="80" t="str">
        <f aca="false">IF($A54="","",IF($N54="Reserviert",$F54&amp;"*",$F54))</f>
        <v>JOUR</v>
      </c>
      <c r="Q54" s="81" t="s">
        <v>111</v>
      </c>
      <c r="R54" s="82" t="n">
        <f aca="false">IF($A54="","",ROW())</f>
        <v>54</v>
      </c>
      <c r="S54" s="82" t="n">
        <f aca="false">IF($G54="","",ROUND($G54*1440,0))</f>
        <v>690</v>
      </c>
      <c r="T54" s="82" t="n">
        <f aca="false">IF($H54="","",ROUND($H54*1440,0))</f>
        <v>780</v>
      </c>
    </row>
    <row r="55" customFormat="false" ht="15" hidden="false" customHeight="true" outlineLevel="0" collapsed="false">
      <c r="A55" s="71" t="s">
        <v>179</v>
      </c>
      <c r="B55" s="72" t="n">
        <v>46224</v>
      </c>
      <c r="C55" s="83" t="n">
        <f aca="false">IF($B55="","",$B55)</f>
        <v>46224</v>
      </c>
      <c r="D55" s="71" t="s">
        <v>57</v>
      </c>
      <c r="E55" s="74" t="s">
        <v>146</v>
      </c>
      <c r="F55" s="71" t="s">
        <v>147</v>
      </c>
      <c r="G55" s="75" t="n">
        <v>0.520833333333333</v>
      </c>
      <c r="H55" s="75" t="n">
        <v>0.5625</v>
      </c>
      <c r="I55" s="84" t="n">
        <f aca="false">IF(OR($G55="",$H55=""),"",ROUND(($H55-$G55)*24,2))</f>
        <v>1</v>
      </c>
      <c r="J55" s="77" t="s">
        <v>97</v>
      </c>
      <c r="K55" s="78" t="n">
        <v>5</v>
      </c>
      <c r="L55" s="77" t="s">
        <v>83</v>
      </c>
      <c r="M55" s="77" t="s">
        <v>99</v>
      </c>
      <c r="N55" s="77" t="s">
        <v>63</v>
      </c>
      <c r="O55" s="85" t="str">
        <f aca="false">IF($A55="","",IF(OR($B55="",$G55="",$H55=""),"Angaben fehlen",IF($H55&lt;=$G55,"Zeit prüfen",IF($N55="Storniert","–",IF(COUNTIFS($D$8:$D$127,$D55,$B$8:$B$127,$B55,$N$8:$N$127,"&lt;&gt;Storniert",$S$8:$S$127,"&lt;"&amp;$T55,$T$8:$T$127,"&gt;"&amp;$S55)&gt;1,"Überschneidung",IF($K55&gt;IFERROR(INDEX(Stammdaten!$D$8:$D$19,MATCH($D55,Stammdaten!$A$8:$A$19,0)),999),"Kapazität prüfen","OK"))))))</f>
        <v>OK</v>
      </c>
      <c r="P55" s="86" t="str">
        <f aca="false">IF($A55="","",IF($N55="Reserviert",$F55&amp;"*",$F55))</f>
        <v>BEWE</v>
      </c>
      <c r="Q55" s="81"/>
      <c r="R55" s="87" t="n">
        <f aca="false">IF($A55="","",ROW())</f>
        <v>55</v>
      </c>
      <c r="S55" s="87" t="n">
        <f aca="false">IF($G55="","",ROUND($G55*1440,0))</f>
        <v>750</v>
      </c>
      <c r="T55" s="87" t="n">
        <f aca="false">IF($H55="","",ROUND($H55*1440,0))</f>
        <v>810</v>
      </c>
    </row>
    <row r="56" customFormat="false" ht="15" hidden="false" customHeight="true" outlineLevel="0" collapsed="false">
      <c r="A56" s="71" t="s">
        <v>180</v>
      </c>
      <c r="B56" s="72" t="n">
        <v>46224</v>
      </c>
      <c r="C56" s="73" t="n">
        <f aca="false">IF($B56="","",$B56)</f>
        <v>46224</v>
      </c>
      <c r="D56" s="71" t="s">
        <v>119</v>
      </c>
      <c r="E56" s="74" t="s">
        <v>95</v>
      </c>
      <c r="F56" s="71" t="s">
        <v>96</v>
      </c>
      <c r="G56" s="75" t="n">
        <v>0.520833333333333</v>
      </c>
      <c r="H56" s="75" t="n">
        <v>0.645833333333333</v>
      </c>
      <c r="I56" s="76" t="n">
        <f aca="false">IF(OR($G56="",$H56=""),"",ROUND(($H56-$G56)*24,2))</f>
        <v>3</v>
      </c>
      <c r="J56" s="77" t="s">
        <v>123</v>
      </c>
      <c r="K56" s="78" t="n">
        <v>22</v>
      </c>
      <c r="L56" s="77" t="s">
        <v>98</v>
      </c>
      <c r="M56" s="77" t="s">
        <v>84</v>
      </c>
      <c r="N56" s="77" t="s">
        <v>63</v>
      </c>
      <c r="O56" s="79" t="str">
        <f aca="false">IF($A56="","",IF(OR($B56="",$G56="",$H56=""),"Angaben fehlen",IF($H56&lt;=$G56,"Zeit prüfen",IF($N56="Storniert","–",IF(COUNTIFS($D$8:$D$127,$D56,$B$8:$B$127,$B56,$N$8:$N$127,"&lt;&gt;Storniert",$S$8:$S$127,"&lt;"&amp;$T56,$T$8:$T$127,"&gt;"&amp;$S56)&gt;1,"Überschneidung",IF($K56&gt;IFERROR(INDEX(Stammdaten!$D$8:$D$19,MATCH($D56,Stammdaten!$A$8:$A$19,0)),999),"Kapazität prüfen","OK"))))))</f>
        <v>OK</v>
      </c>
      <c r="P56" s="80" t="str">
        <f aca="false">IF($A56="","",IF($N56="Reserviert",$F56&amp;"*",$F56))</f>
        <v>SCHU</v>
      </c>
      <c r="Q56" s="81"/>
      <c r="R56" s="82" t="n">
        <f aca="false">IF($A56="","",ROW())</f>
        <v>56</v>
      </c>
      <c r="S56" s="82" t="n">
        <f aca="false">IF($G56="","",ROUND($G56*1440,0))</f>
        <v>750</v>
      </c>
      <c r="T56" s="82" t="n">
        <f aca="false">IF($H56="","",ROUND($H56*1440,0))</f>
        <v>930</v>
      </c>
    </row>
    <row r="57" customFormat="false" ht="15" hidden="false" customHeight="true" outlineLevel="0" collapsed="false">
      <c r="A57" s="71" t="s">
        <v>181</v>
      </c>
      <c r="B57" s="72" t="n">
        <v>46225</v>
      </c>
      <c r="C57" s="83" t="n">
        <f aca="false">IF($B57="","",$B57)</f>
        <v>46225</v>
      </c>
      <c r="D57" s="71" t="s">
        <v>65</v>
      </c>
      <c r="E57" s="74" t="s">
        <v>141</v>
      </c>
      <c r="F57" s="71" t="s">
        <v>142</v>
      </c>
      <c r="G57" s="75" t="n">
        <v>0.291666666666667</v>
      </c>
      <c r="H57" s="75" t="n">
        <v>0.354166666666667</v>
      </c>
      <c r="I57" s="84" t="n">
        <f aca="false">IF(OR($G57="",$H57=""),"",ROUND(($H57-$G57)*24,2))</f>
        <v>1.5</v>
      </c>
      <c r="J57" s="77" t="s">
        <v>88</v>
      </c>
      <c r="K57" s="78" t="n">
        <v>7</v>
      </c>
      <c r="L57" s="77" t="s">
        <v>154</v>
      </c>
      <c r="M57" s="77" t="s">
        <v>99</v>
      </c>
      <c r="N57" s="77" t="s">
        <v>63</v>
      </c>
      <c r="O57" s="85" t="str">
        <f aca="false">IF($A57="","",IF(OR($B57="",$G57="",$H57=""),"Angaben fehlen",IF($H57&lt;=$G57,"Zeit prüfen",IF($N57="Storniert","–",IF(COUNTIFS($D$8:$D$127,$D57,$B$8:$B$127,$B57,$N$8:$N$127,"&lt;&gt;Storniert",$S$8:$S$127,"&lt;"&amp;$T57,$T$8:$T$127,"&gt;"&amp;$S57)&gt;1,"Überschneidung",IF($K57&gt;IFERROR(INDEX(Stammdaten!$D$8:$D$19,MATCH($D57,Stammdaten!$A$8:$A$19,0)),999),"Kapazität prüfen","OK"))))))</f>
        <v>OK</v>
      </c>
      <c r="P57" s="86" t="str">
        <f aca="false">IF($A57="","",IF($N57="Reserviert",$F57&amp;"*",$F57))</f>
        <v>PROJ</v>
      </c>
      <c r="Q57" s="81"/>
      <c r="R57" s="87" t="n">
        <f aca="false">IF($A57="","",ROW())</f>
        <v>57</v>
      </c>
      <c r="S57" s="87" t="n">
        <f aca="false">IF($G57="","",ROUND($G57*1440,0))</f>
        <v>420</v>
      </c>
      <c r="T57" s="87" t="n">
        <f aca="false">IF($H57="","",ROUND($H57*1440,0))</f>
        <v>510</v>
      </c>
    </row>
    <row r="58" customFormat="false" ht="15" hidden="false" customHeight="true" outlineLevel="0" collapsed="false">
      <c r="A58" s="71" t="s">
        <v>182</v>
      </c>
      <c r="B58" s="72" t="n">
        <v>46225</v>
      </c>
      <c r="C58" s="73" t="n">
        <f aca="false">IF($B58="","",$B58)</f>
        <v>46225</v>
      </c>
      <c r="D58" s="71" t="s">
        <v>72</v>
      </c>
      <c r="E58" s="74" t="s">
        <v>173</v>
      </c>
      <c r="F58" s="71" t="s">
        <v>174</v>
      </c>
      <c r="G58" s="75" t="n">
        <v>0.3125</v>
      </c>
      <c r="H58" s="75" t="n">
        <v>0.354166666666667</v>
      </c>
      <c r="I58" s="76" t="n">
        <f aca="false">IF(OR($G58="",$H58=""),"",ROUND(($H58-$G58)*24,2))</f>
        <v>1</v>
      </c>
      <c r="J58" s="77" t="s">
        <v>97</v>
      </c>
      <c r="K58" s="78" t="n">
        <v>7</v>
      </c>
      <c r="L58" s="77" t="s">
        <v>61</v>
      </c>
      <c r="M58" s="77" t="s">
        <v>92</v>
      </c>
      <c r="N58" s="77" t="s">
        <v>63</v>
      </c>
      <c r="O58" s="79" t="str">
        <f aca="false">IF($A58="","",IF(OR($B58="",$G58="",$H58=""),"Angaben fehlen",IF($H58&lt;=$G58,"Zeit prüfen",IF($N58="Storniert","–",IF(COUNTIFS($D$8:$D$127,$D58,$B$8:$B$127,$B58,$N$8:$N$127,"&lt;&gt;Storniert",$S$8:$S$127,"&lt;"&amp;$T58,$T$8:$T$127,"&gt;"&amp;$S58)&gt;1,"Überschneidung",IF($K58&gt;IFERROR(INDEX(Stammdaten!$D$8:$D$19,MATCH($D58,Stammdaten!$A$8:$A$19,0)),999),"Kapazität prüfen","OK"))))))</f>
        <v>OK</v>
      </c>
      <c r="P58" s="80" t="str">
        <f aca="false">IF($A58="","",IF($N58="Reserviert",$F58&amp;"*",$F58))</f>
        <v>ABT</v>
      </c>
      <c r="Q58" s="81"/>
      <c r="R58" s="82" t="n">
        <f aca="false">IF($A58="","",ROW())</f>
        <v>58</v>
      </c>
      <c r="S58" s="82" t="n">
        <f aca="false">IF($G58="","",ROUND($G58*1440,0))</f>
        <v>450</v>
      </c>
      <c r="T58" s="82" t="n">
        <f aca="false">IF($H58="","",ROUND($H58*1440,0))</f>
        <v>510</v>
      </c>
    </row>
    <row r="59" customFormat="false" ht="15" hidden="false" customHeight="true" outlineLevel="0" collapsed="false">
      <c r="A59" s="71" t="s">
        <v>183</v>
      </c>
      <c r="B59" s="72" t="n">
        <v>46225</v>
      </c>
      <c r="C59" s="83" t="n">
        <f aca="false">IF($B59="","",$B59)</f>
        <v>46225</v>
      </c>
      <c r="D59" s="71" t="s">
        <v>87</v>
      </c>
      <c r="E59" s="74" t="s">
        <v>164</v>
      </c>
      <c r="F59" s="71" t="s">
        <v>165</v>
      </c>
      <c r="G59" s="75" t="n">
        <v>0.3125</v>
      </c>
      <c r="H59" s="75" t="n">
        <v>0.375</v>
      </c>
      <c r="I59" s="84" t="n">
        <f aca="false">IF(OR($G59="",$H59=""),"",ROUND(($H59-$G59)*24,2))</f>
        <v>1.5</v>
      </c>
      <c r="J59" s="77" t="s">
        <v>68</v>
      </c>
      <c r="K59" s="78" t="n">
        <v>8</v>
      </c>
      <c r="L59" s="77" t="s">
        <v>154</v>
      </c>
      <c r="M59" s="77" t="s">
        <v>108</v>
      </c>
      <c r="N59" s="77" t="s">
        <v>63</v>
      </c>
      <c r="O59" s="85" t="str">
        <f aca="false">IF($A59="","",IF(OR($B59="",$G59="",$H59=""),"Angaben fehlen",IF($H59&lt;=$G59,"Zeit prüfen",IF($N59="Storniert","–",IF(COUNTIFS($D$8:$D$127,$D59,$B$8:$B$127,$B59,$N$8:$N$127,"&lt;&gt;Storniert",$S$8:$S$127,"&lt;"&amp;$T59,$T$8:$T$127,"&gt;"&amp;$S59)&gt;1,"Überschneidung",IF($K59&gt;IFERROR(INDEX(Stammdaten!$D$8:$D$19,MATCH($D59,Stammdaten!$A$8:$A$19,0)),999),"Kapazität prüfen","OK"))))))</f>
        <v>OK</v>
      </c>
      <c r="P59" s="86" t="str">
        <f aca="false">IF($A59="","",IF($N59="Reserviert",$F59&amp;"*",$F59))</f>
        <v>PLAN</v>
      </c>
      <c r="Q59" s="81" t="s">
        <v>85</v>
      </c>
      <c r="R59" s="87" t="n">
        <f aca="false">IF($A59="","",ROW())</f>
        <v>59</v>
      </c>
      <c r="S59" s="87" t="n">
        <f aca="false">IF($G59="","",ROUND($G59*1440,0))</f>
        <v>450</v>
      </c>
      <c r="T59" s="87" t="n">
        <f aca="false">IF($H59="","",ROUND($H59*1440,0))</f>
        <v>540</v>
      </c>
    </row>
    <row r="60" customFormat="false" ht="15" hidden="false" customHeight="true" outlineLevel="0" collapsed="false">
      <c r="A60" s="71" t="s">
        <v>184</v>
      </c>
      <c r="B60" s="72" t="n">
        <v>46225</v>
      </c>
      <c r="C60" s="73" t="n">
        <f aca="false">IF($B60="","",$B60)</f>
        <v>46225</v>
      </c>
      <c r="D60" s="71" t="s">
        <v>113</v>
      </c>
      <c r="E60" s="74" t="s">
        <v>146</v>
      </c>
      <c r="F60" s="71" t="s">
        <v>147</v>
      </c>
      <c r="G60" s="75" t="n">
        <v>0.3125</v>
      </c>
      <c r="H60" s="75" t="n">
        <v>0.375</v>
      </c>
      <c r="I60" s="76" t="n">
        <f aca="false">IF(OR($G60="",$H60=""),"",ROUND(($H60-$G60)*24,2))</f>
        <v>1.5</v>
      </c>
      <c r="J60" s="77" t="s">
        <v>97</v>
      </c>
      <c r="K60" s="78" t="n">
        <v>5</v>
      </c>
      <c r="L60" s="77" t="s">
        <v>83</v>
      </c>
      <c r="M60" s="77" t="s">
        <v>108</v>
      </c>
      <c r="N60" s="77" t="s">
        <v>63</v>
      </c>
      <c r="O60" s="79" t="str">
        <f aca="false">IF($A60="","",IF(OR($B60="",$G60="",$H60=""),"Angaben fehlen",IF($H60&lt;=$G60,"Zeit prüfen",IF($N60="Storniert","–",IF(COUNTIFS($D$8:$D$127,$D60,$B$8:$B$127,$B60,$N$8:$N$127,"&lt;&gt;Storniert",$S$8:$S$127,"&lt;"&amp;$T60,$T$8:$T$127,"&gt;"&amp;$S60)&gt;1,"Überschneidung",IF($K60&gt;IFERROR(INDEX(Stammdaten!$D$8:$D$19,MATCH($D60,Stammdaten!$A$8:$A$19,0)),999),"Kapazität prüfen","OK"))))))</f>
        <v>OK</v>
      </c>
      <c r="P60" s="80" t="str">
        <f aca="false">IF($A60="","",IF($N60="Reserviert",$F60&amp;"*",$F60))</f>
        <v>BEWE</v>
      </c>
      <c r="Q60" s="81" t="s">
        <v>85</v>
      </c>
      <c r="R60" s="82" t="n">
        <f aca="false">IF($A60="","",ROW())</f>
        <v>60</v>
      </c>
      <c r="S60" s="82" t="n">
        <f aca="false">IF($G60="","",ROUND($G60*1440,0))</f>
        <v>450</v>
      </c>
      <c r="T60" s="82" t="n">
        <f aca="false">IF($H60="","",ROUND($H60*1440,0))</f>
        <v>540</v>
      </c>
    </row>
    <row r="61" customFormat="false" ht="15" hidden="false" customHeight="true" outlineLevel="0" collapsed="false">
      <c r="A61" s="71" t="s">
        <v>185</v>
      </c>
      <c r="B61" s="72" t="n">
        <v>46225</v>
      </c>
      <c r="C61" s="83" t="n">
        <f aca="false">IF($B61="","",$B61)</f>
        <v>46225</v>
      </c>
      <c r="D61" s="71" t="s">
        <v>57</v>
      </c>
      <c r="E61" s="74" t="s">
        <v>146</v>
      </c>
      <c r="F61" s="71" t="s">
        <v>147</v>
      </c>
      <c r="G61" s="75" t="n">
        <v>0.333333333333333</v>
      </c>
      <c r="H61" s="75" t="n">
        <v>0.416666666666667</v>
      </c>
      <c r="I61" s="84" t="n">
        <f aca="false">IF(OR($G61="",$H61=""),"",ROUND(($H61-$G61)*24,2))</f>
        <v>2</v>
      </c>
      <c r="J61" s="77" t="s">
        <v>121</v>
      </c>
      <c r="K61" s="78" t="n">
        <v>4</v>
      </c>
      <c r="L61" s="77" t="s">
        <v>91</v>
      </c>
      <c r="M61" s="77" t="s">
        <v>70</v>
      </c>
      <c r="N61" s="77" t="s">
        <v>76</v>
      </c>
      <c r="O61" s="85" t="str">
        <f aca="false">IF($A61="","",IF(OR($B61="",$G61="",$H61=""),"Angaben fehlen",IF($H61&lt;=$G61,"Zeit prüfen",IF($N61="Storniert","–",IF(COUNTIFS($D$8:$D$127,$D61,$B$8:$B$127,$B61,$N$8:$N$127,"&lt;&gt;Storniert",$S$8:$S$127,"&lt;"&amp;$T61,$T$8:$T$127,"&gt;"&amp;$S61)&gt;1,"Überschneidung",IF($K61&gt;IFERROR(INDEX(Stammdaten!$D$8:$D$19,MATCH($D61,Stammdaten!$A$8:$A$19,0)),999),"Kapazität prüfen","OK"))))))</f>
        <v>OK</v>
      </c>
      <c r="P61" s="86" t="str">
        <f aca="false">IF($A61="","",IF($N61="Reserviert",$F61&amp;"*",$F61))</f>
        <v>BEWE*</v>
      </c>
      <c r="Q61" s="81" t="s">
        <v>77</v>
      </c>
      <c r="R61" s="87" t="n">
        <f aca="false">IF($A61="","",ROW())</f>
        <v>61</v>
      </c>
      <c r="S61" s="87" t="n">
        <f aca="false">IF($G61="","",ROUND($G61*1440,0))</f>
        <v>480</v>
      </c>
      <c r="T61" s="87" t="n">
        <f aca="false">IF($H61="","",ROUND($H61*1440,0))</f>
        <v>600</v>
      </c>
    </row>
    <row r="62" customFormat="false" ht="15" hidden="false" customHeight="true" outlineLevel="0" collapsed="false">
      <c r="A62" s="71" t="s">
        <v>186</v>
      </c>
      <c r="B62" s="72" t="n">
        <v>46225</v>
      </c>
      <c r="C62" s="73" t="n">
        <f aca="false">IF($B62="","",$B62)</f>
        <v>46225</v>
      </c>
      <c r="D62" s="71" t="s">
        <v>79</v>
      </c>
      <c r="E62" s="74" t="s">
        <v>133</v>
      </c>
      <c r="F62" s="71" t="s">
        <v>134</v>
      </c>
      <c r="G62" s="75" t="n">
        <v>0.354166666666667</v>
      </c>
      <c r="H62" s="75" t="n">
        <v>0.395833333333333</v>
      </c>
      <c r="I62" s="76" t="n">
        <f aca="false">IF(OR($G62="",$H62=""),"",ROUND(($H62-$G62)*24,2))</f>
        <v>1</v>
      </c>
      <c r="J62" s="77" t="s">
        <v>107</v>
      </c>
      <c r="K62" s="78" t="n">
        <v>3</v>
      </c>
      <c r="L62" s="77" t="s">
        <v>98</v>
      </c>
      <c r="M62" s="77" t="s">
        <v>92</v>
      </c>
      <c r="N62" s="77" t="s">
        <v>63</v>
      </c>
      <c r="O62" s="79" t="str">
        <f aca="false">IF($A62="","",IF(OR($B62="",$G62="",$H62=""),"Angaben fehlen",IF($H62&lt;=$G62,"Zeit prüfen",IF($N62="Storniert","–",IF(COUNTIFS($D$8:$D$127,$D62,$B$8:$B$127,$B62,$N$8:$N$127,"&lt;&gt;Storniert",$S$8:$S$127,"&lt;"&amp;$T62,$T$8:$T$127,"&gt;"&amp;$S62)&gt;1,"Überschneidung",IF($K62&gt;IFERROR(INDEX(Stammdaten!$D$8:$D$19,MATCH($D62,Stammdaten!$A$8:$A$19,0)),999),"Kapazität prüfen","OK"))))))</f>
        <v>OK</v>
      </c>
      <c r="P62" s="80" t="str">
        <f aca="false">IF($A62="","",IF($N62="Reserviert",$F62&amp;"*",$F62))</f>
        <v>SITZ</v>
      </c>
      <c r="Q62" s="81"/>
      <c r="R62" s="82" t="n">
        <f aca="false">IF($A62="","",ROW())</f>
        <v>62</v>
      </c>
      <c r="S62" s="82" t="n">
        <f aca="false">IF($G62="","",ROUND($G62*1440,0))</f>
        <v>510</v>
      </c>
      <c r="T62" s="82" t="n">
        <f aca="false">IF($H62="","",ROUND($H62*1440,0))</f>
        <v>570</v>
      </c>
    </row>
    <row r="63" customFormat="false" ht="15" hidden="false" customHeight="true" outlineLevel="0" collapsed="false">
      <c r="A63" s="71" t="s">
        <v>187</v>
      </c>
      <c r="B63" s="72" t="n">
        <v>46225</v>
      </c>
      <c r="C63" s="83" t="n">
        <f aca="false">IF($B63="","",$B63)</f>
        <v>46225</v>
      </c>
      <c r="D63" s="71" t="s">
        <v>110</v>
      </c>
      <c r="E63" s="74" t="s">
        <v>80</v>
      </c>
      <c r="F63" s="71" t="s">
        <v>81</v>
      </c>
      <c r="G63" s="75" t="n">
        <v>0.354166666666667</v>
      </c>
      <c r="H63" s="75" t="n">
        <v>0.395833333333333</v>
      </c>
      <c r="I63" s="84" t="n">
        <f aca="false">IF(OR($G63="",$H63=""),"",ROUND(($H63-$G63)*24,2))</f>
        <v>1</v>
      </c>
      <c r="J63" s="77" t="s">
        <v>107</v>
      </c>
      <c r="K63" s="78" t="n">
        <v>5</v>
      </c>
      <c r="L63" s="77" t="s">
        <v>83</v>
      </c>
      <c r="M63" s="77" t="s">
        <v>62</v>
      </c>
      <c r="N63" s="77" t="s">
        <v>63</v>
      </c>
      <c r="O63" s="85" t="str">
        <f aca="false">IF($A63="","",IF(OR($B63="",$G63="",$H63=""),"Angaben fehlen",IF($H63&lt;=$G63,"Zeit prüfen",IF($N63="Storniert","–",IF(COUNTIFS($D$8:$D$127,$D63,$B$8:$B$127,$B63,$N$8:$N$127,"&lt;&gt;Storniert",$S$8:$S$127,"&lt;"&amp;$T63,$T$8:$T$127,"&gt;"&amp;$S63)&gt;1,"Überschneidung",IF($K63&gt;IFERROR(INDEX(Stammdaten!$D$8:$D$19,MATCH($D63,Stammdaten!$A$8:$A$19,0)),999),"Kapazität prüfen","OK"))))))</f>
        <v>OK</v>
      </c>
      <c r="P63" s="86" t="str">
        <f aca="false">IF($A63="","",IF($N63="Reserviert",$F63&amp;"*",$F63))</f>
        <v>ONBO</v>
      </c>
      <c r="Q63" s="81" t="s">
        <v>111</v>
      </c>
      <c r="R63" s="87" t="n">
        <f aca="false">IF($A63="","",ROW())</f>
        <v>63</v>
      </c>
      <c r="S63" s="87" t="n">
        <f aca="false">IF($G63="","",ROUND($G63*1440,0))</f>
        <v>510</v>
      </c>
      <c r="T63" s="87" t="n">
        <f aca="false">IF($H63="","",ROUND($H63*1440,0))</f>
        <v>570</v>
      </c>
    </row>
    <row r="64" customFormat="false" ht="15" hidden="false" customHeight="true" outlineLevel="0" collapsed="false">
      <c r="A64" s="71" t="s">
        <v>188</v>
      </c>
      <c r="B64" s="72" t="n">
        <v>46225</v>
      </c>
      <c r="C64" s="73" t="n">
        <f aca="false">IF($B64="","",$B64)</f>
        <v>46225</v>
      </c>
      <c r="D64" s="71" t="s">
        <v>104</v>
      </c>
      <c r="E64" s="74" t="s">
        <v>133</v>
      </c>
      <c r="F64" s="71" t="s">
        <v>134</v>
      </c>
      <c r="G64" s="75" t="n">
        <v>0.375</v>
      </c>
      <c r="H64" s="75" t="n">
        <v>0.458333333333333</v>
      </c>
      <c r="I64" s="76" t="n">
        <f aca="false">IF(OR($G64="",$H64=""),"",ROUND(($H64-$G64)*24,2))</f>
        <v>2</v>
      </c>
      <c r="J64" s="77" t="s">
        <v>60</v>
      </c>
      <c r="K64" s="78" t="n">
        <v>5</v>
      </c>
      <c r="L64" s="77" t="s">
        <v>61</v>
      </c>
      <c r="M64" s="77" t="s">
        <v>99</v>
      </c>
      <c r="N64" s="77" t="s">
        <v>63</v>
      </c>
      <c r="O64" s="79" t="str">
        <f aca="false">IF($A64="","",IF(OR($B64="",$G64="",$H64=""),"Angaben fehlen",IF($H64&lt;=$G64,"Zeit prüfen",IF($N64="Storniert","–",IF(COUNTIFS($D$8:$D$127,$D64,$B$8:$B$127,$B64,$N$8:$N$127,"&lt;&gt;Storniert",$S$8:$S$127,"&lt;"&amp;$T64,$T$8:$T$127,"&gt;"&amp;$S64)&gt;1,"Überschneidung",IF($K64&gt;IFERROR(INDEX(Stammdaten!$D$8:$D$19,MATCH($D64,Stammdaten!$A$8:$A$19,0)),999),"Kapazität prüfen","OK"))))))</f>
        <v>OK</v>
      </c>
      <c r="P64" s="80" t="str">
        <f aca="false">IF($A64="","",IF($N64="Reserviert",$F64&amp;"*",$F64))</f>
        <v>SITZ</v>
      </c>
      <c r="Q64" s="81" t="s">
        <v>85</v>
      </c>
      <c r="R64" s="82" t="n">
        <f aca="false">IF($A64="","",ROW())</f>
        <v>64</v>
      </c>
      <c r="S64" s="82" t="n">
        <f aca="false">IF($G64="","",ROUND($G64*1440,0))</f>
        <v>540</v>
      </c>
      <c r="T64" s="82" t="n">
        <f aca="false">IF($H64="","",ROUND($H64*1440,0))</f>
        <v>660</v>
      </c>
    </row>
    <row r="65" customFormat="false" ht="15" hidden="false" customHeight="true" outlineLevel="0" collapsed="false">
      <c r="A65" s="71" t="s">
        <v>189</v>
      </c>
      <c r="B65" s="72" t="n">
        <v>46225</v>
      </c>
      <c r="C65" s="83" t="n">
        <f aca="false">IF($B65="","",$B65)</f>
        <v>46225</v>
      </c>
      <c r="D65" s="71" t="s">
        <v>90</v>
      </c>
      <c r="E65" s="74" t="s">
        <v>66</v>
      </c>
      <c r="F65" s="71" t="s">
        <v>67</v>
      </c>
      <c r="G65" s="75" t="n">
        <v>0.375</v>
      </c>
      <c r="H65" s="75" t="n">
        <v>0.5</v>
      </c>
      <c r="I65" s="84" t="n">
        <f aca="false">IF(OR($G65="",$H65=""),"",ROUND(($H65-$G65)*24,2))</f>
        <v>3</v>
      </c>
      <c r="J65" s="77" t="s">
        <v>60</v>
      </c>
      <c r="K65" s="78" t="n">
        <v>21</v>
      </c>
      <c r="L65" s="77" t="s">
        <v>98</v>
      </c>
      <c r="M65" s="77" t="s">
        <v>62</v>
      </c>
      <c r="N65" s="77" t="s">
        <v>63</v>
      </c>
      <c r="O65" s="85" t="str">
        <f aca="false">IF($A65="","",IF(OR($B65="",$G65="",$H65=""),"Angaben fehlen",IF($H65&lt;=$G65,"Zeit prüfen",IF($N65="Storniert","–",IF(COUNTIFS($D$8:$D$127,$D65,$B$8:$B$127,$B65,$N$8:$N$127,"&lt;&gt;Storniert",$S$8:$S$127,"&lt;"&amp;$T65,$T$8:$T$127,"&gt;"&amp;$S65)&gt;1,"Überschneidung",IF($K65&gt;IFERROR(INDEX(Stammdaten!$D$8:$D$19,MATCH($D65,Stammdaten!$A$8:$A$19,0)),999),"Kapazität prüfen","OK"))))))</f>
        <v>OK</v>
      </c>
      <c r="P65" s="86" t="str">
        <f aca="false">IF($A65="","",IF($N65="Reserviert",$F65&amp;"*",$F65))</f>
        <v>KUND</v>
      </c>
      <c r="Q65" s="81" t="s">
        <v>85</v>
      </c>
      <c r="R65" s="87" t="n">
        <f aca="false">IF($A65="","",ROW())</f>
        <v>65</v>
      </c>
      <c r="S65" s="87" t="n">
        <f aca="false">IF($G65="","",ROUND($G65*1440,0))</f>
        <v>540</v>
      </c>
      <c r="T65" s="87" t="n">
        <f aca="false">IF($H65="","",ROUND($H65*1440,0))</f>
        <v>720</v>
      </c>
    </row>
    <row r="66" customFormat="false" ht="15" hidden="false" customHeight="true" outlineLevel="0" collapsed="false">
      <c r="A66" s="71" t="s">
        <v>190</v>
      </c>
      <c r="B66" s="72" t="n">
        <v>46225</v>
      </c>
      <c r="C66" s="73" t="n">
        <f aca="false">IF($B66="","",$B66)</f>
        <v>46225</v>
      </c>
      <c r="D66" s="71" t="s">
        <v>94</v>
      </c>
      <c r="E66" s="74" t="s">
        <v>95</v>
      </c>
      <c r="F66" s="71" t="s">
        <v>96</v>
      </c>
      <c r="G66" s="75" t="n">
        <v>0.375</v>
      </c>
      <c r="H66" s="75" t="n">
        <v>0.4375</v>
      </c>
      <c r="I66" s="76" t="n">
        <f aca="false">IF(OR($G66="",$H66=""),"",ROUND(($H66-$G66)*24,2))</f>
        <v>1.5</v>
      </c>
      <c r="J66" s="77" t="s">
        <v>68</v>
      </c>
      <c r="K66" s="78" t="n">
        <v>22</v>
      </c>
      <c r="L66" s="77" t="s">
        <v>154</v>
      </c>
      <c r="M66" s="77" t="s">
        <v>84</v>
      </c>
      <c r="N66" s="77" t="s">
        <v>63</v>
      </c>
      <c r="O66" s="79" t="str">
        <f aca="false">IF($A66="","",IF(OR($B66="",$G66="",$H66=""),"Angaben fehlen",IF($H66&lt;=$G66,"Zeit prüfen",IF($N66="Storniert","–",IF(COUNTIFS($D$8:$D$127,$D66,$B$8:$B$127,$B66,$N$8:$N$127,"&lt;&gt;Storniert",$S$8:$S$127,"&lt;"&amp;$T66,$T$8:$T$127,"&gt;"&amp;$S66)&gt;1,"Überschneidung",IF($K66&gt;IFERROR(INDEX(Stammdaten!$D$8:$D$19,MATCH($D66,Stammdaten!$A$8:$A$19,0)),999),"Kapazität prüfen","OK"))))))</f>
        <v>OK</v>
      </c>
      <c r="P66" s="80" t="str">
        <f aca="false">IF($A66="","",IF($N66="Reserviert",$F66&amp;"*",$F66))</f>
        <v>SCHU</v>
      </c>
      <c r="Q66" s="81" t="s">
        <v>124</v>
      </c>
      <c r="R66" s="82" t="n">
        <f aca="false">IF($A66="","",ROW())</f>
        <v>66</v>
      </c>
      <c r="S66" s="82" t="n">
        <f aca="false">IF($G66="","",ROUND($G66*1440,0))</f>
        <v>540</v>
      </c>
      <c r="T66" s="82" t="n">
        <f aca="false">IF($H66="","",ROUND($H66*1440,0))</f>
        <v>630</v>
      </c>
    </row>
    <row r="67" customFormat="false" ht="15" hidden="false" customHeight="true" outlineLevel="0" collapsed="false">
      <c r="A67" s="71" t="s">
        <v>191</v>
      </c>
      <c r="B67" s="72" t="n">
        <v>46225</v>
      </c>
      <c r="C67" s="83" t="n">
        <f aca="false">IF($B67="","",$B67)</f>
        <v>46225</v>
      </c>
      <c r="D67" s="71" t="s">
        <v>101</v>
      </c>
      <c r="E67" s="74" t="s">
        <v>105</v>
      </c>
      <c r="F67" s="71" t="s">
        <v>106</v>
      </c>
      <c r="G67" s="75" t="n">
        <v>0.375</v>
      </c>
      <c r="H67" s="75" t="n">
        <v>0.416666666666667</v>
      </c>
      <c r="I67" s="84" t="n">
        <f aca="false">IF(OR($G67="",$H67=""),"",ROUND(($H67-$G67)*24,2))</f>
        <v>1</v>
      </c>
      <c r="J67" s="77" t="s">
        <v>123</v>
      </c>
      <c r="K67" s="78" t="n">
        <v>11</v>
      </c>
      <c r="L67" s="77" t="s">
        <v>83</v>
      </c>
      <c r="M67" s="77" t="s">
        <v>92</v>
      </c>
      <c r="N67" s="77" t="s">
        <v>167</v>
      </c>
      <c r="O67" s="85" t="str">
        <f aca="false">IF($A67="","",IF(OR($B67="",$G67="",$H67=""),"Angaben fehlen",IF($H67&lt;=$G67,"Zeit prüfen",IF($N67="Storniert","–",IF(COUNTIFS($D$8:$D$127,$D67,$B$8:$B$127,$B67,$N$8:$N$127,"&lt;&gt;Storniert",$S$8:$S$127,"&lt;"&amp;$T67,$T$8:$T$127,"&gt;"&amp;$S67)&gt;1,"Überschneidung",IF($K67&gt;IFERROR(INDEX(Stammdaten!$D$8:$D$19,MATCH($D67,Stammdaten!$A$8:$A$19,0)),999),"Kapazität prüfen","OK"))))))</f>
        <v>–</v>
      </c>
      <c r="P67" s="86" t="str">
        <f aca="false">IF($A67="","",IF($N67="Reserviert",$F67&amp;"*",$F67))</f>
        <v>VIKO</v>
      </c>
      <c r="Q67" s="81" t="s">
        <v>168</v>
      </c>
      <c r="R67" s="87" t="n">
        <f aca="false">IF($A67="","",ROW())</f>
        <v>67</v>
      </c>
      <c r="S67" s="87" t="n">
        <f aca="false">IF($G67="","",ROUND($G67*1440,0))</f>
        <v>540</v>
      </c>
      <c r="T67" s="87" t="n">
        <f aca="false">IF($H67="","",ROUND($H67*1440,0))</f>
        <v>600</v>
      </c>
    </row>
    <row r="68" customFormat="false" ht="15" hidden="false" customHeight="true" outlineLevel="0" collapsed="false">
      <c r="A68" s="71" t="s">
        <v>192</v>
      </c>
      <c r="B68" s="72" t="n">
        <v>46225</v>
      </c>
      <c r="C68" s="73" t="n">
        <f aca="false">IF($B68="","",$B68)</f>
        <v>46225</v>
      </c>
      <c r="D68" s="71" t="s">
        <v>119</v>
      </c>
      <c r="E68" s="74" t="s">
        <v>146</v>
      </c>
      <c r="F68" s="71" t="s">
        <v>147</v>
      </c>
      <c r="G68" s="75" t="n">
        <v>0.375</v>
      </c>
      <c r="H68" s="75" t="n">
        <v>0.4375</v>
      </c>
      <c r="I68" s="76" t="n">
        <f aca="false">IF(OR($G68="",$H68=""),"",ROUND(($H68-$G68)*24,2))</f>
        <v>1.5</v>
      </c>
      <c r="J68" s="77" t="s">
        <v>75</v>
      </c>
      <c r="K68" s="78" t="n">
        <v>35</v>
      </c>
      <c r="L68" s="77" t="s">
        <v>91</v>
      </c>
      <c r="M68" s="77" t="s">
        <v>70</v>
      </c>
      <c r="N68" s="77" t="s">
        <v>76</v>
      </c>
      <c r="O68" s="79" t="str">
        <f aca="false">IF($A68="","",IF(OR($B68="",$G68="",$H68=""),"Angaben fehlen",IF($H68&lt;=$G68,"Zeit prüfen",IF($N68="Storniert","–",IF(COUNTIFS($D$8:$D$127,$D68,$B$8:$B$127,$B68,$N$8:$N$127,"&lt;&gt;Storniert",$S$8:$S$127,"&lt;"&amp;$T68,$T$8:$T$127,"&gt;"&amp;$S68)&gt;1,"Überschneidung",IF($K68&gt;IFERROR(INDEX(Stammdaten!$D$8:$D$19,MATCH($D68,Stammdaten!$A$8:$A$19,0)),999),"Kapazität prüfen","OK"))))))</f>
        <v>OK</v>
      </c>
      <c r="P68" s="80" t="str">
        <f aca="false">IF($A68="","",IF($N68="Reserviert",$F68&amp;"*",$F68))</f>
        <v>BEWE*</v>
      </c>
      <c r="Q68" s="81" t="s">
        <v>77</v>
      </c>
      <c r="R68" s="82" t="n">
        <f aca="false">IF($A68="","",ROW())</f>
        <v>68</v>
      </c>
      <c r="S68" s="82" t="n">
        <f aca="false">IF($G68="","",ROUND($G68*1440,0))</f>
        <v>540</v>
      </c>
      <c r="T68" s="82" t="n">
        <f aca="false">IF($H68="","",ROUND($H68*1440,0))</f>
        <v>630</v>
      </c>
    </row>
    <row r="69" customFormat="false" ht="15" hidden="false" customHeight="true" outlineLevel="0" collapsed="false">
      <c r="A69" s="71" t="s">
        <v>193</v>
      </c>
      <c r="B69" s="72" t="n">
        <v>46225</v>
      </c>
      <c r="C69" s="83" t="n">
        <f aca="false">IF($B69="","",$B69)</f>
        <v>46225</v>
      </c>
      <c r="D69" s="71" t="s">
        <v>65</v>
      </c>
      <c r="E69" s="74" t="s">
        <v>151</v>
      </c>
      <c r="F69" s="71" t="s">
        <v>152</v>
      </c>
      <c r="G69" s="75" t="n">
        <v>0.395833333333333</v>
      </c>
      <c r="H69" s="75" t="n">
        <v>0.458333333333333</v>
      </c>
      <c r="I69" s="84" t="n">
        <f aca="false">IF(OR($G69="",$H69=""),"",ROUND(($H69-$G69)*24,2))</f>
        <v>1.5</v>
      </c>
      <c r="J69" s="77" t="s">
        <v>123</v>
      </c>
      <c r="K69" s="78" t="n">
        <v>3</v>
      </c>
      <c r="L69" s="77" t="s">
        <v>69</v>
      </c>
      <c r="M69" s="77" t="s">
        <v>99</v>
      </c>
      <c r="N69" s="77" t="s">
        <v>76</v>
      </c>
      <c r="O69" s="85" t="str">
        <f aca="false">IF($A69="","",IF(OR($B69="",$G69="",$H69=""),"Angaben fehlen",IF($H69&lt;=$G69,"Zeit prüfen",IF($N69="Storniert","–",IF(COUNTIFS($D$8:$D$127,$D69,$B$8:$B$127,$B69,$N$8:$N$127,"&lt;&gt;Storniert",$S$8:$S$127,"&lt;"&amp;$T69,$T$8:$T$127,"&gt;"&amp;$S69)&gt;1,"Überschneidung",IF($K69&gt;IFERROR(INDEX(Stammdaten!$D$8:$D$19,MATCH($D69,Stammdaten!$A$8:$A$19,0)),999),"Kapazität prüfen","OK"))))))</f>
        <v>OK</v>
      </c>
      <c r="P69" s="86" t="str">
        <f aca="false">IF($A69="","",IF($N69="Reserviert",$F69&amp;"*",$F69))</f>
        <v>INFO*</v>
      </c>
      <c r="Q69" s="81" t="s">
        <v>77</v>
      </c>
      <c r="R69" s="87" t="n">
        <f aca="false">IF($A69="","",ROW())</f>
        <v>69</v>
      </c>
      <c r="S69" s="87" t="n">
        <f aca="false">IF($G69="","",ROUND($G69*1440,0))</f>
        <v>570</v>
      </c>
      <c r="T69" s="87" t="n">
        <f aca="false">IF($H69="","",ROUND($H69*1440,0))</f>
        <v>660</v>
      </c>
    </row>
    <row r="70" customFormat="false" ht="15" hidden="false" customHeight="true" outlineLevel="0" collapsed="false">
      <c r="A70" s="71" t="s">
        <v>194</v>
      </c>
      <c r="B70" s="72" t="n">
        <v>46225</v>
      </c>
      <c r="C70" s="73" t="n">
        <f aca="false">IF($B70="","",$B70)</f>
        <v>46225</v>
      </c>
      <c r="D70" s="71" t="s">
        <v>87</v>
      </c>
      <c r="E70" s="74" t="s">
        <v>133</v>
      </c>
      <c r="F70" s="71" t="s">
        <v>134</v>
      </c>
      <c r="G70" s="75" t="n">
        <v>0.416666666666667</v>
      </c>
      <c r="H70" s="75" t="n">
        <v>0.5</v>
      </c>
      <c r="I70" s="76" t="n">
        <f aca="false">IF(OR($G70="",$H70=""),"",ROUND(($H70-$G70)*24,2))</f>
        <v>2</v>
      </c>
      <c r="J70" s="77" t="s">
        <v>121</v>
      </c>
      <c r="K70" s="78" t="n">
        <v>14</v>
      </c>
      <c r="L70" s="77" t="s">
        <v>154</v>
      </c>
      <c r="M70" s="77" t="s">
        <v>92</v>
      </c>
      <c r="N70" s="77" t="s">
        <v>76</v>
      </c>
      <c r="O70" s="79" t="str">
        <f aca="false">IF($A70="","",IF(OR($B70="",$G70="",$H70=""),"Angaben fehlen",IF($H70&lt;=$G70,"Zeit prüfen",IF($N70="Storniert","–",IF(COUNTIFS($D$8:$D$127,$D70,$B$8:$B$127,$B70,$N$8:$N$127,"&lt;&gt;Storniert",$S$8:$S$127,"&lt;"&amp;$T70,$T$8:$T$127,"&gt;"&amp;$S70)&gt;1,"Überschneidung",IF($K70&gt;IFERROR(INDEX(Stammdaten!$D$8:$D$19,MATCH($D70,Stammdaten!$A$8:$A$19,0)),999),"Kapazität prüfen","OK"))))))</f>
        <v>OK</v>
      </c>
      <c r="P70" s="80" t="str">
        <f aca="false">IF($A70="","",IF($N70="Reserviert",$F70&amp;"*",$F70))</f>
        <v>SITZ*</v>
      </c>
      <c r="Q70" s="81" t="s">
        <v>77</v>
      </c>
      <c r="R70" s="82" t="n">
        <f aca="false">IF($A70="","",ROW())</f>
        <v>70</v>
      </c>
      <c r="S70" s="82" t="n">
        <f aca="false">IF($G70="","",ROUND($G70*1440,0))</f>
        <v>600</v>
      </c>
      <c r="T70" s="82" t="n">
        <f aca="false">IF($H70="","",ROUND($H70*1440,0))</f>
        <v>720</v>
      </c>
    </row>
    <row r="71" customFormat="false" ht="15" hidden="false" customHeight="true" outlineLevel="0" collapsed="false">
      <c r="A71" s="71" t="s">
        <v>195</v>
      </c>
      <c r="B71" s="72" t="n">
        <v>46225</v>
      </c>
      <c r="C71" s="83" t="n">
        <f aca="false">IF($B71="","",$B71)</f>
        <v>46225</v>
      </c>
      <c r="D71" s="71" t="s">
        <v>79</v>
      </c>
      <c r="E71" s="74" t="s">
        <v>95</v>
      </c>
      <c r="F71" s="71" t="s">
        <v>96</v>
      </c>
      <c r="G71" s="75" t="n">
        <v>0.4375</v>
      </c>
      <c r="H71" s="75" t="n">
        <v>0.479166666666667</v>
      </c>
      <c r="I71" s="84" t="n">
        <f aca="false">IF(OR($G71="",$H71=""),"",ROUND(($H71-$G71)*24,2))</f>
        <v>1</v>
      </c>
      <c r="J71" s="77" t="s">
        <v>75</v>
      </c>
      <c r="K71" s="78" t="n">
        <v>7</v>
      </c>
      <c r="L71" s="77" t="s">
        <v>154</v>
      </c>
      <c r="M71" s="77" t="s">
        <v>70</v>
      </c>
      <c r="N71" s="77" t="s">
        <v>63</v>
      </c>
      <c r="O71" s="85" t="str">
        <f aca="false">IF($A71="","",IF(OR($B71="",$G71="",$H71=""),"Angaben fehlen",IF($H71&lt;=$G71,"Zeit prüfen",IF($N71="Storniert","–",IF(COUNTIFS($D$8:$D$127,$D71,$B$8:$B$127,$B71,$N$8:$N$127,"&lt;&gt;Storniert",$S$8:$S$127,"&lt;"&amp;$T71,$T$8:$T$127,"&gt;"&amp;$S71)&gt;1,"Überschneidung",IF($K71&gt;IFERROR(INDEX(Stammdaten!$D$8:$D$19,MATCH($D71,Stammdaten!$A$8:$A$19,0)),999),"Kapazität prüfen","OK"))))))</f>
        <v>OK</v>
      </c>
      <c r="P71" s="86" t="str">
        <f aca="false">IF($A71="","",IF($N71="Reserviert",$F71&amp;"*",$F71))</f>
        <v>SCHU</v>
      </c>
      <c r="Q71" s="81" t="s">
        <v>102</v>
      </c>
      <c r="R71" s="87" t="n">
        <f aca="false">IF($A71="","",ROW())</f>
        <v>71</v>
      </c>
      <c r="S71" s="87" t="n">
        <f aca="false">IF($G71="","",ROUND($G71*1440,0))</f>
        <v>630</v>
      </c>
      <c r="T71" s="87" t="n">
        <f aca="false">IF($H71="","",ROUND($H71*1440,0))</f>
        <v>690</v>
      </c>
    </row>
    <row r="72" customFormat="false" ht="15" hidden="false" customHeight="true" outlineLevel="0" collapsed="false">
      <c r="A72" s="71" t="s">
        <v>196</v>
      </c>
      <c r="B72" s="72" t="n">
        <v>46225</v>
      </c>
      <c r="C72" s="73" t="n">
        <f aca="false">IF($B72="","",$B72)</f>
        <v>46225</v>
      </c>
      <c r="D72" s="71" t="s">
        <v>113</v>
      </c>
      <c r="E72" s="74" t="s">
        <v>66</v>
      </c>
      <c r="F72" s="71" t="s">
        <v>67</v>
      </c>
      <c r="G72" s="75" t="n">
        <v>0.458333333333333</v>
      </c>
      <c r="H72" s="75" t="n">
        <v>0.541666666666667</v>
      </c>
      <c r="I72" s="76" t="n">
        <f aca="false">IF(OR($G72="",$H72=""),"",ROUND(($H72-$G72)*24,2))</f>
        <v>2</v>
      </c>
      <c r="J72" s="77" t="s">
        <v>123</v>
      </c>
      <c r="K72" s="78" t="n">
        <v>11</v>
      </c>
      <c r="L72" s="77" t="s">
        <v>91</v>
      </c>
      <c r="M72" s="77" t="s">
        <v>92</v>
      </c>
      <c r="N72" s="77" t="s">
        <v>63</v>
      </c>
      <c r="O72" s="79" t="str">
        <f aca="false">IF($A72="","",IF(OR($B72="",$G72="",$H72=""),"Angaben fehlen",IF($H72&lt;=$G72,"Zeit prüfen",IF($N72="Storniert","–",IF(COUNTIFS($D$8:$D$127,$D72,$B$8:$B$127,$B72,$N$8:$N$127,"&lt;&gt;Storniert",$S$8:$S$127,"&lt;"&amp;$T72,$T$8:$T$127,"&gt;"&amp;$S72)&gt;1,"Überschneidung",IF($K72&gt;IFERROR(INDEX(Stammdaten!$D$8:$D$19,MATCH($D72,Stammdaten!$A$8:$A$19,0)),999),"Kapazität prüfen","OK"))))))</f>
        <v>OK</v>
      </c>
      <c r="P72" s="80" t="str">
        <f aca="false">IF($A72="","",IF($N72="Reserviert",$F72&amp;"*",$F72))</f>
        <v>KUND</v>
      </c>
      <c r="Q72" s="81"/>
      <c r="R72" s="82" t="n">
        <f aca="false">IF($A72="","",ROW())</f>
        <v>72</v>
      </c>
      <c r="S72" s="82" t="n">
        <f aca="false">IF($G72="","",ROUND($G72*1440,0))</f>
        <v>660</v>
      </c>
      <c r="T72" s="82" t="n">
        <f aca="false">IF($H72="","",ROUND($H72*1440,0))</f>
        <v>780</v>
      </c>
    </row>
    <row r="73" customFormat="false" ht="15" hidden="false" customHeight="true" outlineLevel="0" collapsed="false">
      <c r="A73" s="71" t="s">
        <v>197</v>
      </c>
      <c r="B73" s="72" t="n">
        <v>46225</v>
      </c>
      <c r="C73" s="83" t="n">
        <f aca="false">IF($B73="","",$B73)</f>
        <v>46225</v>
      </c>
      <c r="D73" s="71" t="s">
        <v>101</v>
      </c>
      <c r="E73" s="74" t="s">
        <v>58</v>
      </c>
      <c r="F73" s="71" t="s">
        <v>59</v>
      </c>
      <c r="G73" s="75" t="n">
        <v>0.458333333333333</v>
      </c>
      <c r="H73" s="75" t="n">
        <v>0.541666666666667</v>
      </c>
      <c r="I73" s="84" t="n">
        <f aca="false">IF(OR($G73="",$H73=""),"",ROUND(($H73-$G73)*24,2))</f>
        <v>2</v>
      </c>
      <c r="J73" s="77" t="s">
        <v>60</v>
      </c>
      <c r="K73" s="78" t="n">
        <v>10</v>
      </c>
      <c r="L73" s="77" t="s">
        <v>154</v>
      </c>
      <c r="M73" s="77" t="s">
        <v>99</v>
      </c>
      <c r="N73" s="77" t="s">
        <v>63</v>
      </c>
      <c r="O73" s="85" t="str">
        <f aca="false">IF($A73="","",IF(OR($B73="",$G73="",$H73=""),"Angaben fehlen",IF($H73&lt;=$G73,"Zeit prüfen",IF($N73="Storniert","–",IF(COUNTIFS($D$8:$D$127,$D73,$B$8:$B$127,$B73,$N$8:$N$127,"&lt;&gt;Storniert",$S$8:$S$127,"&lt;"&amp;$T73,$T$8:$T$127,"&gt;"&amp;$S73)&gt;1,"Überschneidung",IF($K73&gt;IFERROR(INDEX(Stammdaten!$D$8:$D$19,MATCH($D73,Stammdaten!$A$8:$A$19,0)),999),"Kapazität prüfen","OK"))))))</f>
        <v>OK</v>
      </c>
      <c r="P73" s="86" t="str">
        <f aca="false">IF($A73="","",IF($N73="Reserviert",$F73&amp;"*",$F73))</f>
        <v>JOUR</v>
      </c>
      <c r="Q73" s="81"/>
      <c r="R73" s="87" t="n">
        <f aca="false">IF($A73="","",ROW())</f>
        <v>73</v>
      </c>
      <c r="S73" s="87" t="n">
        <f aca="false">IF($G73="","",ROUND($G73*1440,0))</f>
        <v>660</v>
      </c>
      <c r="T73" s="87" t="n">
        <f aca="false">IF($H73="","",ROUND($H73*1440,0))</f>
        <v>780</v>
      </c>
    </row>
    <row r="74" customFormat="false" ht="15" hidden="false" customHeight="true" outlineLevel="0" collapsed="false">
      <c r="A74" s="71" t="s">
        <v>198</v>
      </c>
      <c r="B74" s="72" t="n">
        <v>46225</v>
      </c>
      <c r="C74" s="73" t="n">
        <f aca="false">IF($B74="","",$B74)</f>
        <v>46225</v>
      </c>
      <c r="D74" s="71" t="s">
        <v>79</v>
      </c>
      <c r="E74" s="74" t="s">
        <v>58</v>
      </c>
      <c r="F74" s="71" t="s">
        <v>59</v>
      </c>
      <c r="G74" s="75" t="n">
        <v>0.5</v>
      </c>
      <c r="H74" s="75" t="n">
        <v>0.583333333333333</v>
      </c>
      <c r="I74" s="76" t="n">
        <f aca="false">IF(OR($G74="",$H74=""),"",ROUND(($H74-$G74)*24,2))</f>
        <v>2</v>
      </c>
      <c r="J74" s="77" t="s">
        <v>123</v>
      </c>
      <c r="K74" s="78" t="n">
        <v>6</v>
      </c>
      <c r="L74" s="77" t="s">
        <v>61</v>
      </c>
      <c r="M74" s="77" t="s">
        <v>108</v>
      </c>
      <c r="N74" s="77" t="s">
        <v>63</v>
      </c>
      <c r="O74" s="79" t="str">
        <f aca="false">IF($A74="","",IF(OR($B74="",$G74="",$H74=""),"Angaben fehlen",IF($H74&lt;=$G74,"Zeit prüfen",IF($N74="Storniert","–",IF(COUNTIFS($D$8:$D$127,$D74,$B$8:$B$127,$B74,$N$8:$N$127,"&lt;&gt;Storniert",$S$8:$S$127,"&lt;"&amp;$T74,$T$8:$T$127,"&gt;"&amp;$S74)&gt;1,"Überschneidung",IF($K74&gt;IFERROR(INDEX(Stammdaten!$D$8:$D$19,MATCH($D74,Stammdaten!$A$8:$A$19,0)),999),"Kapazität prüfen","OK"))))))</f>
        <v>OK</v>
      </c>
      <c r="P74" s="80" t="str">
        <f aca="false">IF($A74="","",IF($N74="Reserviert",$F74&amp;"*",$F74))</f>
        <v>JOUR</v>
      </c>
      <c r="Q74" s="81"/>
      <c r="R74" s="82" t="n">
        <f aca="false">IF($A74="","",ROW())</f>
        <v>74</v>
      </c>
      <c r="S74" s="82" t="n">
        <f aca="false">IF($G74="","",ROUND($G74*1440,0))</f>
        <v>720</v>
      </c>
      <c r="T74" s="82" t="n">
        <f aca="false">IF($H74="","",ROUND($H74*1440,0))</f>
        <v>840</v>
      </c>
    </row>
    <row r="75" customFormat="false" ht="15" hidden="false" customHeight="true" outlineLevel="0" collapsed="false">
      <c r="A75" s="71" t="s">
        <v>199</v>
      </c>
      <c r="B75" s="72" t="n">
        <v>46225</v>
      </c>
      <c r="C75" s="83" t="n">
        <f aca="false">IF($B75="","",$B75)</f>
        <v>46225</v>
      </c>
      <c r="D75" s="71" t="s">
        <v>87</v>
      </c>
      <c r="E75" s="74" t="s">
        <v>133</v>
      </c>
      <c r="F75" s="71" t="s">
        <v>134</v>
      </c>
      <c r="G75" s="75" t="n">
        <v>0.520833333333333</v>
      </c>
      <c r="H75" s="75" t="n">
        <v>0.604166666666667</v>
      </c>
      <c r="I75" s="84" t="n">
        <f aca="false">IF(OR($G75="",$H75=""),"",ROUND(($H75-$G75)*24,2))</f>
        <v>2</v>
      </c>
      <c r="J75" s="77" t="s">
        <v>82</v>
      </c>
      <c r="K75" s="78" t="n">
        <v>8</v>
      </c>
      <c r="L75" s="77" t="s">
        <v>61</v>
      </c>
      <c r="M75" s="77" t="s">
        <v>62</v>
      </c>
      <c r="N75" s="77" t="s">
        <v>63</v>
      </c>
      <c r="O75" s="85" t="str">
        <f aca="false">IF($A75="","",IF(OR($B75="",$G75="",$H75=""),"Angaben fehlen",IF($H75&lt;=$G75,"Zeit prüfen",IF($N75="Storniert","–",IF(COUNTIFS($D$8:$D$127,$D75,$B$8:$B$127,$B75,$N$8:$N$127,"&lt;&gt;Storniert",$S$8:$S$127,"&lt;"&amp;$T75,$T$8:$T$127,"&gt;"&amp;$S75)&gt;1,"Überschneidung",IF($K75&gt;IFERROR(INDEX(Stammdaten!$D$8:$D$19,MATCH($D75,Stammdaten!$A$8:$A$19,0)),999),"Kapazität prüfen","OK"))))))</f>
        <v>OK</v>
      </c>
      <c r="P75" s="86" t="str">
        <f aca="false">IF($A75="","",IF($N75="Reserviert",$F75&amp;"*",$F75))</f>
        <v>SITZ</v>
      </c>
      <c r="Q75" s="81"/>
      <c r="R75" s="87" t="n">
        <f aca="false">IF($A75="","",ROW())</f>
        <v>75</v>
      </c>
      <c r="S75" s="87" t="n">
        <f aca="false">IF($G75="","",ROUND($G75*1440,0))</f>
        <v>750</v>
      </c>
      <c r="T75" s="87" t="n">
        <f aca="false">IF($H75="","",ROUND($H75*1440,0))</f>
        <v>870</v>
      </c>
    </row>
    <row r="76" customFormat="false" ht="15" hidden="false" customHeight="true" outlineLevel="0" collapsed="false">
      <c r="A76" s="71" t="s">
        <v>200</v>
      </c>
      <c r="B76" s="72" t="n">
        <v>46225</v>
      </c>
      <c r="C76" s="73" t="n">
        <f aca="false">IF($B76="","",$B76)</f>
        <v>46225</v>
      </c>
      <c r="D76" s="71" t="s">
        <v>119</v>
      </c>
      <c r="E76" s="74" t="s">
        <v>105</v>
      </c>
      <c r="F76" s="71" t="s">
        <v>106</v>
      </c>
      <c r="G76" s="75" t="n">
        <v>0.520833333333333</v>
      </c>
      <c r="H76" s="75" t="n">
        <v>0.5625</v>
      </c>
      <c r="I76" s="76" t="n">
        <f aca="false">IF(OR($G76="",$H76=""),"",ROUND(($H76-$G76)*24,2))</f>
        <v>1</v>
      </c>
      <c r="J76" s="77" t="s">
        <v>123</v>
      </c>
      <c r="K76" s="78" t="n">
        <v>15</v>
      </c>
      <c r="L76" s="77" t="s">
        <v>154</v>
      </c>
      <c r="M76" s="77" t="s">
        <v>84</v>
      </c>
      <c r="N76" s="77" t="s">
        <v>63</v>
      </c>
      <c r="O76" s="79" t="str">
        <f aca="false">IF($A76="","",IF(OR($B76="",$G76="",$H76=""),"Angaben fehlen",IF($H76&lt;=$G76,"Zeit prüfen",IF($N76="Storniert","–",IF(COUNTIFS($D$8:$D$127,$D76,$B$8:$B$127,$B76,$N$8:$N$127,"&lt;&gt;Storniert",$S$8:$S$127,"&lt;"&amp;$T76,$T$8:$T$127,"&gt;"&amp;$S76)&gt;1,"Überschneidung",IF($K76&gt;IFERROR(INDEX(Stammdaten!$D$8:$D$19,MATCH($D76,Stammdaten!$A$8:$A$19,0)),999),"Kapazität prüfen","OK"))))))</f>
        <v>OK</v>
      </c>
      <c r="P76" s="80" t="str">
        <f aca="false">IF($A76="","",IF($N76="Reserviert",$F76&amp;"*",$F76))</f>
        <v>VIKO</v>
      </c>
      <c r="Q76" s="81"/>
      <c r="R76" s="82" t="n">
        <f aca="false">IF($A76="","",ROW())</f>
        <v>76</v>
      </c>
      <c r="S76" s="82" t="n">
        <f aca="false">IF($G76="","",ROUND($G76*1440,0))</f>
        <v>750</v>
      </c>
      <c r="T76" s="82" t="n">
        <f aca="false">IF($H76="","",ROUND($H76*1440,0))</f>
        <v>810</v>
      </c>
    </row>
    <row r="77" customFormat="false" ht="15" hidden="false" customHeight="true" outlineLevel="0" collapsed="false">
      <c r="A77" s="71" t="s">
        <v>201</v>
      </c>
      <c r="B77" s="72" t="n">
        <v>46226</v>
      </c>
      <c r="C77" s="83" t="n">
        <f aca="false">IF($B77="","",$B77)</f>
        <v>46226</v>
      </c>
      <c r="D77" s="71" t="s">
        <v>113</v>
      </c>
      <c r="E77" s="74" t="s">
        <v>95</v>
      </c>
      <c r="F77" s="71" t="s">
        <v>96</v>
      </c>
      <c r="G77" s="75" t="n">
        <v>0.291666666666667</v>
      </c>
      <c r="H77" s="75" t="n">
        <v>0.333333333333333</v>
      </c>
      <c r="I77" s="84" t="n">
        <f aca="false">IF(OR($G77="",$H77=""),"",ROUND(($H77-$G77)*24,2))</f>
        <v>1</v>
      </c>
      <c r="J77" s="77" t="s">
        <v>88</v>
      </c>
      <c r="K77" s="78" t="n">
        <v>14</v>
      </c>
      <c r="L77" s="77" t="s">
        <v>61</v>
      </c>
      <c r="M77" s="77" t="s">
        <v>99</v>
      </c>
      <c r="N77" s="77" t="s">
        <v>63</v>
      </c>
      <c r="O77" s="85" t="str">
        <f aca="false">IF($A77="","",IF(OR($B77="",$G77="",$H77=""),"Angaben fehlen",IF($H77&lt;=$G77,"Zeit prüfen",IF($N77="Storniert","–",IF(COUNTIFS($D$8:$D$127,$D77,$B$8:$B$127,$B77,$N$8:$N$127,"&lt;&gt;Storniert",$S$8:$S$127,"&lt;"&amp;$T77,$T$8:$T$127,"&gt;"&amp;$S77)&gt;1,"Überschneidung",IF($K77&gt;IFERROR(INDEX(Stammdaten!$D$8:$D$19,MATCH($D77,Stammdaten!$A$8:$A$19,0)),999),"Kapazität prüfen","OK"))))))</f>
        <v>OK</v>
      </c>
      <c r="P77" s="86" t="str">
        <f aca="false">IF($A77="","",IF($N77="Reserviert",$F77&amp;"*",$F77))</f>
        <v>SCHU</v>
      </c>
      <c r="Q77" s="81"/>
      <c r="R77" s="87" t="n">
        <f aca="false">IF($A77="","",ROW())</f>
        <v>77</v>
      </c>
      <c r="S77" s="87" t="n">
        <f aca="false">IF($G77="","",ROUND($G77*1440,0))</f>
        <v>420</v>
      </c>
      <c r="T77" s="87" t="n">
        <f aca="false">IF($H77="","",ROUND($H77*1440,0))</f>
        <v>480</v>
      </c>
    </row>
    <row r="78" customFormat="false" ht="15" hidden="false" customHeight="true" outlineLevel="0" collapsed="false">
      <c r="A78" s="71" t="s">
        <v>202</v>
      </c>
      <c r="B78" s="72" t="n">
        <v>46226</v>
      </c>
      <c r="C78" s="73" t="n">
        <f aca="false">IF($B78="","",$B78)</f>
        <v>46226</v>
      </c>
      <c r="D78" s="71" t="s">
        <v>72</v>
      </c>
      <c r="E78" s="74" t="s">
        <v>95</v>
      </c>
      <c r="F78" s="71" t="s">
        <v>96</v>
      </c>
      <c r="G78" s="75" t="n">
        <v>0.3125</v>
      </c>
      <c r="H78" s="75" t="n">
        <v>0.354166666666667</v>
      </c>
      <c r="I78" s="76" t="n">
        <f aca="false">IF(OR($G78="",$H78=""),"",ROUND(($H78-$G78)*24,2))</f>
        <v>1</v>
      </c>
      <c r="J78" s="77" t="s">
        <v>121</v>
      </c>
      <c r="K78" s="78" t="n">
        <v>6</v>
      </c>
      <c r="L78" s="77" t="s">
        <v>83</v>
      </c>
      <c r="M78" s="77" t="s">
        <v>108</v>
      </c>
      <c r="N78" s="77" t="s">
        <v>63</v>
      </c>
      <c r="O78" s="79" t="str">
        <f aca="false">IF($A78="","",IF(OR($B78="",$G78="",$H78=""),"Angaben fehlen",IF($H78&lt;=$G78,"Zeit prüfen",IF($N78="Storniert","–",IF(COUNTIFS($D$8:$D$127,$D78,$B$8:$B$127,$B78,$N$8:$N$127,"&lt;&gt;Storniert",$S$8:$S$127,"&lt;"&amp;$T78,$T$8:$T$127,"&gt;"&amp;$S78)&gt;1,"Überschneidung",IF($K78&gt;IFERROR(INDEX(Stammdaten!$D$8:$D$19,MATCH($D78,Stammdaten!$A$8:$A$19,0)),999),"Kapazität prüfen","OK"))))))</f>
        <v>OK</v>
      </c>
      <c r="P78" s="80" t="str">
        <f aca="false">IF($A78="","",IF($N78="Reserviert",$F78&amp;"*",$F78))</f>
        <v>SCHU</v>
      </c>
      <c r="Q78" s="81"/>
      <c r="R78" s="82" t="n">
        <f aca="false">IF($A78="","",ROW())</f>
        <v>78</v>
      </c>
      <c r="S78" s="82" t="n">
        <f aca="false">IF($G78="","",ROUND($G78*1440,0))</f>
        <v>450</v>
      </c>
      <c r="T78" s="82" t="n">
        <f aca="false">IF($H78="","",ROUND($H78*1440,0))</f>
        <v>510</v>
      </c>
    </row>
    <row r="79" customFormat="false" ht="15" hidden="false" customHeight="true" outlineLevel="0" collapsed="false">
      <c r="A79" s="71" t="s">
        <v>203</v>
      </c>
      <c r="B79" s="72" t="n">
        <v>46226</v>
      </c>
      <c r="C79" s="83" t="n">
        <f aca="false">IF($B79="","",$B79)</f>
        <v>46226</v>
      </c>
      <c r="D79" s="71" t="s">
        <v>104</v>
      </c>
      <c r="E79" s="74" t="s">
        <v>130</v>
      </c>
      <c r="F79" s="71" t="s">
        <v>131</v>
      </c>
      <c r="G79" s="75" t="n">
        <v>0.3125</v>
      </c>
      <c r="H79" s="75" t="n">
        <v>0.4375</v>
      </c>
      <c r="I79" s="84" t="n">
        <f aca="false">IF(OR($G79="",$H79=""),"",ROUND(($H79-$G79)*24,2))</f>
        <v>3</v>
      </c>
      <c r="J79" s="77" t="s">
        <v>60</v>
      </c>
      <c r="K79" s="78" t="n">
        <v>7</v>
      </c>
      <c r="L79" s="77" t="s">
        <v>83</v>
      </c>
      <c r="M79" s="77" t="s">
        <v>62</v>
      </c>
      <c r="N79" s="77" t="s">
        <v>76</v>
      </c>
      <c r="O79" s="85" t="str">
        <f aca="false">IF($A79="","",IF(OR($B79="",$G79="",$H79=""),"Angaben fehlen",IF($H79&lt;=$G79,"Zeit prüfen",IF($N79="Storniert","–",IF(COUNTIFS($D$8:$D$127,$D79,$B$8:$B$127,$B79,$N$8:$N$127,"&lt;&gt;Storniert",$S$8:$S$127,"&lt;"&amp;$T79,$T$8:$T$127,"&gt;"&amp;$S79)&gt;1,"Überschneidung",IF($K79&gt;IFERROR(INDEX(Stammdaten!$D$8:$D$19,MATCH($D79,Stammdaten!$A$8:$A$19,0)),999),"Kapazität prüfen","OK"))))))</f>
        <v>OK</v>
      </c>
      <c r="P79" s="86" t="str">
        <f aca="false">IF($A79="","",IF($N79="Reserviert",$F79&amp;"*",$F79))</f>
        <v>KLAU*</v>
      </c>
      <c r="Q79" s="81" t="s">
        <v>77</v>
      </c>
      <c r="R79" s="87" t="n">
        <f aca="false">IF($A79="","",ROW())</f>
        <v>79</v>
      </c>
      <c r="S79" s="87" t="n">
        <f aca="false">IF($G79="","",ROUND($G79*1440,0))</f>
        <v>450</v>
      </c>
      <c r="T79" s="87" t="n">
        <f aca="false">IF($H79="","",ROUND($H79*1440,0))</f>
        <v>630</v>
      </c>
    </row>
    <row r="80" customFormat="false" ht="15" hidden="false" customHeight="true" outlineLevel="0" collapsed="false">
      <c r="A80" s="71" t="s">
        <v>204</v>
      </c>
      <c r="B80" s="72" t="n">
        <v>46226</v>
      </c>
      <c r="C80" s="73" t="n">
        <f aca="false">IF($B80="","",$B80)</f>
        <v>46226</v>
      </c>
      <c r="D80" s="71" t="s">
        <v>87</v>
      </c>
      <c r="E80" s="74" t="s">
        <v>105</v>
      </c>
      <c r="F80" s="71" t="s">
        <v>106</v>
      </c>
      <c r="G80" s="75" t="n">
        <v>0.3125</v>
      </c>
      <c r="H80" s="75" t="n">
        <v>0.375</v>
      </c>
      <c r="I80" s="76" t="n">
        <f aca="false">IF(OR($G80="",$H80=""),"",ROUND(($H80-$G80)*24,2))</f>
        <v>1.5</v>
      </c>
      <c r="J80" s="77" t="s">
        <v>107</v>
      </c>
      <c r="K80" s="78" t="n">
        <v>13</v>
      </c>
      <c r="L80" s="77" t="s">
        <v>91</v>
      </c>
      <c r="M80" s="77" t="s">
        <v>108</v>
      </c>
      <c r="N80" s="77" t="s">
        <v>76</v>
      </c>
      <c r="O80" s="79" t="str">
        <f aca="false">IF($A80="","",IF(OR($B80="",$G80="",$H80=""),"Angaben fehlen",IF($H80&lt;=$G80,"Zeit prüfen",IF($N80="Storniert","–",IF(COUNTIFS($D$8:$D$127,$D80,$B$8:$B$127,$B80,$N$8:$N$127,"&lt;&gt;Storniert",$S$8:$S$127,"&lt;"&amp;$T80,$T$8:$T$127,"&gt;"&amp;$S80)&gt;1,"Überschneidung",IF($K80&gt;IFERROR(INDEX(Stammdaten!$D$8:$D$19,MATCH($D80,Stammdaten!$A$8:$A$19,0)),999),"Kapazität prüfen","OK"))))))</f>
        <v>OK</v>
      </c>
      <c r="P80" s="80" t="str">
        <f aca="false">IF($A80="","",IF($N80="Reserviert",$F80&amp;"*",$F80))</f>
        <v>VIKO*</v>
      </c>
      <c r="Q80" s="81" t="s">
        <v>77</v>
      </c>
      <c r="R80" s="82" t="n">
        <f aca="false">IF($A80="","",ROW())</f>
        <v>80</v>
      </c>
      <c r="S80" s="82" t="n">
        <f aca="false">IF($G80="","",ROUND($G80*1440,0))</f>
        <v>450</v>
      </c>
      <c r="T80" s="82" t="n">
        <f aca="false">IF($H80="","",ROUND($H80*1440,0))</f>
        <v>540</v>
      </c>
    </row>
    <row r="81" customFormat="false" ht="15" hidden="false" customHeight="true" outlineLevel="0" collapsed="false">
      <c r="A81" s="71" t="s">
        <v>205</v>
      </c>
      <c r="B81" s="72" t="n">
        <v>46226</v>
      </c>
      <c r="C81" s="83" t="n">
        <f aca="false">IF($B81="","",$B81)</f>
        <v>46226</v>
      </c>
      <c r="D81" s="71" t="s">
        <v>90</v>
      </c>
      <c r="E81" s="74" t="s">
        <v>160</v>
      </c>
      <c r="F81" s="71" t="s">
        <v>161</v>
      </c>
      <c r="G81" s="75" t="n">
        <v>0.3125</v>
      </c>
      <c r="H81" s="75" t="n">
        <v>0.354166666666667</v>
      </c>
      <c r="I81" s="84" t="n">
        <f aca="false">IF(OR($G81="",$H81=""),"",ROUND(($H81-$G81)*24,2))</f>
        <v>1</v>
      </c>
      <c r="J81" s="77" t="s">
        <v>60</v>
      </c>
      <c r="K81" s="78" t="n">
        <v>17</v>
      </c>
      <c r="L81" s="77" t="s">
        <v>154</v>
      </c>
      <c r="M81" s="77" t="s">
        <v>99</v>
      </c>
      <c r="N81" s="77" t="s">
        <v>63</v>
      </c>
      <c r="O81" s="85" t="str">
        <f aca="false">IF($A81="","",IF(OR($B81="",$G81="",$H81=""),"Angaben fehlen",IF($H81&lt;=$G81,"Zeit prüfen",IF($N81="Storniert","–",IF(COUNTIFS($D$8:$D$127,$D81,$B$8:$B$127,$B81,$N$8:$N$127,"&lt;&gt;Storniert",$S$8:$S$127,"&lt;"&amp;$T81,$T$8:$T$127,"&gt;"&amp;$S81)&gt;1,"Überschneidung",IF($K81&gt;IFERROR(INDEX(Stammdaten!$D$8:$D$19,MATCH($D81,Stammdaten!$A$8:$A$19,0)),999),"Kapazität prüfen","OK"))))))</f>
        <v>OK</v>
      </c>
      <c r="P81" s="86" t="str">
        <f aca="false">IF($A81="","",IF($N81="Reserviert",$F81&amp;"*",$F81))</f>
        <v>TEAM</v>
      </c>
      <c r="Q81" s="81" t="s">
        <v>124</v>
      </c>
      <c r="R81" s="87" t="n">
        <f aca="false">IF($A81="","",ROW())</f>
        <v>81</v>
      </c>
      <c r="S81" s="87" t="n">
        <f aca="false">IF($G81="","",ROUND($G81*1440,0))</f>
        <v>450</v>
      </c>
      <c r="T81" s="87" t="n">
        <f aca="false">IF($H81="","",ROUND($H81*1440,0))</f>
        <v>510</v>
      </c>
    </row>
    <row r="82" customFormat="false" ht="15" hidden="false" customHeight="true" outlineLevel="0" collapsed="false">
      <c r="A82" s="71" t="s">
        <v>206</v>
      </c>
      <c r="B82" s="72" t="n">
        <v>46226</v>
      </c>
      <c r="C82" s="73" t="n">
        <f aca="false">IF($B82="","",$B82)</f>
        <v>46226</v>
      </c>
      <c r="D82" s="71" t="s">
        <v>119</v>
      </c>
      <c r="E82" s="74" t="s">
        <v>114</v>
      </c>
      <c r="F82" s="71" t="s">
        <v>115</v>
      </c>
      <c r="G82" s="75" t="n">
        <v>0.3125</v>
      </c>
      <c r="H82" s="75" t="n">
        <v>0.395833333333333</v>
      </c>
      <c r="I82" s="76" t="n">
        <f aca="false">IF(OR($G82="",$H82=""),"",ROUND(($H82-$G82)*24,2))</f>
        <v>2</v>
      </c>
      <c r="J82" s="77" t="s">
        <v>60</v>
      </c>
      <c r="K82" s="78" t="n">
        <v>0</v>
      </c>
      <c r="L82" s="77" t="s">
        <v>69</v>
      </c>
      <c r="M82" s="77" t="s">
        <v>99</v>
      </c>
      <c r="N82" s="77" t="s">
        <v>116</v>
      </c>
      <c r="O82" s="79" t="str">
        <f aca="false">IF($A82="","",IF(OR($B82="",$G82="",$H82=""),"Angaben fehlen",IF($H82&lt;=$G82,"Zeit prüfen",IF($N82="Storniert","–",IF(COUNTIFS($D$8:$D$127,$D82,$B$8:$B$127,$B82,$N$8:$N$127,"&lt;&gt;Storniert",$S$8:$S$127,"&lt;"&amp;$T82,$T$8:$T$127,"&gt;"&amp;$S82)&gt;1,"Überschneidung",IF($K82&gt;IFERROR(INDEX(Stammdaten!$D$8:$D$19,MATCH($D82,Stammdaten!$A$8:$A$19,0)),999),"Kapazität prüfen","OK"))))))</f>
        <v>OK</v>
      </c>
      <c r="P82" s="80" t="str">
        <f aca="false">IF($A82="","",IF($N82="Reserviert",$F82&amp;"*",$F82))</f>
        <v>WTG</v>
      </c>
      <c r="Q82" s="81" t="s">
        <v>117</v>
      </c>
      <c r="R82" s="82" t="n">
        <f aca="false">IF($A82="","",ROW())</f>
        <v>82</v>
      </c>
      <c r="S82" s="82" t="n">
        <f aca="false">IF($G82="","",ROUND($G82*1440,0))</f>
        <v>450</v>
      </c>
      <c r="T82" s="82" t="n">
        <f aca="false">IF($H82="","",ROUND($H82*1440,0))</f>
        <v>570</v>
      </c>
    </row>
    <row r="83" customFormat="false" ht="15" hidden="false" customHeight="true" outlineLevel="0" collapsed="false">
      <c r="A83" s="71" t="s">
        <v>207</v>
      </c>
      <c r="B83" s="72" t="n">
        <v>46226</v>
      </c>
      <c r="C83" s="83" t="n">
        <f aca="false">IF($B83="","",$B83)</f>
        <v>46226</v>
      </c>
      <c r="D83" s="71" t="s">
        <v>65</v>
      </c>
      <c r="E83" s="74" t="s">
        <v>151</v>
      </c>
      <c r="F83" s="71" t="s">
        <v>152</v>
      </c>
      <c r="G83" s="75" t="n">
        <v>0.333333333333333</v>
      </c>
      <c r="H83" s="75" t="n">
        <v>0.375</v>
      </c>
      <c r="I83" s="84" t="n">
        <f aca="false">IF(OR($G83="",$H83=""),"",ROUND(($H83-$G83)*24,2))</f>
        <v>1</v>
      </c>
      <c r="J83" s="77" t="s">
        <v>68</v>
      </c>
      <c r="K83" s="78" t="n">
        <v>5</v>
      </c>
      <c r="L83" s="77" t="s">
        <v>154</v>
      </c>
      <c r="M83" s="77" t="s">
        <v>92</v>
      </c>
      <c r="N83" s="77" t="s">
        <v>63</v>
      </c>
      <c r="O83" s="85" t="str">
        <f aca="false">IF($A83="","",IF(OR($B83="",$G83="",$H83=""),"Angaben fehlen",IF($H83&lt;=$G83,"Zeit prüfen",IF($N83="Storniert","–",IF(COUNTIFS($D$8:$D$127,$D83,$B$8:$B$127,$B83,$N$8:$N$127,"&lt;&gt;Storniert",$S$8:$S$127,"&lt;"&amp;$T83,$T$8:$T$127,"&gt;"&amp;$S83)&gt;1,"Überschneidung",IF($K83&gt;IFERROR(INDEX(Stammdaten!$D$8:$D$19,MATCH($D83,Stammdaten!$A$8:$A$19,0)),999),"Kapazität prüfen","OK"))))))</f>
        <v>OK</v>
      </c>
      <c r="P83" s="86" t="str">
        <f aca="false">IF($A83="","",IF($N83="Reserviert",$F83&amp;"*",$F83))</f>
        <v>INFO</v>
      </c>
      <c r="Q83" s="81" t="s">
        <v>85</v>
      </c>
      <c r="R83" s="87" t="n">
        <f aca="false">IF($A83="","",ROW())</f>
        <v>83</v>
      </c>
      <c r="S83" s="87" t="n">
        <f aca="false">IF($G83="","",ROUND($G83*1440,0))</f>
        <v>480</v>
      </c>
      <c r="T83" s="87" t="n">
        <f aca="false">IF($H83="","",ROUND($H83*1440,0))</f>
        <v>540</v>
      </c>
    </row>
    <row r="84" customFormat="false" ht="15" hidden="false" customHeight="true" outlineLevel="0" collapsed="false">
      <c r="A84" s="71" t="s">
        <v>208</v>
      </c>
      <c r="B84" s="72" t="n">
        <v>46226</v>
      </c>
      <c r="C84" s="73" t="n">
        <f aca="false">IF($B84="","",$B84)</f>
        <v>46226</v>
      </c>
      <c r="D84" s="71" t="s">
        <v>94</v>
      </c>
      <c r="E84" s="74" t="s">
        <v>173</v>
      </c>
      <c r="F84" s="71" t="s">
        <v>174</v>
      </c>
      <c r="G84" s="75" t="n">
        <v>0.354166666666667</v>
      </c>
      <c r="H84" s="75" t="n">
        <v>0.4375</v>
      </c>
      <c r="I84" s="76" t="n">
        <f aca="false">IF(OR($G84="",$H84=""),"",ROUND(($H84-$G84)*24,2))</f>
        <v>2</v>
      </c>
      <c r="J84" s="77" t="s">
        <v>60</v>
      </c>
      <c r="K84" s="78" t="n">
        <v>21</v>
      </c>
      <c r="L84" s="77" t="s">
        <v>154</v>
      </c>
      <c r="M84" s="77" t="s">
        <v>70</v>
      </c>
      <c r="N84" s="77" t="s">
        <v>63</v>
      </c>
      <c r="O84" s="79" t="str">
        <f aca="false">IF($A84="","",IF(OR($B84="",$G84="",$H84=""),"Angaben fehlen",IF($H84&lt;=$G84,"Zeit prüfen",IF($N84="Storniert","–",IF(COUNTIFS($D$8:$D$127,$D84,$B$8:$B$127,$B84,$N$8:$N$127,"&lt;&gt;Storniert",$S$8:$S$127,"&lt;"&amp;$T84,$T$8:$T$127,"&gt;"&amp;$S84)&gt;1,"Überschneidung",IF($K84&gt;IFERROR(INDEX(Stammdaten!$D$8:$D$19,MATCH($D84,Stammdaten!$A$8:$A$19,0)),999),"Kapazität prüfen","OK"))))))</f>
        <v>OK</v>
      </c>
      <c r="P84" s="80" t="str">
        <f aca="false">IF($A84="","",IF($N84="Reserviert",$F84&amp;"*",$F84))</f>
        <v>ABT</v>
      </c>
      <c r="Q84" s="81" t="s">
        <v>85</v>
      </c>
      <c r="R84" s="82" t="n">
        <f aca="false">IF($A84="","",ROW())</f>
        <v>84</v>
      </c>
      <c r="S84" s="82" t="n">
        <f aca="false">IF($G84="","",ROUND($G84*1440,0))</f>
        <v>510</v>
      </c>
      <c r="T84" s="82" t="n">
        <f aca="false">IF($H84="","",ROUND($H84*1440,0))</f>
        <v>630</v>
      </c>
    </row>
    <row r="85" customFormat="false" ht="15" hidden="false" customHeight="true" outlineLevel="0" collapsed="false">
      <c r="A85" s="71" t="s">
        <v>209</v>
      </c>
      <c r="B85" s="72" t="n">
        <v>46226</v>
      </c>
      <c r="C85" s="83" t="n">
        <f aca="false">IF($B85="","",$B85)</f>
        <v>46226</v>
      </c>
      <c r="D85" s="71" t="s">
        <v>79</v>
      </c>
      <c r="E85" s="74" t="s">
        <v>141</v>
      </c>
      <c r="F85" s="71" t="s">
        <v>142</v>
      </c>
      <c r="G85" s="75" t="n">
        <v>0.354166666666667</v>
      </c>
      <c r="H85" s="75" t="n">
        <v>0.416666666666667</v>
      </c>
      <c r="I85" s="84" t="n">
        <f aca="false">IF(OR($G85="",$H85=""),"",ROUND(($H85-$G85)*24,2))</f>
        <v>1.5</v>
      </c>
      <c r="J85" s="77" t="s">
        <v>75</v>
      </c>
      <c r="K85" s="78" t="n">
        <v>7</v>
      </c>
      <c r="L85" s="77" t="s">
        <v>154</v>
      </c>
      <c r="M85" s="77" t="s">
        <v>62</v>
      </c>
      <c r="N85" s="77" t="s">
        <v>63</v>
      </c>
      <c r="O85" s="85" t="str">
        <f aca="false">IF($A85="","",IF(OR($B85="",$G85="",$H85=""),"Angaben fehlen",IF($H85&lt;=$G85,"Zeit prüfen",IF($N85="Storniert","–",IF(COUNTIFS($D$8:$D$127,$D85,$B$8:$B$127,$B85,$N$8:$N$127,"&lt;&gt;Storniert",$S$8:$S$127,"&lt;"&amp;$T85,$T$8:$T$127,"&gt;"&amp;$S85)&gt;1,"Überschneidung",IF($K85&gt;IFERROR(INDEX(Stammdaten!$D$8:$D$19,MATCH($D85,Stammdaten!$A$8:$A$19,0)),999),"Kapazität prüfen","OK"))))))</f>
        <v>OK</v>
      </c>
      <c r="P85" s="86" t="str">
        <f aca="false">IF($A85="","",IF($N85="Reserviert",$F85&amp;"*",$F85))</f>
        <v>PROJ</v>
      </c>
      <c r="Q85" s="81"/>
      <c r="R85" s="87" t="n">
        <f aca="false">IF($A85="","",ROW())</f>
        <v>85</v>
      </c>
      <c r="S85" s="87" t="n">
        <f aca="false">IF($G85="","",ROUND($G85*1440,0))</f>
        <v>510</v>
      </c>
      <c r="T85" s="87" t="n">
        <f aca="false">IF($H85="","",ROUND($H85*1440,0))</f>
        <v>600</v>
      </c>
    </row>
    <row r="86" customFormat="false" ht="15" hidden="false" customHeight="true" outlineLevel="0" collapsed="false">
      <c r="A86" s="71" t="s">
        <v>210</v>
      </c>
      <c r="B86" s="72" t="n">
        <v>46226</v>
      </c>
      <c r="C86" s="73" t="n">
        <f aca="false">IF($B86="","",$B86)</f>
        <v>46226</v>
      </c>
      <c r="D86" s="71" t="s">
        <v>57</v>
      </c>
      <c r="E86" s="74" t="s">
        <v>160</v>
      </c>
      <c r="F86" s="71" t="s">
        <v>161</v>
      </c>
      <c r="G86" s="75" t="n">
        <v>0.375</v>
      </c>
      <c r="H86" s="75" t="n">
        <v>0.458333333333333</v>
      </c>
      <c r="I86" s="76" t="n">
        <f aca="false">IF(OR($G86="",$H86=""),"",ROUND(($H86-$G86)*24,2))</f>
        <v>2</v>
      </c>
      <c r="J86" s="77" t="s">
        <v>75</v>
      </c>
      <c r="K86" s="78" t="n">
        <v>5</v>
      </c>
      <c r="L86" s="77" t="s">
        <v>61</v>
      </c>
      <c r="M86" s="77" t="s">
        <v>62</v>
      </c>
      <c r="N86" s="77" t="s">
        <v>76</v>
      </c>
      <c r="O86" s="79" t="str">
        <f aca="false">IF($A86="","",IF(OR($B86="",$G86="",$H86=""),"Angaben fehlen",IF($H86&lt;=$G86,"Zeit prüfen",IF($N86="Storniert","–",IF(COUNTIFS($D$8:$D$127,$D86,$B$8:$B$127,$B86,$N$8:$N$127,"&lt;&gt;Storniert",$S$8:$S$127,"&lt;"&amp;$T86,$T$8:$T$127,"&gt;"&amp;$S86)&gt;1,"Überschneidung",IF($K86&gt;IFERROR(INDEX(Stammdaten!$D$8:$D$19,MATCH($D86,Stammdaten!$A$8:$A$19,0)),999),"Kapazität prüfen","OK"))))))</f>
        <v>OK</v>
      </c>
      <c r="P86" s="80" t="str">
        <f aca="false">IF($A86="","",IF($N86="Reserviert",$F86&amp;"*",$F86))</f>
        <v>TEAM*</v>
      </c>
      <c r="Q86" s="81" t="s">
        <v>77</v>
      </c>
      <c r="R86" s="82" t="n">
        <f aca="false">IF($A86="","",ROW())</f>
        <v>86</v>
      </c>
      <c r="S86" s="82" t="n">
        <f aca="false">IF($G86="","",ROUND($G86*1440,0))</f>
        <v>540</v>
      </c>
      <c r="T86" s="82" t="n">
        <f aca="false">IF($H86="","",ROUND($H86*1440,0))</f>
        <v>660</v>
      </c>
    </row>
    <row r="87" customFormat="false" ht="15" hidden="false" customHeight="true" outlineLevel="0" collapsed="false">
      <c r="A87" s="71" t="s">
        <v>211</v>
      </c>
      <c r="B87" s="72" t="n">
        <v>46226</v>
      </c>
      <c r="C87" s="83" t="n">
        <f aca="false">IF($B87="","",$B87)</f>
        <v>46226</v>
      </c>
      <c r="D87" s="71" t="s">
        <v>101</v>
      </c>
      <c r="E87" s="74" t="s">
        <v>80</v>
      </c>
      <c r="F87" s="71" t="s">
        <v>81</v>
      </c>
      <c r="G87" s="75" t="n">
        <v>0.375</v>
      </c>
      <c r="H87" s="75" t="n">
        <v>0.416666666666667</v>
      </c>
      <c r="I87" s="84" t="n">
        <f aca="false">IF(OR($G87="",$H87=""),"",ROUND(($H87-$G87)*24,2))</f>
        <v>1</v>
      </c>
      <c r="J87" s="77" t="s">
        <v>97</v>
      </c>
      <c r="K87" s="78" t="n">
        <v>11</v>
      </c>
      <c r="L87" s="77" t="s">
        <v>98</v>
      </c>
      <c r="M87" s="77" t="s">
        <v>62</v>
      </c>
      <c r="N87" s="77" t="s">
        <v>76</v>
      </c>
      <c r="O87" s="85" t="str">
        <f aca="false">IF($A87="","",IF(OR($B87="",$G87="",$H87=""),"Angaben fehlen",IF($H87&lt;=$G87,"Zeit prüfen",IF($N87="Storniert","–",IF(COUNTIFS($D$8:$D$127,$D87,$B$8:$B$127,$B87,$N$8:$N$127,"&lt;&gt;Storniert",$S$8:$S$127,"&lt;"&amp;$T87,$T$8:$T$127,"&gt;"&amp;$S87)&gt;1,"Überschneidung",IF($K87&gt;IFERROR(INDEX(Stammdaten!$D$8:$D$19,MATCH($D87,Stammdaten!$A$8:$A$19,0)),999),"Kapazität prüfen","OK"))))))</f>
        <v>OK</v>
      </c>
      <c r="P87" s="86" t="str">
        <f aca="false">IF($A87="","",IF($N87="Reserviert",$F87&amp;"*",$F87))</f>
        <v>ONBO*</v>
      </c>
      <c r="Q87" s="81" t="s">
        <v>77</v>
      </c>
      <c r="R87" s="87" t="n">
        <f aca="false">IF($A87="","",ROW())</f>
        <v>87</v>
      </c>
      <c r="S87" s="87" t="n">
        <f aca="false">IF($G87="","",ROUND($G87*1440,0))</f>
        <v>540</v>
      </c>
      <c r="T87" s="87" t="n">
        <f aca="false">IF($H87="","",ROUND($H87*1440,0))</f>
        <v>600</v>
      </c>
    </row>
    <row r="88" customFormat="false" ht="15" hidden="false" customHeight="true" outlineLevel="0" collapsed="false">
      <c r="A88" s="71" t="s">
        <v>212</v>
      </c>
      <c r="B88" s="72" t="n">
        <v>46226</v>
      </c>
      <c r="C88" s="73" t="n">
        <f aca="false">IF($B88="","",$B88)</f>
        <v>46226</v>
      </c>
      <c r="D88" s="71" t="s">
        <v>110</v>
      </c>
      <c r="E88" s="74" t="s">
        <v>105</v>
      </c>
      <c r="F88" s="71" t="s">
        <v>106</v>
      </c>
      <c r="G88" s="75" t="n">
        <v>0.375</v>
      </c>
      <c r="H88" s="75" t="n">
        <v>0.4375</v>
      </c>
      <c r="I88" s="76" t="n">
        <f aca="false">IF(OR($G88="",$H88=""),"",ROUND(($H88-$G88)*24,2))</f>
        <v>1.5</v>
      </c>
      <c r="J88" s="77" t="s">
        <v>68</v>
      </c>
      <c r="K88" s="78" t="n">
        <v>5</v>
      </c>
      <c r="L88" s="77" t="s">
        <v>91</v>
      </c>
      <c r="M88" s="77" t="s">
        <v>84</v>
      </c>
      <c r="N88" s="77" t="s">
        <v>63</v>
      </c>
      <c r="O88" s="79" t="str">
        <f aca="false">IF($A88="","",IF(OR($B88="",$G88="",$H88=""),"Angaben fehlen",IF($H88&lt;=$G88,"Zeit prüfen",IF($N88="Storniert","–",IF(COUNTIFS($D$8:$D$127,$D88,$B$8:$B$127,$B88,$N$8:$N$127,"&lt;&gt;Storniert",$S$8:$S$127,"&lt;"&amp;$T88,$T$8:$T$127,"&gt;"&amp;$S88)&gt;1,"Überschneidung",IF($K88&gt;IFERROR(INDEX(Stammdaten!$D$8:$D$19,MATCH($D88,Stammdaten!$A$8:$A$19,0)),999),"Kapazität prüfen","OK"))))))</f>
        <v>OK</v>
      </c>
      <c r="P88" s="80" t="str">
        <f aca="false">IF($A88="","",IF($N88="Reserviert",$F88&amp;"*",$F88))</f>
        <v>VIKO</v>
      </c>
      <c r="Q88" s="81" t="s">
        <v>85</v>
      </c>
      <c r="R88" s="82" t="n">
        <f aca="false">IF($A88="","",ROW())</f>
        <v>88</v>
      </c>
      <c r="S88" s="82" t="n">
        <f aca="false">IF($G88="","",ROUND($G88*1440,0))</f>
        <v>540</v>
      </c>
      <c r="T88" s="82" t="n">
        <f aca="false">IF($H88="","",ROUND($H88*1440,0))</f>
        <v>630</v>
      </c>
    </row>
    <row r="89" customFormat="false" ht="15" hidden="false" customHeight="true" outlineLevel="0" collapsed="false">
      <c r="A89" s="71" t="s">
        <v>213</v>
      </c>
      <c r="B89" s="72" t="n">
        <v>46226</v>
      </c>
      <c r="C89" s="83" t="n">
        <f aca="false">IF($B89="","",$B89)</f>
        <v>46226</v>
      </c>
      <c r="D89" s="71" t="s">
        <v>87</v>
      </c>
      <c r="E89" s="74" t="s">
        <v>151</v>
      </c>
      <c r="F89" s="71" t="s">
        <v>152</v>
      </c>
      <c r="G89" s="75" t="n">
        <v>0.395833333333333</v>
      </c>
      <c r="H89" s="75" t="n">
        <v>0.479166666666667</v>
      </c>
      <c r="I89" s="84" t="n">
        <f aca="false">IF(OR($G89="",$H89=""),"",ROUND(($H89-$G89)*24,2))</f>
        <v>2</v>
      </c>
      <c r="J89" s="77" t="s">
        <v>97</v>
      </c>
      <c r="K89" s="78" t="n">
        <v>19</v>
      </c>
      <c r="L89" s="77" t="s">
        <v>83</v>
      </c>
      <c r="M89" s="77" t="s">
        <v>70</v>
      </c>
      <c r="N89" s="77" t="s">
        <v>167</v>
      </c>
      <c r="O89" s="85" t="str">
        <f aca="false">IF($A89="","",IF(OR($B89="",$G89="",$H89=""),"Angaben fehlen",IF($H89&lt;=$G89,"Zeit prüfen",IF($N89="Storniert","–",IF(COUNTIFS($D$8:$D$127,$D89,$B$8:$B$127,$B89,$N$8:$N$127,"&lt;&gt;Storniert",$S$8:$S$127,"&lt;"&amp;$T89,$T$8:$T$127,"&gt;"&amp;$S89)&gt;1,"Überschneidung",IF($K89&gt;IFERROR(INDEX(Stammdaten!$D$8:$D$19,MATCH($D89,Stammdaten!$A$8:$A$19,0)),999),"Kapazität prüfen","OK"))))))</f>
        <v>–</v>
      </c>
      <c r="P89" s="86" t="str">
        <f aca="false">IF($A89="","",IF($N89="Reserviert",$F89&amp;"*",$F89))</f>
        <v>INFO</v>
      </c>
      <c r="Q89" s="81" t="s">
        <v>168</v>
      </c>
      <c r="R89" s="87" t="n">
        <f aca="false">IF($A89="","",ROW())</f>
        <v>89</v>
      </c>
      <c r="S89" s="87" t="n">
        <f aca="false">IF($G89="","",ROUND($G89*1440,0))</f>
        <v>570</v>
      </c>
      <c r="T89" s="87" t="n">
        <f aca="false">IF($H89="","",ROUND($H89*1440,0))</f>
        <v>690</v>
      </c>
    </row>
    <row r="90" customFormat="false" ht="15" hidden="false" customHeight="true" outlineLevel="0" collapsed="false">
      <c r="A90" s="71" t="s">
        <v>214</v>
      </c>
      <c r="B90" s="72" t="n">
        <v>46226</v>
      </c>
      <c r="C90" s="73" t="n">
        <f aca="false">IF($B90="","",$B90)</f>
        <v>46226</v>
      </c>
      <c r="D90" s="71" t="s">
        <v>90</v>
      </c>
      <c r="E90" s="74" t="s">
        <v>133</v>
      </c>
      <c r="F90" s="71" t="s">
        <v>134</v>
      </c>
      <c r="G90" s="75" t="n">
        <v>0.395833333333333</v>
      </c>
      <c r="H90" s="75" t="n">
        <v>0.4375</v>
      </c>
      <c r="I90" s="76" t="n">
        <f aca="false">IF(OR($G90="",$H90=""),"",ROUND(($H90-$G90)*24,2))</f>
        <v>1</v>
      </c>
      <c r="J90" s="77" t="s">
        <v>82</v>
      </c>
      <c r="K90" s="78" t="n">
        <v>16</v>
      </c>
      <c r="L90" s="77" t="s">
        <v>154</v>
      </c>
      <c r="M90" s="77" t="s">
        <v>62</v>
      </c>
      <c r="N90" s="77" t="s">
        <v>63</v>
      </c>
      <c r="O90" s="79" t="str">
        <f aca="false">IF($A90="","",IF(OR($B90="",$G90="",$H90=""),"Angaben fehlen",IF($H90&lt;=$G90,"Zeit prüfen",IF($N90="Storniert","–",IF(COUNTIFS($D$8:$D$127,$D90,$B$8:$B$127,$B90,$N$8:$N$127,"&lt;&gt;Storniert",$S$8:$S$127,"&lt;"&amp;$T90,$T$8:$T$127,"&gt;"&amp;$S90)&gt;1,"Überschneidung",IF($K90&gt;IFERROR(INDEX(Stammdaten!$D$8:$D$19,MATCH($D90,Stammdaten!$A$8:$A$19,0)),999),"Kapazität prüfen","OK"))))))</f>
        <v>OK</v>
      </c>
      <c r="P90" s="80" t="str">
        <f aca="false">IF($A90="","",IF($N90="Reserviert",$F90&amp;"*",$F90))</f>
        <v>SITZ</v>
      </c>
      <c r="Q90" s="81" t="s">
        <v>124</v>
      </c>
      <c r="R90" s="82" t="n">
        <f aca="false">IF($A90="","",ROW())</f>
        <v>90</v>
      </c>
      <c r="S90" s="82" t="n">
        <f aca="false">IF($G90="","",ROUND($G90*1440,0))</f>
        <v>570</v>
      </c>
      <c r="T90" s="82" t="n">
        <f aca="false">IF($H90="","",ROUND($H90*1440,0))</f>
        <v>630</v>
      </c>
    </row>
    <row r="91" customFormat="false" ht="15" hidden="false" customHeight="true" outlineLevel="0" collapsed="false">
      <c r="A91" s="71" t="s">
        <v>215</v>
      </c>
      <c r="B91" s="72" t="n">
        <v>46226</v>
      </c>
      <c r="C91" s="83" t="n">
        <f aca="false">IF($B91="","",$B91)</f>
        <v>46226</v>
      </c>
      <c r="D91" s="71" t="s">
        <v>65</v>
      </c>
      <c r="E91" s="74" t="s">
        <v>73</v>
      </c>
      <c r="F91" s="71" t="s">
        <v>74</v>
      </c>
      <c r="G91" s="75" t="n">
        <v>0.416666666666667</v>
      </c>
      <c r="H91" s="75" t="n">
        <v>0.5</v>
      </c>
      <c r="I91" s="84" t="n">
        <f aca="false">IF(OR($G91="",$H91=""),"",ROUND(($H91-$G91)*24,2))</f>
        <v>2</v>
      </c>
      <c r="J91" s="77" t="s">
        <v>75</v>
      </c>
      <c r="K91" s="78" t="n">
        <v>6</v>
      </c>
      <c r="L91" s="77" t="s">
        <v>69</v>
      </c>
      <c r="M91" s="77" t="s">
        <v>92</v>
      </c>
      <c r="N91" s="77" t="s">
        <v>63</v>
      </c>
      <c r="O91" s="85" t="str">
        <f aca="false">IF($A91="","",IF(OR($B91="",$G91="",$H91=""),"Angaben fehlen",IF($H91&lt;=$G91,"Zeit prüfen",IF($N91="Storniert","–",IF(COUNTIFS($D$8:$D$127,$D91,$B$8:$B$127,$B91,$N$8:$N$127,"&lt;&gt;Storniert",$S$8:$S$127,"&lt;"&amp;$T91,$T$8:$T$127,"&gt;"&amp;$S91)&gt;1,"Überschneidung",IF($K91&gt;IFERROR(INDEX(Stammdaten!$D$8:$D$19,MATCH($D91,Stammdaten!$A$8:$A$19,0)),999),"Kapazität prüfen","OK"))))))</f>
        <v>OK</v>
      </c>
      <c r="P91" s="86" t="str">
        <f aca="false">IF($A91="","",IF($N91="Reserviert",$F91&amp;"*",$F91))</f>
        <v>BEWT</v>
      </c>
      <c r="Q91" s="81" t="s">
        <v>111</v>
      </c>
      <c r="R91" s="87" t="n">
        <f aca="false">IF($A91="","",ROW())</f>
        <v>91</v>
      </c>
      <c r="S91" s="87" t="n">
        <f aca="false">IF($G91="","",ROUND($G91*1440,0))</f>
        <v>600</v>
      </c>
      <c r="T91" s="87" t="n">
        <f aca="false">IF($H91="","",ROUND($H91*1440,0))</f>
        <v>720</v>
      </c>
    </row>
    <row r="92" customFormat="false" ht="15" hidden="false" customHeight="true" outlineLevel="0" collapsed="false">
      <c r="A92" s="71" t="s">
        <v>216</v>
      </c>
      <c r="B92" s="72" t="n">
        <v>46226</v>
      </c>
      <c r="C92" s="73" t="n">
        <f aca="false">IF($B92="","",$B92)</f>
        <v>46226</v>
      </c>
      <c r="D92" s="71" t="s">
        <v>119</v>
      </c>
      <c r="E92" s="74" t="s">
        <v>58</v>
      </c>
      <c r="F92" s="71" t="s">
        <v>59</v>
      </c>
      <c r="G92" s="75" t="n">
        <v>0.416666666666667</v>
      </c>
      <c r="H92" s="75" t="n">
        <v>0.458333333333333</v>
      </c>
      <c r="I92" s="76" t="n">
        <f aca="false">IF(OR($G92="",$H92=""),"",ROUND(($H92-$G92)*24,2))</f>
        <v>1</v>
      </c>
      <c r="J92" s="77" t="s">
        <v>60</v>
      </c>
      <c r="K92" s="78" t="n">
        <v>24</v>
      </c>
      <c r="L92" s="77" t="s">
        <v>91</v>
      </c>
      <c r="M92" s="77" t="s">
        <v>92</v>
      </c>
      <c r="N92" s="77" t="s">
        <v>63</v>
      </c>
      <c r="O92" s="79" t="str">
        <f aca="false">IF($A92="","",IF(OR($B92="",$G92="",$H92=""),"Angaben fehlen",IF($H92&lt;=$G92,"Zeit prüfen",IF($N92="Storniert","–",IF(COUNTIFS($D$8:$D$127,$D92,$B$8:$B$127,$B92,$N$8:$N$127,"&lt;&gt;Storniert",$S$8:$S$127,"&lt;"&amp;$T92,$T$8:$T$127,"&gt;"&amp;$S92)&gt;1,"Überschneidung",IF($K92&gt;IFERROR(INDEX(Stammdaten!$D$8:$D$19,MATCH($D92,Stammdaten!$A$8:$A$19,0)),999),"Kapazität prüfen","OK"))))))</f>
        <v>OK</v>
      </c>
      <c r="P92" s="80" t="str">
        <f aca="false">IF($A92="","",IF($N92="Reserviert",$F92&amp;"*",$F92))</f>
        <v>JOUR</v>
      </c>
      <c r="Q92" s="81" t="s">
        <v>124</v>
      </c>
      <c r="R92" s="82" t="n">
        <f aca="false">IF($A92="","",ROW())</f>
        <v>92</v>
      </c>
      <c r="S92" s="82" t="n">
        <f aca="false">IF($G92="","",ROUND($G92*1440,0))</f>
        <v>600</v>
      </c>
      <c r="T92" s="82" t="n">
        <f aca="false">IF($H92="","",ROUND($H92*1440,0))</f>
        <v>660</v>
      </c>
    </row>
    <row r="93" customFormat="false" ht="15" hidden="false" customHeight="true" outlineLevel="0" collapsed="false">
      <c r="A93" s="71" t="s">
        <v>217</v>
      </c>
      <c r="B93" s="72" t="n">
        <v>46226</v>
      </c>
      <c r="C93" s="83" t="n">
        <f aca="false">IF($B93="","",$B93)</f>
        <v>46226</v>
      </c>
      <c r="D93" s="71" t="s">
        <v>79</v>
      </c>
      <c r="E93" s="74" t="s">
        <v>73</v>
      </c>
      <c r="F93" s="71" t="s">
        <v>74</v>
      </c>
      <c r="G93" s="75" t="n">
        <v>0.4375</v>
      </c>
      <c r="H93" s="75" t="n">
        <v>0.5</v>
      </c>
      <c r="I93" s="84" t="n">
        <f aca="false">IF(OR($G93="",$H93=""),"",ROUND(($H93-$G93)*24,2))</f>
        <v>1.5</v>
      </c>
      <c r="J93" s="77" t="s">
        <v>107</v>
      </c>
      <c r="K93" s="78" t="n">
        <v>7</v>
      </c>
      <c r="L93" s="77" t="s">
        <v>98</v>
      </c>
      <c r="M93" s="77" t="s">
        <v>84</v>
      </c>
      <c r="N93" s="77" t="s">
        <v>63</v>
      </c>
      <c r="O93" s="85" t="str">
        <f aca="false">IF($A93="","",IF(OR($B93="",$G93="",$H93=""),"Angaben fehlen",IF($H93&lt;=$G93,"Zeit prüfen",IF($N93="Storniert","–",IF(COUNTIFS($D$8:$D$127,$D93,$B$8:$B$127,$B93,$N$8:$N$127,"&lt;&gt;Storniert",$S$8:$S$127,"&lt;"&amp;$T93,$T$8:$T$127,"&gt;"&amp;$S93)&gt;1,"Überschneidung",IF($K93&gt;IFERROR(INDEX(Stammdaten!$D$8:$D$19,MATCH($D93,Stammdaten!$A$8:$A$19,0)),999),"Kapazität prüfen","OK"))))))</f>
        <v>OK</v>
      </c>
      <c r="P93" s="86" t="str">
        <f aca="false">IF($A93="","",IF($N93="Reserviert",$F93&amp;"*",$F93))</f>
        <v>BEWT</v>
      </c>
      <c r="Q93" s="81"/>
      <c r="R93" s="87" t="n">
        <f aca="false">IF($A93="","",ROW())</f>
        <v>93</v>
      </c>
      <c r="S93" s="87" t="n">
        <f aca="false">IF($G93="","",ROUND($G93*1440,0))</f>
        <v>630</v>
      </c>
      <c r="T93" s="87" t="n">
        <f aca="false">IF($H93="","",ROUND($H93*1440,0))</f>
        <v>720</v>
      </c>
    </row>
    <row r="94" customFormat="false" ht="15" hidden="false" customHeight="true" outlineLevel="0" collapsed="false">
      <c r="A94" s="71" t="s">
        <v>218</v>
      </c>
      <c r="B94" s="72" t="n">
        <v>46226</v>
      </c>
      <c r="C94" s="73" t="n">
        <f aca="false">IF($B94="","",$B94)</f>
        <v>46226</v>
      </c>
      <c r="D94" s="71" t="s">
        <v>90</v>
      </c>
      <c r="E94" s="74" t="s">
        <v>133</v>
      </c>
      <c r="F94" s="71" t="s">
        <v>134</v>
      </c>
      <c r="G94" s="75" t="n">
        <v>0.458333333333333</v>
      </c>
      <c r="H94" s="75" t="n">
        <v>0.520833333333333</v>
      </c>
      <c r="I94" s="76" t="n">
        <f aca="false">IF(OR($G94="",$H94=""),"",ROUND(($H94-$G94)*24,2))</f>
        <v>1.5</v>
      </c>
      <c r="J94" s="77" t="s">
        <v>88</v>
      </c>
      <c r="K94" s="78" t="n">
        <v>17</v>
      </c>
      <c r="L94" s="77" t="s">
        <v>83</v>
      </c>
      <c r="M94" s="77" t="s">
        <v>62</v>
      </c>
      <c r="N94" s="77" t="s">
        <v>76</v>
      </c>
      <c r="O94" s="79" t="str">
        <f aca="false">IF($A94="","",IF(OR($B94="",$G94="",$H94=""),"Angaben fehlen",IF($H94&lt;=$G94,"Zeit prüfen",IF($N94="Storniert","–",IF(COUNTIFS($D$8:$D$127,$D94,$B$8:$B$127,$B94,$N$8:$N$127,"&lt;&gt;Storniert",$S$8:$S$127,"&lt;"&amp;$T94,$T$8:$T$127,"&gt;"&amp;$S94)&gt;1,"Überschneidung",IF($K94&gt;IFERROR(INDEX(Stammdaten!$D$8:$D$19,MATCH($D94,Stammdaten!$A$8:$A$19,0)),999),"Kapazität prüfen","OK"))))))</f>
        <v>OK</v>
      </c>
      <c r="P94" s="80" t="str">
        <f aca="false">IF($A94="","",IF($N94="Reserviert",$F94&amp;"*",$F94))</f>
        <v>SITZ*</v>
      </c>
      <c r="Q94" s="81" t="s">
        <v>77</v>
      </c>
      <c r="R94" s="82" t="n">
        <f aca="false">IF($A94="","",ROW())</f>
        <v>94</v>
      </c>
      <c r="S94" s="82" t="n">
        <f aca="false">IF($G94="","",ROUND($G94*1440,0))</f>
        <v>660</v>
      </c>
      <c r="T94" s="82" t="n">
        <f aca="false">IF($H94="","",ROUND($H94*1440,0))</f>
        <v>750</v>
      </c>
    </row>
    <row r="95" customFormat="false" ht="15" hidden="false" customHeight="true" outlineLevel="0" collapsed="false">
      <c r="A95" s="71" t="s">
        <v>219</v>
      </c>
      <c r="B95" s="72" t="n">
        <v>46226</v>
      </c>
      <c r="C95" s="83" t="n">
        <f aca="false">IF($B95="","",$B95)</f>
        <v>46226</v>
      </c>
      <c r="D95" s="71" t="s">
        <v>101</v>
      </c>
      <c r="E95" s="74" t="s">
        <v>105</v>
      </c>
      <c r="F95" s="71" t="s">
        <v>106</v>
      </c>
      <c r="G95" s="75" t="n">
        <v>0.458333333333333</v>
      </c>
      <c r="H95" s="75" t="n">
        <v>0.583333333333333</v>
      </c>
      <c r="I95" s="84" t="n">
        <f aca="false">IF(OR($G95="",$H95=""),"",ROUND(($H95-$G95)*24,2))</f>
        <v>3</v>
      </c>
      <c r="J95" s="77" t="s">
        <v>121</v>
      </c>
      <c r="K95" s="78" t="n">
        <v>4</v>
      </c>
      <c r="L95" s="77" t="s">
        <v>154</v>
      </c>
      <c r="M95" s="77" t="s">
        <v>84</v>
      </c>
      <c r="N95" s="77" t="s">
        <v>63</v>
      </c>
      <c r="O95" s="85" t="str">
        <f aca="false">IF($A95="","",IF(OR($B95="",$G95="",$H95=""),"Angaben fehlen",IF($H95&lt;=$G95,"Zeit prüfen",IF($N95="Storniert","–",IF(COUNTIFS($D$8:$D$127,$D95,$B$8:$B$127,$B95,$N$8:$N$127,"&lt;&gt;Storniert",$S$8:$S$127,"&lt;"&amp;$T95,$T$8:$T$127,"&gt;"&amp;$S95)&gt;1,"Überschneidung",IF($K95&gt;IFERROR(INDEX(Stammdaten!$D$8:$D$19,MATCH($D95,Stammdaten!$A$8:$A$19,0)),999),"Kapazität prüfen","OK"))))))</f>
        <v>OK</v>
      </c>
      <c r="P95" s="86" t="str">
        <f aca="false">IF($A95="","",IF($N95="Reserviert",$F95&amp;"*",$F95))</f>
        <v>VIKO</v>
      </c>
      <c r="Q95" s="81" t="s">
        <v>111</v>
      </c>
      <c r="R95" s="87" t="n">
        <f aca="false">IF($A95="","",ROW())</f>
        <v>95</v>
      </c>
      <c r="S95" s="87" t="n">
        <f aca="false">IF($G95="","",ROUND($G95*1440,0))</f>
        <v>660</v>
      </c>
      <c r="T95" s="87" t="n">
        <f aca="false">IF($H95="","",ROUND($H95*1440,0))</f>
        <v>840</v>
      </c>
    </row>
    <row r="96" customFormat="false" ht="15" hidden="false" customHeight="true" outlineLevel="0" collapsed="false">
      <c r="A96" s="71" t="s">
        <v>220</v>
      </c>
      <c r="B96" s="72" t="n">
        <v>46226</v>
      </c>
      <c r="C96" s="73" t="n">
        <f aca="false">IF($B96="","",$B96)</f>
        <v>46226</v>
      </c>
      <c r="D96" s="71" t="s">
        <v>104</v>
      </c>
      <c r="E96" s="74" t="s">
        <v>80</v>
      </c>
      <c r="F96" s="71" t="s">
        <v>81</v>
      </c>
      <c r="G96" s="75" t="n">
        <v>0.479166666666667</v>
      </c>
      <c r="H96" s="75" t="n">
        <v>0.541666666666667</v>
      </c>
      <c r="I96" s="76" t="n">
        <f aca="false">IF(OR($G96="",$H96=""),"",ROUND(($H96-$G96)*24,2))</f>
        <v>1.5</v>
      </c>
      <c r="J96" s="77" t="s">
        <v>97</v>
      </c>
      <c r="K96" s="78" t="n">
        <v>9</v>
      </c>
      <c r="L96" s="77" t="s">
        <v>154</v>
      </c>
      <c r="M96" s="77" t="s">
        <v>84</v>
      </c>
      <c r="N96" s="77" t="s">
        <v>63</v>
      </c>
      <c r="O96" s="79" t="str">
        <f aca="false">IF($A96="","",IF(OR($B96="",$G96="",$H96=""),"Angaben fehlen",IF($H96&lt;=$G96,"Zeit prüfen",IF($N96="Storniert","–",IF(COUNTIFS($D$8:$D$127,$D96,$B$8:$B$127,$B96,$N$8:$N$127,"&lt;&gt;Storniert",$S$8:$S$127,"&lt;"&amp;$T96,$T$8:$T$127,"&gt;"&amp;$S96)&gt;1,"Überschneidung",IF($K96&gt;IFERROR(INDEX(Stammdaten!$D$8:$D$19,MATCH($D96,Stammdaten!$A$8:$A$19,0)),999),"Kapazität prüfen","OK"))))))</f>
        <v>OK</v>
      </c>
      <c r="P96" s="80" t="str">
        <f aca="false">IF($A96="","",IF($N96="Reserviert",$F96&amp;"*",$F96))</f>
        <v>ONBO</v>
      </c>
      <c r="Q96" s="81"/>
      <c r="R96" s="82" t="n">
        <f aca="false">IF($A96="","",ROW())</f>
        <v>96</v>
      </c>
      <c r="S96" s="82" t="n">
        <f aca="false">IF($G96="","",ROUND($G96*1440,0))</f>
        <v>690</v>
      </c>
      <c r="T96" s="82" t="n">
        <f aca="false">IF($H96="","",ROUND($H96*1440,0))</f>
        <v>780</v>
      </c>
    </row>
    <row r="97" customFormat="false" ht="15" hidden="false" customHeight="true" outlineLevel="0" collapsed="false">
      <c r="A97" s="71" t="s">
        <v>221</v>
      </c>
      <c r="B97" s="72" t="n">
        <v>46226</v>
      </c>
      <c r="C97" s="83" t="n">
        <f aca="false">IF($B97="","",$B97)</f>
        <v>46226</v>
      </c>
      <c r="D97" s="71" t="s">
        <v>94</v>
      </c>
      <c r="E97" s="74" t="s">
        <v>80</v>
      </c>
      <c r="F97" s="71" t="s">
        <v>81</v>
      </c>
      <c r="G97" s="75" t="n">
        <v>0.520833333333333</v>
      </c>
      <c r="H97" s="75" t="n">
        <v>0.604166666666667</v>
      </c>
      <c r="I97" s="84" t="n">
        <f aca="false">IF(OR($G97="",$H97=""),"",ROUND(($H97-$G97)*24,2))</f>
        <v>2</v>
      </c>
      <c r="J97" s="77" t="s">
        <v>68</v>
      </c>
      <c r="K97" s="78" t="n">
        <v>17</v>
      </c>
      <c r="L97" s="77" t="s">
        <v>154</v>
      </c>
      <c r="M97" s="77" t="s">
        <v>84</v>
      </c>
      <c r="N97" s="77" t="s">
        <v>63</v>
      </c>
      <c r="O97" s="85" t="str">
        <f aca="false">IF($A97="","",IF(OR($B97="",$G97="",$H97=""),"Angaben fehlen",IF($H97&lt;=$G97,"Zeit prüfen",IF($N97="Storniert","–",IF(COUNTIFS($D$8:$D$127,$D97,$B$8:$B$127,$B97,$N$8:$N$127,"&lt;&gt;Storniert",$S$8:$S$127,"&lt;"&amp;$T97,$T$8:$T$127,"&gt;"&amp;$S97)&gt;1,"Überschneidung",IF($K97&gt;IFERROR(INDEX(Stammdaten!$D$8:$D$19,MATCH($D97,Stammdaten!$A$8:$A$19,0)),999),"Kapazität prüfen","OK"))))))</f>
        <v>OK</v>
      </c>
      <c r="P97" s="86" t="str">
        <f aca="false">IF($A97="","",IF($N97="Reserviert",$F97&amp;"*",$F97))</f>
        <v>ONBO</v>
      </c>
      <c r="Q97" s="81" t="s">
        <v>85</v>
      </c>
      <c r="R97" s="87" t="n">
        <f aca="false">IF($A97="","",ROW())</f>
        <v>97</v>
      </c>
      <c r="S97" s="87" t="n">
        <f aca="false">IF($G97="","",ROUND($G97*1440,0))</f>
        <v>750</v>
      </c>
      <c r="T97" s="87" t="n">
        <f aca="false">IF($H97="","",ROUND($H97*1440,0))</f>
        <v>870</v>
      </c>
    </row>
    <row r="98" customFormat="false" ht="15" hidden="false" customHeight="true" outlineLevel="0" collapsed="false">
      <c r="A98" s="71" t="s">
        <v>222</v>
      </c>
      <c r="B98" s="72" t="n">
        <v>46226</v>
      </c>
      <c r="C98" s="73" t="n">
        <f aca="false">IF($B98="","",$B98)</f>
        <v>46226</v>
      </c>
      <c r="D98" s="71" t="s">
        <v>57</v>
      </c>
      <c r="E98" s="74" t="s">
        <v>173</v>
      </c>
      <c r="F98" s="71" t="s">
        <v>174</v>
      </c>
      <c r="G98" s="75" t="n">
        <v>0.541666666666667</v>
      </c>
      <c r="H98" s="75" t="n">
        <v>0.625</v>
      </c>
      <c r="I98" s="76" t="n">
        <f aca="false">IF(OR($G98="",$H98=""),"",ROUND(($H98-$G98)*24,2))</f>
        <v>2</v>
      </c>
      <c r="J98" s="77" t="s">
        <v>97</v>
      </c>
      <c r="K98" s="78" t="n">
        <v>3</v>
      </c>
      <c r="L98" s="77" t="s">
        <v>91</v>
      </c>
      <c r="M98" s="77" t="s">
        <v>92</v>
      </c>
      <c r="N98" s="77" t="s">
        <v>63</v>
      </c>
      <c r="O98" s="79" t="str">
        <f aca="false">IF($A98="","",IF(OR($B98="",$G98="",$H98=""),"Angaben fehlen",IF($H98&lt;=$G98,"Zeit prüfen",IF($N98="Storniert","–",IF(COUNTIFS($D$8:$D$127,$D98,$B$8:$B$127,$B98,$N$8:$N$127,"&lt;&gt;Storniert",$S$8:$S$127,"&lt;"&amp;$T98,$T$8:$T$127,"&gt;"&amp;$S98)&gt;1,"Überschneidung",IF($K98&gt;IFERROR(INDEX(Stammdaten!$D$8:$D$19,MATCH($D98,Stammdaten!$A$8:$A$19,0)),999),"Kapazität prüfen","OK"))))))</f>
        <v>OK</v>
      </c>
      <c r="P98" s="80" t="str">
        <f aca="false">IF($A98="","",IF($N98="Reserviert",$F98&amp;"*",$F98))</f>
        <v>ABT</v>
      </c>
      <c r="Q98" s="81"/>
      <c r="R98" s="82" t="n">
        <f aca="false">IF($A98="","",ROW())</f>
        <v>98</v>
      </c>
      <c r="S98" s="82" t="n">
        <f aca="false">IF($G98="","",ROUND($G98*1440,0))</f>
        <v>780</v>
      </c>
      <c r="T98" s="82" t="n">
        <f aca="false">IF($H98="","",ROUND($H98*1440,0))</f>
        <v>900</v>
      </c>
    </row>
    <row r="99" customFormat="false" ht="15" hidden="false" customHeight="true" outlineLevel="0" collapsed="false">
      <c r="A99" s="71" t="s">
        <v>223</v>
      </c>
      <c r="B99" s="72" t="n">
        <v>46226</v>
      </c>
      <c r="C99" s="83" t="n">
        <f aca="false">IF($B99="","",$B99)</f>
        <v>46226</v>
      </c>
      <c r="D99" s="71" t="s">
        <v>94</v>
      </c>
      <c r="E99" s="74" t="s">
        <v>66</v>
      </c>
      <c r="F99" s="71" t="s">
        <v>67</v>
      </c>
      <c r="G99" s="75" t="n">
        <v>0.645833333333333</v>
      </c>
      <c r="H99" s="75" t="n">
        <v>0.708333333333333</v>
      </c>
      <c r="I99" s="84" t="n">
        <f aca="false">IF(OR($G99="",$H99=""),"",ROUND(($H99-$G99)*24,2))</f>
        <v>1.5</v>
      </c>
      <c r="J99" s="77" t="s">
        <v>68</v>
      </c>
      <c r="K99" s="78" t="n">
        <v>7</v>
      </c>
      <c r="L99" s="77" t="s">
        <v>91</v>
      </c>
      <c r="M99" s="77" t="s">
        <v>99</v>
      </c>
      <c r="N99" s="77" t="s">
        <v>63</v>
      </c>
      <c r="O99" s="85" t="str">
        <f aca="false">IF($A99="","",IF(OR($B99="",$G99="",$H99=""),"Angaben fehlen",IF($H99&lt;=$G99,"Zeit prüfen",IF($N99="Storniert","–",IF(COUNTIFS($D$8:$D$127,$D99,$B$8:$B$127,$B99,$N$8:$N$127,"&lt;&gt;Storniert",$S$8:$S$127,"&lt;"&amp;$T99,$T$8:$T$127,"&gt;"&amp;$S99)&gt;1,"Überschneidung",IF($K99&gt;IFERROR(INDEX(Stammdaten!$D$8:$D$19,MATCH($D99,Stammdaten!$A$8:$A$19,0)),999),"Kapazität prüfen","OK"))))))</f>
        <v>OK</v>
      </c>
      <c r="P99" s="86" t="str">
        <f aca="false">IF($A99="","",IF($N99="Reserviert",$F99&amp;"*",$F99))</f>
        <v>KUND</v>
      </c>
      <c r="Q99" s="81"/>
      <c r="R99" s="87" t="n">
        <f aca="false">IF($A99="","",ROW())</f>
        <v>99</v>
      </c>
      <c r="S99" s="87" t="n">
        <f aca="false">IF($G99="","",ROUND($G99*1440,0))</f>
        <v>930</v>
      </c>
      <c r="T99" s="87" t="n">
        <f aca="false">IF($H99="","",ROUND($H99*1440,0))</f>
        <v>1020</v>
      </c>
    </row>
    <row r="100" customFormat="false" ht="15" hidden="false" customHeight="true" outlineLevel="0" collapsed="false">
      <c r="A100" s="71" t="s">
        <v>224</v>
      </c>
      <c r="B100" s="72" t="n">
        <v>46226</v>
      </c>
      <c r="C100" s="73" t="n">
        <f aca="false">IF($B100="","",$B100)</f>
        <v>46226</v>
      </c>
      <c r="D100" s="71" t="s">
        <v>101</v>
      </c>
      <c r="E100" s="74" t="s">
        <v>73</v>
      </c>
      <c r="F100" s="71" t="s">
        <v>74</v>
      </c>
      <c r="G100" s="75" t="n">
        <v>0.666666666666667</v>
      </c>
      <c r="H100" s="75" t="n">
        <v>0.729166666666667</v>
      </c>
      <c r="I100" s="76" t="n">
        <f aca="false">IF(OR($G100="",$H100=""),"",ROUND(($H100-$G100)*24,2))</f>
        <v>1.5</v>
      </c>
      <c r="J100" s="77" t="s">
        <v>107</v>
      </c>
      <c r="K100" s="78" t="n">
        <v>11</v>
      </c>
      <c r="L100" s="77" t="s">
        <v>69</v>
      </c>
      <c r="M100" s="77" t="s">
        <v>62</v>
      </c>
      <c r="N100" s="77" t="s">
        <v>76</v>
      </c>
      <c r="O100" s="79" t="str">
        <f aca="false">IF($A100="","",IF(OR($B100="",$G100="",$H100=""),"Angaben fehlen",IF($H100&lt;=$G100,"Zeit prüfen",IF($N100="Storniert","–",IF(COUNTIFS($D$8:$D$127,$D100,$B$8:$B$127,$B100,$N$8:$N$127,"&lt;&gt;Storniert",$S$8:$S$127,"&lt;"&amp;$T100,$T$8:$T$127,"&gt;"&amp;$S100)&gt;1,"Überschneidung",IF($K100&gt;IFERROR(INDEX(Stammdaten!$D$8:$D$19,MATCH($D100,Stammdaten!$A$8:$A$19,0)),999),"Kapazität prüfen","OK"))))))</f>
        <v>OK</v>
      </c>
      <c r="P100" s="80" t="str">
        <f aca="false">IF($A100="","",IF($N100="Reserviert",$F100&amp;"*",$F100))</f>
        <v>BEWT*</v>
      </c>
      <c r="Q100" s="81" t="s">
        <v>77</v>
      </c>
      <c r="R100" s="82" t="n">
        <f aca="false">IF($A100="","",ROW())</f>
        <v>100</v>
      </c>
      <c r="S100" s="82" t="n">
        <f aca="false">IF($G100="","",ROUND($G100*1440,0))</f>
        <v>960</v>
      </c>
      <c r="T100" s="82" t="n">
        <f aca="false">IF($H100="","",ROUND($H100*1440,0))</f>
        <v>1050</v>
      </c>
    </row>
    <row r="101" customFormat="false" ht="15" hidden="false" customHeight="true" outlineLevel="0" collapsed="false">
      <c r="A101" s="71" t="s">
        <v>225</v>
      </c>
      <c r="B101" s="72" t="n">
        <v>46227</v>
      </c>
      <c r="C101" s="83" t="n">
        <f aca="false">IF($B101="","",$B101)</f>
        <v>46227</v>
      </c>
      <c r="D101" s="71" t="s">
        <v>94</v>
      </c>
      <c r="E101" s="74" t="s">
        <v>130</v>
      </c>
      <c r="F101" s="71" t="s">
        <v>131</v>
      </c>
      <c r="G101" s="75" t="n">
        <v>0.291666666666667</v>
      </c>
      <c r="H101" s="75" t="n">
        <v>0.333333333333333</v>
      </c>
      <c r="I101" s="84" t="n">
        <f aca="false">IF(OR($G101="",$H101=""),"",ROUND(($H101-$G101)*24,2))</f>
        <v>1</v>
      </c>
      <c r="J101" s="77" t="s">
        <v>60</v>
      </c>
      <c r="K101" s="78" t="n">
        <v>9</v>
      </c>
      <c r="L101" s="77" t="s">
        <v>98</v>
      </c>
      <c r="M101" s="77" t="s">
        <v>99</v>
      </c>
      <c r="N101" s="77" t="s">
        <v>63</v>
      </c>
      <c r="O101" s="85" t="str">
        <f aca="false">IF($A101="","",IF(OR($B101="",$G101="",$H101=""),"Angaben fehlen",IF($H101&lt;=$G101,"Zeit prüfen",IF($N101="Storniert","–",IF(COUNTIFS($D$8:$D$127,$D101,$B$8:$B$127,$B101,$N$8:$N$127,"&lt;&gt;Storniert",$S$8:$S$127,"&lt;"&amp;$T101,$T$8:$T$127,"&gt;"&amp;$S101)&gt;1,"Überschneidung",IF($K101&gt;IFERROR(INDEX(Stammdaten!$D$8:$D$19,MATCH($D101,Stammdaten!$A$8:$A$19,0)),999),"Kapazität prüfen","OK"))))))</f>
        <v>OK</v>
      </c>
      <c r="P101" s="86" t="str">
        <f aca="false">IF($A101="","",IF($N101="Reserviert",$F101&amp;"*",$F101))</f>
        <v>KLAU</v>
      </c>
      <c r="Q101" s="81"/>
      <c r="R101" s="87" t="n">
        <f aca="false">IF($A101="","",ROW())</f>
        <v>101</v>
      </c>
      <c r="S101" s="87" t="n">
        <f aca="false">IF($G101="","",ROUND($G101*1440,0))</f>
        <v>420</v>
      </c>
      <c r="T101" s="87" t="n">
        <f aca="false">IF($H101="","",ROUND($H101*1440,0))</f>
        <v>480</v>
      </c>
    </row>
    <row r="102" customFormat="false" ht="15" hidden="false" customHeight="true" outlineLevel="0" collapsed="false">
      <c r="A102" s="71" t="s">
        <v>226</v>
      </c>
      <c r="B102" s="72" t="n">
        <v>46227</v>
      </c>
      <c r="C102" s="73" t="n">
        <f aca="false">IF($B102="","",$B102)</f>
        <v>46227</v>
      </c>
      <c r="D102" s="71" t="s">
        <v>79</v>
      </c>
      <c r="E102" s="74" t="s">
        <v>164</v>
      </c>
      <c r="F102" s="71" t="s">
        <v>165</v>
      </c>
      <c r="G102" s="75" t="n">
        <v>0.291666666666667</v>
      </c>
      <c r="H102" s="75" t="n">
        <v>0.354166666666667</v>
      </c>
      <c r="I102" s="76" t="n">
        <f aca="false">IF(OR($G102="",$H102=""),"",ROUND(($H102-$G102)*24,2))</f>
        <v>1.5</v>
      </c>
      <c r="J102" s="77" t="s">
        <v>75</v>
      </c>
      <c r="K102" s="78" t="n">
        <v>4</v>
      </c>
      <c r="L102" s="77" t="s">
        <v>154</v>
      </c>
      <c r="M102" s="77" t="s">
        <v>70</v>
      </c>
      <c r="N102" s="77" t="s">
        <v>63</v>
      </c>
      <c r="O102" s="79" t="str">
        <f aca="false">IF($A102="","",IF(OR($B102="",$G102="",$H102=""),"Angaben fehlen",IF($H102&lt;=$G102,"Zeit prüfen",IF($N102="Storniert","–",IF(COUNTIFS($D$8:$D$127,$D102,$B$8:$B$127,$B102,$N$8:$N$127,"&lt;&gt;Storniert",$S$8:$S$127,"&lt;"&amp;$T102,$T$8:$T$127,"&gt;"&amp;$S102)&gt;1,"Überschneidung",IF($K102&gt;IFERROR(INDEX(Stammdaten!$D$8:$D$19,MATCH($D102,Stammdaten!$A$8:$A$19,0)),999),"Kapazität prüfen","OK"))))))</f>
        <v>OK</v>
      </c>
      <c r="P102" s="80" t="str">
        <f aca="false">IF($A102="","",IF($N102="Reserviert",$F102&amp;"*",$F102))</f>
        <v>PLAN</v>
      </c>
      <c r="Q102" s="81"/>
      <c r="R102" s="82" t="n">
        <f aca="false">IF($A102="","",ROW())</f>
        <v>102</v>
      </c>
      <c r="S102" s="82" t="n">
        <f aca="false">IF($G102="","",ROUND($G102*1440,0))</f>
        <v>420</v>
      </c>
      <c r="T102" s="82" t="n">
        <f aca="false">IF($H102="","",ROUND($H102*1440,0))</f>
        <v>510</v>
      </c>
    </row>
    <row r="103" customFormat="false" ht="15" hidden="false" customHeight="true" outlineLevel="0" collapsed="false">
      <c r="A103" s="71" t="s">
        <v>227</v>
      </c>
      <c r="B103" s="72" t="n">
        <v>46227</v>
      </c>
      <c r="C103" s="83" t="n">
        <f aca="false">IF($B103="","",$B103)</f>
        <v>46227</v>
      </c>
      <c r="D103" s="71" t="s">
        <v>87</v>
      </c>
      <c r="E103" s="74" t="s">
        <v>95</v>
      </c>
      <c r="F103" s="71" t="s">
        <v>96</v>
      </c>
      <c r="G103" s="75" t="n">
        <v>0.3125</v>
      </c>
      <c r="H103" s="75" t="n">
        <v>0.354166666666667</v>
      </c>
      <c r="I103" s="84" t="n">
        <f aca="false">IF(OR($G103="",$H103=""),"",ROUND(($H103-$G103)*24,2))</f>
        <v>1</v>
      </c>
      <c r="J103" s="77" t="s">
        <v>121</v>
      </c>
      <c r="K103" s="78" t="n">
        <v>19</v>
      </c>
      <c r="L103" s="77" t="s">
        <v>98</v>
      </c>
      <c r="M103" s="77" t="s">
        <v>92</v>
      </c>
      <c r="N103" s="77" t="s">
        <v>63</v>
      </c>
      <c r="O103" s="85" t="str">
        <f aca="false">IF($A103="","",IF(OR($B103="",$G103="",$H103=""),"Angaben fehlen",IF($H103&lt;=$G103,"Zeit prüfen",IF($N103="Storniert","–",IF(COUNTIFS($D$8:$D$127,$D103,$B$8:$B$127,$B103,$N$8:$N$127,"&lt;&gt;Storniert",$S$8:$S$127,"&lt;"&amp;$T103,$T$8:$T$127,"&gt;"&amp;$S103)&gt;1,"Überschneidung",IF($K103&gt;IFERROR(INDEX(Stammdaten!$D$8:$D$19,MATCH($D103,Stammdaten!$A$8:$A$19,0)),999),"Kapazität prüfen","OK"))))))</f>
        <v>OK</v>
      </c>
      <c r="P103" s="86" t="str">
        <f aca="false">IF($A103="","",IF($N103="Reserviert",$F103&amp;"*",$F103))</f>
        <v>SCHU</v>
      </c>
      <c r="Q103" s="81"/>
      <c r="R103" s="87" t="n">
        <f aca="false">IF($A103="","",ROW())</f>
        <v>103</v>
      </c>
      <c r="S103" s="87" t="n">
        <f aca="false">IF($G103="","",ROUND($G103*1440,0))</f>
        <v>450</v>
      </c>
      <c r="T103" s="87" t="n">
        <f aca="false">IF($H103="","",ROUND($H103*1440,0))</f>
        <v>510</v>
      </c>
    </row>
    <row r="104" customFormat="false" ht="15" hidden="false" customHeight="true" outlineLevel="0" collapsed="false">
      <c r="A104" s="71" t="s">
        <v>228</v>
      </c>
      <c r="B104" s="72" t="n">
        <v>46227</v>
      </c>
      <c r="C104" s="73" t="n">
        <f aca="false">IF($B104="","",$B104)</f>
        <v>46227</v>
      </c>
      <c r="D104" s="71" t="s">
        <v>90</v>
      </c>
      <c r="E104" s="74" t="s">
        <v>80</v>
      </c>
      <c r="F104" s="71" t="s">
        <v>81</v>
      </c>
      <c r="G104" s="75" t="n">
        <v>0.3125</v>
      </c>
      <c r="H104" s="75" t="n">
        <v>0.395833333333333</v>
      </c>
      <c r="I104" s="76" t="n">
        <f aca="false">IF(OR($G104="",$H104=""),"",ROUND(($H104-$G104)*24,2))</f>
        <v>2</v>
      </c>
      <c r="J104" s="77" t="s">
        <v>123</v>
      </c>
      <c r="K104" s="78" t="n">
        <v>9</v>
      </c>
      <c r="L104" s="77" t="s">
        <v>69</v>
      </c>
      <c r="M104" s="77" t="s">
        <v>62</v>
      </c>
      <c r="N104" s="77" t="s">
        <v>63</v>
      </c>
      <c r="O104" s="79" t="str">
        <f aca="false">IF($A104="","",IF(OR($B104="",$G104="",$H104=""),"Angaben fehlen",IF($H104&lt;=$G104,"Zeit prüfen",IF($N104="Storniert","–",IF(COUNTIFS($D$8:$D$127,$D104,$B$8:$B$127,$B104,$N$8:$N$127,"&lt;&gt;Storniert",$S$8:$S$127,"&lt;"&amp;$T104,$T$8:$T$127,"&gt;"&amp;$S104)&gt;1,"Überschneidung",IF($K104&gt;IFERROR(INDEX(Stammdaten!$D$8:$D$19,MATCH($D104,Stammdaten!$A$8:$A$19,0)),999),"Kapazität prüfen","OK"))))))</f>
        <v>OK</v>
      </c>
      <c r="P104" s="80" t="str">
        <f aca="false">IF($A104="","",IF($N104="Reserviert",$F104&amp;"*",$F104))</f>
        <v>ONBO</v>
      </c>
      <c r="Q104" s="81"/>
      <c r="R104" s="82" t="n">
        <f aca="false">IF($A104="","",ROW())</f>
        <v>104</v>
      </c>
      <c r="S104" s="82" t="n">
        <f aca="false">IF($G104="","",ROUND($G104*1440,0))</f>
        <v>450</v>
      </c>
      <c r="T104" s="82" t="n">
        <f aca="false">IF($H104="","",ROUND($H104*1440,0))</f>
        <v>570</v>
      </c>
    </row>
    <row r="105" customFormat="false" ht="15" hidden="false" customHeight="true" outlineLevel="0" collapsed="false">
      <c r="A105" s="71" t="s">
        <v>229</v>
      </c>
      <c r="B105" s="72" t="n">
        <v>46227</v>
      </c>
      <c r="C105" s="83" t="n">
        <f aca="false">IF($B105="","",$B105)</f>
        <v>46227</v>
      </c>
      <c r="D105" s="71" t="s">
        <v>119</v>
      </c>
      <c r="E105" s="74" t="s">
        <v>164</v>
      </c>
      <c r="F105" s="71" t="s">
        <v>165</v>
      </c>
      <c r="G105" s="75" t="n">
        <v>0.3125</v>
      </c>
      <c r="H105" s="75" t="n">
        <v>0.375</v>
      </c>
      <c r="I105" s="84" t="n">
        <f aca="false">IF(OR($G105="",$H105=""),"",ROUND(($H105-$G105)*24,2))</f>
        <v>1.5</v>
      </c>
      <c r="J105" s="77" t="s">
        <v>107</v>
      </c>
      <c r="K105" s="78" t="n">
        <v>25</v>
      </c>
      <c r="L105" s="77" t="s">
        <v>98</v>
      </c>
      <c r="M105" s="77" t="s">
        <v>62</v>
      </c>
      <c r="N105" s="77" t="s">
        <v>63</v>
      </c>
      <c r="O105" s="85" t="str">
        <f aca="false">IF($A105="","",IF(OR($B105="",$G105="",$H105=""),"Angaben fehlen",IF($H105&lt;=$G105,"Zeit prüfen",IF($N105="Storniert","–",IF(COUNTIFS($D$8:$D$127,$D105,$B$8:$B$127,$B105,$N$8:$N$127,"&lt;&gt;Storniert",$S$8:$S$127,"&lt;"&amp;$T105,$T$8:$T$127,"&gt;"&amp;$S105)&gt;1,"Überschneidung",IF($K105&gt;IFERROR(INDEX(Stammdaten!$D$8:$D$19,MATCH($D105,Stammdaten!$A$8:$A$19,0)),999),"Kapazität prüfen","OK"))))))</f>
        <v>OK</v>
      </c>
      <c r="P105" s="86" t="str">
        <f aca="false">IF($A105="","",IF($N105="Reserviert",$F105&amp;"*",$F105))</f>
        <v>PLAN</v>
      </c>
      <c r="Q105" s="81" t="s">
        <v>102</v>
      </c>
      <c r="R105" s="87" t="n">
        <f aca="false">IF($A105="","",ROW())</f>
        <v>105</v>
      </c>
      <c r="S105" s="87" t="n">
        <f aca="false">IF($G105="","",ROUND($G105*1440,0))</f>
        <v>450</v>
      </c>
      <c r="T105" s="87" t="n">
        <f aca="false">IF($H105="","",ROUND($H105*1440,0))</f>
        <v>540</v>
      </c>
    </row>
    <row r="106" customFormat="false" ht="15" hidden="false" customHeight="true" outlineLevel="0" collapsed="false">
      <c r="A106" s="71" t="s">
        <v>230</v>
      </c>
      <c r="B106" s="72" t="n">
        <v>46227</v>
      </c>
      <c r="C106" s="73" t="n">
        <f aca="false">IF($B106="","",$B106)</f>
        <v>46227</v>
      </c>
      <c r="D106" s="71" t="s">
        <v>57</v>
      </c>
      <c r="E106" s="74" t="s">
        <v>58</v>
      </c>
      <c r="F106" s="71" t="s">
        <v>59</v>
      </c>
      <c r="G106" s="75" t="n">
        <v>0.333333333333333</v>
      </c>
      <c r="H106" s="75" t="n">
        <v>0.458333333333333</v>
      </c>
      <c r="I106" s="76" t="n">
        <f aca="false">IF(OR($G106="",$H106=""),"",ROUND(($H106-$G106)*24,2))</f>
        <v>3</v>
      </c>
      <c r="J106" s="77" t="s">
        <v>88</v>
      </c>
      <c r="K106" s="78" t="n">
        <v>3</v>
      </c>
      <c r="L106" s="77" t="s">
        <v>61</v>
      </c>
      <c r="M106" s="77" t="s">
        <v>99</v>
      </c>
      <c r="N106" s="77" t="s">
        <v>63</v>
      </c>
      <c r="O106" s="79" t="str">
        <f aca="false">IF($A106="","",IF(OR($B106="",$G106="",$H106=""),"Angaben fehlen",IF($H106&lt;=$G106,"Zeit prüfen",IF($N106="Storniert","–",IF(COUNTIFS($D$8:$D$127,$D106,$B$8:$B$127,$B106,$N$8:$N$127,"&lt;&gt;Storniert",$S$8:$S$127,"&lt;"&amp;$T106,$T$8:$T$127,"&gt;"&amp;$S106)&gt;1,"Überschneidung",IF($K106&gt;IFERROR(INDEX(Stammdaten!$D$8:$D$19,MATCH($D106,Stammdaten!$A$8:$A$19,0)),999),"Kapazität prüfen","OK"))))))</f>
        <v>OK</v>
      </c>
      <c r="P106" s="80" t="str">
        <f aca="false">IF($A106="","",IF($N106="Reserviert",$F106&amp;"*",$F106))</f>
        <v>JOUR</v>
      </c>
      <c r="Q106" s="81"/>
      <c r="R106" s="82" t="n">
        <f aca="false">IF($A106="","",ROW())</f>
        <v>106</v>
      </c>
      <c r="S106" s="82" t="n">
        <f aca="false">IF($G106="","",ROUND($G106*1440,0))</f>
        <v>480</v>
      </c>
      <c r="T106" s="82" t="n">
        <f aca="false">IF($H106="","",ROUND($H106*1440,0))</f>
        <v>660</v>
      </c>
    </row>
    <row r="107" customFormat="false" ht="15" hidden="false" customHeight="true" outlineLevel="0" collapsed="false">
      <c r="A107" s="71" t="s">
        <v>231</v>
      </c>
      <c r="B107" s="72" t="n">
        <v>46227</v>
      </c>
      <c r="C107" s="83" t="n">
        <f aca="false">IF($B107="","",$B107)</f>
        <v>46227</v>
      </c>
      <c r="D107" s="71" t="s">
        <v>65</v>
      </c>
      <c r="E107" s="74" t="s">
        <v>146</v>
      </c>
      <c r="F107" s="71" t="s">
        <v>147</v>
      </c>
      <c r="G107" s="75" t="n">
        <v>0.333333333333333</v>
      </c>
      <c r="H107" s="75" t="n">
        <v>0.416666666666667</v>
      </c>
      <c r="I107" s="84" t="n">
        <f aca="false">IF(OR($G107="",$H107=""),"",ROUND(($H107-$G107)*24,2))</f>
        <v>2</v>
      </c>
      <c r="J107" s="77" t="s">
        <v>82</v>
      </c>
      <c r="K107" s="78" t="n">
        <v>3</v>
      </c>
      <c r="L107" s="77" t="s">
        <v>154</v>
      </c>
      <c r="M107" s="77" t="s">
        <v>92</v>
      </c>
      <c r="N107" s="77" t="s">
        <v>76</v>
      </c>
      <c r="O107" s="85" t="str">
        <f aca="false">IF($A107="","",IF(OR($B107="",$G107="",$H107=""),"Angaben fehlen",IF($H107&lt;=$G107,"Zeit prüfen",IF($N107="Storniert","–",IF(COUNTIFS($D$8:$D$127,$D107,$B$8:$B$127,$B107,$N$8:$N$127,"&lt;&gt;Storniert",$S$8:$S$127,"&lt;"&amp;$T107,$T$8:$T$127,"&gt;"&amp;$S107)&gt;1,"Überschneidung",IF($K107&gt;IFERROR(INDEX(Stammdaten!$D$8:$D$19,MATCH($D107,Stammdaten!$A$8:$A$19,0)),999),"Kapazität prüfen","OK"))))))</f>
        <v>OK</v>
      </c>
      <c r="P107" s="86" t="str">
        <f aca="false">IF($A107="","",IF($N107="Reserviert",$F107&amp;"*",$F107))</f>
        <v>BEWE*</v>
      </c>
      <c r="Q107" s="81" t="s">
        <v>77</v>
      </c>
      <c r="R107" s="87" t="n">
        <f aca="false">IF($A107="","",ROW())</f>
        <v>107</v>
      </c>
      <c r="S107" s="87" t="n">
        <f aca="false">IF($G107="","",ROUND($G107*1440,0))</f>
        <v>480</v>
      </c>
      <c r="T107" s="87" t="n">
        <f aca="false">IF($H107="","",ROUND($H107*1440,0))</f>
        <v>600</v>
      </c>
    </row>
    <row r="108" customFormat="false" ht="15" hidden="false" customHeight="true" outlineLevel="0" collapsed="false">
      <c r="A108" s="71" t="s">
        <v>232</v>
      </c>
      <c r="B108" s="72" t="n">
        <v>46227</v>
      </c>
      <c r="C108" s="73" t="n">
        <f aca="false">IF($B108="","",$B108)</f>
        <v>46227</v>
      </c>
      <c r="D108" s="71" t="s">
        <v>104</v>
      </c>
      <c r="E108" s="74" t="s">
        <v>173</v>
      </c>
      <c r="F108" s="71" t="s">
        <v>174</v>
      </c>
      <c r="G108" s="75" t="n">
        <v>0.333333333333333</v>
      </c>
      <c r="H108" s="75" t="n">
        <v>0.395833333333333</v>
      </c>
      <c r="I108" s="76" t="n">
        <f aca="false">IF(OR($G108="",$H108=""),"",ROUND(($H108-$G108)*24,2))</f>
        <v>1.5</v>
      </c>
      <c r="J108" s="77" t="s">
        <v>68</v>
      </c>
      <c r="K108" s="78" t="n">
        <v>11</v>
      </c>
      <c r="L108" s="77" t="s">
        <v>154</v>
      </c>
      <c r="M108" s="77" t="s">
        <v>70</v>
      </c>
      <c r="N108" s="77" t="s">
        <v>63</v>
      </c>
      <c r="O108" s="79" t="str">
        <f aca="false">IF($A108="","",IF(OR($B108="",$G108="",$H108=""),"Angaben fehlen",IF($H108&lt;=$G108,"Zeit prüfen",IF($N108="Storniert","–",IF(COUNTIFS($D$8:$D$127,$D108,$B$8:$B$127,$B108,$N$8:$N$127,"&lt;&gt;Storniert",$S$8:$S$127,"&lt;"&amp;$T108,$T$8:$T$127,"&gt;"&amp;$S108)&gt;1,"Überschneidung",IF($K108&gt;IFERROR(INDEX(Stammdaten!$D$8:$D$19,MATCH($D108,Stammdaten!$A$8:$A$19,0)),999),"Kapazität prüfen","OK"))))))</f>
        <v>OK</v>
      </c>
      <c r="P108" s="80" t="str">
        <f aca="false">IF($A108="","",IF($N108="Reserviert",$F108&amp;"*",$F108))</f>
        <v>ABT</v>
      </c>
      <c r="Q108" s="81"/>
      <c r="R108" s="82" t="n">
        <f aca="false">IF($A108="","",ROW())</f>
        <v>108</v>
      </c>
      <c r="S108" s="82" t="n">
        <f aca="false">IF($G108="","",ROUND($G108*1440,0))</f>
        <v>480</v>
      </c>
      <c r="T108" s="82" t="n">
        <f aca="false">IF($H108="","",ROUND($H108*1440,0))</f>
        <v>570</v>
      </c>
    </row>
    <row r="109" customFormat="false" ht="15" hidden="false" customHeight="true" outlineLevel="0" collapsed="false">
      <c r="A109" s="71" t="s">
        <v>233</v>
      </c>
      <c r="B109" s="72" t="n">
        <v>46227</v>
      </c>
      <c r="C109" s="83" t="n">
        <f aca="false">IF($B109="","",$B109)</f>
        <v>46227</v>
      </c>
      <c r="D109" s="71" t="s">
        <v>101</v>
      </c>
      <c r="E109" s="74" t="s">
        <v>160</v>
      </c>
      <c r="F109" s="71" t="s">
        <v>161</v>
      </c>
      <c r="G109" s="75" t="n">
        <v>0.333333333333333</v>
      </c>
      <c r="H109" s="75" t="n">
        <v>0.395833333333333</v>
      </c>
      <c r="I109" s="84" t="n">
        <f aca="false">IF(OR($G109="",$H109=""),"",ROUND(($H109-$G109)*24,2))</f>
        <v>1.5</v>
      </c>
      <c r="J109" s="77" t="s">
        <v>97</v>
      </c>
      <c r="K109" s="78" t="n">
        <v>9</v>
      </c>
      <c r="L109" s="77" t="s">
        <v>61</v>
      </c>
      <c r="M109" s="77" t="s">
        <v>92</v>
      </c>
      <c r="N109" s="77" t="s">
        <v>63</v>
      </c>
      <c r="O109" s="85" t="str">
        <f aca="false">IF($A109="","",IF(OR($B109="",$G109="",$H109=""),"Angaben fehlen",IF($H109&lt;=$G109,"Zeit prüfen",IF($N109="Storniert","–",IF(COUNTIFS($D$8:$D$127,$D109,$B$8:$B$127,$B109,$N$8:$N$127,"&lt;&gt;Storniert",$S$8:$S$127,"&lt;"&amp;$T109,$T$8:$T$127,"&gt;"&amp;$S109)&gt;1,"Überschneidung",IF($K109&gt;IFERROR(INDEX(Stammdaten!$D$8:$D$19,MATCH($D109,Stammdaten!$A$8:$A$19,0)),999),"Kapazität prüfen","OK"))))))</f>
        <v>OK</v>
      </c>
      <c r="P109" s="86" t="str">
        <f aca="false">IF($A109="","",IF($N109="Reserviert",$F109&amp;"*",$F109))</f>
        <v>TEAM</v>
      </c>
      <c r="Q109" s="81"/>
      <c r="R109" s="87" t="n">
        <f aca="false">IF($A109="","",ROW())</f>
        <v>109</v>
      </c>
      <c r="S109" s="87" t="n">
        <f aca="false">IF($G109="","",ROUND($G109*1440,0))</f>
        <v>480</v>
      </c>
      <c r="T109" s="87" t="n">
        <f aca="false">IF($H109="","",ROUND($H109*1440,0))</f>
        <v>570</v>
      </c>
    </row>
    <row r="110" customFormat="false" ht="15" hidden="false" customHeight="true" outlineLevel="0" collapsed="false">
      <c r="A110" s="71" t="s">
        <v>234</v>
      </c>
      <c r="B110" s="72" t="n">
        <v>46227</v>
      </c>
      <c r="C110" s="73" t="n">
        <f aca="false">IF($B110="","",$B110)</f>
        <v>46227</v>
      </c>
      <c r="D110" s="71" t="s">
        <v>72</v>
      </c>
      <c r="E110" s="74" t="s">
        <v>73</v>
      </c>
      <c r="F110" s="71" t="s">
        <v>74</v>
      </c>
      <c r="G110" s="75" t="n">
        <v>0.354166666666667</v>
      </c>
      <c r="H110" s="75" t="n">
        <v>0.479166666666667</v>
      </c>
      <c r="I110" s="76" t="n">
        <f aca="false">IF(OR($G110="",$H110=""),"",ROUND(($H110-$G110)*24,2))</f>
        <v>3</v>
      </c>
      <c r="J110" s="77" t="s">
        <v>75</v>
      </c>
      <c r="K110" s="78" t="n">
        <v>9</v>
      </c>
      <c r="L110" s="77" t="s">
        <v>98</v>
      </c>
      <c r="M110" s="77" t="s">
        <v>70</v>
      </c>
      <c r="N110" s="77" t="s">
        <v>63</v>
      </c>
      <c r="O110" s="79" t="str">
        <f aca="false">IF($A110="","",IF(OR($B110="",$G110="",$H110=""),"Angaben fehlen",IF($H110&lt;=$G110,"Zeit prüfen",IF($N110="Storniert","–",IF(COUNTIFS($D$8:$D$127,$D110,$B$8:$B$127,$B110,$N$8:$N$127,"&lt;&gt;Storniert",$S$8:$S$127,"&lt;"&amp;$T110,$T$8:$T$127,"&gt;"&amp;$S110)&gt;1,"Überschneidung",IF($K110&gt;IFERROR(INDEX(Stammdaten!$D$8:$D$19,MATCH($D110,Stammdaten!$A$8:$A$19,0)),999),"Kapazität prüfen","OK"))))))</f>
        <v>OK</v>
      </c>
      <c r="P110" s="80" t="str">
        <f aca="false">IF($A110="","",IF($N110="Reserviert",$F110&amp;"*",$F110))</f>
        <v>BEWT</v>
      </c>
      <c r="Q110" s="81" t="s">
        <v>124</v>
      </c>
      <c r="R110" s="82" t="n">
        <f aca="false">IF($A110="","",ROW())</f>
        <v>110</v>
      </c>
      <c r="S110" s="82" t="n">
        <f aca="false">IF($G110="","",ROUND($G110*1440,0))</f>
        <v>510</v>
      </c>
      <c r="T110" s="82" t="n">
        <f aca="false">IF($H110="","",ROUND($H110*1440,0))</f>
        <v>690</v>
      </c>
    </row>
    <row r="111" customFormat="false" ht="15" hidden="false" customHeight="true" outlineLevel="0" collapsed="false">
      <c r="A111" s="71" t="s">
        <v>235</v>
      </c>
      <c r="B111" s="72" t="n">
        <v>46227</v>
      </c>
      <c r="C111" s="83" t="n">
        <f aca="false">IF($B111="","",$B111)</f>
        <v>46227</v>
      </c>
      <c r="D111" s="71" t="s">
        <v>113</v>
      </c>
      <c r="E111" s="74" t="s">
        <v>173</v>
      </c>
      <c r="F111" s="71" t="s">
        <v>174</v>
      </c>
      <c r="G111" s="75" t="n">
        <v>0.354166666666667</v>
      </c>
      <c r="H111" s="75" t="n">
        <v>0.479166666666667</v>
      </c>
      <c r="I111" s="84" t="n">
        <f aca="false">IF(OR($G111="",$H111=""),"",ROUND(($H111-$G111)*24,2))</f>
        <v>3</v>
      </c>
      <c r="J111" s="77" t="s">
        <v>75</v>
      </c>
      <c r="K111" s="78" t="n">
        <v>15</v>
      </c>
      <c r="L111" s="77" t="s">
        <v>83</v>
      </c>
      <c r="M111" s="77" t="s">
        <v>70</v>
      </c>
      <c r="N111" s="77" t="s">
        <v>63</v>
      </c>
      <c r="O111" s="85" t="str">
        <f aca="false">IF($A111="","",IF(OR($B111="",$G111="",$H111=""),"Angaben fehlen",IF($H111&lt;=$G111,"Zeit prüfen",IF($N111="Storniert","–",IF(COUNTIFS($D$8:$D$127,$D111,$B$8:$B$127,$B111,$N$8:$N$127,"&lt;&gt;Storniert",$S$8:$S$127,"&lt;"&amp;$T111,$T$8:$T$127,"&gt;"&amp;$S111)&gt;1,"Überschneidung",IF($K111&gt;IFERROR(INDEX(Stammdaten!$D$8:$D$19,MATCH($D111,Stammdaten!$A$8:$A$19,0)),999),"Kapazität prüfen","OK"))))))</f>
        <v>OK</v>
      </c>
      <c r="P111" s="86" t="str">
        <f aca="false">IF($A111="","",IF($N111="Reserviert",$F111&amp;"*",$F111))</f>
        <v>ABT</v>
      </c>
      <c r="Q111" s="81" t="s">
        <v>102</v>
      </c>
      <c r="R111" s="87" t="n">
        <f aca="false">IF($A111="","",ROW())</f>
        <v>111</v>
      </c>
      <c r="S111" s="87" t="n">
        <f aca="false">IF($G111="","",ROUND($G111*1440,0))</f>
        <v>510</v>
      </c>
      <c r="T111" s="87" t="n">
        <f aca="false">IF($H111="","",ROUND($H111*1440,0))</f>
        <v>690</v>
      </c>
    </row>
    <row r="112" customFormat="false" ht="15" hidden="false" customHeight="true" outlineLevel="0" collapsed="false">
      <c r="A112" s="71" t="s">
        <v>236</v>
      </c>
      <c r="B112" s="72" t="n">
        <v>46227</v>
      </c>
      <c r="C112" s="73" t="n">
        <f aca="false">IF($B112="","",$B112)</f>
        <v>46227</v>
      </c>
      <c r="D112" s="71" t="s">
        <v>94</v>
      </c>
      <c r="E112" s="74" t="s">
        <v>105</v>
      </c>
      <c r="F112" s="71" t="s">
        <v>106</v>
      </c>
      <c r="G112" s="75" t="n">
        <v>0.375</v>
      </c>
      <c r="H112" s="75" t="n">
        <v>0.458333333333333</v>
      </c>
      <c r="I112" s="76" t="n">
        <f aca="false">IF(OR($G112="",$H112=""),"",ROUND(($H112-$G112)*24,2))</f>
        <v>2</v>
      </c>
      <c r="J112" s="77" t="s">
        <v>75</v>
      </c>
      <c r="K112" s="78" t="n">
        <v>17</v>
      </c>
      <c r="L112" s="77" t="s">
        <v>61</v>
      </c>
      <c r="M112" s="77" t="s">
        <v>92</v>
      </c>
      <c r="N112" s="77" t="s">
        <v>76</v>
      </c>
      <c r="O112" s="79" t="str">
        <f aca="false">IF($A112="","",IF(OR($B112="",$G112="",$H112=""),"Angaben fehlen",IF($H112&lt;=$G112,"Zeit prüfen",IF($N112="Storniert","–",IF(COUNTIFS($D$8:$D$127,$D112,$B$8:$B$127,$B112,$N$8:$N$127,"&lt;&gt;Storniert",$S$8:$S$127,"&lt;"&amp;$T112,$T$8:$T$127,"&gt;"&amp;$S112)&gt;1,"Überschneidung",IF($K112&gt;IFERROR(INDEX(Stammdaten!$D$8:$D$19,MATCH($D112,Stammdaten!$A$8:$A$19,0)),999),"Kapazität prüfen","OK"))))))</f>
        <v>OK</v>
      </c>
      <c r="P112" s="80" t="str">
        <f aca="false">IF($A112="","",IF($N112="Reserviert",$F112&amp;"*",$F112))</f>
        <v>VIKO*</v>
      </c>
      <c r="Q112" s="81" t="s">
        <v>77</v>
      </c>
      <c r="R112" s="82" t="n">
        <f aca="false">IF($A112="","",ROW())</f>
        <v>112</v>
      </c>
      <c r="S112" s="82" t="n">
        <f aca="false">IF($G112="","",ROUND($G112*1440,0))</f>
        <v>540</v>
      </c>
      <c r="T112" s="82" t="n">
        <f aca="false">IF($H112="","",ROUND($H112*1440,0))</f>
        <v>660</v>
      </c>
    </row>
    <row r="113" customFormat="false" ht="15" hidden="false" customHeight="true" outlineLevel="0" collapsed="false">
      <c r="A113" s="71" t="s">
        <v>237</v>
      </c>
      <c r="B113" s="72" t="n">
        <v>46227</v>
      </c>
      <c r="C113" s="83" t="n">
        <f aca="false">IF($B113="","",$B113)</f>
        <v>46227</v>
      </c>
      <c r="D113" s="71" t="s">
        <v>110</v>
      </c>
      <c r="E113" s="74" t="s">
        <v>133</v>
      </c>
      <c r="F113" s="71" t="s">
        <v>134</v>
      </c>
      <c r="G113" s="75" t="n">
        <v>0.375</v>
      </c>
      <c r="H113" s="75" t="n">
        <v>0.458333333333333</v>
      </c>
      <c r="I113" s="84" t="n">
        <f aca="false">IF(OR($G113="",$H113=""),"",ROUND(($H113-$G113)*24,2))</f>
        <v>2</v>
      </c>
      <c r="J113" s="77" t="s">
        <v>60</v>
      </c>
      <c r="K113" s="78" t="n">
        <v>8</v>
      </c>
      <c r="L113" s="77" t="s">
        <v>91</v>
      </c>
      <c r="M113" s="77" t="s">
        <v>92</v>
      </c>
      <c r="N113" s="77" t="s">
        <v>63</v>
      </c>
      <c r="O113" s="85" t="str">
        <f aca="false">IF($A113="","",IF(OR($B113="",$G113="",$H113=""),"Angaben fehlen",IF($H113&lt;=$G113,"Zeit prüfen",IF($N113="Storniert","–",IF(COUNTIFS($D$8:$D$127,$D113,$B$8:$B$127,$B113,$N$8:$N$127,"&lt;&gt;Storniert",$S$8:$S$127,"&lt;"&amp;$T113,$T$8:$T$127,"&gt;"&amp;$S113)&gt;1,"Überschneidung",IF($K113&gt;IFERROR(INDEX(Stammdaten!$D$8:$D$19,MATCH($D113,Stammdaten!$A$8:$A$19,0)),999),"Kapazität prüfen","OK"))))))</f>
        <v>OK</v>
      </c>
      <c r="P113" s="86" t="str">
        <f aca="false">IF($A113="","",IF($N113="Reserviert",$F113&amp;"*",$F113))</f>
        <v>SITZ</v>
      </c>
      <c r="Q113" s="81" t="s">
        <v>124</v>
      </c>
      <c r="R113" s="87" t="n">
        <f aca="false">IF($A113="","",ROW())</f>
        <v>113</v>
      </c>
      <c r="S113" s="87" t="n">
        <f aca="false">IF($G113="","",ROUND($G113*1440,0))</f>
        <v>540</v>
      </c>
      <c r="T113" s="87" t="n">
        <f aca="false">IF($H113="","",ROUND($H113*1440,0))</f>
        <v>660</v>
      </c>
    </row>
    <row r="114" customFormat="false" ht="15" hidden="false" customHeight="true" outlineLevel="0" collapsed="false">
      <c r="A114" s="71" t="s">
        <v>238</v>
      </c>
      <c r="B114" s="72" t="n">
        <v>46227</v>
      </c>
      <c r="C114" s="73" t="n">
        <f aca="false">IF($B114="","",$B114)</f>
        <v>46227</v>
      </c>
      <c r="D114" s="71" t="s">
        <v>119</v>
      </c>
      <c r="E114" s="74" t="s">
        <v>73</v>
      </c>
      <c r="F114" s="71" t="s">
        <v>74</v>
      </c>
      <c r="G114" s="75" t="n">
        <v>0.416666666666667</v>
      </c>
      <c r="H114" s="75" t="n">
        <v>0.5</v>
      </c>
      <c r="I114" s="76" t="n">
        <f aca="false">IF(OR($G114="",$H114=""),"",ROUND(($H114-$G114)*24,2))</f>
        <v>2</v>
      </c>
      <c r="J114" s="77" t="s">
        <v>60</v>
      </c>
      <c r="K114" s="78" t="n">
        <v>17</v>
      </c>
      <c r="L114" s="77" t="s">
        <v>91</v>
      </c>
      <c r="M114" s="77" t="s">
        <v>70</v>
      </c>
      <c r="N114" s="77" t="s">
        <v>76</v>
      </c>
      <c r="O114" s="79" t="str">
        <f aca="false">IF($A114="","",IF(OR($B114="",$G114="",$H114=""),"Angaben fehlen",IF($H114&lt;=$G114,"Zeit prüfen",IF($N114="Storniert","–",IF(COUNTIFS($D$8:$D$127,$D114,$B$8:$B$127,$B114,$N$8:$N$127,"&lt;&gt;Storniert",$S$8:$S$127,"&lt;"&amp;$T114,$T$8:$T$127,"&gt;"&amp;$S114)&gt;1,"Überschneidung",IF($K114&gt;IFERROR(INDEX(Stammdaten!$D$8:$D$19,MATCH($D114,Stammdaten!$A$8:$A$19,0)),999),"Kapazität prüfen","OK"))))))</f>
        <v>OK</v>
      </c>
      <c r="P114" s="80" t="str">
        <f aca="false">IF($A114="","",IF($N114="Reserviert",$F114&amp;"*",$F114))</f>
        <v>BEWT*</v>
      </c>
      <c r="Q114" s="81" t="s">
        <v>77</v>
      </c>
      <c r="R114" s="82" t="n">
        <f aca="false">IF($A114="","",ROW())</f>
        <v>114</v>
      </c>
      <c r="S114" s="82" t="n">
        <f aca="false">IF($G114="","",ROUND($G114*1440,0))</f>
        <v>600</v>
      </c>
      <c r="T114" s="82" t="n">
        <f aca="false">IF($H114="","",ROUND($H114*1440,0))</f>
        <v>720</v>
      </c>
    </row>
    <row r="115" customFormat="false" ht="15" hidden="false" customHeight="true" outlineLevel="0" collapsed="false">
      <c r="A115" s="71" t="s">
        <v>239</v>
      </c>
      <c r="B115" s="72" t="n">
        <v>46227</v>
      </c>
      <c r="C115" s="83" t="n">
        <f aca="false">IF($B115="","",$B115)</f>
        <v>46227</v>
      </c>
      <c r="D115" s="71" t="s">
        <v>65</v>
      </c>
      <c r="E115" s="74" t="s">
        <v>160</v>
      </c>
      <c r="F115" s="71" t="s">
        <v>161</v>
      </c>
      <c r="G115" s="75" t="n">
        <v>0.4375</v>
      </c>
      <c r="H115" s="75" t="n">
        <v>0.520833333333333</v>
      </c>
      <c r="I115" s="84" t="n">
        <f aca="false">IF(OR($G115="",$H115=""),"",ROUND(($H115-$G115)*24,2))</f>
        <v>2</v>
      </c>
      <c r="J115" s="77" t="s">
        <v>82</v>
      </c>
      <c r="K115" s="78" t="n">
        <v>5</v>
      </c>
      <c r="L115" s="77" t="s">
        <v>154</v>
      </c>
      <c r="M115" s="77" t="s">
        <v>62</v>
      </c>
      <c r="N115" s="77" t="s">
        <v>63</v>
      </c>
      <c r="O115" s="85" t="str">
        <f aca="false">IF($A115="","",IF(OR($B115="",$G115="",$H115=""),"Angaben fehlen",IF($H115&lt;=$G115,"Zeit prüfen",IF($N115="Storniert","–",IF(COUNTIFS($D$8:$D$127,$D115,$B$8:$B$127,$B115,$N$8:$N$127,"&lt;&gt;Storniert",$S$8:$S$127,"&lt;"&amp;$T115,$T$8:$T$127,"&gt;"&amp;$S115)&gt;1,"Überschneidung",IF($K115&gt;IFERROR(INDEX(Stammdaten!$D$8:$D$19,MATCH($D115,Stammdaten!$A$8:$A$19,0)),999),"Kapazität prüfen","OK"))))))</f>
        <v>OK</v>
      </c>
      <c r="P115" s="86" t="str">
        <f aca="false">IF($A115="","",IF($N115="Reserviert",$F115&amp;"*",$F115))</f>
        <v>TEAM</v>
      </c>
      <c r="Q115" s="81"/>
      <c r="R115" s="87" t="n">
        <f aca="false">IF($A115="","",ROW())</f>
        <v>115</v>
      </c>
      <c r="S115" s="87" t="n">
        <f aca="false">IF($G115="","",ROUND($G115*1440,0))</f>
        <v>630</v>
      </c>
      <c r="T115" s="87" t="n">
        <f aca="false">IF($H115="","",ROUND($H115*1440,0))</f>
        <v>750</v>
      </c>
    </row>
    <row r="116" customFormat="false" ht="15" hidden="false" customHeight="true" outlineLevel="0" collapsed="false">
      <c r="A116" s="71" t="s">
        <v>240</v>
      </c>
      <c r="B116" s="72" t="n">
        <v>46227</v>
      </c>
      <c r="C116" s="73" t="n">
        <f aca="false">IF($B116="","",$B116)</f>
        <v>46227</v>
      </c>
      <c r="D116" s="71" t="s">
        <v>79</v>
      </c>
      <c r="E116" s="74" t="s">
        <v>105</v>
      </c>
      <c r="F116" s="71" t="s">
        <v>106</v>
      </c>
      <c r="G116" s="75" t="n">
        <v>0.4375</v>
      </c>
      <c r="H116" s="75" t="n">
        <v>0.5</v>
      </c>
      <c r="I116" s="76" t="n">
        <f aca="false">IF(OR($G116="",$H116=""),"",ROUND(($H116-$G116)*24,2))</f>
        <v>1.5</v>
      </c>
      <c r="J116" s="77" t="s">
        <v>121</v>
      </c>
      <c r="K116" s="78" t="n">
        <v>6</v>
      </c>
      <c r="L116" s="77" t="s">
        <v>69</v>
      </c>
      <c r="M116" s="77" t="s">
        <v>70</v>
      </c>
      <c r="N116" s="77" t="s">
        <v>76</v>
      </c>
      <c r="O116" s="79" t="str">
        <f aca="false">IF($A116="","",IF(OR($B116="",$G116="",$H116=""),"Angaben fehlen",IF($H116&lt;=$G116,"Zeit prüfen",IF($N116="Storniert","–",IF(COUNTIFS($D$8:$D$127,$D116,$B$8:$B$127,$B116,$N$8:$N$127,"&lt;&gt;Storniert",$S$8:$S$127,"&lt;"&amp;$T116,$T$8:$T$127,"&gt;"&amp;$S116)&gt;1,"Überschneidung",IF($K116&gt;IFERROR(INDEX(Stammdaten!$D$8:$D$19,MATCH($D116,Stammdaten!$A$8:$A$19,0)),999),"Kapazität prüfen","OK"))))))</f>
        <v>OK</v>
      </c>
      <c r="P116" s="80" t="str">
        <f aca="false">IF($A116="","",IF($N116="Reserviert",$F116&amp;"*",$F116))</f>
        <v>VIKO*</v>
      </c>
      <c r="Q116" s="81" t="s">
        <v>77</v>
      </c>
      <c r="R116" s="82" t="n">
        <f aca="false">IF($A116="","",ROW())</f>
        <v>116</v>
      </c>
      <c r="S116" s="82" t="n">
        <f aca="false">IF($G116="","",ROUND($G116*1440,0))</f>
        <v>630</v>
      </c>
      <c r="T116" s="82" t="n">
        <f aca="false">IF($H116="","",ROUND($H116*1440,0))</f>
        <v>720</v>
      </c>
    </row>
    <row r="117" customFormat="false" ht="15" hidden="false" customHeight="true" outlineLevel="0" collapsed="false">
      <c r="A117" s="71" t="s">
        <v>241</v>
      </c>
      <c r="B117" s="72" t="n">
        <v>46227</v>
      </c>
      <c r="C117" s="83" t="n">
        <f aca="false">IF($B117="","",$B117)</f>
        <v>46227</v>
      </c>
      <c r="D117" s="71" t="s">
        <v>57</v>
      </c>
      <c r="E117" s="74" t="s">
        <v>173</v>
      </c>
      <c r="F117" s="71" t="s">
        <v>174</v>
      </c>
      <c r="G117" s="75" t="n">
        <v>0.5</v>
      </c>
      <c r="H117" s="75" t="n">
        <v>0.5625</v>
      </c>
      <c r="I117" s="84" t="n">
        <f aca="false">IF(OR($G117="",$H117=""),"",ROUND(($H117-$G117)*24,2))</f>
        <v>1.5</v>
      </c>
      <c r="J117" s="77" t="s">
        <v>82</v>
      </c>
      <c r="K117" s="78" t="n">
        <v>4</v>
      </c>
      <c r="L117" s="77" t="s">
        <v>154</v>
      </c>
      <c r="M117" s="77" t="s">
        <v>70</v>
      </c>
      <c r="N117" s="77" t="s">
        <v>63</v>
      </c>
      <c r="O117" s="85" t="str">
        <f aca="false">IF($A117="","",IF(OR($B117="",$G117="",$H117=""),"Angaben fehlen",IF($H117&lt;=$G117,"Zeit prüfen",IF($N117="Storniert","–",IF(COUNTIFS($D$8:$D$127,$D117,$B$8:$B$127,$B117,$N$8:$N$127,"&lt;&gt;Storniert",$S$8:$S$127,"&lt;"&amp;$T117,$T$8:$T$127,"&gt;"&amp;$S117)&gt;1,"Überschneidung",IF($K117&gt;IFERROR(INDEX(Stammdaten!$D$8:$D$19,MATCH($D117,Stammdaten!$A$8:$A$19,0)),999),"Kapazität prüfen","OK"))))))</f>
        <v>OK</v>
      </c>
      <c r="P117" s="86" t="str">
        <f aca="false">IF($A117="","",IF($N117="Reserviert",$F117&amp;"*",$F117))</f>
        <v>ABT</v>
      </c>
      <c r="Q117" s="81"/>
      <c r="R117" s="87" t="n">
        <f aca="false">IF($A117="","",ROW())</f>
        <v>117</v>
      </c>
      <c r="S117" s="87" t="n">
        <f aca="false">IF($G117="","",ROUND($G117*1440,0))</f>
        <v>720</v>
      </c>
      <c r="T117" s="87" t="n">
        <f aca="false">IF($H117="","",ROUND($H117*1440,0))</f>
        <v>810</v>
      </c>
    </row>
    <row r="118" customFormat="false" ht="15" hidden="false" customHeight="true" outlineLevel="0" collapsed="false">
      <c r="A118" s="71" t="s">
        <v>242</v>
      </c>
      <c r="B118" s="72" t="n">
        <v>46227</v>
      </c>
      <c r="C118" s="73" t="n">
        <f aca="false">IF($B118="","",$B118)</f>
        <v>46227</v>
      </c>
      <c r="D118" s="71" t="s">
        <v>110</v>
      </c>
      <c r="E118" s="74" t="s">
        <v>164</v>
      </c>
      <c r="F118" s="71" t="s">
        <v>165</v>
      </c>
      <c r="G118" s="75" t="n">
        <v>0.5</v>
      </c>
      <c r="H118" s="75" t="n">
        <v>0.583333333333333</v>
      </c>
      <c r="I118" s="76" t="n">
        <f aca="false">IF(OR($G118="",$H118=""),"",ROUND(($H118-$G118)*24,2))</f>
        <v>2</v>
      </c>
      <c r="J118" s="77" t="s">
        <v>82</v>
      </c>
      <c r="K118" s="78" t="n">
        <v>5</v>
      </c>
      <c r="L118" s="77" t="s">
        <v>61</v>
      </c>
      <c r="M118" s="77" t="s">
        <v>62</v>
      </c>
      <c r="N118" s="77" t="s">
        <v>63</v>
      </c>
      <c r="O118" s="79" t="str">
        <f aca="false">IF($A118="","",IF(OR($B118="",$G118="",$H118=""),"Angaben fehlen",IF($H118&lt;=$G118,"Zeit prüfen",IF($N118="Storniert","–",IF(COUNTIFS($D$8:$D$127,$D118,$B$8:$B$127,$B118,$N$8:$N$127,"&lt;&gt;Storniert",$S$8:$S$127,"&lt;"&amp;$T118,$T$8:$T$127,"&gt;"&amp;$S118)&gt;1,"Überschneidung",IF($K118&gt;IFERROR(INDEX(Stammdaten!$D$8:$D$19,MATCH($D118,Stammdaten!$A$8:$A$19,0)),999),"Kapazität prüfen","OK"))))))</f>
        <v>OK</v>
      </c>
      <c r="P118" s="80" t="str">
        <f aca="false">IF($A118="","",IF($N118="Reserviert",$F118&amp;"*",$F118))</f>
        <v>PLAN</v>
      </c>
      <c r="Q118" s="81" t="s">
        <v>111</v>
      </c>
      <c r="R118" s="82" t="n">
        <f aca="false">IF($A118="","",ROW())</f>
        <v>118</v>
      </c>
      <c r="S118" s="82" t="n">
        <f aca="false">IF($G118="","",ROUND($G118*1440,0))</f>
        <v>720</v>
      </c>
      <c r="T118" s="82" t="n">
        <f aca="false">IF($H118="","",ROUND($H118*1440,0))</f>
        <v>840</v>
      </c>
    </row>
    <row r="119" customFormat="false" ht="15" hidden="false" customHeight="true" outlineLevel="0" collapsed="false">
      <c r="A119" s="71" t="s">
        <v>243</v>
      </c>
      <c r="B119" s="72" t="n">
        <v>46227</v>
      </c>
      <c r="C119" s="83" t="n">
        <f aca="false">IF($B119="","",$B119)</f>
        <v>46227</v>
      </c>
      <c r="D119" s="71" t="s">
        <v>119</v>
      </c>
      <c r="E119" s="74" t="s">
        <v>164</v>
      </c>
      <c r="F119" s="71" t="s">
        <v>165</v>
      </c>
      <c r="G119" s="75" t="n">
        <v>0.541666666666667</v>
      </c>
      <c r="H119" s="75" t="n">
        <v>0.625</v>
      </c>
      <c r="I119" s="84" t="n">
        <f aca="false">IF(OR($G119="",$H119=""),"",ROUND(($H119-$G119)*24,2))</f>
        <v>2</v>
      </c>
      <c r="J119" s="77" t="s">
        <v>60</v>
      </c>
      <c r="K119" s="78" t="n">
        <v>20</v>
      </c>
      <c r="L119" s="77" t="s">
        <v>98</v>
      </c>
      <c r="M119" s="77" t="s">
        <v>84</v>
      </c>
      <c r="N119" s="77" t="s">
        <v>63</v>
      </c>
      <c r="O119" s="85" t="str">
        <f aca="false">IF($A119="","",IF(OR($B119="",$G119="",$H119=""),"Angaben fehlen",IF($H119&lt;=$G119,"Zeit prüfen",IF($N119="Storniert","–",IF(COUNTIFS($D$8:$D$127,$D119,$B$8:$B$127,$B119,$N$8:$N$127,"&lt;&gt;Storniert",$S$8:$S$127,"&lt;"&amp;$T119,$T$8:$T$127,"&gt;"&amp;$S119)&gt;1,"Überschneidung",IF($K119&gt;IFERROR(INDEX(Stammdaten!$D$8:$D$19,MATCH($D119,Stammdaten!$A$8:$A$19,0)),999),"Kapazität prüfen","OK"))))))</f>
        <v>OK</v>
      </c>
      <c r="P119" s="86" t="str">
        <f aca="false">IF($A119="","",IF($N119="Reserviert",$F119&amp;"*",$F119))</f>
        <v>PLAN</v>
      </c>
      <c r="Q119" s="81"/>
      <c r="R119" s="87" t="n">
        <f aca="false">IF($A119="","",ROW())</f>
        <v>119</v>
      </c>
      <c r="S119" s="87" t="n">
        <f aca="false">IF($G119="","",ROUND($G119*1440,0))</f>
        <v>780</v>
      </c>
      <c r="T119" s="87" t="n">
        <f aca="false">IF($H119="","",ROUND($H119*1440,0))</f>
        <v>900</v>
      </c>
    </row>
    <row r="120" customFormat="false" ht="15" hidden="false" customHeight="true" outlineLevel="0" collapsed="false">
      <c r="A120" s="71" t="s">
        <v>244</v>
      </c>
      <c r="B120" s="72" t="n">
        <v>46227</v>
      </c>
      <c r="C120" s="73" t="n">
        <f aca="false">IF($B120="","",$B120)</f>
        <v>46227</v>
      </c>
      <c r="D120" s="71" t="s">
        <v>72</v>
      </c>
      <c r="E120" s="74" t="s">
        <v>173</v>
      </c>
      <c r="F120" s="71" t="s">
        <v>174</v>
      </c>
      <c r="G120" s="75" t="n">
        <v>0.5625</v>
      </c>
      <c r="H120" s="75" t="n">
        <v>0.645833333333333</v>
      </c>
      <c r="I120" s="76" t="n">
        <f aca="false">IF(OR($G120="",$H120=""),"",ROUND(($H120-$G120)*24,2))</f>
        <v>2</v>
      </c>
      <c r="J120" s="77" t="s">
        <v>68</v>
      </c>
      <c r="K120" s="78" t="n">
        <v>9</v>
      </c>
      <c r="L120" s="77" t="s">
        <v>154</v>
      </c>
      <c r="M120" s="77" t="s">
        <v>62</v>
      </c>
      <c r="N120" s="77" t="s">
        <v>63</v>
      </c>
      <c r="O120" s="79" t="str">
        <f aca="false">IF($A120="","",IF(OR($B120="",$G120="",$H120=""),"Angaben fehlen",IF($H120&lt;=$G120,"Zeit prüfen",IF($N120="Storniert","–",IF(COUNTIFS($D$8:$D$127,$D120,$B$8:$B$127,$B120,$N$8:$N$127,"&lt;&gt;Storniert",$S$8:$S$127,"&lt;"&amp;$T120,$T$8:$T$127,"&gt;"&amp;$S120)&gt;1,"Überschneidung",IF($K120&gt;IFERROR(INDEX(Stammdaten!$D$8:$D$19,MATCH($D120,Stammdaten!$A$8:$A$19,0)),999),"Kapazität prüfen","OK"))))))</f>
        <v>OK</v>
      </c>
      <c r="P120" s="80" t="str">
        <f aca="false">IF($A120="","",IF($N120="Reserviert",$F120&amp;"*",$F120))</f>
        <v>ABT</v>
      </c>
      <c r="Q120" s="81"/>
      <c r="R120" s="82" t="n">
        <f aca="false">IF($A120="","",ROW())</f>
        <v>120</v>
      </c>
      <c r="S120" s="82" t="n">
        <f aca="false">IF($G120="","",ROUND($G120*1440,0))</f>
        <v>810</v>
      </c>
      <c r="T120" s="82" t="n">
        <f aca="false">IF($H120="","",ROUND($H120*1440,0))</f>
        <v>930</v>
      </c>
    </row>
    <row r="121" customFormat="false" ht="15" hidden="false" customHeight="true" outlineLevel="0" collapsed="false">
      <c r="A121" s="71" t="s">
        <v>245</v>
      </c>
      <c r="B121" s="72" t="n">
        <v>46227</v>
      </c>
      <c r="C121" s="83" t="n">
        <f aca="false">IF($B121="","",$B121)</f>
        <v>46227</v>
      </c>
      <c r="D121" s="71" t="s">
        <v>57</v>
      </c>
      <c r="E121" s="74" t="s">
        <v>151</v>
      </c>
      <c r="F121" s="71" t="s">
        <v>152</v>
      </c>
      <c r="G121" s="75" t="n">
        <v>0.583333333333333</v>
      </c>
      <c r="H121" s="75" t="n">
        <v>0.645833333333333</v>
      </c>
      <c r="I121" s="84" t="n">
        <f aca="false">IF(OR($G121="",$H121=""),"",ROUND(($H121-$G121)*24,2))</f>
        <v>1.5</v>
      </c>
      <c r="J121" s="77" t="s">
        <v>107</v>
      </c>
      <c r="K121" s="78" t="n">
        <v>3</v>
      </c>
      <c r="L121" s="77" t="s">
        <v>154</v>
      </c>
      <c r="M121" s="77" t="s">
        <v>99</v>
      </c>
      <c r="N121" s="77" t="s">
        <v>63</v>
      </c>
      <c r="O121" s="85" t="str">
        <f aca="false">IF($A121="","",IF(OR($B121="",$G121="",$H121=""),"Angaben fehlen",IF($H121&lt;=$G121,"Zeit prüfen",IF($N121="Storniert","–",IF(COUNTIFS($D$8:$D$127,$D121,$B$8:$B$127,$B121,$N$8:$N$127,"&lt;&gt;Storniert",$S$8:$S$127,"&lt;"&amp;$T121,$T$8:$T$127,"&gt;"&amp;$S121)&gt;1,"Überschneidung",IF($K121&gt;IFERROR(INDEX(Stammdaten!$D$8:$D$19,MATCH($D121,Stammdaten!$A$8:$A$19,0)),999),"Kapazität prüfen","OK"))))))</f>
        <v>OK</v>
      </c>
      <c r="P121" s="86" t="str">
        <f aca="false">IF($A121="","",IF($N121="Reserviert",$F121&amp;"*",$F121))</f>
        <v>INFO</v>
      </c>
      <c r="Q121" s="81"/>
      <c r="R121" s="87" t="n">
        <f aca="false">IF($A121="","",ROW())</f>
        <v>121</v>
      </c>
      <c r="S121" s="87" t="n">
        <f aca="false">IF($G121="","",ROUND($G121*1440,0))</f>
        <v>840</v>
      </c>
      <c r="T121" s="87" t="n">
        <f aca="false">IF($H121="","",ROUND($H121*1440,0))</f>
        <v>930</v>
      </c>
    </row>
    <row r="122" customFormat="false" ht="15" hidden="false" customHeight="true" outlineLevel="0" collapsed="false">
      <c r="A122" s="71" t="s">
        <v>246</v>
      </c>
      <c r="B122" s="72" t="n">
        <v>46228</v>
      </c>
      <c r="C122" s="73" t="n">
        <f aca="false">IF($B122="","",$B122)</f>
        <v>46228</v>
      </c>
      <c r="D122" s="71" t="s">
        <v>94</v>
      </c>
      <c r="E122" s="74" t="s">
        <v>160</v>
      </c>
      <c r="F122" s="71" t="s">
        <v>161</v>
      </c>
      <c r="G122" s="75" t="n">
        <v>0.291666666666667</v>
      </c>
      <c r="H122" s="75" t="n">
        <v>0.375</v>
      </c>
      <c r="I122" s="76" t="n">
        <f aca="false">IF(OR($G122="",$H122=""),"",ROUND(($H122-$G122)*24,2))</f>
        <v>2</v>
      </c>
      <c r="J122" s="77" t="s">
        <v>121</v>
      </c>
      <c r="K122" s="78" t="n">
        <v>9</v>
      </c>
      <c r="L122" s="77" t="s">
        <v>91</v>
      </c>
      <c r="M122" s="77" t="s">
        <v>84</v>
      </c>
      <c r="N122" s="77" t="s">
        <v>63</v>
      </c>
      <c r="O122" s="79" t="str">
        <f aca="false">IF($A122="","",IF(OR($B122="",$G122="",$H122=""),"Angaben fehlen",IF($H122&lt;=$G122,"Zeit prüfen",IF($N122="Storniert","–",IF(COUNTIFS($D$8:$D$127,$D122,$B$8:$B$127,$B122,$N$8:$N$127,"&lt;&gt;Storniert",$S$8:$S$127,"&lt;"&amp;$T122,$T$8:$T$127,"&gt;"&amp;$S122)&gt;1,"Überschneidung",IF($K122&gt;IFERROR(INDEX(Stammdaten!$D$8:$D$19,MATCH($D122,Stammdaten!$A$8:$A$19,0)),999),"Kapazität prüfen","OK"))))))</f>
        <v>OK</v>
      </c>
      <c r="P122" s="80" t="str">
        <f aca="false">IF($A122="","",IF($N122="Reserviert",$F122&amp;"*",$F122))</f>
        <v>TEAM</v>
      </c>
      <c r="Q122" s="81"/>
      <c r="R122" s="82" t="n">
        <f aca="false">IF($A122="","",ROW())</f>
        <v>122</v>
      </c>
      <c r="S122" s="82" t="n">
        <f aca="false">IF($G122="","",ROUND($G122*1440,0))</f>
        <v>420</v>
      </c>
      <c r="T122" s="82" t="n">
        <f aca="false">IF($H122="","",ROUND($H122*1440,0))</f>
        <v>540</v>
      </c>
    </row>
    <row r="123" customFormat="false" ht="15" hidden="false" customHeight="true" outlineLevel="0" collapsed="false">
      <c r="A123" s="71" t="s">
        <v>247</v>
      </c>
      <c r="B123" s="72" t="n">
        <v>46228</v>
      </c>
      <c r="C123" s="83" t="n">
        <f aca="false">IF($B123="","",$B123)</f>
        <v>46228</v>
      </c>
      <c r="D123" s="71" t="s">
        <v>87</v>
      </c>
      <c r="E123" s="74" t="s">
        <v>80</v>
      </c>
      <c r="F123" s="71" t="s">
        <v>81</v>
      </c>
      <c r="G123" s="75" t="n">
        <v>0.354166666666667</v>
      </c>
      <c r="H123" s="75" t="n">
        <v>0.4375</v>
      </c>
      <c r="I123" s="84" t="n">
        <f aca="false">IF(OR($G123="",$H123=""),"",ROUND(($H123-$G123)*24,2))</f>
        <v>2</v>
      </c>
      <c r="J123" s="77" t="s">
        <v>88</v>
      </c>
      <c r="K123" s="78" t="n">
        <v>11</v>
      </c>
      <c r="L123" s="77" t="s">
        <v>98</v>
      </c>
      <c r="M123" s="77" t="s">
        <v>62</v>
      </c>
      <c r="N123" s="77" t="s">
        <v>76</v>
      </c>
      <c r="O123" s="85" t="str">
        <f aca="false">IF($A123="","",IF(OR($B123="",$G123="",$H123=""),"Angaben fehlen",IF($H123&lt;=$G123,"Zeit prüfen",IF($N123="Storniert","–",IF(COUNTIFS($D$8:$D$127,$D123,$B$8:$B$127,$B123,$N$8:$N$127,"&lt;&gt;Storniert",$S$8:$S$127,"&lt;"&amp;$T123,$T$8:$T$127,"&gt;"&amp;$S123)&gt;1,"Überschneidung",IF($K123&gt;IFERROR(INDEX(Stammdaten!$D$8:$D$19,MATCH($D123,Stammdaten!$A$8:$A$19,0)),999),"Kapazität prüfen","OK"))))))</f>
        <v>OK</v>
      </c>
      <c r="P123" s="86" t="str">
        <f aca="false">IF($A123="","",IF($N123="Reserviert",$F123&amp;"*",$F123))</f>
        <v>ONBO*</v>
      </c>
      <c r="Q123" s="81" t="s">
        <v>77</v>
      </c>
      <c r="R123" s="87" t="n">
        <f aca="false">IF($A123="","",ROW())</f>
        <v>123</v>
      </c>
      <c r="S123" s="87" t="n">
        <f aca="false">IF($G123="","",ROUND($G123*1440,0))</f>
        <v>510</v>
      </c>
      <c r="T123" s="87" t="n">
        <f aca="false">IF($H123="","",ROUND($H123*1440,0))</f>
        <v>630</v>
      </c>
    </row>
    <row r="124" customFormat="false" ht="15" hidden="false" customHeight="true" outlineLevel="0" collapsed="false">
      <c r="A124" s="71" t="s">
        <v>248</v>
      </c>
      <c r="B124" s="72" t="n">
        <v>46229</v>
      </c>
      <c r="C124" s="73" t="n">
        <f aca="false">IF($B124="","",$B124)</f>
        <v>46229</v>
      </c>
      <c r="D124" s="71" t="s">
        <v>57</v>
      </c>
      <c r="E124" s="74" t="s">
        <v>95</v>
      </c>
      <c r="F124" s="71" t="s">
        <v>96</v>
      </c>
      <c r="G124" s="75" t="n">
        <v>0.291666666666667</v>
      </c>
      <c r="H124" s="75" t="n">
        <v>0.375</v>
      </c>
      <c r="I124" s="76" t="n">
        <f aca="false">IF(OR($G124="",$H124=""),"",ROUND(($H124-$G124)*24,2))</f>
        <v>2</v>
      </c>
      <c r="J124" s="77" t="s">
        <v>123</v>
      </c>
      <c r="K124" s="78" t="n">
        <v>2</v>
      </c>
      <c r="L124" s="77" t="s">
        <v>69</v>
      </c>
      <c r="M124" s="77" t="s">
        <v>62</v>
      </c>
      <c r="N124" s="77" t="s">
        <v>63</v>
      </c>
      <c r="O124" s="79" t="str">
        <f aca="false">IF($A124="","",IF(OR($B124="",$G124="",$H124=""),"Angaben fehlen",IF($H124&lt;=$G124,"Zeit prüfen",IF($N124="Storniert","–",IF(COUNTIFS($D$8:$D$127,$D124,$B$8:$B$127,$B124,$N$8:$N$127,"&lt;&gt;Storniert",$S$8:$S$127,"&lt;"&amp;$T124,$T$8:$T$127,"&gt;"&amp;$S124)&gt;1,"Überschneidung",IF($K124&gt;IFERROR(INDEX(Stammdaten!$D$8:$D$19,MATCH($D124,Stammdaten!$A$8:$A$19,0)),999),"Kapazität prüfen","OK"))))))</f>
        <v>OK</v>
      </c>
      <c r="P124" s="80" t="str">
        <f aca="false">IF($A124="","",IF($N124="Reserviert",$F124&amp;"*",$F124))</f>
        <v>SCHU</v>
      </c>
      <c r="Q124" s="81" t="s">
        <v>85</v>
      </c>
      <c r="R124" s="82" t="n">
        <f aca="false">IF($A124="","",ROW())</f>
        <v>124</v>
      </c>
      <c r="S124" s="82" t="n">
        <f aca="false">IF($G124="","",ROUND($G124*1440,0))</f>
        <v>420</v>
      </c>
      <c r="T124" s="82" t="n">
        <f aca="false">IF($H124="","",ROUND($H124*1440,0))</f>
        <v>540</v>
      </c>
    </row>
    <row r="125" customFormat="false" ht="15" hidden="false" customHeight="true" outlineLevel="0" collapsed="false">
      <c r="A125" s="71" t="s">
        <v>249</v>
      </c>
      <c r="B125" s="72" t="n">
        <v>46229</v>
      </c>
      <c r="C125" s="83" t="n">
        <f aca="false">IF($B125="","",$B125)</f>
        <v>46229</v>
      </c>
      <c r="D125" s="71" t="s">
        <v>104</v>
      </c>
      <c r="E125" s="74" t="s">
        <v>164</v>
      </c>
      <c r="F125" s="71" t="s">
        <v>165</v>
      </c>
      <c r="G125" s="75" t="n">
        <v>0.375</v>
      </c>
      <c r="H125" s="75" t="n">
        <v>0.4375</v>
      </c>
      <c r="I125" s="84" t="n">
        <f aca="false">IF(OR($G125="",$H125=""),"",ROUND(($H125-$G125)*24,2))</f>
        <v>1.5</v>
      </c>
      <c r="J125" s="77" t="s">
        <v>75</v>
      </c>
      <c r="K125" s="78" t="n">
        <v>6</v>
      </c>
      <c r="L125" s="77" t="s">
        <v>61</v>
      </c>
      <c r="M125" s="77" t="s">
        <v>99</v>
      </c>
      <c r="N125" s="77" t="s">
        <v>63</v>
      </c>
      <c r="O125" s="85" t="str">
        <f aca="false">IF($A125="","",IF(OR($B125="",$G125="",$H125=""),"Angaben fehlen",IF($H125&lt;=$G125,"Zeit prüfen",IF($N125="Storniert","–",IF(COUNTIFS($D$8:$D$127,$D125,$B$8:$B$127,$B125,$N$8:$N$127,"&lt;&gt;Storniert",$S$8:$S$127,"&lt;"&amp;$T125,$T$8:$T$127,"&gt;"&amp;$S125)&gt;1,"Überschneidung",IF($K125&gt;IFERROR(INDEX(Stammdaten!$D$8:$D$19,MATCH($D125,Stammdaten!$A$8:$A$19,0)),999),"Kapazität prüfen","OK"))))))</f>
        <v>OK</v>
      </c>
      <c r="P125" s="86" t="str">
        <f aca="false">IF($A125="","",IF($N125="Reserviert",$F125&amp;"*",$F125))</f>
        <v>PLAN</v>
      </c>
      <c r="Q125" s="81"/>
      <c r="R125" s="87" t="n">
        <f aca="false">IF($A125="","",ROW())</f>
        <v>125</v>
      </c>
      <c r="S125" s="87" t="n">
        <f aca="false">IF($G125="","",ROUND($G125*1440,0))</f>
        <v>540</v>
      </c>
      <c r="T125" s="87" t="n">
        <f aca="false">IF($H125="","",ROUND($H125*1440,0))</f>
        <v>630</v>
      </c>
    </row>
    <row r="126" customFormat="false" ht="15" hidden="false" customHeight="true" outlineLevel="0" collapsed="false">
      <c r="A126" s="71" t="s">
        <v>250</v>
      </c>
      <c r="B126" s="72" t="n">
        <v>46229</v>
      </c>
      <c r="C126" s="73" t="n">
        <f aca="false">IF($B126="","",$B126)</f>
        <v>46229</v>
      </c>
      <c r="D126" s="71" t="s">
        <v>87</v>
      </c>
      <c r="E126" s="74" t="s">
        <v>151</v>
      </c>
      <c r="F126" s="71" t="s">
        <v>152</v>
      </c>
      <c r="G126" s="75" t="n">
        <v>0.375</v>
      </c>
      <c r="H126" s="75" t="n">
        <v>0.416666666666667</v>
      </c>
      <c r="I126" s="76" t="n">
        <f aca="false">IF(OR($G126="",$H126=""),"",ROUND(($H126-$G126)*24,2))</f>
        <v>1</v>
      </c>
      <c r="J126" s="77" t="s">
        <v>75</v>
      </c>
      <c r="K126" s="78" t="n">
        <v>15</v>
      </c>
      <c r="L126" s="77" t="s">
        <v>83</v>
      </c>
      <c r="M126" s="77" t="s">
        <v>62</v>
      </c>
      <c r="N126" s="77" t="s">
        <v>63</v>
      </c>
      <c r="O126" s="79" t="str">
        <f aca="false">IF($A126="","",IF(OR($B126="",$G126="",$H126=""),"Angaben fehlen",IF($H126&lt;=$G126,"Zeit prüfen",IF($N126="Storniert","–",IF(COUNTIFS($D$8:$D$127,$D126,$B$8:$B$127,$B126,$N$8:$N$127,"&lt;&gt;Storniert",$S$8:$S$127,"&lt;"&amp;$T126,$T$8:$T$127,"&gt;"&amp;$S126)&gt;1,"Überschneidung",IF($K126&gt;IFERROR(INDEX(Stammdaten!$D$8:$D$19,MATCH($D126,Stammdaten!$A$8:$A$19,0)),999),"Kapazität prüfen","OK"))))))</f>
        <v>OK</v>
      </c>
      <c r="P126" s="80" t="str">
        <f aca="false">IF($A126="","",IF($N126="Reserviert",$F126&amp;"*",$F126))</f>
        <v>INFO</v>
      </c>
      <c r="Q126" s="81" t="s">
        <v>111</v>
      </c>
      <c r="R126" s="82" t="n">
        <f aca="false">IF($A126="","",ROW())</f>
        <v>126</v>
      </c>
      <c r="S126" s="82" t="n">
        <f aca="false">IF($G126="","",ROUND($G126*1440,0))</f>
        <v>540</v>
      </c>
      <c r="T126" s="82" t="n">
        <f aca="false">IF($H126="","",ROUND($H126*1440,0))</f>
        <v>600</v>
      </c>
    </row>
    <row r="127" customFormat="false" ht="15" hidden="false" customHeight="true" outlineLevel="0" collapsed="false">
      <c r="A127" s="71" t="s">
        <v>251</v>
      </c>
      <c r="B127" s="72" t="n">
        <v>46229</v>
      </c>
      <c r="C127" s="83" t="n">
        <f aca="false">IF($B127="","",$B127)</f>
        <v>46229</v>
      </c>
      <c r="D127" s="71" t="s">
        <v>119</v>
      </c>
      <c r="E127" s="74" t="s">
        <v>80</v>
      </c>
      <c r="F127" s="71" t="s">
        <v>81</v>
      </c>
      <c r="G127" s="75" t="n">
        <v>0.375</v>
      </c>
      <c r="H127" s="75" t="n">
        <v>0.458333333333333</v>
      </c>
      <c r="I127" s="84" t="n">
        <f aca="false">IF(OR($G127="",$H127=""),"",ROUND(($H127-$G127)*24,2))</f>
        <v>2</v>
      </c>
      <c r="J127" s="77" t="s">
        <v>123</v>
      </c>
      <c r="K127" s="78" t="n">
        <v>17</v>
      </c>
      <c r="L127" s="77" t="s">
        <v>83</v>
      </c>
      <c r="M127" s="77" t="s">
        <v>108</v>
      </c>
      <c r="N127" s="77" t="s">
        <v>63</v>
      </c>
      <c r="O127" s="85" t="str">
        <f aca="false">IF($A127="","",IF(OR($B127="",$G127="",$H127=""),"Angaben fehlen",IF($H127&lt;=$G127,"Zeit prüfen",IF($N127="Storniert","–",IF(COUNTIFS($D$8:$D$127,$D127,$B$8:$B$127,$B127,$N$8:$N$127,"&lt;&gt;Storniert",$S$8:$S$127,"&lt;"&amp;$T127,$T$8:$T$127,"&gt;"&amp;$S127)&gt;1,"Überschneidung",IF($K127&gt;IFERROR(INDEX(Stammdaten!$D$8:$D$19,MATCH($D127,Stammdaten!$A$8:$A$19,0)),999),"Kapazität prüfen","OK"))))))</f>
        <v>OK</v>
      </c>
      <c r="P127" s="86" t="str">
        <f aca="false">IF($A127="","",IF($N127="Reserviert",$F127&amp;"*",$F127))</f>
        <v>ONBO</v>
      </c>
      <c r="Q127" s="81"/>
      <c r="R127" s="87" t="n">
        <f aca="false">IF($A127="","",ROW())</f>
        <v>127</v>
      </c>
      <c r="S127" s="87" t="n">
        <f aca="false">IF($G127="","",ROUND($G127*1440,0))</f>
        <v>540</v>
      </c>
      <c r="T127" s="87" t="n">
        <f aca="false">IF($H127="","",ROUND($H127*1440,0))</f>
        <v>660</v>
      </c>
    </row>
    <row r="129" customFormat="false" ht="15" hidden="false" customHeight="false" outlineLevel="0" collapsed="false">
      <c r="A129" s="88" t="s">
        <v>252</v>
      </c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</row>
  </sheetData>
  <autoFilter ref="A7:T127"/>
  <mergeCells count="7">
    <mergeCell ref="A2:H2"/>
    <mergeCell ref="A3:H3"/>
    <mergeCell ref="A6:B6"/>
    <mergeCell ref="D6:E6"/>
    <mergeCell ref="G6:H6"/>
    <mergeCell ref="L6:M6"/>
    <mergeCell ref="A129:T129"/>
  </mergeCells>
  <conditionalFormatting sqref="P6">
    <cfRule type="cellIs" priority="2" operator="greaterThan" aboveAverage="0" equalAverage="0" bottom="0" percent="0" rank="0" text="" dxfId="19">
      <formula>0</formula>
    </cfRule>
  </conditionalFormatting>
  <conditionalFormatting sqref="O8:O127">
    <cfRule type="cellIs" priority="3" operator="equal" aboveAverage="0" equalAverage="0" bottom="0" percent="0" rank="0" text="" dxfId="20">
      <formula>"OK"</formula>
    </cfRule>
    <cfRule type="cellIs" priority="4" operator="equal" aboveAverage="0" equalAverage="0" bottom="0" percent="0" rank="0" text="" dxfId="21">
      <formula>"Überschneidung"</formula>
    </cfRule>
    <cfRule type="cellIs" priority="5" operator="equal" aboveAverage="0" equalAverage="0" bottom="0" percent="0" rank="0" text="" dxfId="21">
      <formula>"Zeit prüfen"</formula>
    </cfRule>
    <cfRule type="cellIs" priority="6" operator="equal" aboveAverage="0" equalAverage="0" bottom="0" percent="0" rank="0" text="" dxfId="21">
      <formula>"Kapazität prüfen"</formula>
    </cfRule>
    <cfRule type="cellIs" priority="7" operator="equal" aboveAverage="0" equalAverage="0" bottom="0" percent="0" rank="0" text="" dxfId="21">
      <formula>"Angaben fehlen"</formula>
    </cfRule>
  </conditionalFormatting>
  <conditionalFormatting sqref="A8:Q127">
    <cfRule type="expression" priority="8" aboveAverage="0" equalAverage="0" bottom="0" percent="0" rank="0" text="" dxfId="22">
      <formula>$N8="Storniert"</formula>
    </cfRule>
    <cfRule type="expression" priority="9" aboveAverage="0" equalAverage="0" bottom="0" percent="0" rank="0" text="" dxfId="23">
      <formula>$N8="Reserviert"</formula>
    </cfRule>
    <cfRule type="expression" priority="10" aboveAverage="0" equalAverage="0" bottom="0" percent="0" rank="0" text="" dxfId="24">
      <formula>$N8="Wartung/Sperrung"</formula>
    </cfRule>
    <cfRule type="expression" priority="11" aboveAverage="0" equalAverage="0" bottom="0" percent="0" rank="0" text="" dxfId="25">
      <formula>$B8=Raumbelegungsplan!$B$6</formula>
    </cfRule>
  </conditionalFormatting>
  <dataValidations count="5">
    <dataValidation allowBlank="true" errorStyle="stop" operator="between" showDropDown="false" showErrorMessage="false" showInputMessage="false" sqref="D8:D127" type="list">
      <formula1>Stammdaten!$A$8:$A$19</formula1>
      <formula2>0</formula2>
    </dataValidation>
    <dataValidation allowBlank="true" errorStyle="stop" operator="between" showDropDown="false" showErrorMessage="false" showInputMessage="false" sqref="L8:L127" type="list">
      <formula1>Stammdaten!$I$8:$I$13</formula1>
      <formula2>0</formula2>
    </dataValidation>
    <dataValidation allowBlank="true" errorStyle="stop" operator="between" showDropDown="false" showErrorMessage="false" showInputMessage="false" sqref="M8:M127" type="list">
      <formula1>Stammdaten!$K$8:$K$13</formula1>
      <formula2>0</formula2>
    </dataValidation>
    <dataValidation allowBlank="true" errorStyle="stop" operator="between" showDropDown="false" showErrorMessage="false" showInputMessage="false" sqref="N8:N127" type="list">
      <formula1>Stammdaten!$M$8:$M$11</formula1>
      <formula2>0</formula2>
    </dataValidation>
    <dataValidation allowBlank="true" errorStyle="stop" operator="between" showDropDown="false" showErrorMessage="false" showInputMessage="false" sqref="K8:K127" type="whole">
      <formula1>0</formula1>
      <formula2>500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E5163"/>
    <pageSetUpPr fitToPage="false"/>
  </sheetPr>
  <dimension ref="A1:M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6"/>
    <col collapsed="false" customWidth="true" hidden="false" outlineLevel="0" max="3" min="3" style="0" width="10"/>
    <col collapsed="false" customWidth="true" hidden="false" outlineLevel="0" max="4" min="4" style="0" width="9"/>
    <col collapsed="false" customWidth="true" hidden="false" outlineLevel="0" max="5" min="5" style="0" width="26"/>
    <col collapsed="false" customWidth="true" hidden="false" outlineLevel="0" max="6" min="6" style="0" width="10"/>
    <col collapsed="false" customWidth="true" hidden="false" outlineLevel="0" max="7" min="7" style="0" width="16"/>
    <col collapsed="false" customWidth="true" hidden="false" outlineLevel="0" max="8" min="8" style="0" width="2.5"/>
    <col collapsed="false" customWidth="true" hidden="false" outlineLevel="0" max="9" min="9" style="0" width="20"/>
    <col collapsed="false" customWidth="true" hidden="false" outlineLevel="0" max="10" min="10" style="0" width="2.5"/>
    <col collapsed="false" customWidth="true" hidden="false" outlineLevel="0" max="11" min="11" style="0" width="24"/>
    <col collapsed="false" customWidth="true" hidden="false" outlineLevel="0" max="12" min="12" style="0" width="2.5"/>
    <col collapsed="false" customWidth="true" hidden="false" outlineLevel="0" max="13" min="13" style="0" width="18"/>
  </cols>
  <sheetData>
    <row r="1" customFormat="false" ht="6.7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27.75" hidden="false" customHeight="true" outlineLevel="0" collapsed="false">
      <c r="A2" s="61" t="s">
        <v>253</v>
      </c>
      <c r="B2" s="61"/>
      <c r="C2" s="61"/>
      <c r="D2" s="61"/>
      <c r="E2" s="61"/>
      <c r="F2" s="61"/>
      <c r="G2" s="61"/>
      <c r="H2" s="1"/>
      <c r="I2" s="1"/>
      <c r="J2" s="1"/>
      <c r="K2" s="1"/>
      <c r="L2" s="1"/>
      <c r="M2" s="1"/>
    </row>
    <row r="3" customFormat="false" ht="15.75" hidden="false" customHeight="true" outlineLevel="0" collapsed="false">
      <c r="A3" s="62" t="s">
        <v>254</v>
      </c>
      <c r="B3" s="62"/>
      <c r="C3" s="62"/>
      <c r="D3" s="62"/>
      <c r="E3" s="62"/>
      <c r="F3" s="62"/>
      <c r="G3" s="62"/>
      <c r="H3" s="1"/>
      <c r="I3" s="1"/>
      <c r="J3" s="1"/>
      <c r="K3" s="1"/>
      <c r="L3" s="1"/>
      <c r="M3" s="1"/>
    </row>
    <row r="4" customFormat="false" ht="4.5" hidden="false" customHeight="tru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6" customFormat="false" ht="19.5" hidden="false" customHeight="true" outlineLevel="0" collapsed="false">
      <c r="A6" s="67" t="s">
        <v>255</v>
      </c>
      <c r="B6" s="89" t="n">
        <f aca="false">COUNTA($A$8:$A$19)</f>
        <v>12</v>
      </c>
      <c r="C6" s="67" t="s">
        <v>256</v>
      </c>
      <c r="D6" s="89" t="n">
        <f aca="false">COUNTIF($F$8:$F$19,"Ja")</f>
        <v>12</v>
      </c>
      <c r="E6" s="67" t="s">
        <v>257</v>
      </c>
      <c r="F6" s="90" t="n">
        <f aca="false">SUMIF($F$8:$F$19,"Ja",$D$8:$D$19)</f>
        <v>194</v>
      </c>
    </row>
    <row r="7" customFormat="false" ht="27.75" hidden="false" customHeight="true" outlineLevel="0" collapsed="false">
      <c r="A7" s="69" t="s">
        <v>258</v>
      </c>
      <c r="B7" s="69" t="s">
        <v>20</v>
      </c>
      <c r="C7" s="69" t="s">
        <v>259</v>
      </c>
      <c r="D7" s="69" t="s">
        <v>260</v>
      </c>
      <c r="E7" s="69" t="s">
        <v>48</v>
      </c>
      <c r="F7" s="69" t="s">
        <v>261</v>
      </c>
      <c r="G7" s="69" t="s">
        <v>262</v>
      </c>
      <c r="I7" s="91" t="s">
        <v>47</v>
      </c>
      <c r="K7" s="91" t="s">
        <v>48</v>
      </c>
      <c r="M7" s="91" t="s">
        <v>49</v>
      </c>
    </row>
    <row r="8" customFormat="false" ht="15.75" hidden="false" customHeight="true" outlineLevel="0" collapsed="false">
      <c r="A8" s="92" t="s">
        <v>57</v>
      </c>
      <c r="B8" s="77" t="s">
        <v>263</v>
      </c>
      <c r="C8" s="71" t="s">
        <v>264</v>
      </c>
      <c r="D8" s="71" t="n">
        <v>6</v>
      </c>
      <c r="E8" s="77" t="s">
        <v>62</v>
      </c>
      <c r="F8" s="71" t="s">
        <v>265</v>
      </c>
      <c r="G8" s="77" t="s">
        <v>266</v>
      </c>
      <c r="I8" s="47" t="s">
        <v>83</v>
      </c>
      <c r="K8" s="47" t="s">
        <v>84</v>
      </c>
      <c r="M8" s="47" t="s">
        <v>63</v>
      </c>
    </row>
    <row r="9" customFormat="false" ht="15.75" hidden="false" customHeight="true" outlineLevel="0" collapsed="false">
      <c r="A9" s="92" t="s">
        <v>65</v>
      </c>
      <c r="B9" s="77" t="s">
        <v>267</v>
      </c>
      <c r="C9" s="71" t="s">
        <v>264</v>
      </c>
      <c r="D9" s="71" t="n">
        <v>8</v>
      </c>
      <c r="E9" s="77" t="s">
        <v>84</v>
      </c>
      <c r="F9" s="71" t="s">
        <v>265</v>
      </c>
      <c r="G9" s="77" t="s">
        <v>266</v>
      </c>
      <c r="I9" s="52" t="s">
        <v>61</v>
      </c>
      <c r="K9" s="52" t="s">
        <v>108</v>
      </c>
      <c r="M9" s="52" t="s">
        <v>76</v>
      </c>
    </row>
    <row r="10" customFormat="false" ht="15.75" hidden="false" customHeight="true" outlineLevel="0" collapsed="false">
      <c r="A10" s="92" t="s">
        <v>72</v>
      </c>
      <c r="B10" s="77" t="s">
        <v>268</v>
      </c>
      <c r="C10" s="71" t="s">
        <v>264</v>
      </c>
      <c r="D10" s="71" t="n">
        <v>10</v>
      </c>
      <c r="E10" s="77" t="s">
        <v>269</v>
      </c>
      <c r="F10" s="71" t="s">
        <v>265</v>
      </c>
      <c r="G10" s="77" t="s">
        <v>270</v>
      </c>
      <c r="I10" s="47" t="s">
        <v>91</v>
      </c>
      <c r="K10" s="47" t="s">
        <v>62</v>
      </c>
      <c r="M10" s="47" t="s">
        <v>116</v>
      </c>
    </row>
    <row r="11" customFormat="false" ht="15.75" hidden="false" customHeight="true" outlineLevel="0" collapsed="false">
      <c r="A11" s="92" t="s">
        <v>104</v>
      </c>
      <c r="B11" s="77" t="s">
        <v>271</v>
      </c>
      <c r="C11" s="71" t="s">
        <v>272</v>
      </c>
      <c r="D11" s="71" t="n">
        <v>12</v>
      </c>
      <c r="E11" s="77" t="s">
        <v>84</v>
      </c>
      <c r="F11" s="71" t="s">
        <v>265</v>
      </c>
      <c r="G11" s="77" t="s">
        <v>270</v>
      </c>
      <c r="I11" s="52" t="s">
        <v>154</v>
      </c>
      <c r="K11" s="52" t="s">
        <v>92</v>
      </c>
      <c r="M11" s="52" t="s">
        <v>167</v>
      </c>
    </row>
    <row r="12" customFormat="false" ht="15.75" hidden="false" customHeight="true" outlineLevel="0" collapsed="false">
      <c r="A12" s="92" t="s">
        <v>87</v>
      </c>
      <c r="B12" s="77" t="s">
        <v>273</v>
      </c>
      <c r="C12" s="71" t="s">
        <v>272</v>
      </c>
      <c r="D12" s="71" t="n">
        <v>20</v>
      </c>
      <c r="E12" s="77" t="s">
        <v>70</v>
      </c>
      <c r="F12" s="71" t="s">
        <v>265</v>
      </c>
      <c r="G12" s="77" t="s">
        <v>274</v>
      </c>
      <c r="I12" s="47" t="s">
        <v>98</v>
      </c>
      <c r="K12" s="47" t="s">
        <v>70</v>
      </c>
    </row>
    <row r="13" customFormat="false" ht="15.75" hidden="false" customHeight="true" outlineLevel="0" collapsed="false">
      <c r="A13" s="92" t="s">
        <v>90</v>
      </c>
      <c r="B13" s="77" t="s">
        <v>275</v>
      </c>
      <c r="C13" s="71" t="s">
        <v>272</v>
      </c>
      <c r="D13" s="71" t="n">
        <v>24</v>
      </c>
      <c r="E13" s="77" t="s">
        <v>276</v>
      </c>
      <c r="F13" s="71" t="s">
        <v>265</v>
      </c>
      <c r="G13" s="77" t="s">
        <v>274</v>
      </c>
      <c r="I13" s="52" t="s">
        <v>69</v>
      </c>
      <c r="K13" s="52" t="s">
        <v>99</v>
      </c>
    </row>
    <row r="14" customFormat="false" ht="15.75" hidden="false" customHeight="true" outlineLevel="0" collapsed="false">
      <c r="A14" s="92" t="s">
        <v>94</v>
      </c>
      <c r="B14" s="77" t="s">
        <v>277</v>
      </c>
      <c r="C14" s="71" t="s">
        <v>272</v>
      </c>
      <c r="D14" s="71" t="n">
        <v>24</v>
      </c>
      <c r="E14" s="77" t="s">
        <v>276</v>
      </c>
      <c r="F14" s="71" t="s">
        <v>265</v>
      </c>
      <c r="G14" s="77" t="s">
        <v>274</v>
      </c>
    </row>
    <row r="15" customFormat="false" ht="15.75" hidden="false" customHeight="true" outlineLevel="0" collapsed="false">
      <c r="A15" s="92" t="s">
        <v>113</v>
      </c>
      <c r="B15" s="77" t="s">
        <v>278</v>
      </c>
      <c r="C15" s="71" t="s">
        <v>279</v>
      </c>
      <c r="D15" s="71" t="n">
        <v>16</v>
      </c>
      <c r="E15" s="77" t="s">
        <v>280</v>
      </c>
      <c r="F15" s="71" t="s">
        <v>265</v>
      </c>
      <c r="G15" s="77" t="s">
        <v>281</v>
      </c>
    </row>
    <row r="16" customFormat="false" ht="15.75" hidden="false" customHeight="true" outlineLevel="0" collapsed="false">
      <c r="A16" s="92" t="s">
        <v>79</v>
      </c>
      <c r="B16" s="77" t="s">
        <v>282</v>
      </c>
      <c r="C16" s="71" t="s">
        <v>279</v>
      </c>
      <c r="D16" s="71" t="n">
        <v>8</v>
      </c>
      <c r="E16" s="77" t="s">
        <v>283</v>
      </c>
      <c r="F16" s="71" t="s">
        <v>265</v>
      </c>
      <c r="G16" s="77" t="s">
        <v>281</v>
      </c>
    </row>
    <row r="17" customFormat="false" ht="15.75" hidden="false" customHeight="true" outlineLevel="0" collapsed="false">
      <c r="A17" s="92" t="s">
        <v>101</v>
      </c>
      <c r="B17" s="77" t="s">
        <v>284</v>
      </c>
      <c r="C17" s="71" t="s">
        <v>279</v>
      </c>
      <c r="D17" s="71" t="n">
        <v>12</v>
      </c>
      <c r="E17" s="77" t="s">
        <v>285</v>
      </c>
      <c r="F17" s="71" t="s">
        <v>265</v>
      </c>
      <c r="G17" s="77" t="s">
        <v>286</v>
      </c>
    </row>
    <row r="18" customFormat="false" ht="15.75" hidden="false" customHeight="true" outlineLevel="0" collapsed="false">
      <c r="A18" s="92" t="s">
        <v>119</v>
      </c>
      <c r="B18" s="77" t="s">
        <v>287</v>
      </c>
      <c r="C18" s="71" t="s">
        <v>288</v>
      </c>
      <c r="D18" s="71" t="n">
        <v>40</v>
      </c>
      <c r="E18" s="77" t="s">
        <v>289</v>
      </c>
      <c r="F18" s="71" t="s">
        <v>265</v>
      </c>
      <c r="G18" s="77" t="s">
        <v>286</v>
      </c>
    </row>
    <row r="19" customFormat="false" ht="15.75" hidden="false" customHeight="true" outlineLevel="0" collapsed="false">
      <c r="A19" s="92" t="s">
        <v>110</v>
      </c>
      <c r="B19" s="77" t="s">
        <v>290</v>
      </c>
      <c r="C19" s="71" t="s">
        <v>288</v>
      </c>
      <c r="D19" s="71" t="n">
        <v>14</v>
      </c>
      <c r="E19" s="77" t="s">
        <v>291</v>
      </c>
      <c r="F19" s="71" t="s">
        <v>265</v>
      </c>
      <c r="G19" s="77" t="s">
        <v>286</v>
      </c>
    </row>
    <row r="21" customFormat="false" ht="18" hidden="false" customHeight="true" outlineLevel="0" collapsed="false">
      <c r="A21" s="93" t="s">
        <v>292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</row>
    <row r="22" customFormat="false" ht="24" hidden="false" customHeight="true" outlineLevel="0" collapsed="false">
      <c r="A22" s="94" t="s">
        <v>293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customFormat="false" ht="24" hidden="false" customHeight="true" outlineLevel="0" collapsed="false">
      <c r="A23" s="94" t="s">
        <v>294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customFormat="false" ht="24" hidden="false" customHeight="true" outlineLevel="0" collapsed="false">
      <c r="A24" s="94" t="s">
        <v>295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customFormat="false" ht="24" hidden="false" customHeight="true" outlineLevel="0" collapsed="false">
      <c r="A25" s="94" t="s">
        <v>296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customFormat="false" ht="24" hidden="false" customHeight="true" outlineLevel="0" collapsed="false">
      <c r="A26" s="94" t="s">
        <v>297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customFormat="false" ht="24" hidden="false" customHeight="true" outlineLevel="0" collapsed="false">
      <c r="A27" s="94" t="s">
        <v>298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</sheetData>
  <mergeCells count="9">
    <mergeCell ref="A2:G2"/>
    <mergeCell ref="A3:G3"/>
    <mergeCell ref="A21:M21"/>
    <mergeCell ref="A22:M22"/>
    <mergeCell ref="A23:M23"/>
    <mergeCell ref="A24:M24"/>
    <mergeCell ref="A25:M25"/>
    <mergeCell ref="A26:M26"/>
    <mergeCell ref="A27:M27"/>
  </mergeCells>
  <dataValidations count="1">
    <dataValidation allowBlank="true" errorStyle="stop" operator="between" showDropDown="false" showErrorMessage="false" showInputMessage="false" sqref="F8:F19" type="list">
      <formula1>"Ja,Nein"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2026-07-23T12:04:01Z</dcterms:created>
  <dc:creator>openpyxl</dc:creator>
  <dc:description/>
  <dc:language>en-US</dc:language>
  <cp:lastModifiedBy/>
  <dcterms:modified xsi:type="dcterms:W3CDTF">2026-07-23T12:04:02Z</dcterms:modified>
  <cp:revision>0</cp:revision>
  <dc:subject/>
  <dc:title>Raumbelegungsplan Vorlage 2026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