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F76743BD-D9DF-487D-878F-8F05C08550C3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Roadmap" sheetId="1" r:id="rId1"/>
    <sheet name="Auswertung" sheetId="2" r:id="rId2"/>
    <sheet name="Stammdaten" sheetId="3" r:id="rId3"/>
  </sheets>
  <definedNames>
    <definedName name="_xlnm._FilterDatabase" localSheetId="0" hidden="1">Roadmap!$B$18:$U$68</definedName>
    <definedName name="Akt_Quartal">Stammdaten!$D$18</definedName>
    <definedName name="Aufwand_Normierung">Stammdaten!$D$23</definedName>
    <definedName name="Berichtsjahr">Stammdaten!$D$16</definedName>
    <definedName name="_xlnm.Print_Area" localSheetId="1">Auswertung!$B$1:$N$93</definedName>
    <definedName name="_xlnm.Print_Area" localSheetId="0">Roadmap!$B$1:$AG$94</definedName>
    <definedName name="_xlnm.Print_Area" localSheetId="2">Stammdaten!$B$1:$H$83</definedName>
    <definedName name="Gew_Dringlichkeit">Stammdaten!$D$21</definedName>
    <definedName name="Gew_Nutzen">Stammdaten!$D$20</definedName>
    <definedName name="Gew_Strategie">Stammdaten!$D$22</definedName>
    <definedName name="Kapazitaet_Quartal">Stammdaten!$D$27</definedName>
    <definedName name="Liste_Feld">Stammdaten!$C$31:$C$37</definedName>
    <definedName name="Liste_MStatus">Stammdaten!$E$60:$E$63</definedName>
    <definedName name="Liste_MTyp">Stammdaten!$G$60:$G$65</definedName>
    <definedName name="Liste_Status">Stammdaten!$C$60:$C$64</definedName>
    <definedName name="Liste_Team">Stammdaten!$C$50:$C$55</definedName>
    <definedName name="Liste_Ziel">Stammdaten!$C$41:$C$45</definedName>
    <definedName name="Stichtag">Stammdaten!$D$17</definedName>
    <definedName name="Toleranz_Ziel">Stammdaten!$D$26</definedName>
    <definedName name="Warnfrist">Stammdaten!$D$19</definedName>
    <definedName name="Ziel_Auslastung">Stammdaten!$D$24</definedName>
    <definedName name="Ziel_Fortschritt">Stammdaten!$D$25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56" i="3" l="1"/>
  <c r="G55" i="3"/>
  <c r="H55" i="3" s="1"/>
  <c r="F55" i="3"/>
  <c r="G54" i="3"/>
  <c r="H54" i="3" s="1"/>
  <c r="F54" i="3"/>
  <c r="G53" i="3"/>
  <c r="H53" i="3" s="1"/>
  <c r="F53" i="3"/>
  <c r="G52" i="3"/>
  <c r="H52" i="3" s="1"/>
  <c r="F52" i="3"/>
  <c r="G51" i="3"/>
  <c r="H51" i="3" s="1"/>
  <c r="F51" i="3"/>
  <c r="F56" i="3" s="1"/>
  <c r="H50" i="3"/>
  <c r="G50" i="3"/>
  <c r="H56" i="3" s="1"/>
  <c r="F50" i="3"/>
  <c r="H46" i="3"/>
  <c r="E46" i="3"/>
  <c r="G45" i="3"/>
  <c r="H45" i="3" s="1"/>
  <c r="F45" i="3"/>
  <c r="G44" i="3"/>
  <c r="H44" i="3" s="1"/>
  <c r="F44" i="3"/>
  <c r="G43" i="3"/>
  <c r="F43" i="3"/>
  <c r="G42" i="3"/>
  <c r="F42" i="3"/>
  <c r="G41" i="3"/>
  <c r="F41" i="3"/>
  <c r="F46" i="3" s="1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D27" i="3"/>
  <c r="G23" i="2" s="1"/>
  <c r="H23" i="2" s="1"/>
  <c r="D17" i="3"/>
  <c r="S85" i="1" s="1"/>
  <c r="T85" i="1" s="1"/>
  <c r="J48" i="2"/>
  <c r="L48" i="2" s="1"/>
  <c r="J46" i="2"/>
  <c r="L46" i="2" s="1"/>
  <c r="L45" i="2"/>
  <c r="J45" i="2"/>
  <c r="J44" i="2"/>
  <c r="L44" i="2" s="1"/>
  <c r="J43" i="2"/>
  <c r="L43" i="2" s="1"/>
  <c r="J42" i="2"/>
  <c r="L42" i="2" s="1"/>
  <c r="K35" i="2"/>
  <c r="J35" i="2"/>
  <c r="M35" i="2" s="1"/>
  <c r="K34" i="2"/>
  <c r="J34" i="2"/>
  <c r="M34" i="2" s="1"/>
  <c r="M33" i="2"/>
  <c r="K33" i="2"/>
  <c r="J33" i="2"/>
  <c r="L33" i="2" s="1"/>
  <c r="M32" i="2"/>
  <c r="L32" i="2"/>
  <c r="K32" i="2"/>
  <c r="J32" i="2"/>
  <c r="K31" i="2"/>
  <c r="J31" i="2"/>
  <c r="M31" i="2" s="1"/>
  <c r="B30" i="2"/>
  <c r="M27" i="2"/>
  <c r="N26" i="2"/>
  <c r="M26" i="2"/>
  <c r="L26" i="2"/>
  <c r="K26" i="2"/>
  <c r="J26" i="2"/>
  <c r="G26" i="2"/>
  <c r="F26" i="2"/>
  <c r="O26" i="2" s="1"/>
  <c r="E26" i="2"/>
  <c r="N25" i="2"/>
  <c r="M25" i="2"/>
  <c r="L25" i="2"/>
  <c r="K25" i="2"/>
  <c r="J25" i="2"/>
  <c r="F25" i="2"/>
  <c r="E25" i="2"/>
  <c r="N24" i="2"/>
  <c r="M24" i="2"/>
  <c r="L24" i="2"/>
  <c r="K24" i="2"/>
  <c r="J24" i="2"/>
  <c r="G24" i="2"/>
  <c r="F24" i="2"/>
  <c r="H24" i="2" s="1"/>
  <c r="I24" i="2" s="1"/>
  <c r="E24" i="2"/>
  <c r="N23" i="2"/>
  <c r="M23" i="2"/>
  <c r="L23" i="2"/>
  <c r="L27" i="2" s="1"/>
  <c r="K23" i="2"/>
  <c r="K27" i="2" s="1"/>
  <c r="J23" i="2"/>
  <c r="J27" i="2" s="1"/>
  <c r="F23" i="2"/>
  <c r="O23" i="2" s="1"/>
  <c r="E23" i="2"/>
  <c r="E27" i="2" s="1"/>
  <c r="F19" i="2"/>
  <c r="G19" i="2" s="1"/>
  <c r="E19" i="2"/>
  <c r="D19" i="2"/>
  <c r="M18" i="2"/>
  <c r="F18" i="2"/>
  <c r="G18" i="2" s="1"/>
  <c r="E18" i="2"/>
  <c r="D18" i="2"/>
  <c r="M17" i="2"/>
  <c r="K17" i="2"/>
  <c r="J17" i="2"/>
  <c r="F17" i="2"/>
  <c r="G17" i="2" s="1"/>
  <c r="E17" i="2"/>
  <c r="E20" i="2" s="1"/>
  <c r="D17" i="2"/>
  <c r="D20" i="2" s="1"/>
  <c r="M16" i="2"/>
  <c r="K16" i="2"/>
  <c r="L16" i="2" s="1"/>
  <c r="N16" i="2" s="1"/>
  <c r="J16" i="2"/>
  <c r="G16" i="2"/>
  <c r="F16" i="2"/>
  <c r="E16" i="2"/>
  <c r="D16" i="2"/>
  <c r="M15" i="2"/>
  <c r="K15" i="2"/>
  <c r="L15" i="2" s="1"/>
  <c r="N15" i="2" s="1"/>
  <c r="J15" i="2"/>
  <c r="F15" i="2"/>
  <c r="G15" i="2" s="1"/>
  <c r="E15" i="2"/>
  <c r="D15" i="2"/>
  <c r="M14" i="2"/>
  <c r="K14" i="2"/>
  <c r="L17" i="2" s="1"/>
  <c r="N17" i="2" s="1"/>
  <c r="J14" i="2"/>
  <c r="F14" i="2"/>
  <c r="G14" i="2" s="1"/>
  <c r="E14" i="2"/>
  <c r="D14" i="2"/>
  <c r="M13" i="2"/>
  <c r="K13" i="2"/>
  <c r="K18" i="2" s="1"/>
  <c r="J13" i="2"/>
  <c r="F13" i="2"/>
  <c r="G13" i="2" s="1"/>
  <c r="E13" i="2"/>
  <c r="D13" i="2"/>
  <c r="M9" i="2"/>
  <c r="G9" i="2"/>
  <c r="D9" i="2"/>
  <c r="B9" i="2"/>
  <c r="M8" i="2"/>
  <c r="G8" i="2"/>
  <c r="D8" i="2"/>
  <c r="B8" i="2"/>
  <c r="AJ90" i="1"/>
  <c r="AI90" i="1"/>
  <c r="AG90" i="1"/>
  <c r="AF90" i="1"/>
  <c r="AE90" i="1"/>
  <c r="AD90" i="1"/>
  <c r="AC90" i="1"/>
  <c r="AB90" i="1"/>
  <c r="AA90" i="1"/>
  <c r="Z90" i="1"/>
  <c r="Y90" i="1"/>
  <c r="X90" i="1"/>
  <c r="W90" i="1"/>
  <c r="V90" i="1"/>
  <c r="T90" i="1"/>
  <c r="S90" i="1"/>
  <c r="B90" i="1"/>
  <c r="AI89" i="1"/>
  <c r="AJ89" i="1" s="1"/>
  <c r="AG89" i="1"/>
  <c r="AF89" i="1"/>
  <c r="AE89" i="1"/>
  <c r="AD89" i="1"/>
  <c r="AC89" i="1"/>
  <c r="AB89" i="1"/>
  <c r="AA89" i="1"/>
  <c r="Z89" i="1"/>
  <c r="Y89" i="1"/>
  <c r="X89" i="1"/>
  <c r="W89" i="1"/>
  <c r="V89" i="1"/>
  <c r="T89" i="1"/>
  <c r="S89" i="1"/>
  <c r="B89" i="1"/>
  <c r="AI88" i="1"/>
  <c r="AJ88" i="1" s="1"/>
  <c r="AG88" i="1"/>
  <c r="AF88" i="1"/>
  <c r="AE88" i="1"/>
  <c r="AD88" i="1"/>
  <c r="AC88" i="1"/>
  <c r="AB88" i="1"/>
  <c r="AA88" i="1"/>
  <c r="Z88" i="1"/>
  <c r="Y88" i="1"/>
  <c r="X88" i="1"/>
  <c r="W88" i="1"/>
  <c r="V88" i="1"/>
  <c r="T88" i="1"/>
  <c r="S88" i="1"/>
  <c r="B88" i="1"/>
  <c r="AI87" i="1"/>
  <c r="AJ87" i="1" s="1"/>
  <c r="AA87" i="1"/>
  <c r="T87" i="1"/>
  <c r="B87" i="1"/>
  <c r="AI86" i="1"/>
  <c r="AA86" i="1"/>
  <c r="Z86" i="1"/>
  <c r="Y86" i="1"/>
  <c r="X86" i="1"/>
  <c r="B86" i="1"/>
  <c r="AI85" i="1"/>
  <c r="AJ85" i="1" s="1"/>
  <c r="AA85" i="1"/>
  <c r="Z85" i="1"/>
  <c r="Y85" i="1"/>
  <c r="X85" i="1"/>
  <c r="W85" i="1"/>
  <c r="V85" i="1"/>
  <c r="B85" i="1"/>
  <c r="AI84" i="1"/>
  <c r="AJ84" i="1" s="1"/>
  <c r="AA84" i="1"/>
  <c r="Z84" i="1"/>
  <c r="Y84" i="1"/>
  <c r="X84" i="1"/>
  <c r="W84" i="1"/>
  <c r="V84" i="1"/>
  <c r="S84" i="1"/>
  <c r="T84" i="1" s="1"/>
  <c r="B84" i="1"/>
  <c r="AI83" i="1"/>
  <c r="AA83" i="1"/>
  <c r="Z83" i="1"/>
  <c r="X83" i="1"/>
  <c r="W83" i="1"/>
  <c r="V83" i="1"/>
  <c r="B83" i="1"/>
  <c r="AI82" i="1"/>
  <c r="AJ82" i="1" s="1"/>
  <c r="AG82" i="1"/>
  <c r="AF82" i="1"/>
  <c r="AA82" i="1"/>
  <c r="Z82" i="1"/>
  <c r="Y82" i="1"/>
  <c r="X82" i="1"/>
  <c r="W82" i="1"/>
  <c r="B82" i="1"/>
  <c r="AI81" i="1"/>
  <c r="AJ81" i="1" s="1"/>
  <c r="AG81" i="1"/>
  <c r="AF81" i="1"/>
  <c r="AE81" i="1"/>
  <c r="AD81" i="1"/>
  <c r="Z81" i="1"/>
  <c r="Y81" i="1"/>
  <c r="X81" i="1"/>
  <c r="W81" i="1"/>
  <c r="V81" i="1"/>
  <c r="B81" i="1"/>
  <c r="AI80" i="1"/>
  <c r="AJ80" i="1" s="1"/>
  <c r="AA80" i="1"/>
  <c r="Z80" i="1"/>
  <c r="B80" i="1"/>
  <c r="AI79" i="1"/>
  <c r="AJ79" i="1" s="1"/>
  <c r="AA79" i="1"/>
  <c r="Z79" i="1"/>
  <c r="Y79" i="1"/>
  <c r="X79" i="1"/>
  <c r="W79" i="1"/>
  <c r="S79" i="1"/>
  <c r="T79" i="1" s="1"/>
  <c r="B79" i="1"/>
  <c r="AI78" i="1"/>
  <c r="AA78" i="1"/>
  <c r="Z78" i="1"/>
  <c r="Y78" i="1"/>
  <c r="X78" i="1"/>
  <c r="W78" i="1"/>
  <c r="V78" i="1"/>
  <c r="B78" i="1"/>
  <c r="AI77" i="1"/>
  <c r="AJ77" i="1" s="1"/>
  <c r="Z77" i="1"/>
  <c r="Y77" i="1"/>
  <c r="X77" i="1"/>
  <c r="W77" i="1"/>
  <c r="V77" i="1"/>
  <c r="S77" i="1"/>
  <c r="T77" i="1" s="1"/>
  <c r="B77" i="1"/>
  <c r="AJ76" i="1"/>
  <c r="AI76" i="1"/>
  <c r="AJ83" i="1" s="1"/>
  <c r="AA76" i="1"/>
  <c r="Z76" i="1"/>
  <c r="Y76" i="1"/>
  <c r="W76" i="1"/>
  <c r="V76" i="1"/>
  <c r="S76" i="1"/>
  <c r="T76" i="1" s="1"/>
  <c r="B76" i="1"/>
  <c r="AI75" i="1"/>
  <c r="AJ75" i="1" s="1"/>
  <c r="AG75" i="1"/>
  <c r="AF75" i="1"/>
  <c r="AE75" i="1"/>
  <c r="AA75" i="1"/>
  <c r="Z75" i="1"/>
  <c r="Y75" i="1"/>
  <c r="X75" i="1"/>
  <c r="W75" i="1"/>
  <c r="V75" i="1"/>
  <c r="S75" i="1"/>
  <c r="T75" i="1" s="1"/>
  <c r="B75" i="1"/>
  <c r="AI74" i="1"/>
  <c r="AJ74" i="1" s="1"/>
  <c r="S74" i="1"/>
  <c r="T74" i="1" s="1"/>
  <c r="B74" i="1"/>
  <c r="AI73" i="1"/>
  <c r="AJ73" i="1" s="1"/>
  <c r="AA73" i="1"/>
  <c r="Z73" i="1"/>
  <c r="Y73" i="1"/>
  <c r="S73" i="1"/>
  <c r="B73" i="1"/>
  <c r="AA69" i="1"/>
  <c r="Z69" i="1"/>
  <c r="Y69" i="1"/>
  <c r="X69" i="1"/>
  <c r="W69" i="1"/>
  <c r="V69" i="1"/>
  <c r="Q69" i="1"/>
  <c r="K69" i="1"/>
  <c r="U68" i="1"/>
  <c r="S68" i="1"/>
  <c r="O68" i="1"/>
  <c r="P68" i="1" s="1"/>
  <c r="J68" i="1"/>
  <c r="I68" i="1"/>
  <c r="B68" i="1"/>
  <c r="U67" i="1"/>
  <c r="S67" i="1"/>
  <c r="O67" i="1"/>
  <c r="P67" i="1" s="1"/>
  <c r="J67" i="1"/>
  <c r="I67" i="1"/>
  <c r="B67" i="1"/>
  <c r="U66" i="1"/>
  <c r="S66" i="1"/>
  <c r="O66" i="1"/>
  <c r="P66" i="1" s="1"/>
  <c r="J66" i="1"/>
  <c r="I66" i="1"/>
  <c r="B66" i="1"/>
  <c r="U65" i="1"/>
  <c r="S65" i="1"/>
  <c r="O65" i="1"/>
  <c r="P65" i="1" s="1"/>
  <c r="J65" i="1"/>
  <c r="I65" i="1"/>
  <c r="B65" i="1"/>
  <c r="U64" i="1"/>
  <c r="S64" i="1"/>
  <c r="O64" i="1"/>
  <c r="P64" i="1" s="1"/>
  <c r="J64" i="1"/>
  <c r="I64" i="1"/>
  <c r="B64" i="1"/>
  <c r="U63" i="1"/>
  <c r="S63" i="1"/>
  <c r="O63" i="1"/>
  <c r="P63" i="1" s="1"/>
  <c r="J63" i="1"/>
  <c r="I63" i="1"/>
  <c r="B63" i="1"/>
  <c r="U62" i="1"/>
  <c r="S62" i="1"/>
  <c r="P62" i="1"/>
  <c r="O62" i="1"/>
  <c r="J62" i="1"/>
  <c r="I62" i="1"/>
  <c r="B62" i="1"/>
  <c r="U61" i="1"/>
  <c r="S61" i="1"/>
  <c r="O61" i="1"/>
  <c r="P61" i="1" s="1"/>
  <c r="J61" i="1"/>
  <c r="I61" i="1"/>
  <c r="B61" i="1"/>
  <c r="U60" i="1"/>
  <c r="S60" i="1"/>
  <c r="O60" i="1"/>
  <c r="P60" i="1" s="1"/>
  <c r="J60" i="1"/>
  <c r="I60" i="1"/>
  <c r="B60" i="1"/>
  <c r="U59" i="1"/>
  <c r="S59" i="1"/>
  <c r="O59" i="1"/>
  <c r="P59" i="1" s="1"/>
  <c r="J59" i="1"/>
  <c r="I59" i="1"/>
  <c r="B59" i="1"/>
  <c r="U58" i="1"/>
  <c r="S58" i="1"/>
  <c r="O58" i="1"/>
  <c r="P58" i="1" s="1"/>
  <c r="J58" i="1"/>
  <c r="I58" i="1"/>
  <c r="B58" i="1"/>
  <c r="U57" i="1"/>
  <c r="S57" i="1"/>
  <c r="O57" i="1"/>
  <c r="P57" i="1" s="1"/>
  <c r="J57" i="1"/>
  <c r="I57" i="1"/>
  <c r="B57" i="1"/>
  <c r="U56" i="1"/>
  <c r="S56" i="1"/>
  <c r="O56" i="1"/>
  <c r="P56" i="1" s="1"/>
  <c r="J56" i="1"/>
  <c r="I56" i="1"/>
  <c r="B56" i="1"/>
  <c r="U55" i="1"/>
  <c r="S55" i="1"/>
  <c r="O55" i="1"/>
  <c r="P55" i="1" s="1"/>
  <c r="J55" i="1"/>
  <c r="I55" i="1"/>
  <c r="B55" i="1"/>
  <c r="U54" i="1"/>
  <c r="S54" i="1"/>
  <c r="O54" i="1"/>
  <c r="P54" i="1" s="1"/>
  <c r="J54" i="1"/>
  <c r="I54" i="1"/>
  <c r="B54" i="1"/>
  <c r="U53" i="1"/>
  <c r="S53" i="1"/>
  <c r="O53" i="1"/>
  <c r="P53" i="1" s="1"/>
  <c r="J53" i="1"/>
  <c r="I53" i="1"/>
  <c r="B53" i="1"/>
  <c r="U52" i="1"/>
  <c r="S52" i="1"/>
  <c r="P52" i="1"/>
  <c r="O52" i="1"/>
  <c r="J52" i="1"/>
  <c r="I52" i="1"/>
  <c r="B52" i="1"/>
  <c r="U51" i="1"/>
  <c r="S51" i="1"/>
  <c r="O51" i="1"/>
  <c r="P51" i="1" s="1"/>
  <c r="J51" i="1"/>
  <c r="I51" i="1"/>
  <c r="B51" i="1"/>
  <c r="U50" i="1"/>
  <c r="S50" i="1"/>
  <c r="O50" i="1"/>
  <c r="P50" i="1" s="1"/>
  <c r="J50" i="1"/>
  <c r="I50" i="1"/>
  <c r="B50" i="1"/>
  <c r="U49" i="1"/>
  <c r="S49" i="1"/>
  <c r="P49" i="1"/>
  <c r="O49" i="1"/>
  <c r="J49" i="1"/>
  <c r="I49" i="1"/>
  <c r="B49" i="1"/>
  <c r="U48" i="1"/>
  <c r="S48" i="1"/>
  <c r="O48" i="1"/>
  <c r="P48" i="1" s="1"/>
  <c r="J48" i="1"/>
  <c r="I48" i="1"/>
  <c r="B48" i="1"/>
  <c r="U47" i="1"/>
  <c r="S47" i="1"/>
  <c r="O47" i="1"/>
  <c r="P47" i="1" s="1"/>
  <c r="J47" i="1"/>
  <c r="I47" i="1"/>
  <c r="B47" i="1"/>
  <c r="U46" i="1"/>
  <c r="S46" i="1"/>
  <c r="P46" i="1"/>
  <c r="O46" i="1"/>
  <c r="J46" i="1"/>
  <c r="I46" i="1"/>
  <c r="B46" i="1"/>
  <c r="S45" i="1"/>
  <c r="U45" i="1" s="1"/>
  <c r="O45" i="1"/>
  <c r="I45" i="1"/>
  <c r="B45" i="1"/>
  <c r="O44" i="1"/>
  <c r="I44" i="1"/>
  <c r="B44" i="1"/>
  <c r="O43" i="1"/>
  <c r="I43" i="1"/>
  <c r="B43" i="1"/>
  <c r="S42" i="1"/>
  <c r="U42" i="1" s="1"/>
  <c r="O42" i="1"/>
  <c r="I42" i="1"/>
  <c r="B42" i="1"/>
  <c r="O41" i="1"/>
  <c r="P41" i="1" s="1"/>
  <c r="I41" i="1"/>
  <c r="B41" i="1"/>
  <c r="O40" i="1"/>
  <c r="I40" i="1"/>
  <c r="B40" i="1"/>
  <c r="O39" i="1"/>
  <c r="I39" i="1"/>
  <c r="B39" i="1"/>
  <c r="O38" i="1"/>
  <c r="I38" i="1"/>
  <c r="B38" i="1"/>
  <c r="O37" i="1"/>
  <c r="I37" i="1"/>
  <c r="B37" i="1"/>
  <c r="O36" i="1"/>
  <c r="I36" i="1"/>
  <c r="B36" i="1"/>
  <c r="O35" i="1"/>
  <c r="P35" i="1" s="1"/>
  <c r="I35" i="1"/>
  <c r="B35" i="1"/>
  <c r="O34" i="1"/>
  <c r="I34" i="1"/>
  <c r="B34" i="1"/>
  <c r="S33" i="1"/>
  <c r="U33" i="1" s="1"/>
  <c r="O33" i="1"/>
  <c r="I33" i="1"/>
  <c r="B33" i="1"/>
  <c r="S32" i="1"/>
  <c r="U32" i="1" s="1"/>
  <c r="O32" i="1"/>
  <c r="I32" i="1"/>
  <c r="B32" i="1"/>
  <c r="O31" i="1"/>
  <c r="I31" i="1"/>
  <c r="B31" i="1"/>
  <c r="O30" i="1"/>
  <c r="I30" i="1"/>
  <c r="B30" i="1"/>
  <c r="S29" i="1"/>
  <c r="P29" i="1"/>
  <c r="O29" i="1"/>
  <c r="I29" i="1"/>
  <c r="B29" i="1"/>
  <c r="O28" i="1"/>
  <c r="I28" i="1"/>
  <c r="B28" i="1"/>
  <c r="O27" i="1"/>
  <c r="I27" i="1"/>
  <c r="B27" i="1"/>
  <c r="S26" i="1"/>
  <c r="U26" i="1" s="1"/>
  <c r="O26" i="1"/>
  <c r="I26" i="1"/>
  <c r="B26" i="1"/>
  <c r="O25" i="1"/>
  <c r="I25" i="1"/>
  <c r="B25" i="1"/>
  <c r="S24" i="1"/>
  <c r="U24" i="1" s="1"/>
  <c r="O24" i="1"/>
  <c r="P24" i="1" s="1"/>
  <c r="I24" i="1"/>
  <c r="B24" i="1"/>
  <c r="O23" i="1"/>
  <c r="I23" i="1"/>
  <c r="B23" i="1"/>
  <c r="S22" i="1"/>
  <c r="U22" i="1" s="1"/>
  <c r="O22" i="1"/>
  <c r="I22" i="1"/>
  <c r="B22" i="1"/>
  <c r="O21" i="1"/>
  <c r="I21" i="1"/>
  <c r="B21" i="1"/>
  <c r="U29" i="1" s="1"/>
  <c r="O20" i="1"/>
  <c r="I20" i="1"/>
  <c r="B20" i="1"/>
  <c r="S19" i="1"/>
  <c r="U19" i="1" s="1"/>
  <c r="O19" i="1"/>
  <c r="I19" i="1"/>
  <c r="B19" i="1"/>
  <c r="AG15" i="1"/>
  <c r="AG76" i="1" s="1"/>
  <c r="AF15" i="1"/>
  <c r="AF78" i="1" s="1"/>
  <c r="AE15" i="1"/>
  <c r="AE82" i="1" s="1"/>
  <c r="AD15" i="1"/>
  <c r="AD75" i="1" s="1"/>
  <c r="AC15" i="1"/>
  <c r="AB15" i="1"/>
  <c r="AA15" i="1"/>
  <c r="AA74" i="1" s="1"/>
  <c r="Z15" i="1"/>
  <c r="Z87" i="1" s="1"/>
  <c r="Y15" i="1"/>
  <c r="Y80" i="1" s="1"/>
  <c r="X15" i="1"/>
  <c r="X73" i="1" s="1"/>
  <c r="W15" i="1"/>
  <c r="W86" i="1" s="1"/>
  <c r="V15" i="1"/>
  <c r="V79" i="1" s="1"/>
  <c r="B13" i="1"/>
  <c r="AD11" i="1"/>
  <c r="R11" i="1"/>
  <c r="L11" i="1"/>
  <c r="B11" i="1"/>
  <c r="J8" i="1"/>
  <c r="D8" i="1"/>
  <c r="R7" i="1"/>
  <c r="J7" i="1"/>
  <c r="D7" i="1"/>
  <c r="S78" i="1" l="1"/>
  <c r="T78" i="1" s="1"/>
  <c r="P36" i="1"/>
  <c r="J18" i="2"/>
  <c r="P37" i="1"/>
  <c r="P43" i="1"/>
  <c r="P22" i="1"/>
  <c r="O69" i="1"/>
  <c r="P20" i="1"/>
  <c r="O25" i="2"/>
  <c r="N27" i="2"/>
  <c r="P27" i="1"/>
  <c r="AB81" i="1"/>
  <c r="AB75" i="1"/>
  <c r="AB83" i="1"/>
  <c r="AB82" i="1"/>
  <c r="AB76" i="1"/>
  <c r="AB78" i="1"/>
  <c r="AB69" i="1"/>
  <c r="AB79" i="1"/>
  <c r="AB73" i="1"/>
  <c r="AB80" i="1"/>
  <c r="AB86" i="1"/>
  <c r="AB87" i="1"/>
  <c r="AB77" i="1"/>
  <c r="AB85" i="1"/>
  <c r="AB84" i="1"/>
  <c r="AC85" i="1"/>
  <c r="AC79" i="1"/>
  <c r="AC73" i="1"/>
  <c r="AC75" i="1"/>
  <c r="AC82" i="1"/>
  <c r="AC76" i="1"/>
  <c r="AC77" i="1"/>
  <c r="AC86" i="1"/>
  <c r="AC80" i="1"/>
  <c r="AC87" i="1"/>
  <c r="AC83" i="1"/>
  <c r="AC84" i="1"/>
  <c r="AC78" i="1"/>
  <c r="AC69" i="1"/>
  <c r="P23" i="1"/>
  <c r="AB74" i="1"/>
  <c r="H42" i="3"/>
  <c r="J69" i="1"/>
  <c r="P25" i="1"/>
  <c r="P31" i="1"/>
  <c r="P44" i="1"/>
  <c r="F36" i="2"/>
  <c r="G33" i="2"/>
  <c r="G46" i="3"/>
  <c r="H41" i="3"/>
  <c r="P45" i="1"/>
  <c r="AC81" i="1"/>
  <c r="U23" i="1"/>
  <c r="AC74" i="1"/>
  <c r="AJ78" i="1"/>
  <c r="G37" i="2" s="1"/>
  <c r="F20" i="2"/>
  <c r="P30" i="1"/>
  <c r="P26" i="1"/>
  <c r="P32" i="1"/>
  <c r="P38" i="1"/>
  <c r="P33" i="1"/>
  <c r="P28" i="1"/>
  <c r="P39" i="1"/>
  <c r="P34" i="1"/>
  <c r="P40" i="1"/>
  <c r="I23" i="2"/>
  <c r="H43" i="3"/>
  <c r="D18" i="3"/>
  <c r="AF74" i="1"/>
  <c r="AD80" i="1"/>
  <c r="AE87" i="1"/>
  <c r="L14" i="2"/>
  <c r="N14" i="2" s="1"/>
  <c r="S27" i="1"/>
  <c r="U27" i="1" s="1"/>
  <c r="L31" i="2"/>
  <c r="V11" i="1"/>
  <c r="AF79" i="1"/>
  <c r="AD85" i="1"/>
  <c r="AG86" i="1"/>
  <c r="P19" i="1"/>
  <c r="S36" i="1"/>
  <c r="U36" i="1" s="1"/>
  <c r="AD69" i="1"/>
  <c r="X76" i="1"/>
  <c r="AA77" i="1"/>
  <c r="AD78" i="1"/>
  <c r="AG79" i="1"/>
  <c r="V82" i="1"/>
  <c r="Y83" i="1"/>
  <c r="AE85" i="1"/>
  <c r="O24" i="2"/>
  <c r="O27" i="2" s="1"/>
  <c r="S21" i="1"/>
  <c r="U21" i="1" s="1"/>
  <c r="S41" i="1"/>
  <c r="U41" i="1" s="1"/>
  <c r="AD73" i="1"/>
  <c r="L34" i="2"/>
  <c r="P42" i="1"/>
  <c r="S81" i="1"/>
  <c r="T81" i="1" s="1"/>
  <c r="AJ86" i="1"/>
  <c r="G25" i="2"/>
  <c r="H25" i="2" s="1"/>
  <c r="L35" i="2"/>
  <c r="AF84" i="1"/>
  <c r="F27" i="2"/>
  <c r="S35" i="1"/>
  <c r="U35" i="1" s="1"/>
  <c r="AE74" i="1"/>
  <c r="AF87" i="1"/>
  <c r="AG80" i="1"/>
  <c r="AE86" i="1"/>
  <c r="G27" i="2"/>
  <c r="H27" i="2" s="1"/>
  <c r="P21" i="1"/>
  <c r="S38" i="1"/>
  <c r="U38" i="1" s="1"/>
  <c r="AG84" i="1"/>
  <c r="L13" i="2"/>
  <c r="AD74" i="1"/>
  <c r="R8" i="1"/>
  <c r="AD87" i="1"/>
  <c r="AF80" i="1"/>
  <c r="AG87" i="1"/>
  <c r="AG73" i="1"/>
  <c r="AF69" i="1"/>
  <c r="AG85" i="1"/>
  <c r="V74" i="1"/>
  <c r="S80" i="1"/>
  <c r="T80" i="1" s="1"/>
  <c r="S31" i="1"/>
  <c r="U31" i="1" s="1"/>
  <c r="AF77" i="1"/>
  <c r="AD83" i="1"/>
  <c r="V87" i="1"/>
  <c r="T73" i="1"/>
  <c r="AG77" i="1"/>
  <c r="AE83" i="1"/>
  <c r="W87" i="1"/>
  <c r="H26" i="2"/>
  <c r="I26" i="2" s="1"/>
  <c r="S30" i="1"/>
  <c r="U30" i="1" s="1"/>
  <c r="S82" i="1"/>
  <c r="T82" i="1" s="1"/>
  <c r="AF86" i="1"/>
  <c r="S39" i="1"/>
  <c r="U39" i="1" s="1"/>
  <c r="AE69" i="1"/>
  <c r="AE78" i="1"/>
  <c r="AF85" i="1"/>
  <c r="S25" i="1"/>
  <c r="AD77" i="1"/>
  <c r="AG78" i="1"/>
  <c r="AE84" i="1"/>
  <c r="S87" i="1"/>
  <c r="S28" i="1"/>
  <c r="U28" i="1" s="1"/>
  <c r="AE77" i="1"/>
  <c r="W74" i="1"/>
  <c r="S34" i="1"/>
  <c r="U34" i="1" s="1"/>
  <c r="X74" i="1"/>
  <c r="AD76" i="1"/>
  <c r="V80" i="1"/>
  <c r="S86" i="1"/>
  <c r="T86" i="1" s="1"/>
  <c r="Y74" i="1"/>
  <c r="AE76" i="1"/>
  <c r="W80" i="1"/>
  <c r="AF83" i="1"/>
  <c r="X87" i="1"/>
  <c r="S20" i="1"/>
  <c r="U20" i="1" s="1"/>
  <c r="S40" i="1"/>
  <c r="U40" i="1" s="1"/>
  <c r="W73" i="1"/>
  <c r="Z74" i="1"/>
  <c r="AF76" i="1"/>
  <c r="X80" i="1"/>
  <c r="AA81" i="1"/>
  <c r="AD82" i="1"/>
  <c r="AG83" i="1"/>
  <c r="V86" i="1"/>
  <c r="Y87" i="1"/>
  <c r="G56" i="3"/>
  <c r="AG74" i="1"/>
  <c r="AE80" i="1"/>
  <c r="S83" i="1"/>
  <c r="T83" i="1" s="1"/>
  <c r="S44" i="1"/>
  <c r="U44" i="1" s="1"/>
  <c r="AE73" i="1"/>
  <c r="AD86" i="1"/>
  <c r="AF73" i="1"/>
  <c r="AD79" i="1"/>
  <c r="AE79" i="1"/>
  <c r="AD84" i="1"/>
  <c r="AG69" i="1"/>
  <c r="U25" i="1"/>
  <c r="S37" i="1"/>
  <c r="U37" i="1" s="1"/>
  <c r="V73" i="1"/>
  <c r="S23" i="1"/>
  <c r="S43" i="1"/>
  <c r="U43" i="1" s="1"/>
  <c r="I25" i="2" l="1"/>
  <c r="J47" i="2"/>
  <c r="L47" i="2" s="1"/>
  <c r="U69" i="1"/>
  <c r="J50" i="2"/>
  <c r="L50" i="2" s="1"/>
  <c r="N13" i="2"/>
  <c r="L18" i="2"/>
  <c r="F37" i="2"/>
  <c r="B69" i="1"/>
  <c r="J32" i="1"/>
  <c r="J26" i="1"/>
  <c r="J19" i="1"/>
  <c r="J29" i="1"/>
  <c r="J43" i="1"/>
  <c r="J23" i="1"/>
  <c r="J37" i="1"/>
  <c r="J39" i="1"/>
  <c r="J40" i="1"/>
  <c r="J34" i="1"/>
  <c r="J28" i="1"/>
  <c r="J44" i="1"/>
  <c r="J20" i="1"/>
  <c r="J31" i="1"/>
  <c r="J21" i="1"/>
  <c r="J33" i="1"/>
  <c r="J27" i="1"/>
  <c r="J41" i="1"/>
  <c r="J24" i="1"/>
  <c r="J45" i="1"/>
  <c r="J25" i="1"/>
  <c r="J42" i="1"/>
  <c r="J22" i="1"/>
  <c r="J36" i="1"/>
  <c r="J30" i="1"/>
  <c r="J38" i="1"/>
  <c r="J35" i="1"/>
  <c r="B34" i="2"/>
  <c r="D30" i="2"/>
  <c r="B33" i="2"/>
  <c r="B38" i="2"/>
  <c r="G34" i="2"/>
  <c r="F34" i="2"/>
  <c r="AD13" i="1"/>
  <c r="G38" i="2"/>
  <c r="F33" i="2"/>
  <c r="B35" i="2"/>
  <c r="G36" i="2"/>
  <c r="F30" i="2"/>
  <c r="B37" i="2"/>
  <c r="J49" i="2"/>
  <c r="L49" i="2" s="1"/>
  <c r="F35" i="2"/>
  <c r="G35" i="2"/>
  <c r="J8" i="2"/>
  <c r="E11" i="1"/>
  <c r="H11" i="1"/>
  <c r="B36" i="2"/>
  <c r="E13" i="1"/>
  <c r="F38" i="2"/>
</calcChain>
</file>

<file path=xl/sharedStrings.xml><?xml version="1.0" encoding="utf-8"?>
<sst xmlns="http://schemas.openxmlformats.org/spreadsheetml/2006/main" count="659" uniqueCount="362">
  <si>
    <t>ROADMAP 2026</t>
  </si>
  <si>
    <t>Muster Unternehmensgruppe GmbH</t>
  </si>
  <si>
    <t>Q1 2026</t>
  </si>
  <si>
    <t>Q2 2026</t>
  </si>
  <si>
    <t>Q3 2026</t>
  </si>
  <si>
    <t>Q4 2026</t>
  </si>
  <si>
    <t>Strategische Initiativen · Zeitachse · Meilensteine</t>
  </si>
  <si>
    <t>Musterallee 24 · 26122 Musterstadt</t>
  </si>
  <si>
    <t>Jan - Mrz</t>
  </si>
  <si>
    <t>Apr - Jun</t>
  </si>
  <si>
    <t>Jul - Sep</t>
  </si>
  <si>
    <t>Okt - Dez</t>
  </si>
  <si>
    <t>01</t>
  </si>
  <si>
    <t>STRATEGIERAHMEN</t>
  </si>
  <si>
    <t>Stammdaten pflegen Sie im Blatt „Stammdaten“</t>
  </si>
  <si>
    <t>Die Balken der Zeitachse entstehen automatisch aus Start und Ende. Der aktuelle Monat ist hinterlegt, Meilensteine erscheinen als ◆.</t>
  </si>
  <si>
    <t>ROADMAP</t>
  </si>
  <si>
    <t>PLANUNGSZEITRAUM</t>
  </si>
  <si>
    <t>VERANTWORTUNG</t>
  </si>
  <si>
    <t>UNTERNEHMEN</t>
  </si>
  <si>
    <t>STAND / VERSION</t>
  </si>
  <si>
    <t>STICHTAG DER AUSWERTUNG</t>
  </si>
  <si>
    <t>02</t>
  </si>
  <si>
    <t>KENNZAHLEN AUF EINEN BLICK</t>
  </si>
  <si>
    <t>berechnet aus den Abschnitten 03 und 04</t>
  </si>
  <si>
    <t>INITIATIVEN GESAMT</t>
  </si>
  <si>
    <t>IN UMSETZUNG</t>
  </si>
  <si>
    <t>VERZÖGERT</t>
  </si>
  <si>
    <t>FORTSCHRITT GEWICHTET</t>
  </si>
  <si>
    <t>AUFWAND GEPLANT</t>
  </si>
  <si>
    <t>AUSLASTUNG DES JAHRES</t>
  </si>
  <si>
    <t>MEILENSTEINE OFFEN</t>
  </si>
  <si>
    <t>Endtermin liegt vor dem Stichtag</t>
  </si>
  <si>
    <t>gewichtet nach Aufwand</t>
  </si>
  <si>
    <t>Personentage aller Initiativen</t>
  </si>
  <si>
    <t>ohne zurückgestellte Initiativen</t>
  </si>
  <si>
    <t>03</t>
  </si>
  <si>
    <t>INITIATIVEN UND ZEITACHSE</t>
  </si>
  <si>
    <t>gelbe Spalten = Eingabe · graue Spalten = automatisch berechnet</t>
  </si>
  <si>
    <t>INITIATIVE</t>
  </si>
  <si>
    <t>ZEITRAUM</t>
  </si>
  <si>
    <t>BEWERTUNG UND PRIORISIERUNG</t>
  </si>
  <si>
    <t>UMSETZUNG UND PRÜFUNG</t>
  </si>
  <si>
    <t>Q1</t>
  </si>
  <si>
    <t>Q2</t>
  </si>
  <si>
    <t>Q3</t>
  </si>
  <si>
    <t>Q4</t>
  </si>
  <si>
    <t>Nr.</t>
  </si>
  <si>
    <t>Initiative</t>
  </si>
  <si>
    <t>Handlungsfeld</t>
  </si>
  <si>
    <t>Strategieziel</t>
  </si>
  <si>
    <t>Verantwortlich</t>
  </si>
  <si>
    <t>Start</t>
  </si>
  <si>
    <t>Ende</t>
  </si>
  <si>
    <t>Monate</t>
  </si>
  <si>
    <t>Horizont</t>
  </si>
  <si>
    <t>Aufwand PT</t>
  </si>
  <si>
    <t>Nutzen</t>
  </si>
  <si>
    <t>Dring-lichkeit</t>
  </si>
  <si>
    <t>Strategie-beitrag</t>
  </si>
  <si>
    <t>Score</t>
  </si>
  <si>
    <t>Rang</t>
  </si>
  <si>
    <t>Fortschritt</t>
  </si>
  <si>
    <t>Status</t>
  </si>
  <si>
    <t>Terminstatus</t>
  </si>
  <si>
    <t>Abh. Nr.</t>
  </si>
  <si>
    <t>Prüfhinweis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</si>
  <si>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</si>
  <si>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</si>
  <si>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</si>
  <si>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</si>
  <si>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</si>
  <si>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</si>
  <si>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</si>
  <si>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</si>
  <si>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</si>
  <si>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</si>
  <si>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</si>
  <si>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</si>
  <si>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Marktanalyse Zielsegmente</t>
  </si>
  <si>
    <t>Markt &amp; Vertrieb</t>
  </si>
  <si>
    <t>Profitables Wachstum</t>
  </si>
  <si>
    <t>Vertrieb &amp; Marketing</t>
  </si>
  <si>
    <t>Abgeschlossen</t>
  </si>
  <si>
    <t>Neue Vertriebsregion erschließen</t>
  </si>
  <si>
    <t>In Umsetzung</t>
  </si>
  <si>
    <t>Preis- und Konditionensystem überarbeiten</t>
  </si>
  <si>
    <t>Finanzen &amp; Steuerung</t>
  </si>
  <si>
    <t>Geschäftsleitung</t>
  </si>
  <si>
    <t>CRM-System einführen</t>
  </si>
  <si>
    <t>Digitalisierung &amp; IT</t>
  </si>
  <si>
    <t>Digitalisierung</t>
  </si>
  <si>
    <t>IT &amp; Digitalisierung</t>
  </si>
  <si>
    <t>Kundenportal mit Self-Service</t>
  </si>
  <si>
    <t>Kundenzufriedenheit</t>
  </si>
  <si>
    <t>Produktlinie Basis modernisieren</t>
  </si>
  <si>
    <t>Produkt &amp; Leistung</t>
  </si>
  <si>
    <t>Produktmanagement</t>
  </si>
  <si>
    <t>Serviceangebot Wartungsverträge</t>
  </si>
  <si>
    <t>Angebotsprozess standardisieren</t>
  </si>
  <si>
    <t>Prozesse &amp; Qualität</t>
  </si>
  <si>
    <t>Betriebliche Effizienz</t>
  </si>
  <si>
    <t>Operations</t>
  </si>
  <si>
    <t>Reklamationsmanagement neu aufsetzen</t>
  </si>
  <si>
    <t>Lieferantenbewertung einführen</t>
  </si>
  <si>
    <t>Qualitätskennzahlen-Cockpit</t>
  </si>
  <si>
    <t>ERP-Modul Einkauf ablösen</t>
  </si>
  <si>
    <t>Geplant</t>
  </si>
  <si>
    <t>IT-Sicherheitskonzept aktualisieren</t>
  </si>
  <si>
    <t>Datenschutz-Reviews durchführen</t>
  </si>
  <si>
    <t>Onboarding-Programm neu gestalten</t>
  </si>
  <si>
    <t>Organisation &amp; Personal</t>
  </si>
  <si>
    <t>Personal &amp; Organisation</t>
  </si>
  <si>
    <t>Weiterbildungsprogramm Führung</t>
  </si>
  <si>
    <t>Arbeitgebermarke stärken</t>
  </si>
  <si>
    <t>Nachhaltigkeitsbericht vorbereiten</t>
  </si>
  <si>
    <t>Nachhaltigkeit</t>
  </si>
  <si>
    <t>Energieeffizienz an den Standorten</t>
  </si>
  <si>
    <t>Fuhrpark auf E-Mobilität umstellen</t>
  </si>
  <si>
    <t>Kundenzufriedenheitsbefragung</t>
  </si>
  <si>
    <t>Partnerprogramm aufbauen</t>
  </si>
  <si>
    <t>Produktkonfigurator entwickeln</t>
  </si>
  <si>
    <t>Lagerlogistik optimieren</t>
  </si>
  <si>
    <t>Kostenstellenstruktur überarbeiten</t>
  </si>
  <si>
    <t>Investitionsplanung 2027</t>
  </si>
  <si>
    <t>Standort Nord erweitern</t>
  </si>
  <si>
    <t>Zurückgestellt</t>
  </si>
  <si>
    <t>Mobile App für den Außendienst</t>
  </si>
  <si>
    <t>Idee</t>
  </si>
  <si>
    <t>Ø Dauer</t>
  </si>
  <si>
    <t>Ø Score</t>
  </si>
  <si>
    <t>Prüfhinweise:</t>
  </si>
  <si>
    <t>04</t>
  </si>
  <si>
    <t>MEILENSTEINE</t>
  </si>
  <si>
    <t>◆ markiert den Termin automatisch auf der Zeitachse</t>
  </si>
  <si>
    <t>Meilenstein</t>
  </si>
  <si>
    <t>Bezug (Initiative)</t>
  </si>
  <si>
    <t>Typ</t>
  </si>
  <si>
    <t>Termin</t>
  </si>
  <si>
    <t>Ergebnis / Erwartung</t>
  </si>
  <si>
    <t>offen</t>
  </si>
  <si>
    <t>Roadmap 2026 verabschiedet</t>
  </si>
  <si>
    <t>Gesamte Roadmap</t>
  </si>
  <si>
    <t>Entscheidung</t>
  </si>
  <si>
    <t>Beschluss im Strategiemeeting protokolliert</t>
  </si>
  <si>
    <t>Erreicht</t>
  </si>
  <si>
    <t>Marktanalyse abgenommen</t>
  </si>
  <si>
    <t>Abschluss</t>
  </si>
  <si>
    <t>Drei Zielsegmente priorisiert</t>
  </si>
  <si>
    <t>Lagerlogistik umgestellt</t>
  </si>
  <si>
    <t>Go-Live</t>
  </si>
  <si>
    <t>Neue Wegeführung und Kommissionierung aktiv</t>
  </si>
  <si>
    <t>CRM produktiv</t>
  </si>
  <si>
    <t>Alle Vertriebsteams arbeiten im neuen System</t>
  </si>
  <si>
    <t>Produktlinie Basis freigegeben</t>
  </si>
  <si>
    <t>Freigabe</t>
  </si>
  <si>
    <t>Serienfreigabe erteilt</t>
  </si>
  <si>
    <t>Lieferantenbewertung eingeführt</t>
  </si>
  <si>
    <t>Bewertungsschema noch nicht final abgestimmt</t>
  </si>
  <si>
    <t>In Arbeit</t>
  </si>
  <si>
    <t>Halbjahres-Review der Roadmap</t>
  </si>
  <si>
    <t>Review</t>
  </si>
  <si>
    <t>Strategie &amp; Entwicklung</t>
  </si>
  <si>
    <t>Fortschritt und Prioritäten bestätigt</t>
  </si>
  <si>
    <t>Sicherheitskonzept verabschiedet</t>
  </si>
  <si>
    <t>Abstimmung mit externem Prüfer offen</t>
  </si>
  <si>
    <t>Reklamationsprozess produktiv</t>
  </si>
  <si>
    <t>Schulung der Teams läuft</t>
  </si>
  <si>
    <t>Entscheidung ERP-Modul Einkauf</t>
  </si>
  <si>
    <t>Angebotsvergleich in Vorbereitung</t>
  </si>
  <si>
    <t>Offen</t>
  </si>
  <si>
    <t>Erste Aufträge neue Region</t>
  </si>
  <si>
    <t>Zielwert: zehn Neukunden</t>
  </si>
  <si>
    <t>Kundenportal Beta-Start</t>
  </si>
  <si>
    <t>Pilotgruppe aus 20 Bestandskunden</t>
  </si>
  <si>
    <t>Entwurf Nachhaltigkeitsbericht</t>
  </si>
  <si>
    <t>Datenerhebung bis Ende September</t>
  </si>
  <si>
    <t>Budgetfreigabe 2027</t>
  </si>
  <si>
    <t>Grundlage für die Roadmap 2027</t>
  </si>
  <si>
    <t>Jahresreview und Roadmap 2027</t>
  </si>
  <si>
    <t>Bewertung der Zielerreichung</t>
  </si>
  <si>
    <t>Geplanter Zeitraum</t>
  </si>
  <si>
    <t>Erledigter Anteil</t>
  </si>
  <si>
    <t>Verzögert</t>
  </si>
  <si>
    <t>◆ Meilenstein</t>
  </si>
  <si>
    <t>Aktueller Monat</t>
  </si>
  <si>
    <t>Eingabefeld</t>
  </si>
  <si>
    <t>Hinweis: Die Zeitachse zeigt das Berichtsjahr. Initiativen, die darüber hinausreichen, werden bis Dezember dargestellt; Start- und Endtermin bleiben vollständig erhalten. Alle Beispieldaten sind frei erfunden.</t>
  </si>
  <si>
    <t>AUSWERTUNG</t>
  </si>
  <si>
    <t>Cockpit · Quartalsauslastung · Fristen · Prüfliste</t>
  </si>
  <si>
    <t>Stichtag: automatisch aus den Stammdaten</t>
  </si>
  <si>
    <t>STEUERUNGSKENNZAHLEN</t>
  </si>
  <si>
    <t>Momentaufnahme zum Stichtag</t>
  </si>
  <si>
    <t>ABGESCHLOSSEN</t>
  </si>
  <si>
    <t>MEILENSTEINE ERREICHT</t>
  </si>
  <si>
    <t>Endtermin vor Stichtag</t>
  </si>
  <si>
    <t>FORTSCHRITT JE HANDLUNGSFELD</t>
  </si>
  <si>
    <t>UMSETZUNG JE STRATEGIEZIEL</t>
  </si>
  <si>
    <t>Anzahl</t>
  </si>
  <si>
    <t>PT</t>
  </si>
  <si>
    <t>Ø Fortschritt</t>
  </si>
  <si>
    <t>Ist-Anteil</t>
  </si>
  <si>
    <t>Zielanteil</t>
  </si>
  <si>
    <t>■</t>
  </si>
  <si>
    <t>Gesamt</t>
  </si>
  <si>
    <t>AUSLASTUNG JE QUARTAL</t>
  </si>
  <si>
    <t>verplante PT gegen die Kapazität aller Teams</t>
  </si>
  <si>
    <t>Quartal</t>
  </si>
  <si>
    <t>Zeitraum</t>
  </si>
  <si>
    <t>Initiativen</t>
  </si>
  <si>
    <t>PT verplant</t>
  </si>
  <si>
    <t>Kapazität</t>
  </si>
  <si>
    <t>Auslastung</t>
  </si>
  <si>
    <t>Bewertung</t>
  </si>
  <si>
    <t>Markt</t>
  </si>
  <si>
    <t>Produkt</t>
  </si>
  <si>
    <t>IT</t>
  </si>
  <si>
    <t>Prozesse</t>
  </si>
  <si>
    <t>Personal</t>
  </si>
  <si>
    <t>Weitere</t>
  </si>
  <si>
    <t>Jahr 2026</t>
  </si>
  <si>
    <t>05</t>
  </si>
  <si>
    <t>FRISTENMONITOR MEILENSTEINE</t>
  </si>
  <si>
    <t>06</t>
  </si>
  <si>
    <t>STATUSVERTEILUNG INITIATIVEN</t>
  </si>
  <si>
    <t>Anteil</t>
  </si>
  <si>
    <t>Verteilung</t>
  </si>
  <si>
    <t>ERREICHT</t>
  </si>
  <si>
    <t>ÜBERFÄLLIG</t>
  </si>
  <si>
    <t>FÄLLIG IN KÜRZE</t>
  </si>
  <si>
    <t>Nächste offene Meilensteine</t>
  </si>
  <si>
    <t>07</t>
  </si>
  <si>
    <t>PRÜFLISTE DER PLANUNG</t>
  </si>
  <si>
    <t>Ampel prüft Vollständigkeit und Konsistenz</t>
  </si>
  <si>
    <t>Prüfpunkt</t>
  </si>
  <si>
    <t>Ist</t>
  </si>
  <si>
    <t>Soll</t>
  </si>
  <si>
    <t>Alle Initiativen mit Handlungsfeld verknüpft</t>
  </si>
  <si>
    <t>0</t>
  </si>
  <si>
    <t>Alle Initiativen mit Strategieziel verknüpft</t>
  </si>
  <si>
    <t>Alle terminierten Initiativen mit Aufwand</t>
  </si>
  <si>
    <t>Endtermin nie vor Starttermin</t>
  </si>
  <si>
    <t>Summe der Zielanteile ergibt 100 %</t>
  </si>
  <si>
    <t>1</t>
  </si>
  <si>
    <t>Kein Quartal über 100 % ausgelastet</t>
  </si>
  <si>
    <t>Gewichteter Fortschritt erreicht Zielwert</t>
  </si>
  <si>
    <t>≥ Ziel</t>
  </si>
  <si>
    <t>Keine überfälligen Meilensteine</t>
  </si>
  <si>
    <t>Offene Prüfhinweise abgearbeitet</t>
  </si>
  <si>
    <t>08</t>
  </si>
  <si>
    <t>GRAFISCHE AUSWERTUNG</t>
  </si>
  <si>
    <t>STAMMDATEN</t>
  </si>
  <si>
    <t>Parameter, Kataloge und Listen der Roadmap</t>
  </si>
  <si>
    <t>alle Eingaben zentral</t>
  </si>
  <si>
    <t>ORGANISATION UND DOKUMENT</t>
  </si>
  <si>
    <t>diese Angaben erscheinen im Kopf der Roadmap</t>
  </si>
  <si>
    <t>Unternehmen</t>
  </si>
  <si>
    <t>Anschrift</t>
  </si>
  <si>
    <t>Bezeichnung der Roadmap</t>
  </si>
  <si>
    <t>Unternehmens-Roadmap 2026</t>
  </si>
  <si>
    <t>Geltungsbereich</t>
  </si>
  <si>
    <t>Gesamtunternehmen, alle Standorte</t>
  </si>
  <si>
    <t>Verantwortung</t>
  </si>
  <si>
    <t>Strategie &amp; Unternehmensentwicklung</t>
  </si>
  <si>
    <t>Stand der Fassung</t>
  </si>
  <si>
    <t>Version</t>
  </si>
  <si>
    <t>3.2</t>
  </si>
  <si>
    <t>Geschäftsleitung, 09.07.2026</t>
  </si>
  <si>
    <t>PARAMETER DER PLANUNG</t>
  </si>
  <si>
    <t>gelbe Felder sind frei änderbar und wirken auf alle Blätter</t>
  </si>
  <si>
    <t>Berichtsjahr</t>
  </si>
  <si>
    <t>Jahr der Zeitachse</t>
  </si>
  <si>
    <t>Stichtag der Auswertung</t>
  </si>
  <si>
    <t>steuert Terminstatus und Horizont</t>
  </si>
  <si>
    <t>Aktuelles Quartal</t>
  </si>
  <si>
    <t>berechnet aus dem Stichtag</t>
  </si>
  <si>
    <t>Warnfrist (Tage)</t>
  </si>
  <si>
    <t>ab hier gilt ein Termin als „Endspurt“ bzw. „fällig in Kürze“</t>
  </si>
  <si>
    <t>Gewicht Nutzen</t>
  </si>
  <si>
    <t>Anteil am Score</t>
  </si>
  <si>
    <t>Gewicht Dringlichkeit</t>
  </si>
  <si>
    <t>Gewicht Strategiebeitrag</t>
  </si>
  <si>
    <t>Summe der drei Gewichte sollte 100 % ergeben</t>
  </si>
  <si>
    <t>Normierung Aufwand (PT)</t>
  </si>
  <si>
    <t>Score = gewichteter Wert je Normaufwand</t>
  </si>
  <si>
    <t>Ziel-Auslastung je Quartal</t>
  </si>
  <si>
    <t>Schwelle für die Ampel</t>
  </si>
  <si>
    <t>Ziel-Fortschritt zum Stichtag</t>
  </si>
  <si>
    <t>Vergleichswert der Prüfliste</t>
  </si>
  <si>
    <t>Toleranz Zielanteile (%-Punkte)</t>
  </si>
  <si>
    <t>erlaubte Abweichung vom Zielanteil</t>
  </si>
  <si>
    <t>Kapazität je Quartal (PT)</t>
  </si>
  <si>
    <t>Summe aus Abschnitt 05</t>
  </si>
  <si>
    <t>HANDLUNGSFELDER</t>
  </si>
  <si>
    <t>Auswahlliste der Spalte „Handlungsfeld“</t>
  </si>
  <si>
    <t>Beschreibung</t>
  </si>
  <si>
    <t>Farbe in der Roadmap</t>
  </si>
  <si>
    <t>Marktbearbeitung, Kundengewinnung, Kanäle</t>
  </si>
  <si>
    <t>■ Markt &amp; Vertrieb</t>
  </si>
  <si>
    <t>Leistungsportfolio, Entwicklung, Service</t>
  </si>
  <si>
    <t>■ Produkt &amp; Leistung</t>
  </si>
  <si>
    <t>Systeme, Daten, digitale Prozesse</t>
  </si>
  <si>
    <t>■ Digitalisierung &amp; IT</t>
  </si>
  <si>
    <t>Abläufe, Standards, Qualitätssicherung</t>
  </si>
  <si>
    <t>■ Prozesse &amp; Qualität</t>
  </si>
  <si>
    <t>Struktur, Kompetenzen, Zusammenarbeit</t>
  </si>
  <si>
    <t>■ Organisation &amp; Personal</t>
  </si>
  <si>
    <t>Ressourcen, Energie, Verantwortung</t>
  </si>
  <si>
    <t>■ Nachhaltigkeit</t>
  </si>
  <si>
    <t>Planung, Kennzahlen, Investitionen</t>
  </si>
  <si>
    <t>■ Finanzen &amp; Steuerung</t>
  </si>
  <si>
    <t>STRATEGIEZIELE</t>
  </si>
  <si>
    <t>Zielanteile steuern die Bewertung in der Auswertung</t>
  </si>
  <si>
    <t>Umsatz und Ergebnis nachhaltig steigern</t>
  </si>
  <si>
    <t>Abläufe verschlanken, Kosten senken</t>
  </si>
  <si>
    <t>Erlebnis und Bindung verbessern</t>
  </si>
  <si>
    <t>Prozesse und Angebote digitalisieren</t>
  </si>
  <si>
    <t>Ressourcen schonen, Verantwortung zeigen</t>
  </si>
  <si>
    <t>Summe der Zielanteile (Sollwert 100 %)</t>
  </si>
  <si>
    <t>TEAMS UND KAPAZITÄTEN</t>
  </si>
  <si>
    <t>Kapazität in Personentagen je Quartal</t>
  </si>
  <si>
    <t>Team / Bereich</t>
  </si>
  <si>
    <t>Schwerpunkt</t>
  </si>
  <si>
    <t>PT je Quartal</t>
  </si>
  <si>
    <t>PT je Jahr</t>
  </si>
  <si>
    <t>verplant (PT)</t>
  </si>
  <si>
    <t>Strategie, Steuerung</t>
  </si>
  <si>
    <t>Markt, Kunden, Kommunikation</t>
  </si>
  <si>
    <t>Portfolio, Entwicklung</t>
  </si>
  <si>
    <t>Systeme, Daten, Anwendungen</t>
  </si>
  <si>
    <t>Leistungserbringung, Logistik, Qualität</t>
  </si>
  <si>
    <t>Personal, Aus- und Weiterbildung</t>
  </si>
  <si>
    <t>Gesamtkapazität</t>
  </si>
  <si>
    <t>AUSWAHLLISTEN</t>
  </si>
  <si>
    <t>Werte der Dropdowns – Einträge können ergänzt werden</t>
  </si>
  <si>
    <t>Status der Initiative</t>
  </si>
  <si>
    <t>Status Meilenstein</t>
  </si>
  <si>
    <t>Typ des Meilensteins</t>
  </si>
  <si>
    <t>Verschoben</t>
  </si>
  <si>
    <t>IN SIEBEN SCHRITTEN ZUR EIGENEN ROADMAP</t>
  </si>
  <si>
    <t>Abschnitte 01 bis 05 dieses Blattes ausfüllen: Unternehmen, Berichtsjahr, Handlungsfelder, Strategieziele und Teams mit ihrer Kapazität.</t>
  </si>
  <si>
    <t>2</t>
  </si>
  <si>
    <t>Im Blatt „Roadmap“ die Beispielzeilen überschreiben: Initiative, Handlungsfeld, Strategieziel, Verantwortlichkeit sowie Start und Ende eintragen.</t>
  </si>
  <si>
    <t>3</t>
  </si>
  <si>
    <t>Aufwand in Personentagen schätzen und die Initiative mit Nutzen, Dringlichkeit und Strategiebeitrag von 1 bis 5 bewerten – Score und Rang entstehen automatisch.</t>
  </si>
  <si>
    <t>4</t>
  </si>
  <si>
    <t>Fortschritt in Prozent und Status pflegen; Terminstatus, Horizont und die Balken der Zeitachse berechnen sich daraus von selbst.</t>
  </si>
  <si>
    <t>5</t>
  </si>
  <si>
    <t>Abhängigkeiten über die Nummer der Vorgänger-Initiative eintragen; die Spalte „Prüfhinweis“ meldet unlogische Reihenfolgen.</t>
  </si>
  <si>
    <t>6</t>
  </si>
  <si>
    <t>Meilensteine in Abschnitt 04 der Roadmap erfassen – sie erscheinen als ◆ auf der Zeitachse und im Fristenmonitor der Auswertung.</t>
  </si>
  <si>
    <t>7</t>
  </si>
  <si>
    <t>Blatt „Auswertung“ prüfen: Quartalsauslastung, Zielanteile, Fristen und Prüfliste zeigen, wo die Planung nachgeschärft werden muss.</t>
  </si>
  <si>
    <t>FARBLEGENDE UND HINWEISE</t>
  </si>
  <si>
    <t>Berechnetes Feld</t>
  </si>
  <si>
    <t>Im Plan / erreicht</t>
  </si>
  <si>
    <t>Aufmerksamkeit</t>
  </si>
  <si>
    <t>Verzögert / überfällig</t>
  </si>
  <si>
    <t>·  Alle Namen, Initiativen, Termine und Kennzahlen dieser Vorlage sind frei erfunden und dienen ausschließlich der Veranschaulichung.</t>
  </si>
  <si>
    <t>·  Die Zeitachse zeigt zwölf Monate des Berichtsjahres. Initiativen mit einem Endtermin im Folgejahr bleiben vollständig erfasst, werden aber nur bis Dezember dargestellt.</t>
  </si>
  <si>
    <t>·  Der Score ist ein Vorschlag zur Priorisierung. Gewichte und Normaufwand lassen sich in Abschnitt 02 an die eigene Bewertungslogik anpassen.</t>
  </si>
  <si>
    <t>·  Die Kapazitätsrechnung verteilt den Aufwand einer Initiative gleichmäßig über ihre Laufzeit. Für stark schwankende Vorhaben empfiehlt sich eine feinere Planung.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</si>
</sst>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0\ %"/>
    <numFmt numFmtId="166" formatCode="#,##0&quot; PT&quot;"/>
    <numFmt numFmtId="167" formatCode="0.0&quot; Mon.&quot;"/>
    <numFmt numFmtId="168" formatCode="0;;;"/>
    <numFmt numFmtId="169" formatCode="0&quot; Tage&quot;"/>
  </numFmts>
  <fonts count="64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1"/>
      <color rgb="FFFFFFFF"/>
      <name val="Calibri"/>
      <charset val="1"/>
    </font>
    <font>
      <i/>
      <sz val="10"/>
      <color rgb="FFDDE2F8"/>
      <name val="Calibri"/>
      <charset val="1"/>
    </font>
    <font>
      <i/>
      <sz val="9"/>
      <color rgb="FF7B7799"/>
      <name val="Calibri"/>
      <charset val="1"/>
    </font>
    <font>
      <sz val="8"/>
      <color rgb="FFFFFFFF"/>
      <name val="Calibri"/>
      <charset val="1"/>
    </font>
    <font>
      <b/>
      <sz val="9"/>
      <color rgb="FFFFFFFF"/>
      <name val="Calibri"/>
      <charset val="1"/>
    </font>
    <font>
      <b/>
      <sz val="11.5"/>
      <color rgb="FF1B1830"/>
      <name val="Calibri"/>
      <charset val="1"/>
    </font>
    <font>
      <i/>
      <sz val="8.5"/>
      <color rgb="FF7B7799"/>
      <name val="Calibri"/>
      <charset val="1"/>
    </font>
    <font>
      <i/>
      <sz val="8.5"/>
      <color rgb="FF3A3560"/>
      <name val="Calibri"/>
      <charset val="1"/>
    </font>
    <font>
      <b/>
      <sz val="7.5"/>
      <color rgb="FF7B7799"/>
      <name val="Calibri"/>
      <charset val="1"/>
    </font>
    <font>
      <sz val="10"/>
      <color rgb="FF1B1830"/>
      <name val="Calibri"/>
      <charset val="1"/>
    </font>
    <font>
      <b/>
      <sz val="16"/>
      <color rgb="FF1B1830"/>
      <name val="Calibri"/>
      <charset val="1"/>
    </font>
    <font>
      <b/>
      <sz val="16"/>
      <color rgb="FF3B4FC4"/>
      <name val="Calibri"/>
      <charset val="1"/>
    </font>
    <font>
      <b/>
      <sz val="16"/>
      <color rgb="FFCF3A2C"/>
      <name val="Calibri"/>
      <charset val="1"/>
    </font>
    <font>
      <b/>
      <sz val="16"/>
      <color rgb="FF1E9E7E"/>
      <name val="Calibri"/>
      <charset val="1"/>
    </font>
    <font>
      <b/>
      <sz val="16"/>
      <color rgb="FF3A3560"/>
      <name val="Calibri"/>
      <charset val="1"/>
    </font>
    <font>
      <b/>
      <sz val="16"/>
      <color rgb="FFD99B0F"/>
      <name val="Calibri"/>
      <charset val="1"/>
    </font>
    <font>
      <b/>
      <sz val="16"/>
      <color rgb="FFC42D6B"/>
      <name val="Calibri"/>
      <charset val="1"/>
    </font>
    <font>
      <i/>
      <sz val="8"/>
      <color rgb="FF7B7799"/>
      <name val="Calibri"/>
      <charset val="1"/>
    </font>
    <font>
      <sz val="1"/>
      <color rgb="FFFCFBFE"/>
      <name val="Calibri"/>
      <charset val="1"/>
    </font>
    <font>
      <b/>
      <sz val="7.5"/>
      <color rgb="FFFFFFFF"/>
      <name val="Calibri"/>
      <charset val="1"/>
    </font>
    <font>
      <b/>
      <sz val="8.5"/>
      <color rgb="FFFFFFFF"/>
      <name val="Calibri"/>
      <charset val="1"/>
    </font>
    <font>
      <b/>
      <sz val="9"/>
      <color rgb="FF7B7799"/>
      <name val="Calibri"/>
      <charset val="1"/>
    </font>
    <font>
      <b/>
      <sz val="9"/>
      <color rgb="FF1B1830"/>
      <name val="Calibri"/>
      <charset val="1"/>
    </font>
    <font>
      <sz val="8.5"/>
      <color rgb="FF1B1830"/>
      <name val="Calibri"/>
      <charset val="1"/>
    </font>
    <font>
      <sz val="9"/>
      <color rgb="FF1B1830"/>
      <name val="Calibri"/>
      <charset val="1"/>
    </font>
    <font>
      <b/>
      <sz val="8.5"/>
      <color rgb="FF1B1830"/>
      <name val="Calibri"/>
      <charset val="1"/>
    </font>
    <font>
      <b/>
      <sz val="9"/>
      <color rgb="FFC42D6B"/>
      <name val="Calibri"/>
      <charset val="1"/>
    </font>
    <font>
      <i/>
      <sz val="8.5"/>
      <color rgb="FF1B1830"/>
      <name val="Calibri"/>
      <charset val="1"/>
    </font>
    <font>
      <sz val="8"/>
      <color rgb="FF7B7799"/>
      <name val="Calibri"/>
      <charset val="1"/>
    </font>
    <font>
      <b/>
      <sz val="9"/>
      <color rgb="FFFBEFD0"/>
      <name val="Calibri"/>
      <charset val="1"/>
    </font>
    <font>
      <b/>
      <sz val="11"/>
      <color rgb="FFC42D6B"/>
      <name val="Calibri"/>
      <charset val="1"/>
    </font>
    <font>
      <b/>
      <sz val="8"/>
      <color rgb="FF3B4FC4"/>
      <name val="Calibri"/>
      <charset val="1"/>
    </font>
    <font>
      <b/>
      <sz val="8"/>
      <color rgb="FFFFFFFF"/>
      <name val="Calibri"/>
      <charset val="1"/>
    </font>
    <font>
      <b/>
      <sz val="8"/>
      <color rgb="FFCF3A2C"/>
      <name val="Calibri"/>
      <charset val="1"/>
    </font>
    <font>
      <b/>
      <sz val="8"/>
      <color rgb="FF8E8AA3"/>
      <name val="Calibri"/>
      <charset val="1"/>
    </font>
    <font>
      <b/>
      <sz val="8"/>
      <color rgb="FFC42D6B"/>
      <name val="Calibri"/>
      <charset val="1"/>
    </font>
    <font>
      <b/>
      <sz val="8"/>
      <color rgb="FF3A3560"/>
      <name val="Calibri"/>
      <charset val="1"/>
    </font>
    <font>
      <b/>
      <sz val="9"/>
      <color rgb="FF3B4FC4"/>
      <name val="Calibri"/>
      <charset val="1"/>
    </font>
    <font>
      <sz val="9"/>
      <color rgb="FF3B4FC4"/>
      <name val="Calibri"/>
      <charset val="1"/>
    </font>
    <font>
      <b/>
      <sz val="9"/>
      <color rgb="FF2536A0"/>
      <name val="Calibri"/>
      <charset val="1"/>
    </font>
    <font>
      <sz val="9"/>
      <color rgb="FFC42D6B"/>
      <name val="Calibri"/>
      <charset val="1"/>
    </font>
    <font>
      <b/>
      <sz val="9"/>
      <color rgb="FF1F7FA8"/>
      <name val="Calibri"/>
      <charset val="1"/>
    </font>
    <font>
      <sz val="9"/>
      <color rgb="FF1F7FA8"/>
      <name val="Calibri"/>
      <charset val="1"/>
    </font>
    <font>
      <b/>
      <sz val="9"/>
      <color rgb="FF1E9E7E"/>
      <name val="Calibri"/>
      <charset val="1"/>
    </font>
    <font>
      <sz val="9"/>
      <color rgb="FF1E9E7E"/>
      <name val="Calibri"/>
      <charset val="1"/>
    </font>
    <font>
      <b/>
      <sz val="9"/>
      <color rgb="FFD99B0F"/>
      <name val="Calibri"/>
      <charset val="1"/>
    </font>
    <font>
      <sz val="9"/>
      <color rgb="FFD99B0F"/>
      <name val="Calibri"/>
      <charset val="1"/>
    </font>
    <font>
      <b/>
      <sz val="9"/>
      <color rgb="FF5E8B2B"/>
      <name val="Calibri"/>
      <charset val="1"/>
    </font>
    <font>
      <sz val="9"/>
      <color rgb="FF5E8B2B"/>
      <name val="Calibri"/>
      <charset val="1"/>
    </font>
    <font>
      <b/>
      <sz val="9"/>
      <color rgb="FF6F5BA8"/>
      <name val="Calibri"/>
      <charset val="1"/>
    </font>
    <font>
      <sz val="9"/>
      <color rgb="FF6F5BA8"/>
      <name val="Calibri"/>
      <charset val="1"/>
    </font>
    <font>
      <b/>
      <sz val="15"/>
      <color rgb="FF1E9E7E"/>
      <name val="Calibri"/>
      <charset val="1"/>
    </font>
    <font>
      <b/>
      <sz val="15"/>
      <color rgb="FFCF3A2C"/>
      <name val="Calibri"/>
      <charset val="1"/>
    </font>
    <font>
      <b/>
      <sz val="15"/>
      <color rgb="FFD99B0F"/>
      <name val="Calibri"/>
      <charset val="1"/>
    </font>
    <font>
      <b/>
      <sz val="10"/>
      <color rgb="FF1B1830"/>
      <name val="Calibri"/>
      <charset val="1"/>
    </font>
    <font>
      <b/>
      <sz val="10"/>
      <color rgb="FF2536A0"/>
      <name val="Calibri"/>
      <charset val="1"/>
    </font>
    <font>
      <b/>
      <sz val="9"/>
      <color rgb="FFDBF0E9"/>
      <name val="Calibri"/>
      <charset val="1"/>
    </font>
    <font>
      <b/>
      <sz val="8.5"/>
      <color rgb="FF3A3560"/>
      <name val="Calibri"/>
      <charset val="1"/>
    </font>
    <font>
      <b/>
      <sz val="8.5"/>
      <color rgb="FF1E9E7E"/>
      <name val="Calibri"/>
      <charset val="1"/>
    </font>
    <font>
      <b/>
      <sz val="8.5"/>
      <color rgb="FFD99B0F"/>
      <name val="Calibri"/>
      <charset val="1"/>
    </font>
    <font>
      <b/>
      <sz val="8.5"/>
      <color rgb="FFCF3A2C"/>
      <name val="Calibri"/>
      <charset val="1"/>
    </font>
    <font>
      <b/>
      <sz val="8.5"/>
      <color rgb="FFC42D6B"/>
      <name val="Calibri"/>
      <charset val="1"/>
    </font>
  </fonts>
  <fills count="23">
    <fill>
      <patternFill patternType="none"/>
    </fill>
    <fill>
      <patternFill patternType="gray125"/>
    </fill>
    <fill>
      <patternFill patternType="solid">
        <fgColor rgb="FF3B4FC4"/>
        <bgColor rgb="FF2536A0"/>
      </patternFill>
    </fill>
    <fill>
      <patternFill patternType="solid">
        <fgColor rgb="FF1B1830"/>
        <bgColor rgb="FF000000"/>
      </patternFill>
    </fill>
    <fill>
      <patternFill patternType="solid">
        <fgColor rgb="FFC42D6B"/>
        <bgColor rgb="FFCF3A2C"/>
      </patternFill>
    </fill>
    <fill>
      <patternFill patternType="solid">
        <fgColor rgb="FF1E9E7E"/>
        <bgColor rgb="FF1F7FA8"/>
      </patternFill>
    </fill>
    <fill>
      <patternFill patternType="solid">
        <fgColor rgb="FFD99B0F"/>
        <bgColor rgb="FFFF6600"/>
      </patternFill>
    </fill>
    <fill>
      <patternFill patternType="solid">
        <fgColor rgb="FF3A3560"/>
        <bgColor rgb="FF2536A0"/>
      </patternFill>
    </fill>
    <fill>
      <patternFill patternType="solid">
        <fgColor rgb="FFDEDAEB"/>
        <bgColor rgb="FFD9D9D9"/>
      </patternFill>
    </fill>
    <fill>
      <patternFill patternType="solid">
        <fgColor rgb="FFFCFBFE"/>
        <bgColor rgb="FFFFFFFF"/>
      </patternFill>
    </fill>
    <fill>
      <patternFill patternType="solid">
        <fgColor rgb="FFEDF0FC"/>
        <bgColor rgb="FFEFEDF6"/>
      </patternFill>
    </fill>
    <fill>
      <patternFill patternType="solid">
        <fgColor rgb="FFEFEDF6"/>
        <bgColor rgb="FFEEEDF3"/>
      </patternFill>
    </fill>
    <fill>
      <patternFill patternType="solid">
        <fgColor rgb="FFEEEDF3"/>
        <bgColor rgb="FFEFEDF6"/>
      </patternFill>
    </fill>
    <fill>
      <patternFill patternType="solid">
        <fgColor rgb="FFF3EEFC"/>
        <bgColor rgb="FFEFEDF6"/>
      </patternFill>
    </fill>
    <fill>
      <patternFill patternType="solid">
        <fgColor rgb="FFDDE2F8"/>
        <bgColor rgb="FFE7E2F4"/>
      </patternFill>
    </fill>
    <fill>
      <patternFill patternType="solid">
        <fgColor rgb="FFFADFD9"/>
        <bgColor rgb="FFFADFEA"/>
      </patternFill>
    </fill>
    <fill>
      <patternFill patternType="solid">
        <fgColor rgb="FFE6E4EE"/>
        <bgColor rgb="FFE7E2F4"/>
      </patternFill>
    </fill>
    <fill>
      <patternFill patternType="solid">
        <fgColor rgb="FFFADFEA"/>
        <bgColor rgb="FFFADFD9"/>
      </patternFill>
    </fill>
    <fill>
      <patternFill patternType="solid">
        <fgColor rgb="FFDCEDF5"/>
        <bgColor rgb="FFDBF0E9"/>
      </patternFill>
    </fill>
    <fill>
      <patternFill patternType="solid">
        <fgColor rgb="FFDBF0E9"/>
        <bgColor rgb="FFDCEDF5"/>
      </patternFill>
    </fill>
    <fill>
      <patternFill patternType="solid">
        <fgColor rgb="FFFBEFD0"/>
        <bgColor rgb="FFE6EFDA"/>
      </patternFill>
    </fill>
    <fill>
      <patternFill patternType="solid">
        <fgColor rgb="FFE6EFDA"/>
        <bgColor rgb="FFDBF0E9"/>
      </patternFill>
    </fill>
    <fill>
      <patternFill patternType="solid">
        <fgColor rgb="FFE7E2F4"/>
        <bgColor rgb="FFE6E4EE"/>
      </patternFill>
    </fill>
  </fills>
  <borders count="32">
    <border>
      <left/>
      <right/>
      <top/>
      <bottom/>
      <diagonal/>
    </border>
    <border>
      <left/>
      <right/>
      <top/>
      <bottom style="dotted">
        <color rgb="FF3A3560"/>
      </bottom>
      <diagonal/>
    </border>
    <border>
      <left/>
      <right/>
      <top/>
      <bottom style="thin">
        <color rgb="FFDEDAEB"/>
      </bottom>
      <diagonal/>
    </border>
    <border>
      <left/>
      <right/>
      <top/>
      <bottom style="thin">
        <color rgb="FFC9C4DC"/>
      </bottom>
      <diagonal/>
    </border>
    <border>
      <left/>
      <right/>
      <top/>
      <bottom style="double">
        <color rgb="FF1B1830"/>
      </bottom>
      <diagonal/>
    </border>
    <border>
      <left/>
      <right/>
      <top/>
      <bottom style="double">
        <color rgb="FF3B4FC4"/>
      </bottom>
      <diagonal/>
    </border>
    <border>
      <left/>
      <right/>
      <top/>
      <bottom style="double">
        <color rgb="FFCF3A2C"/>
      </bottom>
      <diagonal/>
    </border>
    <border>
      <left/>
      <right/>
      <top/>
      <bottom style="double">
        <color rgb="FF1E9E7E"/>
      </bottom>
      <diagonal/>
    </border>
    <border>
      <left/>
      <right/>
      <top/>
      <bottom style="double">
        <color rgb="FF3A3560"/>
      </bottom>
      <diagonal/>
    </border>
    <border>
      <left/>
      <right/>
      <top/>
      <bottom style="double">
        <color rgb="FFD99B0F"/>
      </bottom>
      <diagonal/>
    </border>
    <border>
      <left/>
      <right/>
      <top/>
      <bottom style="double">
        <color rgb="FFC42D6B"/>
      </bottom>
      <diagonal/>
    </border>
    <border>
      <left/>
      <right/>
      <top/>
      <bottom style="medium">
        <color rgb="FF3B4FC4"/>
      </bottom>
      <diagonal/>
    </border>
    <border>
      <left/>
      <right style="thin">
        <color rgb="FFDEDAEB"/>
      </right>
      <top/>
      <bottom style="thin">
        <color rgb="FFDEDAEB"/>
      </bottom>
      <diagonal/>
    </border>
    <border>
      <left/>
      <right style="thin">
        <color rgb="FFDEDAEB"/>
      </right>
      <top/>
      <bottom style="thin">
        <color rgb="FFEFEDF6"/>
      </bottom>
      <diagonal/>
    </border>
    <border>
      <left/>
      <right/>
      <top/>
      <bottom style="medium">
        <color rgb="FFC42D6B"/>
      </bottom>
      <diagonal/>
    </border>
    <border>
      <left style="thin">
        <color rgb="FF3B4FC4"/>
      </left>
      <right/>
      <top style="thin">
        <color rgb="FF3B4FC4"/>
      </top>
      <bottom style="thin">
        <color rgb="FF3B4F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F3A2C"/>
      </left>
      <right/>
      <top style="thin">
        <color rgb="FFCF3A2C"/>
      </top>
      <bottom style="thin">
        <color rgb="FFCF3A2C"/>
      </bottom>
      <diagonal/>
    </border>
    <border>
      <left style="thin">
        <color rgb="FF8E8AA3"/>
      </left>
      <right/>
      <top style="thin">
        <color rgb="FF8E8AA3"/>
      </top>
      <bottom style="thin">
        <color rgb="FF8E8AA3"/>
      </bottom>
      <diagonal/>
    </border>
    <border>
      <left style="thin">
        <color rgb="FFC42D6B"/>
      </left>
      <right/>
      <top style="thin">
        <color rgb="FFC42D6B"/>
      </top>
      <bottom style="thin">
        <color rgb="FFC42D6B"/>
      </bottom>
      <diagonal/>
    </border>
    <border>
      <left style="thin">
        <color rgb="FF3A3560"/>
      </left>
      <right/>
      <top style="thin">
        <color rgb="FF3A3560"/>
      </top>
      <bottom style="thin">
        <color rgb="FF3A3560"/>
      </bottom>
      <diagonal/>
    </border>
    <border>
      <left/>
      <right/>
      <top/>
      <bottom style="thick">
        <color rgb="FF1B1830"/>
      </bottom>
      <diagonal/>
    </border>
    <border>
      <left/>
      <right/>
      <top/>
      <bottom style="thick">
        <color rgb="FF1E9E7E"/>
      </bottom>
      <diagonal/>
    </border>
    <border>
      <left/>
      <right/>
      <top/>
      <bottom style="thick">
        <color rgb="FF3B4FC4"/>
      </bottom>
      <diagonal/>
    </border>
    <border>
      <left/>
      <right/>
      <top/>
      <bottom style="thick">
        <color rgb="FFCF3A2C"/>
      </bottom>
      <diagonal/>
    </border>
    <border>
      <left/>
      <right/>
      <top/>
      <bottom style="thick">
        <color rgb="FFC42D6B"/>
      </bottom>
      <diagonal/>
    </border>
    <border>
      <left/>
      <right/>
      <top/>
      <bottom style="medium">
        <color rgb="FF1E9E7E"/>
      </bottom>
      <diagonal/>
    </border>
    <border>
      <left style="thin">
        <color rgb="FF3A3560"/>
      </left>
      <right style="thin">
        <color rgb="FF3A3560"/>
      </right>
      <top style="thin">
        <color rgb="FF3A3560"/>
      </top>
      <bottom style="thin">
        <color rgb="FF3A3560"/>
      </bottom>
      <diagonal/>
    </border>
    <border>
      <left style="thin">
        <color rgb="FF1E9E7E"/>
      </left>
      <right style="thin">
        <color rgb="FF1E9E7E"/>
      </right>
      <top style="thin">
        <color rgb="FF1E9E7E"/>
      </top>
      <bottom style="thin">
        <color rgb="FF1E9E7E"/>
      </bottom>
      <diagonal/>
    </border>
    <border>
      <left style="thin">
        <color rgb="FFD99B0F"/>
      </left>
      <right style="thin">
        <color rgb="FFD99B0F"/>
      </right>
      <top style="thin">
        <color rgb="FFD99B0F"/>
      </top>
      <bottom style="thin">
        <color rgb="FFD99B0F"/>
      </bottom>
      <diagonal/>
    </border>
    <border>
      <left style="thin">
        <color rgb="FFCF3A2C"/>
      </left>
      <right style="thin">
        <color rgb="FFCF3A2C"/>
      </right>
      <top style="thin">
        <color rgb="FFCF3A2C"/>
      </top>
      <bottom style="thin">
        <color rgb="FFCF3A2C"/>
      </bottom>
      <diagonal/>
    </border>
    <border>
      <left style="thin">
        <color rgb="FFC42D6B"/>
      </left>
      <right style="thin">
        <color rgb="FFC42D6B"/>
      </right>
      <top style="thin">
        <color rgb="FFC42D6B"/>
      </top>
      <bottom style="thin">
        <color rgb="FFC42D6B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1" fillId="9" borderId="3" xfId="0" applyFont="1" applyFill="1" applyBorder="1" applyAlignment="1">
      <alignment horizontal="left" vertical="center" indent="1"/>
    </xf>
    <xf numFmtId="0" fontId="10" fillId="11" borderId="2" xfId="0" applyFont="1" applyFill="1" applyBorder="1" applyAlignment="1">
      <alignment horizontal="left" vertical="center" indent="1"/>
    </xf>
    <xf numFmtId="0" fontId="9" fillId="10" borderId="0" xfId="0" applyFont="1" applyFill="1" applyAlignment="1">
      <alignment horizontal="center" vertical="center" wrapText="1"/>
    </xf>
    <xf numFmtId="0" fontId="8" fillId="9" borderId="1" xfId="0" applyFont="1" applyFill="1" applyBorder="1" applyAlignment="1">
      <alignment horizontal="right" vertical="center" indent="1"/>
    </xf>
    <xf numFmtId="0" fontId="7" fillId="9" borderId="1" xfId="0" applyFont="1" applyFill="1" applyBorder="1" applyAlignment="1">
      <alignment horizontal="left" vertical="center" indent="1"/>
    </xf>
    <xf numFmtId="0" fontId="5" fillId="7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top" indent="1"/>
    </xf>
    <xf numFmtId="0" fontId="3" fillId="3" borderId="0" xfId="0" applyFont="1" applyFill="1" applyAlignment="1">
      <alignment horizontal="left" vertical="top" indent="1"/>
    </xf>
    <xf numFmtId="0" fontId="2" fillId="6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indent="1"/>
    </xf>
    <xf numFmtId="0" fontId="1" fillId="3" borderId="0" xfId="0" applyFont="1" applyFill="1" applyAlignment="1">
      <alignment horizontal="left" indent="1"/>
    </xf>
    <xf numFmtId="0" fontId="0" fillId="2" borderId="0" xfId="0" applyFill="1"/>
    <xf numFmtId="0" fontId="0" fillId="8" borderId="0" xfId="0" applyFill="1"/>
    <xf numFmtId="0" fontId="6" fillId="2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right" vertical="center" indent="1"/>
    </xf>
    <xf numFmtId="0" fontId="10" fillId="11" borderId="2" xfId="0" applyFont="1" applyFill="1" applyBorder="1" applyAlignment="1">
      <alignment horizontal="left" vertical="center" indent="1"/>
    </xf>
    <xf numFmtId="164" fontId="20" fillId="0" borderId="0" xfId="0" applyNumberFormat="1" applyFont="1" applyAlignment="1">
      <alignment horizontal="left" vertical="center"/>
    </xf>
    <xf numFmtId="0" fontId="22" fillId="3" borderId="11" xfId="0" applyFont="1" applyFill="1" applyBorder="1" applyAlignment="1">
      <alignment horizontal="center" vertical="center" wrapText="1"/>
    </xf>
    <xf numFmtId="0" fontId="23" fillId="12" borderId="12" xfId="0" applyFont="1" applyFill="1" applyBorder="1" applyAlignment="1">
      <alignment horizontal="center" vertical="center"/>
    </xf>
    <xf numFmtId="0" fontId="24" fillId="13" borderId="12" xfId="0" applyFont="1" applyFill="1" applyBorder="1" applyAlignment="1">
      <alignment horizontal="left" vertical="center" indent="1"/>
    </xf>
    <xf numFmtId="0" fontId="25" fillId="13" borderId="12" xfId="0" applyFont="1" applyFill="1" applyBorder="1" applyAlignment="1">
      <alignment horizontal="left" vertical="center" indent="1"/>
    </xf>
    <xf numFmtId="164" fontId="26" fillId="13" borderId="12" xfId="0" applyNumberFormat="1" applyFont="1" applyFill="1" applyBorder="1" applyAlignment="1">
      <alignment horizontal="center" vertical="center"/>
    </xf>
    <xf numFmtId="1" fontId="26" fillId="12" borderId="12" xfId="0" applyNumberFormat="1" applyFont="1" applyFill="1" applyBorder="1" applyAlignment="1">
      <alignment horizontal="center" vertical="center"/>
    </xf>
    <xf numFmtId="0" fontId="27" fillId="12" borderId="12" xfId="0" applyFont="1" applyFill="1" applyBorder="1" applyAlignment="1">
      <alignment horizontal="center" vertical="center"/>
    </xf>
    <xf numFmtId="3" fontId="26" fillId="13" borderId="12" xfId="0" applyNumberFormat="1" applyFont="1" applyFill="1" applyBorder="1" applyAlignment="1">
      <alignment horizontal="center" vertical="center"/>
    </xf>
    <xf numFmtId="0" fontId="26" fillId="13" borderId="12" xfId="0" applyFont="1" applyFill="1" applyBorder="1" applyAlignment="1">
      <alignment horizontal="center" vertical="center"/>
    </xf>
    <xf numFmtId="2" fontId="28" fillId="12" borderId="12" xfId="0" applyNumberFormat="1" applyFont="1" applyFill="1" applyBorder="1" applyAlignment="1">
      <alignment horizontal="center" vertical="center"/>
    </xf>
    <xf numFmtId="165" fontId="26" fillId="13" borderId="12" xfId="0" applyNumberFormat="1" applyFont="1" applyFill="1" applyBorder="1" applyAlignment="1">
      <alignment horizontal="center" vertical="center"/>
    </xf>
    <xf numFmtId="0" fontId="27" fillId="12" borderId="12" xfId="0" applyFont="1" applyFill="1" applyBorder="1" applyAlignment="1">
      <alignment horizontal="left" vertical="center" indent="1"/>
    </xf>
    <xf numFmtId="0" fontId="26" fillId="13" borderId="12" xfId="0" applyFont="1" applyFill="1" applyBorder="1" applyAlignment="1">
      <alignment horizontal="left" vertical="center" indent="1"/>
    </xf>
    <xf numFmtId="0" fontId="29" fillId="12" borderId="12" xfId="0" applyFont="1" applyFill="1" applyBorder="1" applyAlignment="1">
      <alignment horizontal="left" vertical="center" indent="1"/>
    </xf>
    <xf numFmtId="0" fontId="26" fillId="9" borderId="13" xfId="0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center" vertical="center"/>
    </xf>
    <xf numFmtId="3" fontId="6" fillId="3" borderId="0" xfId="0" applyNumberFormat="1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0" fontId="31" fillId="3" borderId="0" xfId="0" applyFont="1" applyFill="1" applyAlignment="1">
      <alignment horizontal="left" vertical="center" indent="1"/>
    </xf>
    <xf numFmtId="168" fontId="6" fillId="7" borderId="0" xfId="0" applyNumberFormat="1" applyFont="1" applyFill="1" applyAlignment="1">
      <alignment horizontal="center" vertical="center"/>
    </xf>
    <xf numFmtId="0" fontId="22" fillId="3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32" fillId="9" borderId="13" xfId="0" applyFont="1" applyFill="1" applyBorder="1" applyAlignment="1">
      <alignment horizontal="center" vertical="center"/>
    </xf>
    <xf numFmtId="0" fontId="30" fillId="11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left" vertical="top" indent="1"/>
    </xf>
    <xf numFmtId="3" fontId="12" fillId="9" borderId="0" xfId="0" applyNumberFormat="1" applyFont="1" applyFill="1" applyAlignment="1">
      <alignment horizontal="left" vertical="center" indent="1"/>
    </xf>
    <xf numFmtId="3" fontId="18" fillId="9" borderId="0" xfId="0" applyNumberFormat="1" applyFont="1" applyFill="1" applyAlignment="1">
      <alignment horizontal="left" vertical="center" indent="1"/>
    </xf>
    <xf numFmtId="0" fontId="19" fillId="9" borderId="21" xfId="0" applyFont="1" applyFill="1" applyBorder="1" applyAlignment="1">
      <alignment horizontal="left" indent="1"/>
    </xf>
    <xf numFmtId="0" fontId="19" fillId="9" borderId="25" xfId="0" applyFont="1" applyFill="1" applyBorder="1" applyAlignment="1">
      <alignment horizontal="left" indent="1"/>
    </xf>
    <xf numFmtId="0" fontId="0" fillId="9" borderId="1" xfId="0" applyFill="1" applyBorder="1"/>
    <xf numFmtId="0" fontId="6" fillId="4" borderId="1" xfId="0" applyFont="1" applyFill="1" applyBorder="1" applyAlignment="1">
      <alignment horizontal="center" vertical="center"/>
    </xf>
    <xf numFmtId="0" fontId="39" fillId="9" borderId="2" xfId="0" applyFont="1" applyFill="1" applyBorder="1" applyAlignment="1">
      <alignment horizontal="center" vertical="center"/>
    </xf>
    <xf numFmtId="0" fontId="24" fillId="9" borderId="2" xfId="0" applyFont="1" applyFill="1" applyBorder="1" applyAlignment="1">
      <alignment horizontal="left" vertical="center" indent="1"/>
    </xf>
    <xf numFmtId="3" fontId="26" fillId="9" borderId="2" xfId="0" applyNumberFormat="1" applyFont="1" applyFill="1" applyBorder="1" applyAlignment="1">
      <alignment horizontal="center" vertical="center"/>
    </xf>
    <xf numFmtId="165" fontId="24" fillId="9" borderId="2" xfId="0" applyNumberFormat="1" applyFont="1" applyFill="1" applyBorder="1" applyAlignment="1">
      <alignment horizontal="center" vertical="center"/>
    </xf>
    <xf numFmtId="165" fontId="41" fillId="9" borderId="2" xfId="0" applyNumberFormat="1" applyFont="1" applyFill="1" applyBorder="1" applyAlignment="1">
      <alignment horizontal="center" vertical="center"/>
    </xf>
    <xf numFmtId="165" fontId="26" fillId="9" borderId="2" xfId="0" applyNumberFormat="1" applyFont="1" applyFill="1" applyBorder="1" applyAlignment="1">
      <alignment horizontal="center" vertical="center"/>
    </xf>
    <xf numFmtId="0" fontId="27" fillId="9" borderId="2" xfId="0" applyFont="1" applyFill="1" applyBorder="1" applyAlignment="1">
      <alignment horizontal="center" vertical="center"/>
    </xf>
    <xf numFmtId="0" fontId="28" fillId="9" borderId="2" xfId="0" applyFont="1" applyFill="1" applyBorder="1" applyAlignment="1">
      <alignment horizontal="center" vertical="center"/>
    </xf>
    <xf numFmtId="0" fontId="43" fillId="9" borderId="2" xfId="0" applyFont="1" applyFill="1" applyBorder="1" applyAlignment="1">
      <alignment horizontal="center" vertical="center"/>
    </xf>
    <xf numFmtId="0" fontId="45" fillId="9" borderId="2" xfId="0" applyFont="1" applyFill="1" applyBorder="1" applyAlignment="1">
      <alignment horizontal="center" vertical="center"/>
    </xf>
    <xf numFmtId="0" fontId="47" fillId="9" borderId="2" xfId="0" applyFont="1" applyFill="1" applyBorder="1" applyAlignment="1">
      <alignment horizontal="center" vertical="center"/>
    </xf>
    <xf numFmtId="0" fontId="49" fillId="9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indent="1"/>
    </xf>
    <xf numFmtId="3" fontId="6" fillId="3" borderId="2" xfId="0" applyNumberFormat="1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51" fillId="9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3" fontId="24" fillId="9" borderId="2" xfId="0" applyNumberFormat="1" applyFont="1" applyFill="1" applyBorder="1" applyAlignment="1">
      <alignment horizontal="center" vertical="center"/>
    </xf>
    <xf numFmtId="3" fontId="25" fillId="12" borderId="2" xfId="0" applyNumberFormat="1" applyFont="1" applyFill="1" applyBorder="1" applyAlignment="1">
      <alignment horizontal="center" vertical="center"/>
    </xf>
    <xf numFmtId="3" fontId="25" fillId="12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left" vertical="center"/>
    </xf>
    <xf numFmtId="3" fontId="22" fillId="3" borderId="2" xfId="0" applyNumberFormat="1" applyFont="1" applyFill="1" applyBorder="1" applyAlignment="1">
      <alignment horizontal="center" vertical="center"/>
    </xf>
    <xf numFmtId="3" fontId="22" fillId="3" borderId="0" xfId="0" applyNumberFormat="1" applyFont="1" applyFill="1" applyAlignment="1">
      <alignment horizontal="center" vertical="center"/>
    </xf>
    <xf numFmtId="164" fontId="26" fillId="9" borderId="2" xfId="0" applyNumberFormat="1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 vertical="center"/>
    </xf>
    <xf numFmtId="0" fontId="26" fillId="9" borderId="2" xfId="0" applyFont="1" applyFill="1" applyBorder="1" applyAlignment="1">
      <alignment horizontal="center" vertical="center"/>
    </xf>
    <xf numFmtId="1" fontId="56" fillId="13" borderId="3" xfId="0" applyNumberFormat="1" applyFont="1" applyFill="1" applyBorder="1" applyAlignment="1">
      <alignment horizontal="left" vertical="center" indent="1"/>
    </xf>
    <xf numFmtId="164" fontId="57" fillId="9" borderId="3" xfId="0" applyNumberFormat="1" applyFont="1" applyFill="1" applyBorder="1" applyAlignment="1">
      <alignment horizontal="left" vertical="center" indent="1"/>
    </xf>
    <xf numFmtId="1" fontId="57" fillId="9" borderId="3" xfId="0" applyNumberFormat="1" applyFont="1" applyFill="1" applyBorder="1" applyAlignment="1">
      <alignment horizontal="left" vertical="center" indent="1"/>
    </xf>
    <xf numFmtId="169" fontId="56" fillId="13" borderId="3" xfId="0" applyNumberFormat="1" applyFont="1" applyFill="1" applyBorder="1" applyAlignment="1">
      <alignment horizontal="left" vertical="center" indent="1"/>
    </xf>
    <xf numFmtId="165" fontId="56" fillId="13" borderId="3" xfId="0" applyNumberFormat="1" applyFont="1" applyFill="1" applyBorder="1" applyAlignment="1">
      <alignment horizontal="left" vertical="center" indent="1"/>
    </xf>
    <xf numFmtId="166" fontId="56" fillId="13" borderId="3" xfId="0" applyNumberFormat="1" applyFont="1" applyFill="1" applyBorder="1" applyAlignment="1">
      <alignment horizontal="left" vertical="center" indent="1"/>
    </xf>
    <xf numFmtId="166" fontId="57" fillId="9" borderId="3" xfId="0" applyNumberFormat="1" applyFont="1" applyFill="1" applyBorder="1" applyAlignment="1">
      <alignment horizontal="left" vertical="center" indent="1"/>
    </xf>
    <xf numFmtId="0" fontId="23" fillId="12" borderId="2" xfId="0" applyFont="1" applyFill="1" applyBorder="1" applyAlignment="1">
      <alignment horizontal="center" vertical="center"/>
    </xf>
    <xf numFmtId="0" fontId="24" fillId="13" borderId="2" xfId="0" applyFont="1" applyFill="1" applyBorder="1" applyAlignment="1">
      <alignment horizontal="left" vertical="center" indent="1"/>
    </xf>
    <xf numFmtId="0" fontId="25" fillId="13" borderId="2" xfId="0" applyFont="1" applyFill="1" applyBorder="1" applyAlignment="1">
      <alignment horizontal="left" vertical="center" indent="1"/>
    </xf>
    <xf numFmtId="3" fontId="26" fillId="12" borderId="2" xfId="0" applyNumberFormat="1" applyFont="1" applyFill="1" applyBorder="1" applyAlignment="1">
      <alignment horizontal="center" vertical="center"/>
    </xf>
    <xf numFmtId="165" fontId="24" fillId="13" borderId="2" xfId="0" applyNumberFormat="1" applyFont="1" applyFill="1" applyBorder="1" applyAlignment="1">
      <alignment horizontal="center" vertical="center"/>
    </xf>
    <xf numFmtId="165" fontId="41" fillId="12" borderId="2" xfId="0" applyNumberFormat="1" applyFont="1" applyFill="1" applyBorder="1" applyAlignment="1">
      <alignment horizontal="center" vertical="center"/>
    </xf>
    <xf numFmtId="0" fontId="58" fillId="3" borderId="2" xfId="0" applyFont="1" applyFill="1" applyBorder="1" applyAlignment="1">
      <alignment horizontal="center" vertical="center"/>
    </xf>
    <xf numFmtId="3" fontId="24" fillId="13" borderId="2" xfId="0" applyNumberFormat="1" applyFont="1" applyFill="1" applyBorder="1" applyAlignment="1">
      <alignment horizontal="center" vertical="center"/>
    </xf>
    <xf numFmtId="165" fontId="24" fillId="1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11" fillId="9" borderId="3" xfId="0" applyNumberFormat="1" applyFont="1" applyFill="1" applyBorder="1" applyAlignment="1">
      <alignment horizontal="left" vertical="center" indent="1"/>
    </xf>
    <xf numFmtId="3" fontId="12" fillId="9" borderId="0" xfId="0" applyNumberFormat="1" applyFont="1" applyFill="1" applyAlignment="1">
      <alignment horizontal="left" indent="1"/>
    </xf>
    <xf numFmtId="3" fontId="13" fillId="9" borderId="0" xfId="0" applyNumberFormat="1" applyFont="1" applyFill="1" applyAlignment="1">
      <alignment horizontal="left" indent="1"/>
    </xf>
    <xf numFmtId="3" fontId="14" fillId="9" borderId="0" xfId="0" applyNumberFormat="1" applyFont="1" applyFill="1" applyAlignment="1">
      <alignment horizontal="left" indent="1"/>
    </xf>
    <xf numFmtId="165" fontId="15" fillId="9" borderId="0" xfId="0" applyNumberFormat="1" applyFont="1" applyFill="1" applyAlignment="1">
      <alignment horizontal="left" indent="1"/>
    </xf>
    <xf numFmtId="166" fontId="16" fillId="9" borderId="0" xfId="0" applyNumberFormat="1" applyFont="1" applyFill="1" applyAlignment="1">
      <alignment horizontal="left" indent="1"/>
    </xf>
    <xf numFmtId="165" fontId="17" fillId="9" borderId="0" xfId="0" applyNumberFormat="1" applyFont="1" applyFill="1" applyAlignment="1">
      <alignment horizontal="left" indent="1"/>
    </xf>
    <xf numFmtId="3" fontId="18" fillId="9" borderId="0" xfId="0" applyNumberFormat="1" applyFont="1" applyFill="1" applyAlignment="1">
      <alignment horizontal="left" indent="1"/>
    </xf>
    <xf numFmtId="0" fontId="10" fillId="9" borderId="4" xfId="0" applyFont="1" applyFill="1" applyBorder="1" applyAlignment="1">
      <alignment horizontal="left" vertical="top" indent="1"/>
    </xf>
    <xf numFmtId="0" fontId="10" fillId="9" borderId="5" xfId="0" applyFont="1" applyFill="1" applyBorder="1" applyAlignment="1">
      <alignment horizontal="left" vertical="top" indent="1"/>
    </xf>
    <xf numFmtId="0" fontId="10" fillId="9" borderId="6" xfId="0" applyFont="1" applyFill="1" applyBorder="1" applyAlignment="1">
      <alignment horizontal="left" vertical="top" indent="1"/>
    </xf>
    <xf numFmtId="0" fontId="10" fillId="9" borderId="7" xfId="0" applyFont="1" applyFill="1" applyBorder="1" applyAlignment="1">
      <alignment horizontal="left" vertical="top" indent="1"/>
    </xf>
    <xf numFmtId="0" fontId="10" fillId="9" borderId="8" xfId="0" applyFont="1" applyFill="1" applyBorder="1" applyAlignment="1">
      <alignment horizontal="left" vertical="top" indent="1"/>
    </xf>
    <xf numFmtId="0" fontId="10" fillId="9" borderId="9" xfId="0" applyFont="1" applyFill="1" applyBorder="1" applyAlignment="1">
      <alignment horizontal="left" vertical="top" indent="1"/>
    </xf>
    <xf numFmtId="0" fontId="10" fillId="9" borderId="10" xfId="0" applyFont="1" applyFill="1" applyBorder="1" applyAlignment="1">
      <alignment horizontal="left" vertical="top" indent="1"/>
    </xf>
    <xf numFmtId="0" fontId="19" fillId="9" borderId="0" xfId="0" applyFont="1" applyFill="1" applyAlignment="1">
      <alignment horizontal="left" vertical="center" indent="1"/>
    </xf>
    <xf numFmtId="0" fontId="21" fillId="2" borderId="0" xfId="0" applyFont="1" applyFill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6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30" fillId="3" borderId="0" xfId="0" applyFont="1" applyFill="1" applyAlignment="1">
      <alignment horizontal="right" vertical="center"/>
    </xf>
    <xf numFmtId="0" fontId="22" fillId="3" borderId="14" xfId="0" applyFont="1" applyFill="1" applyBorder="1" applyAlignment="1">
      <alignment horizontal="center" vertical="center" wrapText="1"/>
    </xf>
    <xf numFmtId="164" fontId="24" fillId="13" borderId="12" xfId="0" applyNumberFormat="1" applyFont="1" applyFill="1" applyBorder="1" applyAlignment="1">
      <alignment horizontal="center" vertical="center"/>
    </xf>
    <xf numFmtId="0" fontId="25" fillId="13" borderId="12" xfId="0" applyFont="1" applyFill="1" applyBorder="1" applyAlignment="1">
      <alignment horizontal="left" vertical="center" indent="1"/>
    </xf>
    <xf numFmtId="0" fontId="29" fillId="12" borderId="12" xfId="0" applyFont="1" applyFill="1" applyBorder="1" applyAlignment="1">
      <alignment horizontal="left" vertical="center" indent="1"/>
    </xf>
    <xf numFmtId="0" fontId="26" fillId="13" borderId="12" xfId="0" applyFont="1" applyFill="1" applyBorder="1" applyAlignment="1">
      <alignment horizontal="left" vertical="center" indent="1"/>
    </xf>
    <xf numFmtId="0" fontId="33" fillId="14" borderId="15" xfId="0" applyFont="1" applyFill="1" applyBorder="1" applyAlignment="1">
      <alignment horizontal="center" vertical="center"/>
    </xf>
    <xf numFmtId="0" fontId="34" fillId="2" borderId="16" xfId="0" applyFont="1" applyFill="1" applyBorder="1" applyAlignment="1">
      <alignment horizontal="center" vertical="center"/>
    </xf>
    <xf numFmtId="0" fontId="35" fillId="15" borderId="17" xfId="0" applyFont="1" applyFill="1" applyBorder="1" applyAlignment="1">
      <alignment horizontal="center" vertical="center"/>
    </xf>
    <xf numFmtId="0" fontId="36" fillId="16" borderId="18" xfId="0" applyFont="1" applyFill="1" applyBorder="1" applyAlignment="1">
      <alignment horizontal="center" vertical="center"/>
    </xf>
    <xf numFmtId="0" fontId="37" fillId="17" borderId="19" xfId="0" applyFont="1" applyFill="1" applyBorder="1" applyAlignment="1">
      <alignment horizontal="center" vertical="center"/>
    </xf>
    <xf numFmtId="0" fontId="38" fillId="11" borderId="20" xfId="0" applyFont="1" applyFill="1" applyBorder="1" applyAlignment="1">
      <alignment horizontal="center" vertical="center"/>
    </xf>
    <xf numFmtId="0" fontId="38" fillId="13" borderId="20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0" fillId="9" borderId="0" xfId="0" applyFont="1" applyFill="1" applyAlignment="1">
      <alignment horizontal="left" vertical="top" indent="1"/>
    </xf>
    <xf numFmtId="165" fontId="15" fillId="9" borderId="0" xfId="0" applyNumberFormat="1" applyFont="1" applyFill="1" applyAlignment="1">
      <alignment horizontal="left" vertical="center" indent="1"/>
    </xf>
    <xf numFmtId="3" fontId="13" fillId="9" borderId="0" xfId="0" applyNumberFormat="1" applyFont="1" applyFill="1" applyAlignment="1">
      <alignment horizontal="left" vertical="center" indent="1"/>
    </xf>
    <xf numFmtId="3" fontId="14" fillId="9" borderId="0" xfId="0" applyNumberFormat="1" applyFont="1" applyFill="1" applyAlignment="1">
      <alignment horizontal="left" vertical="center" indent="1"/>
    </xf>
    <xf numFmtId="0" fontId="19" fillId="9" borderId="22" xfId="0" applyFont="1" applyFill="1" applyBorder="1" applyAlignment="1">
      <alignment horizontal="left" indent="1"/>
    </xf>
    <xf numFmtId="0" fontId="19" fillId="9" borderId="23" xfId="0" applyFont="1" applyFill="1" applyBorder="1" applyAlignment="1">
      <alignment horizontal="left" indent="1"/>
    </xf>
    <xf numFmtId="0" fontId="19" fillId="9" borderId="24" xfId="0" applyFont="1" applyFill="1" applyBorder="1" applyAlignment="1">
      <alignment horizontal="left" indent="1"/>
    </xf>
    <xf numFmtId="0" fontId="22" fillId="3" borderId="11" xfId="0" applyFont="1" applyFill="1" applyBorder="1" applyAlignment="1">
      <alignment horizontal="center" vertical="center"/>
    </xf>
    <xf numFmtId="0" fontId="40" fillId="9" borderId="2" xfId="0" applyFont="1" applyFill="1" applyBorder="1" applyAlignment="1">
      <alignment horizontal="left" vertical="center" indent="1"/>
    </xf>
    <xf numFmtId="0" fontId="42" fillId="9" borderId="2" xfId="0" applyFont="1" applyFill="1" applyBorder="1" applyAlignment="1">
      <alignment horizontal="left" vertical="center" indent="1"/>
    </xf>
    <xf numFmtId="0" fontId="44" fillId="9" borderId="2" xfId="0" applyFont="1" applyFill="1" applyBorder="1" applyAlignment="1">
      <alignment horizontal="left" vertical="center" indent="1"/>
    </xf>
    <xf numFmtId="0" fontId="46" fillId="9" borderId="2" xfId="0" applyFont="1" applyFill="1" applyBorder="1" applyAlignment="1">
      <alignment horizontal="left" vertical="center" indent="1"/>
    </xf>
    <xf numFmtId="0" fontId="48" fillId="9" borderId="2" xfId="0" applyFont="1" applyFill="1" applyBorder="1" applyAlignment="1">
      <alignment horizontal="left" vertical="center" indent="1"/>
    </xf>
    <xf numFmtId="0" fontId="50" fillId="9" borderId="2" xfId="0" applyFont="1" applyFill="1" applyBorder="1" applyAlignment="1">
      <alignment horizontal="left" vertical="center" indent="1"/>
    </xf>
    <xf numFmtId="0" fontId="52" fillId="9" borderId="2" xfId="0" applyFont="1" applyFill="1" applyBorder="1" applyAlignment="1">
      <alignment horizontal="left" vertical="center" indent="1"/>
    </xf>
    <xf numFmtId="0" fontId="6" fillId="3" borderId="2" xfId="0" applyFont="1" applyFill="1" applyBorder="1" applyAlignment="1">
      <alignment horizontal="left" vertical="center" indent="1"/>
    </xf>
    <xf numFmtId="0" fontId="11" fillId="3" borderId="2" xfId="0" applyFont="1" applyFill="1" applyBorder="1" applyAlignment="1">
      <alignment horizontal="left" vertical="center"/>
    </xf>
    <xf numFmtId="3" fontId="53" fillId="9" borderId="0" xfId="0" applyNumberFormat="1" applyFont="1" applyFill="1" applyAlignment="1">
      <alignment horizontal="center"/>
    </xf>
    <xf numFmtId="3" fontId="54" fillId="9" borderId="0" xfId="0" applyNumberFormat="1" applyFont="1" applyFill="1" applyAlignment="1">
      <alignment horizontal="center"/>
    </xf>
    <xf numFmtId="3" fontId="55" fillId="9" borderId="0" xfId="0" applyNumberFormat="1" applyFont="1" applyFill="1" applyAlignment="1">
      <alignment horizontal="center"/>
    </xf>
    <xf numFmtId="0" fontId="10" fillId="9" borderId="7" xfId="0" applyFont="1" applyFill="1" applyBorder="1" applyAlignment="1">
      <alignment horizontal="center" vertical="top"/>
    </xf>
    <xf numFmtId="0" fontId="10" fillId="9" borderId="6" xfId="0" applyFont="1" applyFill="1" applyBorder="1" applyAlignment="1">
      <alignment horizontal="center" vertical="top"/>
    </xf>
    <xf numFmtId="0" fontId="10" fillId="9" borderId="9" xfId="0" applyFont="1" applyFill="1" applyBorder="1" applyAlignment="1">
      <alignment horizontal="center" vertical="top"/>
    </xf>
    <xf numFmtId="3" fontId="20" fillId="9" borderId="2" xfId="0" applyNumberFormat="1" applyFont="1" applyFill="1" applyBorder="1" applyAlignment="1">
      <alignment horizontal="left" vertical="center"/>
    </xf>
    <xf numFmtId="0" fontId="22" fillId="3" borderId="14" xfId="0" applyFont="1" applyFill="1" applyBorder="1" applyAlignment="1">
      <alignment horizontal="left" vertical="center" indent="1"/>
    </xf>
    <xf numFmtId="0" fontId="22" fillId="3" borderId="14" xfId="0" applyFont="1" applyFill="1" applyBorder="1" applyAlignment="1">
      <alignment horizontal="center" vertical="center"/>
    </xf>
    <xf numFmtId="0" fontId="26" fillId="9" borderId="2" xfId="0" applyFont="1" applyFill="1" applyBorder="1" applyAlignment="1">
      <alignment horizontal="left" vertical="center" indent="1"/>
    </xf>
    <xf numFmtId="0" fontId="27" fillId="9" borderId="2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left" vertical="center" indent="1"/>
    </xf>
    <xf numFmtId="0" fontId="22" fillId="3" borderId="26" xfId="0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left" vertical="center" indent="1"/>
    </xf>
    <xf numFmtId="164" fontId="11" fillId="13" borderId="3" xfId="0" applyNumberFormat="1" applyFont="1" applyFill="1" applyBorder="1" applyAlignment="1">
      <alignment horizontal="left" vertical="center" indent="1"/>
    </xf>
    <xf numFmtId="0" fontId="19" fillId="0" borderId="2" xfId="0" applyFont="1" applyBorder="1" applyAlignment="1">
      <alignment horizontal="left" vertical="center" indent="1"/>
    </xf>
    <xf numFmtId="0" fontId="22" fillId="3" borderId="11" xfId="0" applyFont="1" applyFill="1" applyBorder="1" applyAlignment="1">
      <alignment horizontal="center" vertical="center" wrapText="1"/>
    </xf>
    <xf numFmtId="0" fontId="39" fillId="14" borderId="2" xfId="0" applyFont="1" applyFill="1" applyBorder="1" applyAlignment="1">
      <alignment horizontal="center" vertical="center"/>
    </xf>
    <xf numFmtId="0" fontId="28" fillId="17" borderId="2" xfId="0" applyFont="1" applyFill="1" applyBorder="1" applyAlignment="1">
      <alignment horizontal="center" vertical="center"/>
    </xf>
    <xf numFmtId="0" fontId="43" fillId="18" borderId="2" xfId="0" applyFont="1" applyFill="1" applyBorder="1" applyAlignment="1">
      <alignment horizontal="center" vertical="center"/>
    </xf>
    <xf numFmtId="0" fontId="45" fillId="19" borderId="2" xfId="0" applyFont="1" applyFill="1" applyBorder="1" applyAlignment="1">
      <alignment horizontal="center" vertical="center"/>
    </xf>
    <xf numFmtId="0" fontId="47" fillId="20" borderId="2" xfId="0" applyFont="1" applyFill="1" applyBorder="1" applyAlignment="1">
      <alignment horizontal="center" vertical="center"/>
    </xf>
    <xf numFmtId="0" fontId="49" fillId="21" borderId="2" xfId="0" applyFont="1" applyFill="1" applyBorder="1" applyAlignment="1">
      <alignment horizontal="center" vertical="center"/>
    </xf>
    <xf numFmtId="0" fontId="51" fillId="2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right" vertical="center"/>
    </xf>
    <xf numFmtId="0" fontId="22" fillId="7" borderId="0" xfId="0" applyFont="1" applyFill="1" applyAlignment="1">
      <alignment horizontal="center" vertical="center"/>
    </xf>
    <xf numFmtId="0" fontId="26" fillId="13" borderId="2" xfId="0" applyFont="1" applyFill="1" applyBorder="1" applyAlignment="1">
      <alignment horizontal="left" vertical="center" indent="1"/>
    </xf>
    <xf numFmtId="0" fontId="25" fillId="9" borderId="2" xfId="0" applyFont="1" applyFill="1" applyBorder="1" applyAlignment="1">
      <alignment horizontal="left" vertical="center" wrapText="1" indent="1"/>
    </xf>
    <xf numFmtId="0" fontId="59" fillId="13" borderId="27" xfId="0" applyFont="1" applyFill="1" applyBorder="1" applyAlignment="1">
      <alignment horizontal="center" vertical="center"/>
    </xf>
    <xf numFmtId="0" fontId="59" fillId="12" borderId="27" xfId="0" applyFont="1" applyFill="1" applyBorder="1" applyAlignment="1">
      <alignment horizontal="center" vertical="center"/>
    </xf>
    <xf numFmtId="0" fontId="60" fillId="19" borderId="28" xfId="0" applyFont="1" applyFill="1" applyBorder="1" applyAlignment="1">
      <alignment horizontal="center" vertical="center"/>
    </xf>
    <xf numFmtId="0" fontId="61" fillId="20" borderId="29" xfId="0" applyFont="1" applyFill="1" applyBorder="1" applyAlignment="1">
      <alignment horizontal="center" vertical="center"/>
    </xf>
    <xf numFmtId="0" fontId="62" fillId="15" borderId="30" xfId="0" applyFont="1" applyFill="1" applyBorder="1" applyAlignment="1">
      <alignment horizontal="center" vertical="center"/>
    </xf>
    <xf numFmtId="0" fontId="63" fillId="17" borderId="31" xfId="0" applyFont="1" applyFill="1" applyBorder="1" applyAlignment="1">
      <alignment horizontal="center" vertical="center"/>
    </xf>
    <xf numFmtId="0" fontId="19" fillId="9" borderId="0" xfId="0" applyFont="1" applyFill="1" applyAlignment="1">
      <alignment horizontal="left" vertical="center" wrapText="1" indent="1"/>
    </xf>
  </cellXfs>
  <cellStyles count="1">
    <cellStyle name="Standard" xfId="0" builtinId="0"/>
  </cellStyles>
  <dxfs count="81">
    <dxf>
      <font>
        <b/>
        <sz val="9"/>
        <color rgb="FFD99B0F"/>
        <name val="Calibri"/>
        <charset val="1"/>
      </font>
      <fill>
        <patternFill>
          <bgColor rgb="FFFBEFD0"/>
        </patternFill>
      </fill>
    </dxf>
    <dxf>
      <font>
        <b/>
        <sz val="9"/>
        <color rgb="FFCF3A2C"/>
        <name val="Calibri"/>
        <charset val="1"/>
      </font>
      <fill>
        <patternFill>
          <bgColor rgb="FFFADFD9"/>
        </patternFill>
      </fill>
    </dxf>
    <dxf>
      <font>
        <b/>
        <sz val="10"/>
        <color rgb="FFCF3A2C"/>
        <name val="Calibri"/>
        <charset val="1"/>
      </font>
      <fill>
        <patternFill>
          <bgColor rgb="FFFADFD9"/>
        </patternFill>
      </fill>
    </dxf>
    <dxf>
      <font>
        <b/>
        <sz val="8"/>
        <color rgb="FF1F7FA8"/>
        <name val="Calibri"/>
        <charset val="1"/>
      </font>
      <fill>
        <patternFill>
          <bgColor rgb="FFDCEDF5"/>
        </patternFill>
      </fill>
    </dxf>
    <dxf>
      <font>
        <b/>
        <sz val="8"/>
        <color rgb="FFD99B0F"/>
        <name val="Calibri"/>
        <charset val="1"/>
      </font>
      <fill>
        <patternFill>
          <bgColor rgb="FFFBEFD0"/>
        </patternFill>
      </fill>
    </dxf>
    <dxf>
      <font>
        <b/>
        <sz val="8"/>
        <color rgb="FF1E9E7E"/>
        <name val="Calibri"/>
        <charset val="1"/>
      </font>
      <fill>
        <patternFill>
          <bgColor rgb="FFDBF0E9"/>
        </patternFill>
      </fill>
    </dxf>
    <dxf>
      <font>
        <b/>
        <sz val="8"/>
        <color rgb="FFD99B0F"/>
        <name val="Calibri"/>
        <charset val="1"/>
      </font>
      <fill>
        <patternFill>
          <bgColor rgb="FFFBEFD0"/>
        </patternFill>
      </fill>
    </dxf>
    <dxf>
      <font>
        <b/>
        <sz val="8"/>
        <color rgb="FF1E9E7E"/>
        <name val="Calibri"/>
        <charset val="1"/>
      </font>
      <fill>
        <patternFill>
          <bgColor rgb="FFDBF0E9"/>
        </patternFill>
      </fill>
    </dxf>
    <dxf>
      <font>
        <b/>
        <sz val="8"/>
        <color rgb="FF1F7FA8"/>
        <name val="Calibri"/>
        <charset val="1"/>
      </font>
      <fill>
        <patternFill>
          <bgColor rgb="FFDCEDF5"/>
        </patternFill>
      </fill>
    </dxf>
    <dxf>
      <font>
        <b/>
        <sz val="8"/>
        <color rgb="FFCF3A2C"/>
        <name val="Calibri"/>
        <charset val="1"/>
      </font>
      <fill>
        <patternFill>
          <bgColor rgb="FFFADFD9"/>
        </patternFill>
      </fill>
    </dxf>
    <dxf>
      <font>
        <b/>
        <sz val="8"/>
        <color rgb="FFD99B0F"/>
        <name val="Calibri"/>
        <charset val="1"/>
      </font>
      <fill>
        <patternFill>
          <bgColor rgb="FFFBEFD0"/>
        </patternFill>
      </fill>
    </dxf>
    <dxf>
      <font>
        <b/>
        <sz val="8"/>
        <color rgb="FF1E9E7E"/>
        <name val="Calibri"/>
        <charset val="1"/>
      </font>
      <fill>
        <patternFill>
          <bgColor rgb="FFDBF0E9"/>
        </patternFill>
      </fill>
    </dxf>
    <dxf>
      <font>
        <b/>
        <sz val="8"/>
        <color rgb="FF3A3560"/>
        <name val="Calibri"/>
        <charset val="1"/>
      </font>
      <fill>
        <patternFill>
          <bgColor rgb="FFEFEDF6"/>
        </patternFill>
      </fill>
    </dxf>
    <dxf>
      <font>
        <b/>
        <sz val="8"/>
        <color rgb="FFD99B0F"/>
        <name val="Calibri"/>
        <charset val="1"/>
      </font>
      <fill>
        <patternFill>
          <bgColor rgb="FFFBEFD0"/>
        </patternFill>
      </fill>
    </dxf>
    <dxf>
      <font>
        <b/>
        <sz val="8"/>
        <color rgb="FFCF3A2C"/>
        <name val="Calibri"/>
        <charset val="1"/>
      </font>
      <fill>
        <patternFill>
          <bgColor rgb="FFFADFD9"/>
        </patternFill>
      </fill>
    </dxf>
    <dxf>
      <font>
        <b/>
        <sz val="8"/>
        <color rgb="FF1B1830"/>
        <name val="Calibri"/>
        <charset val="1"/>
      </font>
      <fill>
        <patternFill>
          <bgColor rgb="FFFFFFFF"/>
        </patternFill>
      </fill>
    </dxf>
    <dxf>
      <font>
        <b/>
        <sz val="8"/>
        <color rgb="FF1B1830"/>
        <name val="Calibri"/>
        <charset val="1"/>
      </font>
      <fill>
        <patternFill>
          <bgColor rgb="FFFFFFFF"/>
        </patternFill>
      </fill>
    </dxf>
    <dxf>
      <font>
        <b/>
        <sz val="8"/>
        <color rgb="FF1B1830"/>
        <name val="Calibri"/>
        <charset val="1"/>
      </font>
      <fill>
        <patternFill>
          <bgColor rgb="FFFFFFFF"/>
        </patternFill>
      </fill>
    </dxf>
    <dxf>
      <fill>
        <patternFill>
          <bgColor rgb="FFDEDAEB"/>
        </patternFill>
      </fill>
    </dxf>
    <dxf>
      <font>
        <b/>
        <sz val="11"/>
        <color rgb="FFC42D6B"/>
        <name val="Calibri"/>
        <charset val="1"/>
      </font>
      <fill>
        <patternFill>
          <bgColor rgb="FFFADFEA"/>
        </patternFill>
      </fill>
    </dxf>
    <dxf>
      <font>
        <b/>
        <sz val="11"/>
        <color rgb="FFCF3A2C"/>
        <name val="Calibri"/>
        <charset val="1"/>
      </font>
      <fill>
        <patternFill>
          <bgColor rgb="FFFADFD9"/>
        </patternFill>
      </fill>
    </dxf>
    <dxf>
      <font>
        <b/>
        <sz val="11"/>
        <color rgb="FF1E9E7E"/>
        <name val="Calibri"/>
        <charset val="1"/>
      </font>
      <fill>
        <patternFill>
          <bgColor rgb="FFDBF0E9"/>
        </patternFill>
      </fill>
    </dxf>
    <dxf>
      <fill>
        <patternFill>
          <bgColor rgb="FFDEDAEB"/>
        </patternFill>
      </fill>
    </dxf>
    <dxf>
      <fill>
        <patternFill>
          <bgColor rgb="FFDDE2F8"/>
        </patternFill>
      </fill>
    </dxf>
    <dxf>
      <fill>
        <patternFill>
          <bgColor rgb="FFFADFD9"/>
        </patternFill>
      </fill>
    </dxf>
    <dxf>
      <fill>
        <patternFill>
          <bgColor rgb="FF3B4FC4"/>
        </patternFill>
      </fill>
    </dxf>
    <dxf>
      <fill>
        <patternFill>
          <bgColor rgb="FFE6E4EE"/>
        </patternFill>
      </fill>
    </dxf>
    <dxf>
      <font>
        <b/>
        <sz val="8"/>
        <color rgb="FF1B1830"/>
        <name val="Calibri"/>
        <charset val="1"/>
      </font>
      <fill>
        <patternFill>
          <bgColor rgb="FFFFFFFF"/>
        </patternFill>
      </fill>
    </dxf>
    <dxf>
      <font>
        <b/>
        <sz val="8"/>
        <color rgb="FFC42D6B"/>
        <name val="Calibri"/>
        <charset val="1"/>
      </font>
      <fill>
        <patternFill>
          <bgColor rgb="FFFADFEA"/>
        </patternFill>
      </fill>
    </dxf>
    <dxf>
      <font>
        <i/>
        <sz val="8"/>
        <color rgb="FF1E9E7E"/>
        <name val="Calibri"/>
        <charset val="1"/>
      </font>
      <fill>
        <patternFill>
          <bgColor rgb="FFDBF0E9"/>
        </patternFill>
      </fill>
    </dxf>
    <dxf>
      <font>
        <b/>
        <sz val="8"/>
        <color rgb="FFC42D6B"/>
        <name val="Calibri"/>
        <charset val="1"/>
      </font>
      <fill>
        <patternFill>
          <bgColor rgb="FFFADFEA"/>
        </patternFill>
      </fill>
    </dxf>
    <dxf>
      <font>
        <i/>
        <sz val="8"/>
        <color rgb="FF1E9E7E"/>
        <name val="Calibri"/>
        <charset val="1"/>
      </font>
      <fill>
        <patternFill>
          <bgColor rgb="FFDBF0E9"/>
        </patternFill>
      </fill>
    </dxf>
    <dxf>
      <font>
        <b/>
        <sz val="8"/>
        <color rgb="FF6F5BA8"/>
        <name val="Calibri"/>
        <charset val="1"/>
      </font>
      <fill>
        <patternFill>
          <bgColor rgb="FFE7E2F4"/>
        </patternFill>
      </fill>
    </dxf>
    <dxf>
      <font>
        <b/>
        <sz val="8"/>
        <color rgb="FFC42D6B"/>
        <name val="Calibri"/>
        <charset val="1"/>
      </font>
      <fill>
        <patternFill>
          <bgColor rgb="FFFADFEA"/>
        </patternFill>
      </fill>
    </dxf>
    <dxf>
      <font>
        <b/>
        <sz val="8"/>
        <color rgb="FFC42D6B"/>
        <name val="Calibri"/>
        <charset val="1"/>
      </font>
      <fill>
        <patternFill>
          <bgColor rgb="FFFADFEA"/>
        </patternFill>
      </fill>
    </dxf>
    <dxf>
      <font>
        <b/>
        <sz val="8"/>
        <color rgb="FF8E8AA3"/>
        <name val="Calibri"/>
        <charset val="1"/>
      </font>
      <fill>
        <patternFill>
          <bgColor rgb="FFE6E4EE"/>
        </patternFill>
      </fill>
    </dxf>
    <dxf>
      <font>
        <b/>
        <sz val="8"/>
        <color rgb="FF8E8AA3"/>
        <name val="Calibri"/>
        <charset val="1"/>
      </font>
      <fill>
        <patternFill>
          <bgColor rgb="FFE6E4EE"/>
        </patternFill>
      </fill>
    </dxf>
    <dxf>
      <font>
        <b/>
        <sz val="8"/>
        <color rgb="FF3A3560"/>
        <name val="Calibri"/>
        <charset val="1"/>
      </font>
      <fill>
        <patternFill>
          <bgColor rgb="FFEFEDF6"/>
        </patternFill>
      </fill>
    </dxf>
    <dxf>
      <font>
        <b/>
        <sz val="8"/>
        <color rgb="FF2536A0"/>
        <name val="Calibri"/>
        <charset val="1"/>
      </font>
      <fill>
        <patternFill>
          <bgColor rgb="FFDDE2F8"/>
        </patternFill>
      </fill>
    </dxf>
    <dxf>
      <font>
        <b/>
        <sz val="8"/>
        <color rgb="FFD99B0F"/>
        <name val="Calibri"/>
        <charset val="1"/>
      </font>
      <fill>
        <patternFill>
          <bgColor rgb="FFFBEFD0"/>
        </patternFill>
      </fill>
    </dxf>
    <dxf>
      <font>
        <b/>
        <sz val="8"/>
        <color rgb="FFD99B0F"/>
        <name val="Calibri"/>
        <charset val="1"/>
      </font>
      <fill>
        <patternFill>
          <bgColor rgb="FFFBEFD0"/>
        </patternFill>
      </fill>
    </dxf>
    <dxf>
      <font>
        <b/>
        <sz val="8"/>
        <color rgb="FFCF3A2C"/>
        <name val="Calibri"/>
        <charset val="1"/>
      </font>
      <fill>
        <patternFill>
          <bgColor rgb="FFFADFD9"/>
        </patternFill>
      </fill>
    </dxf>
    <dxf>
      <font>
        <b/>
        <sz val="8"/>
        <color rgb="FFCF3A2C"/>
        <name val="Calibri"/>
        <charset val="1"/>
      </font>
      <fill>
        <patternFill>
          <bgColor rgb="FFFADFD9"/>
        </patternFill>
      </fill>
    </dxf>
    <dxf>
      <font>
        <b/>
        <sz val="8"/>
        <color rgb="FF1E9E7E"/>
        <name val="Calibri"/>
        <charset val="1"/>
      </font>
      <fill>
        <patternFill>
          <bgColor rgb="FFDBF0E9"/>
        </patternFill>
      </fill>
    </dxf>
    <dxf>
      <font>
        <b/>
        <sz val="8"/>
        <color rgb="FF1E9E7E"/>
        <name val="Calibri"/>
        <charset val="1"/>
      </font>
      <fill>
        <patternFill>
          <bgColor rgb="FFDBF0E9"/>
        </patternFill>
      </fill>
    </dxf>
    <dxf>
      <font>
        <b/>
        <sz val="8"/>
        <color rgb="FFC42D6B"/>
        <name val="Calibri"/>
        <charset val="1"/>
      </font>
      <fill>
        <patternFill>
          <bgColor rgb="FFFADFEA"/>
        </patternFill>
      </fill>
    </dxf>
    <dxf>
      <font>
        <b/>
        <sz val="8"/>
        <color rgb="FF8E8AA3"/>
        <name val="Calibri"/>
        <charset val="1"/>
      </font>
      <fill>
        <patternFill>
          <bgColor rgb="FFE6E4EE"/>
        </patternFill>
      </fill>
    </dxf>
    <dxf>
      <font>
        <b/>
        <sz val="8"/>
        <color rgb="FF8E8AA3"/>
        <name val="Calibri"/>
        <charset val="1"/>
      </font>
      <fill>
        <patternFill>
          <bgColor rgb="FFE6E4EE"/>
        </patternFill>
      </fill>
    </dxf>
    <dxf>
      <font>
        <b/>
        <sz val="8"/>
        <color rgb="FF3A3560"/>
        <name val="Calibri"/>
        <charset val="1"/>
      </font>
      <fill>
        <patternFill>
          <bgColor rgb="FFEFEDF6"/>
        </patternFill>
      </fill>
    </dxf>
    <dxf>
      <font>
        <b/>
        <sz val="8"/>
        <color rgb="FF2536A0"/>
        <name val="Calibri"/>
        <charset val="1"/>
      </font>
      <fill>
        <patternFill>
          <bgColor rgb="FFDDE2F8"/>
        </patternFill>
      </fill>
    </dxf>
    <dxf>
      <font>
        <b/>
        <sz val="8"/>
        <color rgb="FFD99B0F"/>
        <name val="Calibri"/>
        <charset val="1"/>
      </font>
      <fill>
        <patternFill>
          <bgColor rgb="FFFBEFD0"/>
        </patternFill>
      </fill>
    </dxf>
    <dxf>
      <font>
        <b/>
        <sz val="8"/>
        <color rgb="FFD99B0F"/>
        <name val="Calibri"/>
        <charset val="1"/>
      </font>
      <fill>
        <patternFill>
          <bgColor rgb="FFFBEFD0"/>
        </patternFill>
      </fill>
    </dxf>
    <dxf>
      <font>
        <b/>
        <sz val="8"/>
        <color rgb="FFCF3A2C"/>
        <name val="Calibri"/>
        <charset val="1"/>
      </font>
      <fill>
        <patternFill>
          <bgColor rgb="FFFADFD9"/>
        </patternFill>
      </fill>
    </dxf>
    <dxf>
      <font>
        <b/>
        <sz val="8"/>
        <color rgb="FFCF3A2C"/>
        <name val="Calibri"/>
        <charset val="1"/>
      </font>
      <fill>
        <patternFill>
          <bgColor rgb="FFFADFD9"/>
        </patternFill>
      </fill>
    </dxf>
    <dxf>
      <font>
        <b/>
        <sz val="8"/>
        <color rgb="FF1E9E7E"/>
        <name val="Calibri"/>
        <charset val="1"/>
      </font>
      <fill>
        <patternFill>
          <bgColor rgb="FFDBF0E9"/>
        </patternFill>
      </fill>
    </dxf>
    <dxf>
      <font>
        <b/>
        <sz val="8"/>
        <color rgb="FF1E9E7E"/>
        <name val="Calibri"/>
        <charset val="1"/>
      </font>
      <fill>
        <patternFill>
          <bgColor rgb="FFDBF0E9"/>
        </patternFill>
      </fill>
    </dxf>
    <dxf>
      <font>
        <b/>
        <sz val="8"/>
        <color rgb="FF6F5BA8"/>
        <name val="Calibri"/>
        <charset val="1"/>
      </font>
      <fill>
        <patternFill>
          <bgColor rgb="FFE7E2F4"/>
        </patternFill>
      </fill>
    </dxf>
    <dxf>
      <font>
        <b/>
        <sz val="8"/>
        <color rgb="FFC42D6B"/>
        <name val="Calibri"/>
        <charset val="1"/>
      </font>
      <fill>
        <patternFill>
          <bgColor rgb="FFFADFEA"/>
        </patternFill>
      </fill>
    </dxf>
    <dxf>
      <font>
        <b/>
        <sz val="8"/>
        <color rgb="FF3A3560"/>
        <name val="Calibri"/>
        <charset val="1"/>
      </font>
      <fill>
        <patternFill>
          <bgColor rgb="FFEFEDF6"/>
        </patternFill>
      </fill>
    </dxf>
    <dxf>
      <font>
        <b/>
        <sz val="8"/>
        <color rgb="FF2536A0"/>
        <name val="Calibri"/>
        <charset val="1"/>
      </font>
      <fill>
        <patternFill>
          <bgColor rgb="FFDDE2F8"/>
        </patternFill>
      </fill>
    </dxf>
    <dxf>
      <font>
        <b/>
        <sz val="8"/>
        <color rgb="FF1E9E7E"/>
        <name val="Calibri"/>
        <charset val="1"/>
      </font>
      <fill>
        <patternFill>
          <bgColor rgb="FFDBF0E9"/>
        </patternFill>
      </fill>
    </dxf>
    <dxf>
      <font>
        <b/>
        <sz val="8"/>
        <color rgb="FF6F5BA8"/>
        <name val="Calibri"/>
        <charset val="1"/>
      </font>
      <fill>
        <patternFill>
          <bgColor rgb="FFE7E2F4"/>
        </patternFill>
      </fill>
    </dxf>
    <dxf>
      <font>
        <b/>
        <sz val="8"/>
        <color rgb="FF8E8AA3"/>
        <name val="Calibri"/>
        <charset val="1"/>
      </font>
      <fill>
        <patternFill>
          <bgColor rgb="FFE6E4EE"/>
        </patternFill>
      </fill>
    </dxf>
    <dxf>
      <font>
        <b/>
        <sz val="9"/>
        <color rgb="FFC42D6B"/>
        <name val="Calibri"/>
        <charset val="1"/>
      </font>
      <fill>
        <patternFill>
          <bgColor rgb="FFFADFEA"/>
        </patternFill>
      </fill>
    </dxf>
    <dxf>
      <font>
        <b/>
        <sz val="8"/>
        <color rgb="FF7B7799"/>
        <name val="Calibri"/>
        <charset val="1"/>
      </font>
      <fill>
        <patternFill>
          <bgColor rgb="FFEFEDF6"/>
        </patternFill>
      </fill>
    </dxf>
    <dxf>
      <font>
        <b/>
        <sz val="8"/>
        <color rgb="FF1F7FA8"/>
        <name val="Calibri"/>
        <charset val="1"/>
      </font>
      <fill>
        <patternFill>
          <bgColor rgb="FFDCEDF5"/>
        </patternFill>
      </fill>
    </dxf>
    <dxf>
      <font>
        <b/>
        <sz val="8"/>
        <color rgb="FF2536A0"/>
        <name val="Calibri"/>
        <charset val="1"/>
      </font>
      <fill>
        <patternFill>
          <bgColor rgb="FFDDE2F8"/>
        </patternFill>
      </fill>
    </dxf>
    <dxf>
      <font>
        <b/>
        <sz val="8"/>
        <color rgb="FF6F5BA8"/>
        <name val="Calibri"/>
        <charset val="1"/>
      </font>
      <fill>
        <patternFill>
          <bgColor rgb="FFE7E2F4"/>
        </patternFill>
      </fill>
    </dxf>
    <dxf>
      <font>
        <b/>
        <sz val="8"/>
        <color rgb="FFD99B0F"/>
        <name val="Calibri"/>
        <charset val="1"/>
      </font>
      <fill>
        <patternFill>
          <bgColor rgb="FFFBEFD0"/>
        </patternFill>
      </fill>
    </dxf>
    <dxf>
      <font>
        <b/>
        <sz val="8"/>
        <color rgb="FF1E9E7E"/>
        <name val="Calibri"/>
        <charset val="1"/>
      </font>
      <fill>
        <patternFill>
          <bgColor rgb="FFDBF0E9"/>
        </patternFill>
      </fill>
    </dxf>
    <dxf>
      <font>
        <b/>
        <sz val="8"/>
        <color rgb="FF1F7FA8"/>
        <name val="Calibri"/>
        <charset val="1"/>
      </font>
      <fill>
        <patternFill>
          <bgColor rgb="FFDCEDF5"/>
        </patternFill>
      </fill>
    </dxf>
    <dxf>
      <font>
        <b/>
        <sz val="8"/>
        <color rgb="FFC42D6B"/>
        <name val="Calibri"/>
        <charset val="1"/>
      </font>
      <fill>
        <patternFill>
          <bgColor rgb="FFFADFEA"/>
        </patternFill>
      </fill>
    </dxf>
    <dxf>
      <font>
        <b/>
        <sz val="8"/>
        <color rgb="FF3B4FC4"/>
        <name val="Calibri"/>
        <charset val="1"/>
      </font>
      <fill>
        <patternFill>
          <bgColor rgb="FFDDE2F8"/>
        </patternFill>
      </fill>
    </dxf>
    <dxf>
      <font>
        <b/>
        <sz val="8"/>
        <color rgb="FF5E8B2B"/>
        <name val="Calibri"/>
        <charset val="1"/>
      </font>
      <fill>
        <patternFill>
          <bgColor rgb="FFE6EFDA"/>
        </patternFill>
      </fill>
    </dxf>
    <dxf>
      <font>
        <b/>
        <sz val="9"/>
        <color rgb="FFFFFFFF"/>
        <name val="Calibri"/>
        <charset val="1"/>
      </font>
      <fill>
        <patternFill>
          <bgColor rgb="FF6F5BA8"/>
        </patternFill>
      </fill>
    </dxf>
    <dxf>
      <font>
        <b/>
        <sz val="9"/>
        <color rgb="FFFFFFFF"/>
        <name val="Calibri"/>
        <charset val="1"/>
      </font>
      <fill>
        <patternFill>
          <bgColor rgb="FF5E8B2B"/>
        </patternFill>
      </fill>
    </dxf>
    <dxf>
      <font>
        <b/>
        <sz val="9"/>
        <color rgb="FFFFFFFF"/>
        <name val="Calibri"/>
        <charset val="1"/>
      </font>
      <fill>
        <patternFill>
          <bgColor rgb="FF1E9E7E"/>
        </patternFill>
      </fill>
    </dxf>
    <dxf>
      <font>
        <b/>
        <sz val="9"/>
        <color rgb="FFFFFFFF"/>
        <name val="Calibri"/>
        <charset val="1"/>
      </font>
      <fill>
        <patternFill>
          <bgColor rgb="FF1F7FA8"/>
        </patternFill>
      </fill>
    </dxf>
    <dxf>
      <font>
        <b/>
        <sz val="9"/>
        <color rgb="FFFFFFFF"/>
        <name val="Calibri"/>
        <charset val="1"/>
      </font>
      <fill>
        <patternFill>
          <bgColor rgb="FFC42D6B"/>
        </patternFill>
      </fill>
    </dxf>
    <dxf>
      <font>
        <b/>
        <sz val="9"/>
        <color rgb="FFFFFFFF"/>
        <name val="Calibri"/>
        <charset val="1"/>
      </font>
      <fill>
        <patternFill>
          <bgColor rgb="FF3B4FC4"/>
        </patternFill>
      </fill>
    </dxf>
    <dxf>
      <font>
        <b/>
        <sz val="9"/>
        <color rgb="FFFFFFFF"/>
        <name val="Calibri"/>
        <charset val="1"/>
      </font>
      <fill>
        <patternFill>
          <bgColor rgb="FFD99B0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EEDF3"/>
      <rgbColor rgb="FFFF00FF"/>
      <rgbColor rgb="FF00FFFF"/>
      <rgbColor rgb="FF800000"/>
      <rgbColor rgb="FF008000"/>
      <rgbColor rgb="FF000080"/>
      <rgbColor rgb="FF5E8B2B"/>
      <rgbColor rgb="FF800080"/>
      <rgbColor rgb="FF1F7FA8"/>
      <rgbColor rgb="FFC9C4DC"/>
      <rgbColor rgb="FF878787"/>
      <rgbColor rgb="FF7B7799"/>
      <rgbColor rgb="FFC42D6B"/>
      <rgbColor rgb="FFFBEFD0"/>
      <rgbColor rgb="FFDBF0E9"/>
      <rgbColor rgb="FF660066"/>
      <rgbColor rgb="FFE7E2F4"/>
      <rgbColor rgb="FF0066CC"/>
      <rgbColor rgb="FFDEDAEB"/>
      <rgbColor rgb="FF000080"/>
      <rgbColor rgb="FFFF00FF"/>
      <rgbColor rgb="FFEFEDF6"/>
      <rgbColor rgb="FF00FFFF"/>
      <rgbColor rgb="FF800080"/>
      <rgbColor rgb="FF800000"/>
      <rgbColor rgb="FF4F81BD"/>
      <rgbColor rgb="FF0000FF"/>
      <rgbColor rgb="FF00CCFF"/>
      <rgbColor rgb="FFDCEDF5"/>
      <rgbColor rgb="FFE6EFDA"/>
      <rgbColor rgb="FFFCFBFE"/>
      <rgbColor rgb="FFD9D9D9"/>
      <rgbColor rgb="FFFADFEA"/>
      <rgbColor rgb="FFDDE2F8"/>
      <rgbColor rgb="FFFADFD9"/>
      <rgbColor rgb="FF3B4FC4"/>
      <rgbColor rgb="FFF3EEFC"/>
      <rgbColor rgb="FFEDF0FC"/>
      <rgbColor rgb="FFE6E4EE"/>
      <rgbColor rgb="FFD99B0F"/>
      <rgbColor rgb="FFFF6600"/>
      <rgbColor rgb="FF6F5BA8"/>
      <rgbColor rgb="FF8E8AA3"/>
      <rgbColor rgb="FF003366"/>
      <rgbColor rgb="FF1E9E7E"/>
      <rgbColor rgb="FF003300"/>
      <rgbColor rgb="FF1B1830"/>
      <rgbColor rgb="FFCF3A2C"/>
      <rgbColor rgb="FF993366"/>
      <rgbColor rgb="FF2536A0"/>
      <rgbColor rgb="FF3A356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Aufwand je Quartal nach Handlungsfeld (PT)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Auswertung!$J$22</c:f>
              <c:strCache>
                <c:ptCount val="1"/>
                <c:pt idx="0">
                  <c:v>Produkt</c:v>
                </c:pt>
              </c:strCache>
            </c:strRef>
          </c:tx>
          <c:spPr>
            <a:solidFill>
              <a:srgbClr val="3B4FC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Auswertung!$C$23:$C$26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Auswertung!$J$23:$J$26</c:f>
              <c:numCache>
                <c:formatCode>#,##0</c:formatCode>
                <c:ptCount val="4"/>
                <c:pt idx="0">
                  <c:v>155</c:v>
                </c:pt>
                <c:pt idx="1">
                  <c:v>0</c:v>
                </c:pt>
                <c:pt idx="2">
                  <c:v>25</c:v>
                </c:pt>
                <c:pt idx="3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5-483B-A361-DAD4B7D47977}"/>
            </c:ext>
          </c:extLst>
        </c:ser>
        <c:ser>
          <c:idx val="1"/>
          <c:order val="1"/>
          <c:tx>
            <c:strRef>
              <c:f>Auswertung!$K$22</c:f>
              <c:strCache>
                <c:ptCount val="1"/>
                <c:pt idx="0">
                  <c:v>IT</c:v>
                </c:pt>
              </c:strCache>
            </c:strRef>
          </c:tx>
          <c:spPr>
            <a:solidFill>
              <a:srgbClr val="C42D6B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Auswertung!$C$23:$C$26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Auswertung!$K$23:$K$26</c:f>
              <c:numCache>
                <c:formatCode>#,##0</c:formatCode>
                <c:ptCount val="4"/>
                <c:pt idx="0">
                  <c:v>110</c:v>
                </c:pt>
                <c:pt idx="1">
                  <c:v>90</c:v>
                </c:pt>
                <c:pt idx="2">
                  <c:v>0</c:v>
                </c:pt>
                <c:pt idx="3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C5-483B-A361-DAD4B7D47977}"/>
            </c:ext>
          </c:extLst>
        </c:ser>
        <c:ser>
          <c:idx val="2"/>
          <c:order val="2"/>
          <c:tx>
            <c:strRef>
              <c:f>Auswertung!$L$22</c:f>
              <c:strCache>
                <c:ptCount val="1"/>
                <c:pt idx="0">
                  <c:v>Prozesse</c:v>
                </c:pt>
              </c:strCache>
            </c:strRef>
          </c:tx>
          <c:spPr>
            <a:solidFill>
              <a:srgbClr val="1F7FA8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Auswertung!$C$23:$C$26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Auswertung!$L$23:$L$26</c:f>
              <c:numCache>
                <c:formatCode>#,##0</c:formatCode>
                <c:ptCount val="4"/>
                <c:pt idx="0">
                  <c:v>160</c:v>
                </c:pt>
                <c:pt idx="1">
                  <c:v>50</c:v>
                </c:pt>
                <c:pt idx="2">
                  <c:v>380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C5-483B-A361-DAD4B7D47977}"/>
            </c:ext>
          </c:extLst>
        </c:ser>
        <c:ser>
          <c:idx val="3"/>
          <c:order val="3"/>
          <c:tx>
            <c:strRef>
              <c:f>Auswertung!$M$22</c:f>
              <c:strCache>
                <c:ptCount val="1"/>
                <c:pt idx="0">
                  <c:v>Personal</c:v>
                </c:pt>
              </c:strCache>
            </c:strRef>
          </c:tx>
          <c:spPr>
            <a:solidFill>
              <a:srgbClr val="1E9E7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Auswertung!$C$23:$C$26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Auswertung!$M$23:$M$26</c:f>
              <c:numCache>
                <c:formatCode>#,##0</c:formatCode>
                <c:ptCount val="4"/>
                <c:pt idx="0">
                  <c:v>100</c:v>
                </c:pt>
                <c:pt idx="1">
                  <c:v>135</c:v>
                </c:pt>
                <c:pt idx="2">
                  <c:v>0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C5-483B-A361-DAD4B7D47977}"/>
            </c:ext>
          </c:extLst>
        </c:ser>
        <c:ser>
          <c:idx val="4"/>
          <c:order val="4"/>
          <c:tx>
            <c:strRef>
              <c:f>Auswertung!$N$22</c:f>
              <c:strCache>
                <c:ptCount val="1"/>
                <c:pt idx="0">
                  <c:v>Weitere</c:v>
                </c:pt>
              </c:strCache>
            </c:strRef>
          </c:tx>
          <c:spPr>
            <a:solidFill>
              <a:srgbClr val="D99B0F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Auswertung!$C$23:$C$26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Auswertung!$N$23:$N$26</c:f>
              <c:numCache>
                <c:formatCode>#,##0</c:formatCode>
                <c:ptCount val="4"/>
                <c:pt idx="0">
                  <c:v>120</c:v>
                </c:pt>
                <c:pt idx="1">
                  <c:v>60</c:v>
                </c:pt>
                <c:pt idx="2">
                  <c:v>55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C5-483B-A361-DAD4B7D47977}"/>
            </c:ext>
          </c:extLst>
        </c:ser>
        <c:ser>
          <c:idx val="5"/>
          <c:order val="5"/>
          <c:tx>
            <c:strRef>
              <c:f>Auswertung!$O$22</c:f>
              <c:strCache>
                <c:ptCount val="1"/>
              </c:strCache>
            </c:strRef>
          </c:tx>
          <c:spPr>
            <a:solidFill>
              <a:srgbClr val="8E8AA3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Auswertung!$C$23:$C$26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Auswertung!$O$23:$O$26</c:f>
              <c:numCache>
                <c:formatCode>#,##0</c:formatCode>
                <c:ptCount val="4"/>
                <c:pt idx="0">
                  <c:v>-80</c:v>
                </c:pt>
                <c:pt idx="1">
                  <c:v>95</c:v>
                </c:pt>
                <c:pt idx="2">
                  <c:v>135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C5-483B-A361-DAD4B7D47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983233"/>
        <c:axId val="86007202"/>
      </c:barChart>
      <c:catAx>
        <c:axId val="4598323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6007202"/>
        <c:crosses val="autoZero"/>
        <c:auto val="1"/>
        <c:lblAlgn val="ctr"/>
        <c:lblOffset val="100"/>
        <c:noMultiLvlLbl val="0"/>
      </c:catAx>
      <c:valAx>
        <c:axId val="8600720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PT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598323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Ø Fortschritt je Handlungsfeld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B4FC4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7EE-4E4B-BD8F-CA3E4A12B9AD}"/>
              </c:ext>
            </c:extLst>
          </c:dPt>
          <c:dPt>
            <c:idx val="1"/>
            <c:invertIfNegative val="0"/>
            <c:bubble3D val="0"/>
            <c:spPr>
              <a:solidFill>
                <a:srgbClr val="C42D6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F7EE-4E4B-BD8F-CA3E4A12B9AD}"/>
              </c:ext>
            </c:extLst>
          </c:dPt>
          <c:dPt>
            <c:idx val="2"/>
            <c:invertIfNegative val="0"/>
            <c:bubble3D val="0"/>
            <c:spPr>
              <a:solidFill>
                <a:srgbClr val="1F7FA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F7EE-4E4B-BD8F-CA3E4A12B9AD}"/>
              </c:ext>
            </c:extLst>
          </c:dPt>
          <c:dPt>
            <c:idx val="3"/>
            <c:invertIfNegative val="0"/>
            <c:bubble3D val="0"/>
            <c:spPr>
              <a:solidFill>
                <a:srgbClr val="1E9E7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F7EE-4E4B-BD8F-CA3E4A12B9AD}"/>
              </c:ext>
            </c:extLst>
          </c:dPt>
          <c:dPt>
            <c:idx val="4"/>
            <c:invertIfNegative val="0"/>
            <c:bubble3D val="0"/>
            <c:spPr>
              <a:solidFill>
                <a:srgbClr val="D99B0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F7EE-4E4B-BD8F-CA3E4A12B9AD}"/>
              </c:ext>
            </c:extLst>
          </c:dPt>
          <c:dPt>
            <c:idx val="5"/>
            <c:invertIfNegative val="0"/>
            <c:bubble3D val="0"/>
            <c:spPr>
              <a:solidFill>
                <a:srgbClr val="5E8B2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F7EE-4E4B-BD8F-CA3E4A12B9AD}"/>
              </c:ext>
            </c:extLst>
          </c:dPt>
          <c:dPt>
            <c:idx val="6"/>
            <c:invertIfNegative val="0"/>
            <c:bubble3D val="0"/>
            <c:spPr>
              <a:solidFill>
                <a:srgbClr val="6F5BA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F7EE-4E4B-BD8F-CA3E4A12B9AD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F7EE-4E4B-BD8F-CA3E4A12B9AD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F7EE-4E4B-BD8F-CA3E4A12B9AD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F7EE-4E4B-BD8F-CA3E4A12B9AD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F7EE-4E4B-BD8F-CA3E4A12B9AD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F7EE-4E4B-BD8F-CA3E4A12B9AD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F7EE-4E4B-BD8F-CA3E4A12B9AD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D-F7EE-4E4B-BD8F-CA3E4A12B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Auswertung!$C$13:$C$19</c:f>
              <c:strCache>
                <c:ptCount val="7"/>
                <c:pt idx="0">
                  <c:v>Markt &amp; Vertrieb</c:v>
                </c:pt>
                <c:pt idx="1">
                  <c:v>Produkt &amp; Leistung</c:v>
                </c:pt>
                <c:pt idx="2">
                  <c:v>Digitalisierung &amp; IT</c:v>
                </c:pt>
                <c:pt idx="3">
                  <c:v>Prozesse &amp; Qualität</c:v>
                </c:pt>
                <c:pt idx="4">
                  <c:v>Organisation &amp; Personal</c:v>
                </c:pt>
                <c:pt idx="5">
                  <c:v>Nachhaltigkeit</c:v>
                </c:pt>
                <c:pt idx="6">
                  <c:v>Finanzen &amp; Steuerung</c:v>
                </c:pt>
              </c:strCache>
            </c:strRef>
          </c:cat>
          <c:val>
            <c:numRef>
              <c:f>Auswertung!$F$13:$F$19</c:f>
              <c:numCache>
                <c:formatCode>0\ %</c:formatCode>
                <c:ptCount val="7"/>
                <c:pt idx="0">
                  <c:v>0.41224489795918368</c:v>
                </c:pt>
                <c:pt idx="1">
                  <c:v>0.42878787878787877</c:v>
                </c:pt>
                <c:pt idx="2">
                  <c:v>0.42372881355932202</c:v>
                </c:pt>
                <c:pt idx="3">
                  <c:v>0.65283018867924525</c:v>
                </c:pt>
                <c:pt idx="4">
                  <c:v>0.28510638297872343</c:v>
                </c:pt>
                <c:pt idx="5">
                  <c:v>9.0909090909090912E-2</c:v>
                </c:pt>
                <c:pt idx="6">
                  <c:v>0.38181818181818183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7EE-4E4B-BD8F-CA3E4A12B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392232"/>
        <c:axId val="53556133"/>
      </c:barChart>
      <c:catAx>
        <c:axId val="44392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3556133"/>
        <c:crosses val="autoZero"/>
        <c:auto val="1"/>
        <c:lblAlgn val="ctr"/>
        <c:lblOffset val="100"/>
        <c:noMultiLvlLbl val="0"/>
      </c:catAx>
      <c:valAx>
        <c:axId val="53556133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\ 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439223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Statusverteilung der Initiativen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3B4FC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093E-4EC2-B996-DE02931A2ACF}"/>
              </c:ext>
            </c:extLst>
          </c:dPt>
          <c:dPt>
            <c:idx val="1"/>
            <c:bubble3D val="0"/>
            <c:spPr>
              <a:solidFill>
                <a:srgbClr val="1E9E7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093E-4EC2-B996-DE02931A2ACF}"/>
              </c:ext>
            </c:extLst>
          </c:dPt>
          <c:dPt>
            <c:idx val="2"/>
            <c:bubble3D val="0"/>
            <c:spPr>
              <a:solidFill>
                <a:srgbClr val="3A356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093E-4EC2-B996-DE02931A2ACF}"/>
              </c:ext>
            </c:extLst>
          </c:dPt>
          <c:dPt>
            <c:idx val="3"/>
            <c:bubble3D val="0"/>
            <c:spPr>
              <a:solidFill>
                <a:srgbClr val="8E8AA3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093E-4EC2-B996-DE02931A2ACF}"/>
              </c:ext>
            </c:extLst>
          </c:dPt>
          <c:dPt>
            <c:idx val="4"/>
            <c:bubble3D val="0"/>
            <c:spPr>
              <a:solidFill>
                <a:srgbClr val="6F5BA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093E-4EC2-B996-DE02931A2ACF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093E-4EC2-B996-DE02931A2ACF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093E-4EC2-B996-DE02931A2ACF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093E-4EC2-B996-DE02931A2ACF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7-093E-4EC2-B996-DE02931A2ACF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9-093E-4EC2-B996-DE02931A2A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Auswertung!$I$31:$I$35</c:f>
              <c:strCache>
                <c:ptCount val="5"/>
                <c:pt idx="0">
                  <c:v>Idee</c:v>
                </c:pt>
                <c:pt idx="1">
                  <c:v>Geplant</c:v>
                </c:pt>
                <c:pt idx="2">
                  <c:v>In Umsetzung</c:v>
                </c:pt>
                <c:pt idx="3">
                  <c:v>Abgeschlossen</c:v>
                </c:pt>
                <c:pt idx="4">
                  <c:v>Zurückgestellt</c:v>
                </c:pt>
              </c:strCache>
            </c:strRef>
          </c:cat>
          <c:val>
            <c:numRef>
              <c:f>Auswertung!$J$31:$J$35</c:f>
              <c:numCache>
                <c:formatCode>#,##0</c:formatCode>
                <c:ptCount val="5"/>
                <c:pt idx="0">
                  <c:v>1</c:v>
                </c:pt>
                <c:pt idx="1">
                  <c:v>9</c:v>
                </c:pt>
                <c:pt idx="2">
                  <c:v>11</c:v>
                </c:pt>
                <c:pt idx="3">
                  <c:v>6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3E-4EC2-B996-DE02931A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185040</xdr:colOff>
      <xdr:row>68</xdr:row>
      <xdr:rowOff>11520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52</xdr:row>
      <xdr:rowOff>0</xdr:rowOff>
    </xdr:from>
    <xdr:to>
      <xdr:col>15</xdr:col>
      <xdr:colOff>136080</xdr:colOff>
      <xdr:row>68</xdr:row>
      <xdr:rowOff>11520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70</xdr:row>
      <xdr:rowOff>0</xdr:rowOff>
    </xdr:from>
    <xdr:to>
      <xdr:col>5</xdr:col>
      <xdr:colOff>351000</xdr:colOff>
      <xdr:row>86</xdr:row>
      <xdr:rowOff>11520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93"/>
  <sheetViews>
    <sheetView showGridLines="0" tabSelected="1" zoomScaleNormal="100" workbookViewId="0">
      <pane xSplit="3" ySplit="18" topLeftCell="D19" activePane="bottomRight" state="frozen"/>
      <selection pane="topRight" activeCell="D1" sqref="D1"/>
      <selection pane="bottomLeft" activeCell="A19" sqref="A19"/>
      <selection pane="bottomRight" activeCell="L44" sqref="L44"/>
    </sheetView>
  </sheetViews>
  <sheetFormatPr baseColWidth="10" defaultColWidth="8.7109375" defaultRowHeight="15" x14ac:dyDescent="0.25"/>
  <cols>
    <col min="1" max="1" width="1.85546875" customWidth="1"/>
    <col min="2" max="2" width="5" customWidth="1"/>
    <col min="3" max="3" width="32" customWidth="1"/>
    <col min="4" max="4" width="17" customWidth="1"/>
    <col min="5" max="5" width="16" customWidth="1"/>
    <col min="6" max="6" width="14" customWidth="1"/>
    <col min="7" max="8" width="10.5703125" customWidth="1"/>
    <col min="9" max="9" width="7" customWidth="1"/>
    <col min="10" max="10" width="13" customWidth="1"/>
    <col min="11" max="11" width="9" customWidth="1"/>
    <col min="12" max="14" width="6.5703125" customWidth="1"/>
    <col min="15" max="15" width="7.42578125" customWidth="1"/>
    <col min="16" max="16" width="6" customWidth="1"/>
    <col min="17" max="17" width="10" customWidth="1"/>
    <col min="18" max="18" width="15" customWidth="1"/>
    <col min="19" max="19" width="16" customWidth="1"/>
    <col min="20" max="20" width="6.5703125" customWidth="1"/>
    <col min="21" max="21" width="26" customWidth="1"/>
    <col min="22" max="33" width="5.140625" customWidth="1"/>
    <col min="34" max="34" width="2" customWidth="1"/>
    <col min="35" max="36" width="8" customWidth="1"/>
  </cols>
  <sheetData>
    <row r="1" spans="2:33" ht="4.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2:33" ht="27" customHeight="1" x14ac:dyDescent="0.4">
      <c r="B2" s="14" t="s">
        <v>16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3" t="s">
        <v>1</v>
      </c>
      <c r="R2" s="13"/>
      <c r="S2" s="13"/>
      <c r="T2" s="13"/>
      <c r="U2" s="13"/>
      <c r="V2" s="12" t="s">
        <v>2</v>
      </c>
      <c r="W2" s="12"/>
      <c r="X2" s="12"/>
      <c r="Y2" s="11" t="s">
        <v>3</v>
      </c>
      <c r="Z2" s="11"/>
      <c r="AA2" s="11"/>
      <c r="AB2" s="10" t="s">
        <v>4</v>
      </c>
      <c r="AC2" s="10"/>
      <c r="AD2" s="10"/>
      <c r="AE2" s="9" t="s">
        <v>5</v>
      </c>
      <c r="AF2" s="9"/>
      <c r="AG2" s="9"/>
    </row>
    <row r="3" spans="2:33" ht="16.5" customHeight="1" x14ac:dyDescent="0.25">
      <c r="B3" s="8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7" t="s">
        <v>7</v>
      </c>
      <c r="R3" s="7"/>
      <c r="S3" s="7"/>
      <c r="T3" s="7"/>
      <c r="U3" s="7"/>
      <c r="V3" s="6" t="s">
        <v>8</v>
      </c>
      <c r="W3" s="6"/>
      <c r="X3" s="6"/>
      <c r="Y3" s="6" t="s">
        <v>9</v>
      </c>
      <c r="Z3" s="6"/>
      <c r="AA3" s="6"/>
      <c r="AB3" s="6" t="s">
        <v>10</v>
      </c>
      <c r="AC3" s="6"/>
      <c r="AD3" s="6"/>
      <c r="AE3" s="6" t="s">
        <v>11</v>
      </c>
      <c r="AF3" s="6"/>
      <c r="AG3" s="6"/>
    </row>
    <row r="4" spans="2:33" ht="4.5" customHeight="1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2:33" ht="6" customHeight="1" x14ac:dyDescent="0.25"/>
    <row r="6" spans="2:33" ht="19.5" customHeight="1" x14ac:dyDescent="0.25">
      <c r="B6" s="17" t="s">
        <v>12</v>
      </c>
      <c r="C6" s="5" t="s">
        <v>13</v>
      </c>
      <c r="D6" s="5"/>
      <c r="E6" s="5"/>
      <c r="F6" s="5"/>
      <c r="G6" s="5"/>
      <c r="H6" s="4" t="s">
        <v>14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 t="s">
        <v>15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2:33" x14ac:dyDescent="0.25">
      <c r="B7" s="2" t="s">
        <v>16</v>
      </c>
      <c r="C7" s="2"/>
      <c r="D7" s="1" t="str">
        <f>Stammdaten!$D$8</f>
        <v>Unternehmens-Roadmap 2026</v>
      </c>
      <c r="E7" s="1"/>
      <c r="F7" s="1"/>
      <c r="G7" s="2" t="s">
        <v>17</v>
      </c>
      <c r="H7" s="2"/>
      <c r="I7" s="2"/>
      <c r="J7" s="1" t="str">
        <f>"01.01."&amp;Berichtsjahr&amp;" – 31.12."&amp;Berichtsjahr</f>
        <v>01.01.2026 – 31.12.2026</v>
      </c>
      <c r="K7" s="1"/>
      <c r="L7" s="1"/>
      <c r="M7" s="1"/>
      <c r="N7" s="1"/>
      <c r="O7" s="2" t="s">
        <v>18</v>
      </c>
      <c r="P7" s="2"/>
      <c r="Q7" s="2"/>
      <c r="R7" s="1" t="str">
        <f>Stammdaten!$D$10</f>
        <v>Strategie &amp; Unternehmensentwicklung</v>
      </c>
      <c r="S7" s="1"/>
      <c r="T7" s="1"/>
      <c r="U7" s="1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2:33" x14ac:dyDescent="0.25">
      <c r="B8" s="2" t="s">
        <v>19</v>
      </c>
      <c r="C8" s="2"/>
      <c r="D8" s="1" t="str">
        <f>Stammdaten!$D$6</f>
        <v>Muster Unternehmensgruppe GmbH</v>
      </c>
      <c r="E8" s="1"/>
      <c r="F8" s="1"/>
      <c r="G8" s="2" t="s">
        <v>20</v>
      </c>
      <c r="H8" s="2"/>
      <c r="I8" s="2"/>
      <c r="J8" s="1" t="str">
        <f>DAY(Stammdaten!$D$11)&amp;"."&amp;MONTH(Stammdaten!$D$11)&amp;"."&amp;YEAR(Stammdaten!$D$11)&amp;"  ·  Version "&amp;Stammdaten!$D$12</f>
        <v>6.7.2026  ·  Version 3.2</v>
      </c>
      <c r="K8" s="1"/>
      <c r="L8" s="1"/>
      <c r="M8" s="1"/>
      <c r="N8" s="1"/>
      <c r="O8" s="2" t="s">
        <v>21</v>
      </c>
      <c r="P8" s="2"/>
      <c r="Q8" s="2"/>
      <c r="R8" s="103">
        <f ca="1">Stichtag</f>
        <v>46231</v>
      </c>
      <c r="S8" s="103"/>
      <c r="T8" s="103"/>
      <c r="U8" s="10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2:33" ht="6" customHeight="1" x14ac:dyDescent="0.25"/>
    <row r="10" spans="2:33" ht="19.5" customHeight="1" x14ac:dyDescent="0.25">
      <c r="B10" s="17" t="s">
        <v>22</v>
      </c>
      <c r="C10" s="5" t="s">
        <v>23</v>
      </c>
      <c r="D10" s="5"/>
      <c r="E10" s="5"/>
      <c r="F10" s="5"/>
      <c r="G10" s="5"/>
      <c r="H10" s="4" t="s">
        <v>24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2:33" ht="21.75" customHeight="1" x14ac:dyDescent="0.35">
      <c r="B11" s="104">
        <f>COUNTA($C$19:$C$68)</f>
        <v>28</v>
      </c>
      <c r="C11" s="104"/>
      <c r="E11" s="105">
        <f ca="1">COUNTIF($S$19:$S$68,"In Umsetzung")+COUNTIF($S$19:$S$68,"Endspurt")</f>
        <v>9</v>
      </c>
      <c r="F11" s="105"/>
      <c r="H11" s="106">
        <f ca="1">COUNTIF($S$19:$S$68,"Verzögert")</f>
        <v>2</v>
      </c>
      <c r="I11" s="106"/>
      <c r="J11" s="106"/>
      <c r="L11" s="107">
        <f>IFERROR(SUMPRODUCT($K$19:$K$68,$Q$19:$Q$68)/SUM($K$19:$K$68),0)</f>
        <v>0.40695876288659794</v>
      </c>
      <c r="M11" s="107"/>
      <c r="N11" s="107"/>
      <c r="O11" s="107"/>
      <c r="P11" s="107"/>
      <c r="R11" s="108">
        <f>SUM($K$19:$K$68)</f>
        <v>1940</v>
      </c>
      <c r="S11" s="108"/>
      <c r="T11" s="108"/>
      <c r="V11" s="109">
        <f>IFERROR(SUMIF($R$19:$R$68,"&lt;&gt;Zurückgestellt",$K$19:$K$68)/(Kapazitaet_Quartal*4),0)</f>
        <v>0.64583333333333337</v>
      </c>
      <c r="W11" s="109"/>
      <c r="X11" s="109"/>
      <c r="Y11" s="109"/>
      <c r="Z11" s="109"/>
      <c r="AA11" s="109"/>
      <c r="AB11" s="109"/>
      <c r="AD11" s="110">
        <f>COUNTA($C$73:$C$90)-COUNTIF($R$73:$R$90,"Erreicht")</f>
        <v>9</v>
      </c>
      <c r="AE11" s="110"/>
      <c r="AF11" s="110"/>
    </row>
    <row r="12" spans="2:33" ht="12.75" customHeight="1" x14ac:dyDescent="0.25">
      <c r="B12" s="111" t="s">
        <v>25</v>
      </c>
      <c r="C12" s="111"/>
      <c r="E12" s="112" t="s">
        <v>26</v>
      </c>
      <c r="F12" s="112"/>
      <c r="H12" s="113" t="s">
        <v>27</v>
      </c>
      <c r="I12" s="113"/>
      <c r="J12" s="113"/>
      <c r="L12" s="114" t="s">
        <v>28</v>
      </c>
      <c r="M12" s="114"/>
      <c r="N12" s="114"/>
      <c r="O12" s="114"/>
      <c r="P12" s="114"/>
      <c r="R12" s="115" t="s">
        <v>29</v>
      </c>
      <c r="S12" s="115"/>
      <c r="T12" s="115"/>
      <c r="V12" s="116" t="s">
        <v>30</v>
      </c>
      <c r="W12" s="116"/>
      <c r="X12" s="116"/>
      <c r="Y12" s="116"/>
      <c r="Z12" s="116"/>
      <c r="AA12" s="116"/>
      <c r="AB12" s="116"/>
      <c r="AD12" s="117" t="s">
        <v>31</v>
      </c>
      <c r="AE12" s="117"/>
      <c r="AF12" s="117"/>
    </row>
    <row r="13" spans="2:33" ht="12" customHeight="1" x14ac:dyDescent="0.25">
      <c r="B13" s="118" t="str">
        <f>"davon "&amp;COUNTIF($R$19:$R$68,"Abgeschlossen")&amp;" abgeschlossen"</f>
        <v>davon 6 abgeschlossen</v>
      </c>
      <c r="C13" s="118"/>
      <c r="E13" s="118" t="str">
        <f ca="1">"davon "&amp;COUNTIF($S$19:$S$68,"Endspurt")&amp;" kurz vor Abschluss"</f>
        <v>davon 2 kurz vor Abschluss</v>
      </c>
      <c r="F13" s="118"/>
      <c r="H13" s="118" t="s">
        <v>32</v>
      </c>
      <c r="I13" s="118"/>
      <c r="J13" s="118"/>
      <c r="L13" s="118" t="s">
        <v>33</v>
      </c>
      <c r="M13" s="118"/>
      <c r="N13" s="118"/>
      <c r="O13" s="118"/>
      <c r="P13" s="118"/>
      <c r="R13" s="118" t="s">
        <v>34</v>
      </c>
      <c r="S13" s="118"/>
      <c r="T13" s="118"/>
      <c r="V13" s="118" t="s">
        <v>35</v>
      </c>
      <c r="W13" s="118"/>
      <c r="X13" s="118"/>
      <c r="Y13" s="118"/>
      <c r="Z13" s="118"/>
      <c r="AA13" s="118"/>
      <c r="AB13" s="118"/>
      <c r="AD13" s="118" t="str">
        <f ca="1">"davon "&amp;COUNTIF($S$73:$S$90,"Überfällig")&amp;" überfällig"</f>
        <v>davon 2 überfällig</v>
      </c>
      <c r="AE13" s="118"/>
      <c r="AF13" s="118"/>
    </row>
    <row r="14" spans="2:33" ht="6" customHeight="1" x14ac:dyDescent="0.25"/>
    <row r="15" spans="2:33" hidden="1" x14ac:dyDescent="0.25">
      <c r="V15" s="20">
        <f>DATE(Berichtsjahr,1,1)</f>
        <v>46023</v>
      </c>
      <c r="W15" s="20">
        <f>DATE(Berichtsjahr,2,1)</f>
        <v>46054</v>
      </c>
      <c r="X15" s="20">
        <f>DATE(Berichtsjahr,3,1)</f>
        <v>46082</v>
      </c>
      <c r="Y15" s="20">
        <f>DATE(Berichtsjahr,4,1)</f>
        <v>46113</v>
      </c>
      <c r="Z15" s="20">
        <f>DATE(Berichtsjahr,5,1)</f>
        <v>46143</v>
      </c>
      <c r="AA15" s="20">
        <f>DATE(Berichtsjahr,6,1)</f>
        <v>46174</v>
      </c>
      <c r="AB15" s="20">
        <f>DATE(Berichtsjahr,7,1)</f>
        <v>46204</v>
      </c>
      <c r="AC15" s="20">
        <f>DATE(Berichtsjahr,8,1)</f>
        <v>46235</v>
      </c>
      <c r="AD15" s="20">
        <f>DATE(Berichtsjahr,9,1)</f>
        <v>46266</v>
      </c>
      <c r="AE15" s="20">
        <f>DATE(Berichtsjahr,10,1)</f>
        <v>46296</v>
      </c>
      <c r="AF15" s="20">
        <f>DATE(Berichtsjahr,11,1)</f>
        <v>46327</v>
      </c>
      <c r="AG15" s="20">
        <f>DATE(Berichtsjahr,12,1)</f>
        <v>46357</v>
      </c>
    </row>
    <row r="16" spans="2:33" ht="19.5" customHeight="1" x14ac:dyDescent="0.25">
      <c r="B16" s="17" t="s">
        <v>36</v>
      </c>
      <c r="C16" s="5" t="s">
        <v>37</v>
      </c>
      <c r="D16" s="5"/>
      <c r="E16" s="5"/>
      <c r="F16" s="5"/>
      <c r="G16" s="5"/>
      <c r="H16" s="4" t="s">
        <v>38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2:33" ht="15.75" customHeight="1" x14ac:dyDescent="0.25">
      <c r="B17" s="119" t="s">
        <v>39</v>
      </c>
      <c r="C17" s="119"/>
      <c r="D17" s="119"/>
      <c r="E17" s="119"/>
      <c r="F17" s="119"/>
      <c r="G17" s="120" t="s">
        <v>40</v>
      </c>
      <c r="H17" s="120"/>
      <c r="I17" s="120"/>
      <c r="J17" s="120"/>
      <c r="K17" s="121" t="s">
        <v>41</v>
      </c>
      <c r="L17" s="121"/>
      <c r="M17" s="121"/>
      <c r="N17" s="121"/>
      <c r="O17" s="121"/>
      <c r="P17" s="121"/>
      <c r="Q17" s="122" t="s">
        <v>42</v>
      </c>
      <c r="R17" s="122"/>
      <c r="S17" s="122"/>
      <c r="T17" s="122"/>
      <c r="U17" s="122"/>
      <c r="V17" s="119" t="s">
        <v>43</v>
      </c>
      <c r="W17" s="119"/>
      <c r="X17" s="119"/>
      <c r="Y17" s="121" t="s">
        <v>44</v>
      </c>
      <c r="Z17" s="121"/>
      <c r="AA17" s="121"/>
      <c r="AB17" s="122" t="s">
        <v>45</v>
      </c>
      <c r="AC17" s="122"/>
      <c r="AD17" s="122"/>
      <c r="AE17" s="123" t="s">
        <v>46</v>
      </c>
      <c r="AF17" s="123"/>
      <c r="AG17" s="123"/>
    </row>
    <row r="18" spans="2:33" ht="31.5" customHeight="1" x14ac:dyDescent="0.25">
      <c r="B18" s="21" t="s">
        <v>47</v>
      </c>
      <c r="C18" s="21" t="s">
        <v>48</v>
      </c>
      <c r="D18" s="21" t="s">
        <v>49</v>
      </c>
      <c r="E18" s="21" t="s">
        <v>50</v>
      </c>
      <c r="F18" s="21" t="s">
        <v>51</v>
      </c>
      <c r="G18" s="21" t="s">
        <v>52</v>
      </c>
      <c r="H18" s="21" t="s">
        <v>53</v>
      </c>
      <c r="I18" s="21" t="s">
        <v>54</v>
      </c>
      <c r="J18" s="21" t="s">
        <v>55</v>
      </c>
      <c r="K18" s="21" t="s">
        <v>56</v>
      </c>
      <c r="L18" s="21" t="s">
        <v>57</v>
      </c>
      <c r="M18" s="21" t="s">
        <v>58</v>
      </c>
      <c r="N18" s="21" t="s">
        <v>59</v>
      </c>
      <c r="O18" s="21" t="s">
        <v>60</v>
      </c>
      <c r="P18" s="21" t="s">
        <v>61</v>
      </c>
      <c r="Q18" s="21" t="s">
        <v>62</v>
      </c>
      <c r="R18" s="21" t="s">
        <v>63</v>
      </c>
      <c r="S18" s="21" t="s">
        <v>64</v>
      </c>
      <c r="T18" s="21" t="s">
        <v>65</v>
      </c>
      <c r="U18" s="21" t="s">
        <v>66</v>
      </c>
      <c r="V18" s="21" t="s">
        <v>67</v>
      </c>
      <c r="W18" s="21" t="s">
        <v>68</v>
      </c>
      <c r="X18" s="21" t="s">
        <v>69</v>
      </c>
      <c r="Y18" s="21" t="s">
        <v>70</v>
      </c>
      <c r="Z18" s="21" t="s">
        <v>71</v>
      </c>
      <c r="AA18" s="21" t="s">
        <v>72</v>
      </c>
      <c r="AB18" s="21" t="s">
        <v>73</v>
      </c>
      <c r="AC18" s="21" t="s">
        <v>74</v>
      </c>
      <c r="AD18" s="21" t="s">
        <v>75</v>
      </c>
      <c r="AE18" s="21" t="s">
        <v>76</v>
      </c>
      <c r="AF18" s="21" t="s">
        <v>77</v>
      </c>
      <c r="AG18" s="21" t="s">
        <v>78</v>
      </c>
    </row>
    <row r="19" spans="2:33" ht="15.75" customHeight="1" x14ac:dyDescent="0.25">
      <c r="B19" s="22">
        <f>IF($C19="","",COUNTA($C$19:$C19))</f>
        <v>1</v>
      </c>
      <c r="C19" s="23" t="s">
        <v>79</v>
      </c>
      <c r="D19" s="24" t="s">
        <v>80</v>
      </c>
      <c r="E19" s="24" t="s">
        <v>81</v>
      </c>
      <c r="F19" s="24" t="s">
        <v>82</v>
      </c>
      <c r="G19" s="25">
        <v>46027</v>
      </c>
      <c r="H19" s="25">
        <v>46080</v>
      </c>
      <c r="I19" s="26">
        <f t="shared" ref="I19:I50" si="0">IF($G19="","",IF($H19="","",(YEAR($H19)-YEAR($G19))*12+MONTH($H19)-MONTH($G19)+1))</f>
        <v>2</v>
      </c>
      <c r="J19" s="27" t="str">
        <f t="shared" ref="J19:J50" ca="1" si="1">IF($G19="","",IF((YEAR($G19)-Berichtsjahr)*4+ROUNDUP(MONTH($G19)/3,0)&lt;=Akt_Quartal,"Jetzt",IF((YEAR($G19)-Berichtsjahr)*4+ROUNDUP(MONTH($G19)/3,0)=Akt_Quartal+1,"Als Nächstes","Später")))</f>
        <v>Jetzt</v>
      </c>
      <c r="K19" s="28">
        <v>35</v>
      </c>
      <c r="L19" s="29">
        <v>4</v>
      </c>
      <c r="M19" s="29">
        <v>3</v>
      </c>
      <c r="N19" s="29">
        <v>4</v>
      </c>
      <c r="O19" s="30">
        <f t="shared" ref="O19:O50" si="2">IF($K19="","",IF($K19=0,"",IF($L19="","",ROUND(($L19*Gew_Nutzen+$M19*Gew_Dringlichkeit+$N19*Gew_Strategie)/($K19/Aufwand_Normierung),2))))</f>
        <v>5.43</v>
      </c>
      <c r="P19" s="26">
        <f>IF($O19="","",SUMPRODUCT(($O$19:$O$68&lt;&gt;"")*($O$19:$O$68&gt;$O19))+SUMPRODUCT(($O$19:$O19&lt;&gt;"")*($O$19:$O19=$O19)))</f>
        <v>3</v>
      </c>
      <c r="Q19" s="31">
        <v>1</v>
      </c>
      <c r="R19" s="24" t="s">
        <v>83</v>
      </c>
      <c r="S19" s="32" t="str">
        <f t="shared" ref="S19:S50" si="3">IF($C19="","",IF($R19="Zurückgestellt","Zurückgestellt",IF($R19="Idee","Idee – nicht terminiert",IF(OR($G19="",$H19=""),"Termine offen",IF($Q19&gt;=1,"Abgeschlossen",IF($H19&lt;Stichtag,"Verzögert",IF($G19&gt;Stichtag,"Geplant",IF($H19-Stichtag&lt;=Warnfrist,"Endspurt","In Umsetzung"))))))))</f>
        <v>Abgeschlossen</v>
      </c>
      <c r="T19" s="33"/>
      <c r="U19" s="34" t="str">
        <f t="shared" ref="U19:U50" si="4">IF($C19="","",IF($R19="Idee","Idee – noch zu terminieren",IF($G19="","Starttermin fehlt",IF($H19="","Endtermin fehlt",IF($H19&lt;$G19,"Ende liegt vor Start",IF($F19="","Verantwortlichkeit fehlt",IF(IFERROR(MATCH($E19,Liste_Ziel,0),0)=0,"Strategieziel prüfen",IF(IFERROR(MATCH($D19,Liste_Feld,0),0)=0,"Handlungsfeld prüfen",IF($K19="","Aufwand schätzen",IF(OR($L19="",$M19="",$N19=""),"Bewertung unvollständig",IF(IF($T19="",0,IFERROR(INDEX($H$19:$H$68,MATCH($T19,$B$19:$B$68,0)),-1))=-1,"Abhängigkeit unbekannt",IF(IF($T19="",0,IFERROR(INDEX($H$19:$H$68,MATCH($T19,$B$19:$B$68,0)),-1))&gt;$G19,"Start vor Ende der Abhängigkeit",IF(IF($R19="Abgeschlossen",1,0)*IF($Q19&lt;1,1,0)=1,"Fortschritt auf 100 % setzen",IF(IF($R19="In Umsetzung",1,0)*IF($Q19=0,1,0)=1,"Fortschritt pflegen",IF(IF($R19="Geplant",1,0)*IF($Q19&gt;0,1,0)=1,"Status auf „In Umsetzung“ setzen",IF($S19="Verzögert","Termin überschritten – neu planen",IF($R19="Zurückgestellt","Zurückgestellt – Termine prüfen","OK")))))))))))))))))</f>
        <v>OK</v>
      </c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</row>
    <row r="20" spans="2:33" ht="15.75" customHeight="1" x14ac:dyDescent="0.25">
      <c r="B20" s="22">
        <f>IF($C20="","",COUNTA($C$19:$C20))</f>
        <v>2</v>
      </c>
      <c r="C20" s="23" t="s">
        <v>84</v>
      </c>
      <c r="D20" s="24" t="s">
        <v>80</v>
      </c>
      <c r="E20" s="24" t="s">
        <v>81</v>
      </c>
      <c r="F20" s="24" t="s">
        <v>82</v>
      </c>
      <c r="G20" s="25">
        <v>46083</v>
      </c>
      <c r="H20" s="25">
        <v>46295</v>
      </c>
      <c r="I20" s="26">
        <f t="shared" si="0"/>
        <v>7</v>
      </c>
      <c r="J20" s="27" t="str">
        <f t="shared" ca="1" si="1"/>
        <v>Jetzt</v>
      </c>
      <c r="K20" s="28">
        <v>120</v>
      </c>
      <c r="L20" s="29">
        <v>5</v>
      </c>
      <c r="M20" s="29">
        <v>4</v>
      </c>
      <c r="N20" s="29">
        <v>5</v>
      </c>
      <c r="O20" s="30">
        <f t="shared" si="2"/>
        <v>2</v>
      </c>
      <c r="P20" s="26">
        <f>IF($O20="","",SUMPRODUCT(($O$19:$O$68&lt;&gt;"")*($O$19:$O$68&gt;$O20))+SUMPRODUCT(($O$19:$O20&lt;&gt;"")*($O$19:$O20=$O20)))</f>
        <v>22</v>
      </c>
      <c r="Q20" s="31">
        <v>0.55000000000000004</v>
      </c>
      <c r="R20" s="24" t="s">
        <v>85</v>
      </c>
      <c r="S20" s="32" t="str">
        <f t="shared" ca="1" si="3"/>
        <v>In Umsetzung</v>
      </c>
      <c r="T20" s="29">
        <v>1</v>
      </c>
      <c r="U20" s="34" t="str">
        <f t="shared" ca="1" si="4"/>
        <v>OK</v>
      </c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</row>
    <row r="21" spans="2:33" ht="15.75" customHeight="1" x14ac:dyDescent="0.25">
      <c r="B21" s="22">
        <f>IF($C21="","",COUNTA($C$19:$C21))</f>
        <v>3</v>
      </c>
      <c r="C21" s="23" t="s">
        <v>86</v>
      </c>
      <c r="D21" s="24" t="s">
        <v>87</v>
      </c>
      <c r="E21" s="24" t="s">
        <v>81</v>
      </c>
      <c r="F21" s="24" t="s">
        <v>88</v>
      </c>
      <c r="G21" s="25">
        <v>46113</v>
      </c>
      <c r="H21" s="25">
        <v>46234</v>
      </c>
      <c r="I21" s="26">
        <f t="shared" si="0"/>
        <v>4</v>
      </c>
      <c r="J21" s="27" t="str">
        <f t="shared" ca="1" si="1"/>
        <v>Jetzt</v>
      </c>
      <c r="K21" s="28">
        <v>45</v>
      </c>
      <c r="L21" s="29">
        <v>4</v>
      </c>
      <c r="M21" s="29">
        <v>4</v>
      </c>
      <c r="N21" s="29">
        <v>3</v>
      </c>
      <c r="O21" s="30">
        <f t="shared" si="2"/>
        <v>4.1100000000000003</v>
      </c>
      <c r="P21" s="26">
        <f>IF($O21="","",SUMPRODUCT(($O$19:$O$68&lt;&gt;"")*($O$19:$O$68&gt;$O21))+SUMPRODUCT(($O$19:$O21&lt;&gt;"")*($O$19:$O21=$O21)))</f>
        <v>7</v>
      </c>
      <c r="Q21" s="31">
        <v>0.8</v>
      </c>
      <c r="R21" s="24" t="s">
        <v>85</v>
      </c>
      <c r="S21" s="32" t="str">
        <f t="shared" ca="1" si="3"/>
        <v>Endspurt</v>
      </c>
      <c r="T21" s="33"/>
      <c r="U21" s="34" t="str">
        <f t="shared" ca="1" si="4"/>
        <v>OK</v>
      </c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</row>
    <row r="22" spans="2:33" ht="15.75" customHeight="1" x14ac:dyDescent="0.25">
      <c r="B22" s="22">
        <f>IF($C22="","",COUNTA($C$19:$C22))</f>
        <v>4</v>
      </c>
      <c r="C22" s="23" t="s">
        <v>89</v>
      </c>
      <c r="D22" s="24" t="s">
        <v>90</v>
      </c>
      <c r="E22" s="24" t="s">
        <v>91</v>
      </c>
      <c r="F22" s="24" t="s">
        <v>92</v>
      </c>
      <c r="G22" s="25">
        <v>46034</v>
      </c>
      <c r="H22" s="25">
        <v>46203</v>
      </c>
      <c r="I22" s="26">
        <f t="shared" si="0"/>
        <v>6</v>
      </c>
      <c r="J22" s="27" t="str">
        <f t="shared" ca="1" si="1"/>
        <v>Jetzt</v>
      </c>
      <c r="K22" s="28">
        <v>160</v>
      </c>
      <c r="L22" s="29">
        <v>5</v>
      </c>
      <c r="M22" s="29">
        <v>4</v>
      </c>
      <c r="N22" s="29">
        <v>5</v>
      </c>
      <c r="O22" s="30">
        <f t="shared" si="2"/>
        <v>1.5</v>
      </c>
      <c r="P22" s="26">
        <f>IF($O22="","",SUMPRODUCT(($O$19:$O$68&lt;&gt;"")*($O$19:$O$68&gt;$O22))+SUMPRODUCT(($O$19:$O22&lt;&gt;"")*($O$19:$O22=$O22)))</f>
        <v>24</v>
      </c>
      <c r="Q22" s="31">
        <v>1</v>
      </c>
      <c r="R22" s="24" t="s">
        <v>83</v>
      </c>
      <c r="S22" s="32" t="str">
        <f t="shared" si="3"/>
        <v>Abgeschlossen</v>
      </c>
      <c r="T22" s="33"/>
      <c r="U22" s="34" t="str">
        <f t="shared" si="4"/>
        <v>OK</v>
      </c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</row>
    <row r="23" spans="2:33" ht="15.75" customHeight="1" x14ac:dyDescent="0.25">
      <c r="B23" s="22">
        <f>IF($C23="","",COUNTA($C$19:$C23))</f>
        <v>5</v>
      </c>
      <c r="C23" s="23" t="s">
        <v>93</v>
      </c>
      <c r="D23" s="24" t="s">
        <v>90</v>
      </c>
      <c r="E23" s="24" t="s">
        <v>94</v>
      </c>
      <c r="F23" s="24" t="s">
        <v>92</v>
      </c>
      <c r="G23" s="25">
        <v>46204</v>
      </c>
      <c r="H23" s="25">
        <v>46374</v>
      </c>
      <c r="I23" s="26">
        <f t="shared" si="0"/>
        <v>6</v>
      </c>
      <c r="J23" s="27" t="str">
        <f t="shared" ca="1" si="1"/>
        <v>Jetzt</v>
      </c>
      <c r="K23" s="28">
        <v>180</v>
      </c>
      <c r="L23" s="29">
        <v>4</v>
      </c>
      <c r="M23" s="29">
        <v>3</v>
      </c>
      <c r="N23" s="29">
        <v>4</v>
      </c>
      <c r="O23" s="30">
        <f t="shared" si="2"/>
        <v>1.06</v>
      </c>
      <c r="P23" s="26">
        <f>IF($O23="","",SUMPRODUCT(($O$19:$O$68&lt;&gt;"")*($O$19:$O$68&gt;$O23))+SUMPRODUCT(($O$19:$O23&lt;&gt;"")*($O$19:$O23=$O23)))</f>
        <v>26</v>
      </c>
      <c r="Q23" s="31">
        <v>0.25</v>
      </c>
      <c r="R23" s="24" t="s">
        <v>85</v>
      </c>
      <c r="S23" s="32" t="str">
        <f t="shared" ca="1" si="3"/>
        <v>In Umsetzung</v>
      </c>
      <c r="T23" s="29">
        <v>4</v>
      </c>
      <c r="U23" s="34" t="str">
        <f t="shared" ca="1" si="4"/>
        <v>OK</v>
      </c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</row>
    <row r="24" spans="2:33" ht="15.75" customHeight="1" x14ac:dyDescent="0.25">
      <c r="B24" s="22">
        <f>IF($C24="","",COUNTA($C$19:$C24))</f>
        <v>6</v>
      </c>
      <c r="C24" s="23" t="s">
        <v>95</v>
      </c>
      <c r="D24" s="24" t="s">
        <v>96</v>
      </c>
      <c r="E24" s="24" t="s">
        <v>81</v>
      </c>
      <c r="F24" s="24" t="s">
        <v>97</v>
      </c>
      <c r="G24" s="25">
        <v>46055</v>
      </c>
      <c r="H24" s="25">
        <v>46203</v>
      </c>
      <c r="I24" s="26">
        <f t="shared" si="0"/>
        <v>5</v>
      </c>
      <c r="J24" s="27" t="str">
        <f t="shared" ca="1" si="1"/>
        <v>Jetzt</v>
      </c>
      <c r="K24" s="28">
        <v>110</v>
      </c>
      <c r="L24" s="29">
        <v>4</v>
      </c>
      <c r="M24" s="29">
        <v>4</v>
      </c>
      <c r="N24" s="29">
        <v>4</v>
      </c>
      <c r="O24" s="30">
        <f t="shared" si="2"/>
        <v>1.82</v>
      </c>
      <c r="P24" s="26">
        <f>IF($O24="","",SUMPRODUCT(($O$19:$O$68&lt;&gt;"")*($O$19:$O$68&gt;$O24))+SUMPRODUCT(($O$19:$O24&lt;&gt;"")*($O$19:$O24=$O24)))</f>
        <v>23</v>
      </c>
      <c r="Q24" s="31">
        <v>1</v>
      </c>
      <c r="R24" s="24" t="s">
        <v>83</v>
      </c>
      <c r="S24" s="32" t="str">
        <f t="shared" si="3"/>
        <v>Abgeschlossen</v>
      </c>
      <c r="T24" s="33"/>
      <c r="U24" s="34" t="str">
        <f t="shared" si="4"/>
        <v>OK</v>
      </c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</row>
    <row r="25" spans="2:33" ht="15.75" customHeight="1" x14ac:dyDescent="0.25">
      <c r="B25" s="22">
        <f>IF($C25="","",COUNTA($C$19:$C25))</f>
        <v>7</v>
      </c>
      <c r="C25" s="23" t="s">
        <v>98</v>
      </c>
      <c r="D25" s="24" t="s">
        <v>96</v>
      </c>
      <c r="E25" s="24" t="s">
        <v>81</v>
      </c>
      <c r="F25" s="24" t="s">
        <v>97</v>
      </c>
      <c r="G25" s="25">
        <v>46174</v>
      </c>
      <c r="H25" s="25">
        <v>46356</v>
      </c>
      <c r="I25" s="26">
        <f t="shared" si="0"/>
        <v>6</v>
      </c>
      <c r="J25" s="27" t="str">
        <f t="shared" ca="1" si="1"/>
        <v>Jetzt</v>
      </c>
      <c r="K25" s="28">
        <v>90</v>
      </c>
      <c r="L25" s="29">
        <v>4</v>
      </c>
      <c r="M25" s="29">
        <v>3</v>
      </c>
      <c r="N25" s="29">
        <v>4</v>
      </c>
      <c r="O25" s="30">
        <f t="shared" si="2"/>
        <v>2.11</v>
      </c>
      <c r="P25" s="26">
        <f>IF($O25="","",SUMPRODUCT(($O$19:$O$68&lt;&gt;"")*($O$19:$O$68&gt;$O25))+SUMPRODUCT(($O$19:$O25&lt;&gt;"")*($O$19:$O25=$O25)))</f>
        <v>20</v>
      </c>
      <c r="Q25" s="31">
        <v>0.35</v>
      </c>
      <c r="R25" s="24" t="s">
        <v>85</v>
      </c>
      <c r="S25" s="32" t="str">
        <f t="shared" ca="1" si="3"/>
        <v>In Umsetzung</v>
      </c>
      <c r="T25" s="29">
        <v>6</v>
      </c>
      <c r="U25" s="34" t="str">
        <f t="shared" si="4"/>
        <v>Start vor Ende der Abhängigkeit</v>
      </c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</row>
    <row r="26" spans="2:33" ht="15.75" customHeight="1" x14ac:dyDescent="0.25">
      <c r="B26" s="22">
        <f>IF($C26="","",COUNTA($C$19:$C26))</f>
        <v>8</v>
      </c>
      <c r="C26" s="23" t="s">
        <v>99</v>
      </c>
      <c r="D26" s="24" t="s">
        <v>100</v>
      </c>
      <c r="E26" s="24" t="s">
        <v>101</v>
      </c>
      <c r="F26" s="24" t="s">
        <v>102</v>
      </c>
      <c r="G26" s="25">
        <v>46090</v>
      </c>
      <c r="H26" s="25">
        <v>46171</v>
      </c>
      <c r="I26" s="26">
        <f t="shared" si="0"/>
        <v>3</v>
      </c>
      <c r="J26" s="27" t="str">
        <f t="shared" ca="1" si="1"/>
        <v>Jetzt</v>
      </c>
      <c r="K26" s="28">
        <v>40</v>
      </c>
      <c r="L26" s="29">
        <v>3</v>
      </c>
      <c r="M26" s="29">
        <v>4</v>
      </c>
      <c r="N26" s="29">
        <v>3</v>
      </c>
      <c r="O26" s="30">
        <f t="shared" si="2"/>
        <v>4</v>
      </c>
      <c r="P26" s="26">
        <f>IF($O26="","",SUMPRODUCT(($O$19:$O$68&lt;&gt;"")*($O$19:$O$68&gt;$O26))+SUMPRODUCT(($O$19:$O26&lt;&gt;"")*($O$19:$O26=$O26)))</f>
        <v>8</v>
      </c>
      <c r="Q26" s="31">
        <v>1</v>
      </c>
      <c r="R26" s="24" t="s">
        <v>83</v>
      </c>
      <c r="S26" s="32" t="str">
        <f t="shared" si="3"/>
        <v>Abgeschlossen</v>
      </c>
      <c r="T26" s="33"/>
      <c r="U26" s="34" t="str">
        <f t="shared" si="4"/>
        <v>OK</v>
      </c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</row>
    <row r="27" spans="2:33" ht="15.75" customHeight="1" x14ac:dyDescent="0.25">
      <c r="B27" s="22">
        <f>IF($C27="","",COUNTA($C$19:$C27))</f>
        <v>9</v>
      </c>
      <c r="C27" s="23" t="s">
        <v>103</v>
      </c>
      <c r="D27" s="24" t="s">
        <v>100</v>
      </c>
      <c r="E27" s="24" t="s">
        <v>94</v>
      </c>
      <c r="F27" s="24" t="s">
        <v>102</v>
      </c>
      <c r="G27" s="25">
        <v>46146</v>
      </c>
      <c r="H27" s="25">
        <v>46234</v>
      </c>
      <c r="I27" s="26">
        <f t="shared" si="0"/>
        <v>3</v>
      </c>
      <c r="J27" s="27" t="str">
        <f t="shared" ca="1" si="1"/>
        <v>Jetzt</v>
      </c>
      <c r="K27" s="28">
        <v>55</v>
      </c>
      <c r="L27" s="29">
        <v>4</v>
      </c>
      <c r="M27" s="29">
        <v>5</v>
      </c>
      <c r="N27" s="29">
        <v>3</v>
      </c>
      <c r="O27" s="30">
        <f t="shared" si="2"/>
        <v>3.55</v>
      </c>
      <c r="P27" s="26">
        <f>IF($O27="","",SUMPRODUCT(($O$19:$O$68&lt;&gt;"")*($O$19:$O$68&gt;$O27))+SUMPRODUCT(($O$19:$O27&lt;&gt;"")*($O$19:$O27=$O27)))</f>
        <v>12</v>
      </c>
      <c r="Q27" s="31">
        <v>0.7</v>
      </c>
      <c r="R27" s="24" t="s">
        <v>85</v>
      </c>
      <c r="S27" s="32" t="str">
        <f t="shared" ca="1" si="3"/>
        <v>Endspurt</v>
      </c>
      <c r="T27" s="33"/>
      <c r="U27" s="34" t="str">
        <f t="shared" ca="1" si="4"/>
        <v>OK</v>
      </c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</row>
    <row r="28" spans="2:33" ht="15.75" customHeight="1" x14ac:dyDescent="0.25">
      <c r="B28" s="22">
        <f>IF($C28="","",COUNTA($C$19:$C28))</f>
        <v>10</v>
      </c>
      <c r="C28" s="23" t="s">
        <v>104</v>
      </c>
      <c r="D28" s="24" t="s">
        <v>100</v>
      </c>
      <c r="E28" s="24" t="s">
        <v>101</v>
      </c>
      <c r="F28" s="24" t="s">
        <v>102</v>
      </c>
      <c r="G28" s="25">
        <v>46113</v>
      </c>
      <c r="H28" s="25">
        <v>46203</v>
      </c>
      <c r="I28" s="26">
        <f t="shared" si="0"/>
        <v>3</v>
      </c>
      <c r="J28" s="27" t="str">
        <f t="shared" ca="1" si="1"/>
        <v>Jetzt</v>
      </c>
      <c r="K28" s="28">
        <v>35</v>
      </c>
      <c r="L28" s="29">
        <v>3</v>
      </c>
      <c r="M28" s="29">
        <v>3</v>
      </c>
      <c r="N28" s="29">
        <v>3</v>
      </c>
      <c r="O28" s="30">
        <f t="shared" si="2"/>
        <v>4.29</v>
      </c>
      <c r="P28" s="26">
        <f>IF($O28="","",SUMPRODUCT(($O$19:$O$68&lt;&gt;"")*($O$19:$O$68&gt;$O28))+SUMPRODUCT(($O$19:$O28&lt;&gt;"")*($O$19:$O28=$O28)))</f>
        <v>6</v>
      </c>
      <c r="Q28" s="31">
        <v>0.6</v>
      </c>
      <c r="R28" s="24" t="s">
        <v>85</v>
      </c>
      <c r="S28" s="32" t="str">
        <f t="shared" ca="1" si="3"/>
        <v>Verzögert</v>
      </c>
      <c r="T28" s="33"/>
      <c r="U28" s="34" t="str">
        <f t="shared" ca="1" si="4"/>
        <v>Termin überschritten – neu planen</v>
      </c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</row>
    <row r="29" spans="2:33" ht="15.75" customHeight="1" x14ac:dyDescent="0.25">
      <c r="B29" s="22">
        <f>IF($C29="","",COUNTA($C$19:$C29))</f>
        <v>11</v>
      </c>
      <c r="C29" s="23" t="s">
        <v>105</v>
      </c>
      <c r="D29" s="24" t="s">
        <v>100</v>
      </c>
      <c r="E29" s="24" t="s">
        <v>101</v>
      </c>
      <c r="F29" s="24" t="s">
        <v>102</v>
      </c>
      <c r="G29" s="25">
        <v>46188</v>
      </c>
      <c r="H29" s="25">
        <v>46295</v>
      </c>
      <c r="I29" s="26">
        <f t="shared" si="0"/>
        <v>4</v>
      </c>
      <c r="J29" s="27" t="str">
        <f t="shared" ca="1" si="1"/>
        <v>Jetzt</v>
      </c>
      <c r="K29" s="28">
        <v>45</v>
      </c>
      <c r="L29" s="29">
        <v>3</v>
      </c>
      <c r="M29" s="29">
        <v>3</v>
      </c>
      <c r="N29" s="29">
        <v>3</v>
      </c>
      <c r="O29" s="30">
        <f t="shared" si="2"/>
        <v>3.33</v>
      </c>
      <c r="P29" s="26">
        <f>IF($O29="","",SUMPRODUCT(($O$19:$O$68&lt;&gt;"")*($O$19:$O$68&gt;$O29))+SUMPRODUCT(($O$19:$O29&lt;&gt;"")*($O$19:$O29=$O29)))</f>
        <v>14</v>
      </c>
      <c r="Q29" s="31">
        <v>0.3</v>
      </c>
      <c r="R29" s="24" t="s">
        <v>85</v>
      </c>
      <c r="S29" s="32" t="str">
        <f t="shared" ca="1" si="3"/>
        <v>In Umsetzung</v>
      </c>
      <c r="T29" s="29">
        <v>10</v>
      </c>
      <c r="U29" s="34" t="str">
        <f t="shared" si="4"/>
        <v>Start vor Ende der Abhängigkeit</v>
      </c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</row>
    <row r="30" spans="2:33" ht="15.75" customHeight="1" x14ac:dyDescent="0.25">
      <c r="B30" s="22">
        <f>IF($C30="","",COUNTA($C$19:$C30))</f>
        <v>12</v>
      </c>
      <c r="C30" s="23" t="s">
        <v>106</v>
      </c>
      <c r="D30" s="24" t="s">
        <v>90</v>
      </c>
      <c r="E30" s="24" t="s">
        <v>101</v>
      </c>
      <c r="F30" s="24" t="s">
        <v>92</v>
      </c>
      <c r="G30" s="25">
        <v>46266</v>
      </c>
      <c r="H30" s="25">
        <v>46477</v>
      </c>
      <c r="I30" s="26">
        <f t="shared" si="0"/>
        <v>7</v>
      </c>
      <c r="J30" s="27" t="str">
        <f t="shared" ca="1" si="1"/>
        <v>Jetzt</v>
      </c>
      <c r="K30" s="28">
        <v>200</v>
      </c>
      <c r="L30" s="29">
        <v>4</v>
      </c>
      <c r="M30" s="29">
        <v>3</v>
      </c>
      <c r="N30" s="29">
        <v>4</v>
      </c>
      <c r="O30" s="30">
        <f t="shared" si="2"/>
        <v>0.95</v>
      </c>
      <c r="P30" s="26">
        <f>IF($O30="","",SUMPRODUCT(($O$19:$O$68&lt;&gt;"")*($O$19:$O$68&gt;$O30))+SUMPRODUCT(($O$19:$O30&lt;&gt;"")*($O$19:$O30=$O30)))</f>
        <v>27</v>
      </c>
      <c r="Q30" s="31">
        <v>0</v>
      </c>
      <c r="R30" s="24" t="s">
        <v>107</v>
      </c>
      <c r="S30" s="32" t="str">
        <f t="shared" ca="1" si="3"/>
        <v>Geplant</v>
      </c>
      <c r="T30" s="33"/>
      <c r="U30" s="34" t="str">
        <f t="shared" ca="1" si="4"/>
        <v>OK</v>
      </c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</row>
    <row r="31" spans="2:33" ht="15.75" customHeight="1" x14ac:dyDescent="0.25">
      <c r="B31" s="22">
        <f>IF($C31="","",COUNTA($C$19:$C31))</f>
        <v>13</v>
      </c>
      <c r="C31" s="23" t="s">
        <v>108</v>
      </c>
      <c r="D31" s="24" t="s">
        <v>90</v>
      </c>
      <c r="E31" s="24" t="s">
        <v>101</v>
      </c>
      <c r="F31" s="24" t="s">
        <v>92</v>
      </c>
      <c r="G31" s="25">
        <v>46118</v>
      </c>
      <c r="H31" s="25">
        <v>46220</v>
      </c>
      <c r="I31" s="26">
        <f t="shared" si="0"/>
        <v>4</v>
      </c>
      <c r="J31" s="27" t="str">
        <f t="shared" ca="1" si="1"/>
        <v>Jetzt</v>
      </c>
      <c r="K31" s="28">
        <v>50</v>
      </c>
      <c r="L31" s="29">
        <v>4</v>
      </c>
      <c r="M31" s="29">
        <v>5</v>
      </c>
      <c r="N31" s="29">
        <v>3</v>
      </c>
      <c r="O31" s="30">
        <f t="shared" si="2"/>
        <v>3.9</v>
      </c>
      <c r="P31" s="26">
        <f>IF($O31="","",SUMPRODUCT(($O$19:$O$68&lt;&gt;"")*($O$19:$O$68&gt;$O31))+SUMPRODUCT(($O$19:$O31&lt;&gt;"")*($O$19:$O31=$O31)))</f>
        <v>9</v>
      </c>
      <c r="Q31" s="31">
        <v>0.9</v>
      </c>
      <c r="R31" s="24" t="s">
        <v>85</v>
      </c>
      <c r="S31" s="32" t="str">
        <f t="shared" ca="1" si="3"/>
        <v>Verzögert</v>
      </c>
      <c r="T31" s="33"/>
      <c r="U31" s="34" t="str">
        <f t="shared" ca="1" si="4"/>
        <v>Termin überschritten – neu planen</v>
      </c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</row>
    <row r="32" spans="2:33" ht="15.75" customHeight="1" x14ac:dyDescent="0.25">
      <c r="B32" s="22">
        <f>IF($C32="","",COUNTA($C$19:$C32))</f>
        <v>14</v>
      </c>
      <c r="C32" s="23" t="s">
        <v>109</v>
      </c>
      <c r="D32" s="24" t="s">
        <v>100</v>
      </c>
      <c r="E32" s="24" t="s">
        <v>101</v>
      </c>
      <c r="F32" s="24" t="s">
        <v>92</v>
      </c>
      <c r="G32" s="25">
        <v>46296</v>
      </c>
      <c r="H32" s="25">
        <v>46371</v>
      </c>
      <c r="I32" s="26">
        <f t="shared" si="0"/>
        <v>3</v>
      </c>
      <c r="J32" s="27" t="str">
        <f t="shared" ca="1" si="1"/>
        <v>Als Nächstes</v>
      </c>
      <c r="K32" s="28">
        <v>30</v>
      </c>
      <c r="L32" s="29">
        <v>3</v>
      </c>
      <c r="M32" s="29">
        <v>3</v>
      </c>
      <c r="N32" s="29">
        <v>2</v>
      </c>
      <c r="O32" s="30">
        <f t="shared" si="2"/>
        <v>4.5</v>
      </c>
      <c r="P32" s="26">
        <f>IF($O32="","",SUMPRODUCT(($O$19:$O$68&lt;&gt;"")*($O$19:$O$68&gt;$O32))+SUMPRODUCT(($O$19:$O32&lt;&gt;"")*($O$19:$O32=$O32)))</f>
        <v>5</v>
      </c>
      <c r="Q32" s="31">
        <v>0</v>
      </c>
      <c r="R32" s="24" t="s">
        <v>107</v>
      </c>
      <c r="S32" s="32" t="str">
        <f t="shared" ca="1" si="3"/>
        <v>Geplant</v>
      </c>
      <c r="T32" s="33"/>
      <c r="U32" s="34" t="str">
        <f t="shared" ca="1" si="4"/>
        <v>OK</v>
      </c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</row>
    <row r="33" spans="2:33" ht="15.75" customHeight="1" x14ac:dyDescent="0.25">
      <c r="B33" s="22">
        <f>IF($C33="","",COUNTA($C$19:$C33))</f>
        <v>15</v>
      </c>
      <c r="C33" s="23" t="s">
        <v>110</v>
      </c>
      <c r="D33" s="24" t="s">
        <v>111</v>
      </c>
      <c r="E33" s="24" t="s">
        <v>101</v>
      </c>
      <c r="F33" s="24" t="s">
        <v>112</v>
      </c>
      <c r="G33" s="25">
        <v>46083</v>
      </c>
      <c r="H33" s="25">
        <v>46173</v>
      </c>
      <c r="I33" s="26">
        <f t="shared" si="0"/>
        <v>3</v>
      </c>
      <c r="J33" s="27" t="str">
        <f t="shared" ca="1" si="1"/>
        <v>Jetzt</v>
      </c>
      <c r="K33" s="28">
        <v>40</v>
      </c>
      <c r="L33" s="29">
        <v>3</v>
      </c>
      <c r="M33" s="29">
        <v>3</v>
      </c>
      <c r="N33" s="29">
        <v>3</v>
      </c>
      <c r="O33" s="30">
        <f t="shared" si="2"/>
        <v>3.75</v>
      </c>
      <c r="P33" s="26">
        <f>IF($O33="","",SUMPRODUCT(($O$19:$O$68&lt;&gt;"")*($O$19:$O$68&gt;$O33))+SUMPRODUCT(($O$19:$O33&lt;&gt;"")*($O$19:$O33=$O33)))</f>
        <v>11</v>
      </c>
      <c r="Q33" s="31">
        <v>1</v>
      </c>
      <c r="R33" s="24" t="s">
        <v>83</v>
      </c>
      <c r="S33" s="32" t="str">
        <f t="shared" si="3"/>
        <v>Abgeschlossen</v>
      </c>
      <c r="T33" s="33"/>
      <c r="U33" s="34" t="str">
        <f t="shared" si="4"/>
        <v>OK</v>
      </c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</row>
    <row r="34" spans="2:33" ht="15.75" customHeight="1" x14ac:dyDescent="0.25">
      <c r="B34" s="22">
        <f>IF($C34="","",COUNTA($C$19:$C34))</f>
        <v>16</v>
      </c>
      <c r="C34" s="23" t="s">
        <v>113</v>
      </c>
      <c r="D34" s="24" t="s">
        <v>111</v>
      </c>
      <c r="E34" s="24" t="s">
        <v>101</v>
      </c>
      <c r="F34" s="24" t="s">
        <v>112</v>
      </c>
      <c r="G34" s="25">
        <v>46266</v>
      </c>
      <c r="H34" s="25">
        <v>46356</v>
      </c>
      <c r="I34" s="26">
        <f t="shared" si="0"/>
        <v>3</v>
      </c>
      <c r="J34" s="27" t="str">
        <f t="shared" ca="1" si="1"/>
        <v>Jetzt</v>
      </c>
      <c r="K34" s="28">
        <v>55</v>
      </c>
      <c r="L34" s="29">
        <v>3</v>
      </c>
      <c r="M34" s="29">
        <v>2</v>
      </c>
      <c r="N34" s="29">
        <v>3</v>
      </c>
      <c r="O34" s="30">
        <f t="shared" si="2"/>
        <v>2.5499999999999998</v>
      </c>
      <c r="P34" s="26">
        <f>IF($O34="","",SUMPRODUCT(($O$19:$O$68&lt;&gt;"")*($O$19:$O$68&gt;$O34))+SUMPRODUCT(($O$19:$O34&lt;&gt;"")*($O$19:$O34=$O34)))</f>
        <v>18</v>
      </c>
      <c r="Q34" s="31">
        <v>0</v>
      </c>
      <c r="R34" s="24" t="s">
        <v>107</v>
      </c>
      <c r="S34" s="32" t="str">
        <f t="shared" ca="1" si="3"/>
        <v>Geplant</v>
      </c>
      <c r="T34" s="33"/>
      <c r="U34" s="34" t="str">
        <f t="shared" ca="1" si="4"/>
        <v>OK</v>
      </c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</row>
    <row r="35" spans="2:33" ht="15.75" customHeight="1" x14ac:dyDescent="0.25">
      <c r="B35" s="22">
        <f>IF($C35="","",COUNTA($C$19:$C35))</f>
        <v>17</v>
      </c>
      <c r="C35" s="23" t="s">
        <v>114</v>
      </c>
      <c r="D35" s="24" t="s">
        <v>111</v>
      </c>
      <c r="E35" s="24" t="s">
        <v>81</v>
      </c>
      <c r="F35" s="24" t="s">
        <v>112</v>
      </c>
      <c r="G35" s="25">
        <v>46143</v>
      </c>
      <c r="H35" s="25">
        <v>46326</v>
      </c>
      <c r="I35" s="26">
        <f t="shared" si="0"/>
        <v>6</v>
      </c>
      <c r="J35" s="27" t="str">
        <f t="shared" ca="1" si="1"/>
        <v>Jetzt</v>
      </c>
      <c r="K35" s="28">
        <v>60</v>
      </c>
      <c r="L35" s="29">
        <v>3</v>
      </c>
      <c r="M35" s="29">
        <v>3</v>
      </c>
      <c r="N35" s="29">
        <v>3</v>
      </c>
      <c r="O35" s="30">
        <f t="shared" si="2"/>
        <v>2.5</v>
      </c>
      <c r="P35" s="26">
        <f>IF($O35="","",SUMPRODUCT(($O$19:$O$68&lt;&gt;"")*($O$19:$O$68&gt;$O35))+SUMPRODUCT(($O$19:$O35&lt;&gt;"")*($O$19:$O35=$O35)))</f>
        <v>19</v>
      </c>
      <c r="Q35" s="31">
        <v>0.45</v>
      </c>
      <c r="R35" s="24" t="s">
        <v>85</v>
      </c>
      <c r="S35" s="32" t="str">
        <f t="shared" ca="1" si="3"/>
        <v>In Umsetzung</v>
      </c>
      <c r="T35" s="33"/>
      <c r="U35" s="34" t="str">
        <f t="shared" ca="1" si="4"/>
        <v>OK</v>
      </c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</row>
    <row r="36" spans="2:33" ht="15.75" customHeight="1" x14ac:dyDescent="0.25">
      <c r="B36" s="22">
        <f>IF($C36="","",COUNTA($C$19:$C36))</f>
        <v>18</v>
      </c>
      <c r="C36" s="23" t="s">
        <v>115</v>
      </c>
      <c r="D36" s="24" t="s">
        <v>116</v>
      </c>
      <c r="E36" s="24" t="s">
        <v>116</v>
      </c>
      <c r="F36" s="24" t="s">
        <v>88</v>
      </c>
      <c r="G36" s="25">
        <v>46174</v>
      </c>
      <c r="H36" s="25">
        <v>46387</v>
      </c>
      <c r="I36" s="26">
        <f t="shared" si="0"/>
        <v>7</v>
      </c>
      <c r="J36" s="27" t="str">
        <f t="shared" ca="1" si="1"/>
        <v>Jetzt</v>
      </c>
      <c r="K36" s="28">
        <v>50</v>
      </c>
      <c r="L36" s="29">
        <v>3</v>
      </c>
      <c r="M36" s="29">
        <v>4</v>
      </c>
      <c r="N36" s="29">
        <v>5</v>
      </c>
      <c r="O36" s="30">
        <f t="shared" si="2"/>
        <v>3.8</v>
      </c>
      <c r="P36" s="26">
        <f>IF($O36="","",SUMPRODUCT(($O$19:$O$68&lt;&gt;"")*($O$19:$O$68&gt;$O36))+SUMPRODUCT(($O$19:$O36&lt;&gt;"")*($O$19:$O36=$O36)))</f>
        <v>10</v>
      </c>
      <c r="Q36" s="31">
        <v>0.3</v>
      </c>
      <c r="R36" s="24" t="s">
        <v>85</v>
      </c>
      <c r="S36" s="32" t="str">
        <f t="shared" ca="1" si="3"/>
        <v>In Umsetzung</v>
      </c>
      <c r="T36" s="33"/>
      <c r="U36" s="34" t="str">
        <f t="shared" ca="1" si="4"/>
        <v>OK</v>
      </c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</row>
    <row r="37" spans="2:33" ht="15.75" customHeight="1" x14ac:dyDescent="0.25">
      <c r="B37" s="22">
        <f>IF($C37="","",COUNTA($C$19:$C37))</f>
        <v>19</v>
      </c>
      <c r="C37" s="23" t="s">
        <v>117</v>
      </c>
      <c r="D37" s="24" t="s">
        <v>116</v>
      </c>
      <c r="E37" s="24" t="s">
        <v>116</v>
      </c>
      <c r="F37" s="24" t="s">
        <v>102</v>
      </c>
      <c r="G37" s="25">
        <v>46235</v>
      </c>
      <c r="H37" s="25">
        <v>46387</v>
      </c>
      <c r="I37" s="26">
        <f t="shared" si="0"/>
        <v>5</v>
      </c>
      <c r="J37" s="27" t="str">
        <f t="shared" ca="1" si="1"/>
        <v>Jetzt</v>
      </c>
      <c r="K37" s="28">
        <v>70</v>
      </c>
      <c r="L37" s="29">
        <v>4</v>
      </c>
      <c r="M37" s="29">
        <v>3</v>
      </c>
      <c r="N37" s="29">
        <v>4</v>
      </c>
      <c r="O37" s="30">
        <f t="shared" si="2"/>
        <v>2.71</v>
      </c>
      <c r="P37" s="26">
        <f>IF($O37="","",SUMPRODUCT(($O$19:$O$68&lt;&gt;"")*($O$19:$O$68&gt;$O37))+SUMPRODUCT(($O$19:$O37&lt;&gt;"")*($O$19:$O37=$O37)))</f>
        <v>16</v>
      </c>
      <c r="Q37" s="31">
        <v>0</v>
      </c>
      <c r="R37" s="24" t="s">
        <v>107</v>
      </c>
      <c r="S37" s="32" t="str">
        <f t="shared" ca="1" si="3"/>
        <v>Geplant</v>
      </c>
      <c r="T37" s="33"/>
      <c r="U37" s="34" t="str">
        <f t="shared" ca="1" si="4"/>
        <v>OK</v>
      </c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</row>
    <row r="38" spans="2:33" ht="15.75" customHeight="1" x14ac:dyDescent="0.25">
      <c r="B38" s="22">
        <f>IF($C38="","",COUNTA($C$19:$C38))</f>
        <v>20</v>
      </c>
      <c r="C38" s="23" t="s">
        <v>118</v>
      </c>
      <c r="D38" s="24" t="s">
        <v>116</v>
      </c>
      <c r="E38" s="24" t="s">
        <v>116</v>
      </c>
      <c r="F38" s="24" t="s">
        <v>102</v>
      </c>
      <c r="G38" s="25">
        <v>46296</v>
      </c>
      <c r="H38" s="25">
        <v>46387</v>
      </c>
      <c r="I38" s="26">
        <f t="shared" si="0"/>
        <v>3</v>
      </c>
      <c r="J38" s="27" t="str">
        <f t="shared" ca="1" si="1"/>
        <v>Als Nächstes</v>
      </c>
      <c r="K38" s="28">
        <v>45</v>
      </c>
      <c r="L38" s="29">
        <v>3</v>
      </c>
      <c r="M38" s="29">
        <v>2</v>
      </c>
      <c r="N38" s="29">
        <v>4</v>
      </c>
      <c r="O38" s="30">
        <f t="shared" si="2"/>
        <v>3.44</v>
      </c>
      <c r="P38" s="26">
        <f>IF($O38="","",SUMPRODUCT(($O$19:$O$68&lt;&gt;"")*($O$19:$O$68&gt;$O38))+SUMPRODUCT(($O$19:$O38&lt;&gt;"")*($O$19:$O38=$O38)))</f>
        <v>13</v>
      </c>
      <c r="Q38" s="31">
        <v>0</v>
      </c>
      <c r="R38" s="24" t="s">
        <v>107</v>
      </c>
      <c r="S38" s="32" t="str">
        <f t="shared" ca="1" si="3"/>
        <v>Geplant</v>
      </c>
      <c r="T38" s="33"/>
      <c r="U38" s="34" t="str">
        <f t="shared" ca="1" si="4"/>
        <v>OK</v>
      </c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</row>
    <row r="39" spans="2:33" ht="15.75" customHeight="1" x14ac:dyDescent="0.25">
      <c r="B39" s="22">
        <f>IF($C39="","",COUNTA($C$19:$C39))</f>
        <v>21</v>
      </c>
      <c r="C39" s="23" t="s">
        <v>119</v>
      </c>
      <c r="D39" s="24" t="s">
        <v>80</v>
      </c>
      <c r="E39" s="24" t="s">
        <v>94</v>
      </c>
      <c r="F39" s="24" t="s">
        <v>82</v>
      </c>
      <c r="G39" s="25">
        <v>46266</v>
      </c>
      <c r="H39" s="25">
        <v>46326</v>
      </c>
      <c r="I39" s="26">
        <f t="shared" si="0"/>
        <v>2</v>
      </c>
      <c r="J39" s="27" t="str">
        <f t="shared" ca="1" si="1"/>
        <v>Jetzt</v>
      </c>
      <c r="K39" s="28">
        <v>25</v>
      </c>
      <c r="L39" s="29">
        <v>4</v>
      </c>
      <c r="M39" s="29">
        <v>3</v>
      </c>
      <c r="N39" s="29">
        <v>3</v>
      </c>
      <c r="O39" s="30">
        <f t="shared" si="2"/>
        <v>7</v>
      </c>
      <c r="P39" s="26">
        <f>IF($O39="","",SUMPRODUCT(($O$19:$O$68&lt;&gt;"")*($O$19:$O$68&gt;$O39))+SUMPRODUCT(($O$19:$O39&lt;&gt;"")*($O$19:$O39=$O39)))</f>
        <v>1</v>
      </c>
      <c r="Q39" s="31">
        <v>0</v>
      </c>
      <c r="R39" s="24" t="s">
        <v>107</v>
      </c>
      <c r="S39" s="32" t="str">
        <f t="shared" ca="1" si="3"/>
        <v>Geplant</v>
      </c>
      <c r="T39" s="33"/>
      <c r="U39" s="34" t="str">
        <f t="shared" ca="1" si="4"/>
        <v>OK</v>
      </c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</row>
    <row r="40" spans="2:33" ht="15.75" customHeight="1" x14ac:dyDescent="0.25">
      <c r="B40" s="22">
        <f>IF($C40="","",COUNTA($C$19:$C40))</f>
        <v>22</v>
      </c>
      <c r="C40" s="23" t="s">
        <v>120</v>
      </c>
      <c r="D40" s="24" t="s">
        <v>80</v>
      </c>
      <c r="E40" s="24" t="s">
        <v>81</v>
      </c>
      <c r="F40" s="24" t="s">
        <v>82</v>
      </c>
      <c r="G40" s="25">
        <v>46296</v>
      </c>
      <c r="H40" s="25">
        <v>46387</v>
      </c>
      <c r="I40" s="26">
        <f t="shared" si="0"/>
        <v>3</v>
      </c>
      <c r="J40" s="27" t="str">
        <f t="shared" ca="1" si="1"/>
        <v>Als Nächstes</v>
      </c>
      <c r="K40" s="28">
        <v>65</v>
      </c>
      <c r="L40" s="29">
        <v>4</v>
      </c>
      <c r="M40" s="29">
        <v>2</v>
      </c>
      <c r="N40" s="29">
        <v>4</v>
      </c>
      <c r="O40" s="30">
        <f t="shared" si="2"/>
        <v>2.77</v>
      </c>
      <c r="P40" s="26">
        <f>IF($O40="","",SUMPRODUCT(($O$19:$O$68&lt;&gt;"")*($O$19:$O$68&gt;$O40))+SUMPRODUCT(($O$19:$O40&lt;&gt;"")*($O$19:$O40=$O40)))</f>
        <v>15</v>
      </c>
      <c r="Q40" s="31">
        <v>0</v>
      </c>
      <c r="R40" s="24" t="s">
        <v>107</v>
      </c>
      <c r="S40" s="32" t="str">
        <f t="shared" ca="1" si="3"/>
        <v>Geplant</v>
      </c>
      <c r="T40" s="33"/>
      <c r="U40" s="34" t="str">
        <f t="shared" ca="1" si="4"/>
        <v>OK</v>
      </c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</row>
    <row r="41" spans="2:33" ht="15.75" customHeight="1" x14ac:dyDescent="0.25">
      <c r="B41" s="22">
        <f>IF($C41="","",COUNTA($C$19:$C41))</f>
        <v>23</v>
      </c>
      <c r="C41" s="23" t="s">
        <v>121</v>
      </c>
      <c r="D41" s="24" t="s">
        <v>96</v>
      </c>
      <c r="E41" s="24" t="s">
        <v>91</v>
      </c>
      <c r="F41" s="24" t="s">
        <v>97</v>
      </c>
      <c r="G41" s="25">
        <v>46327</v>
      </c>
      <c r="H41" s="25">
        <v>46477</v>
      </c>
      <c r="I41" s="26">
        <f t="shared" si="0"/>
        <v>5</v>
      </c>
      <c r="J41" s="27" t="str">
        <f t="shared" ca="1" si="1"/>
        <v>Als Nächstes</v>
      </c>
      <c r="K41" s="28">
        <v>130</v>
      </c>
      <c r="L41" s="29">
        <v>4</v>
      </c>
      <c r="M41" s="29">
        <v>2</v>
      </c>
      <c r="N41" s="29">
        <v>4</v>
      </c>
      <c r="O41" s="30">
        <f t="shared" si="2"/>
        <v>1.38</v>
      </c>
      <c r="P41" s="26">
        <f>IF($O41="","",SUMPRODUCT(($O$19:$O$68&lt;&gt;"")*($O$19:$O$68&gt;$O41))+SUMPRODUCT(($O$19:$O41&lt;&gt;"")*($O$19:$O41=$O41)))</f>
        <v>25</v>
      </c>
      <c r="Q41" s="31">
        <v>0</v>
      </c>
      <c r="R41" s="24" t="s">
        <v>107</v>
      </c>
      <c r="S41" s="32" t="str">
        <f t="shared" ca="1" si="3"/>
        <v>Geplant</v>
      </c>
      <c r="T41" s="33"/>
      <c r="U41" s="34" t="str">
        <f t="shared" ca="1" si="4"/>
        <v>OK</v>
      </c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</row>
    <row r="42" spans="2:33" ht="15.75" customHeight="1" x14ac:dyDescent="0.25">
      <c r="B42" s="22">
        <f>IF($C42="","",COUNTA($C$19:$C42))</f>
        <v>24</v>
      </c>
      <c r="C42" s="23" t="s">
        <v>122</v>
      </c>
      <c r="D42" s="24" t="s">
        <v>100</v>
      </c>
      <c r="E42" s="24" t="s">
        <v>101</v>
      </c>
      <c r="F42" s="24" t="s">
        <v>102</v>
      </c>
      <c r="G42" s="25">
        <v>46069</v>
      </c>
      <c r="H42" s="25">
        <v>46142</v>
      </c>
      <c r="I42" s="26">
        <f t="shared" si="0"/>
        <v>3</v>
      </c>
      <c r="J42" s="27" t="str">
        <f t="shared" ca="1" si="1"/>
        <v>Jetzt</v>
      </c>
      <c r="K42" s="28">
        <v>60</v>
      </c>
      <c r="L42" s="29">
        <v>3</v>
      </c>
      <c r="M42" s="29">
        <v>4</v>
      </c>
      <c r="N42" s="29">
        <v>3</v>
      </c>
      <c r="O42" s="30">
        <f t="shared" si="2"/>
        <v>2.67</v>
      </c>
      <c r="P42" s="26">
        <f>IF($O42="","",SUMPRODUCT(($O$19:$O$68&lt;&gt;"")*($O$19:$O$68&gt;$O42))+SUMPRODUCT(($O$19:$O42&lt;&gt;"")*($O$19:$O42=$O42)))</f>
        <v>17</v>
      </c>
      <c r="Q42" s="31">
        <v>1</v>
      </c>
      <c r="R42" s="24" t="s">
        <v>83</v>
      </c>
      <c r="S42" s="32" t="str">
        <f t="shared" si="3"/>
        <v>Abgeschlossen</v>
      </c>
      <c r="T42" s="33"/>
      <c r="U42" s="34" t="str">
        <f t="shared" si="4"/>
        <v>OK</v>
      </c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</row>
    <row r="43" spans="2:33" ht="15.75" customHeight="1" x14ac:dyDescent="0.25">
      <c r="B43" s="22">
        <f>IF($C43="","",COUNTA($C$19:$C43))</f>
        <v>25</v>
      </c>
      <c r="C43" s="23" t="s">
        <v>123</v>
      </c>
      <c r="D43" s="24" t="s">
        <v>87</v>
      </c>
      <c r="E43" s="24" t="s">
        <v>101</v>
      </c>
      <c r="F43" s="24" t="s">
        <v>88</v>
      </c>
      <c r="G43" s="25">
        <v>46204</v>
      </c>
      <c r="H43" s="25">
        <v>46295</v>
      </c>
      <c r="I43" s="26">
        <f t="shared" si="0"/>
        <v>3</v>
      </c>
      <c r="J43" s="27" t="str">
        <f t="shared" ca="1" si="1"/>
        <v>Jetzt</v>
      </c>
      <c r="K43" s="28">
        <v>30</v>
      </c>
      <c r="L43" s="29">
        <v>3</v>
      </c>
      <c r="M43" s="29">
        <v>3</v>
      </c>
      <c r="N43" s="29">
        <v>3</v>
      </c>
      <c r="O43" s="30">
        <f t="shared" si="2"/>
        <v>5</v>
      </c>
      <c r="P43" s="26">
        <f>IF($O43="","",SUMPRODUCT(($O$19:$O$68&lt;&gt;"")*($O$19:$O$68&gt;$O43))+SUMPRODUCT(($O$19:$O43&lt;&gt;"")*($O$19:$O43=$O43)))</f>
        <v>4</v>
      </c>
      <c r="Q43" s="31">
        <v>0.2</v>
      </c>
      <c r="R43" s="24" t="s">
        <v>85</v>
      </c>
      <c r="S43" s="32" t="str">
        <f t="shared" ca="1" si="3"/>
        <v>In Umsetzung</v>
      </c>
      <c r="T43" s="33"/>
      <c r="U43" s="34" t="str">
        <f t="shared" ca="1" si="4"/>
        <v>OK</v>
      </c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</row>
    <row r="44" spans="2:33" ht="15.75" customHeight="1" x14ac:dyDescent="0.25">
      <c r="B44" s="22">
        <f>IF($C44="","",COUNTA($C$19:$C44))</f>
        <v>26</v>
      </c>
      <c r="C44" s="23" t="s">
        <v>124</v>
      </c>
      <c r="D44" s="24" t="s">
        <v>87</v>
      </c>
      <c r="E44" s="24" t="s">
        <v>81</v>
      </c>
      <c r="F44" s="24" t="s">
        <v>88</v>
      </c>
      <c r="G44" s="25">
        <v>46266</v>
      </c>
      <c r="H44" s="25">
        <v>46356</v>
      </c>
      <c r="I44" s="26">
        <f t="shared" si="0"/>
        <v>3</v>
      </c>
      <c r="J44" s="27" t="str">
        <f t="shared" ca="1" si="1"/>
        <v>Jetzt</v>
      </c>
      <c r="K44" s="28">
        <v>35</v>
      </c>
      <c r="L44" s="29">
        <v>4</v>
      </c>
      <c r="M44" s="29">
        <v>4</v>
      </c>
      <c r="N44" s="29">
        <v>4</v>
      </c>
      <c r="O44" s="30">
        <f t="shared" si="2"/>
        <v>5.71</v>
      </c>
      <c r="P44" s="26">
        <f>IF($O44="","",SUMPRODUCT(($O$19:$O$68&lt;&gt;"")*($O$19:$O$68&gt;$O44))+SUMPRODUCT(($O$19:$O44&lt;&gt;"")*($O$19:$O44=$O44)))</f>
        <v>2</v>
      </c>
      <c r="Q44" s="31">
        <v>0</v>
      </c>
      <c r="R44" s="24" t="s">
        <v>107</v>
      </c>
      <c r="S44" s="32" t="str">
        <f t="shared" ca="1" si="3"/>
        <v>Geplant</v>
      </c>
      <c r="T44" s="33"/>
      <c r="U44" s="34" t="str">
        <f t="shared" ca="1" si="4"/>
        <v>OK</v>
      </c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</row>
    <row r="45" spans="2:33" ht="15.75" customHeight="1" x14ac:dyDescent="0.25">
      <c r="B45" s="22">
        <f>IF($C45="","",COUNTA($C$19:$C45))</f>
        <v>27</v>
      </c>
      <c r="C45" s="23" t="s">
        <v>125</v>
      </c>
      <c r="D45" s="24" t="s">
        <v>111</v>
      </c>
      <c r="E45" s="24" t="s">
        <v>81</v>
      </c>
      <c r="F45" s="24" t="s">
        <v>88</v>
      </c>
      <c r="G45" s="25">
        <v>46082</v>
      </c>
      <c r="H45" s="25">
        <v>46387</v>
      </c>
      <c r="I45" s="26">
        <f t="shared" si="0"/>
        <v>10</v>
      </c>
      <c r="J45" s="27" t="str">
        <f t="shared" ca="1" si="1"/>
        <v>Jetzt</v>
      </c>
      <c r="K45" s="28">
        <v>80</v>
      </c>
      <c r="L45" s="29">
        <v>4</v>
      </c>
      <c r="M45" s="29">
        <v>2</v>
      </c>
      <c r="N45" s="29">
        <v>3</v>
      </c>
      <c r="O45" s="30">
        <f t="shared" si="2"/>
        <v>2.06</v>
      </c>
      <c r="P45" s="26">
        <f>IF($O45="","",SUMPRODUCT(($O$19:$O$68&lt;&gt;"")*($O$19:$O$68&gt;$O45))+SUMPRODUCT(($O$19:$O45&lt;&gt;"")*($O$19:$O45=$O45)))</f>
        <v>21</v>
      </c>
      <c r="Q45" s="31">
        <v>0</v>
      </c>
      <c r="R45" s="24" t="s">
        <v>126</v>
      </c>
      <c r="S45" s="32" t="str">
        <f t="shared" si="3"/>
        <v>Zurückgestellt</v>
      </c>
      <c r="T45" s="33"/>
      <c r="U45" s="34" t="str">
        <f t="shared" si="4"/>
        <v>Zurückgestellt – Termine prüfen</v>
      </c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</row>
    <row r="46" spans="2:33" ht="15.75" customHeight="1" x14ac:dyDescent="0.25">
      <c r="B46" s="22">
        <f>IF($C46="","",COUNTA($C$19:$C46))</f>
        <v>28</v>
      </c>
      <c r="C46" s="23" t="s">
        <v>127</v>
      </c>
      <c r="D46" s="24" t="s">
        <v>90</v>
      </c>
      <c r="E46" s="24" t="s">
        <v>91</v>
      </c>
      <c r="F46" s="24" t="s">
        <v>92</v>
      </c>
      <c r="G46" s="33"/>
      <c r="H46" s="33"/>
      <c r="I46" s="26" t="str">
        <f t="shared" si="0"/>
        <v/>
      </c>
      <c r="J46" s="27" t="str">
        <f t="shared" si="1"/>
        <v/>
      </c>
      <c r="K46" s="33"/>
      <c r="L46" s="33"/>
      <c r="M46" s="33"/>
      <c r="N46" s="33"/>
      <c r="O46" s="30" t="str">
        <f t="shared" si="2"/>
        <v/>
      </c>
      <c r="P46" s="26" t="str">
        <f>IF($O46="","",SUMPRODUCT(($O$19:$O$68&lt;&gt;"")*($O$19:$O$68&gt;$O46))+SUMPRODUCT(($O$19:$O46&lt;&gt;"")*($O$19:$O46=$O46)))</f>
        <v/>
      </c>
      <c r="Q46" s="31">
        <v>0</v>
      </c>
      <c r="R46" s="24" t="s">
        <v>128</v>
      </c>
      <c r="S46" s="32" t="str">
        <f t="shared" si="3"/>
        <v>Idee – nicht terminiert</v>
      </c>
      <c r="T46" s="33"/>
      <c r="U46" s="34" t="str">
        <f t="shared" si="4"/>
        <v>Idee – noch zu terminieren</v>
      </c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</row>
    <row r="47" spans="2:33" ht="15.75" customHeight="1" x14ac:dyDescent="0.25">
      <c r="B47" s="22" t="str">
        <f>IF($C47="","",COUNTA($C$19:$C47))</f>
        <v/>
      </c>
      <c r="C47" s="33"/>
      <c r="D47" s="33"/>
      <c r="E47" s="33"/>
      <c r="F47" s="33"/>
      <c r="G47" s="33"/>
      <c r="H47" s="33"/>
      <c r="I47" s="26" t="str">
        <f t="shared" si="0"/>
        <v/>
      </c>
      <c r="J47" s="27" t="str">
        <f t="shared" si="1"/>
        <v/>
      </c>
      <c r="K47" s="33"/>
      <c r="L47" s="33"/>
      <c r="M47" s="33"/>
      <c r="N47" s="33"/>
      <c r="O47" s="30" t="str">
        <f t="shared" si="2"/>
        <v/>
      </c>
      <c r="P47" s="26" t="str">
        <f>IF($O47="","",SUMPRODUCT(($O$19:$O$68&lt;&gt;"")*($O$19:$O$68&gt;$O47))+SUMPRODUCT(($O$19:$O47&lt;&gt;"")*($O$19:$O47=$O47)))</f>
        <v/>
      </c>
      <c r="Q47" s="33"/>
      <c r="R47" s="33"/>
      <c r="S47" s="32" t="str">
        <f t="shared" si="3"/>
        <v/>
      </c>
      <c r="T47" s="33"/>
      <c r="U47" s="34" t="str">
        <f t="shared" si="4"/>
        <v/>
      </c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</row>
    <row r="48" spans="2:33" ht="15.75" customHeight="1" x14ac:dyDescent="0.25">
      <c r="B48" s="22" t="str">
        <f>IF($C48="","",COUNTA($C$19:$C48))</f>
        <v/>
      </c>
      <c r="C48" s="33"/>
      <c r="D48" s="33"/>
      <c r="E48" s="33"/>
      <c r="F48" s="33"/>
      <c r="G48" s="33"/>
      <c r="H48" s="33"/>
      <c r="I48" s="26" t="str">
        <f t="shared" si="0"/>
        <v/>
      </c>
      <c r="J48" s="27" t="str">
        <f t="shared" si="1"/>
        <v/>
      </c>
      <c r="K48" s="33"/>
      <c r="L48" s="33"/>
      <c r="M48" s="33"/>
      <c r="N48" s="33"/>
      <c r="O48" s="30" t="str">
        <f t="shared" si="2"/>
        <v/>
      </c>
      <c r="P48" s="26" t="str">
        <f>IF($O48="","",SUMPRODUCT(($O$19:$O$68&lt;&gt;"")*($O$19:$O$68&gt;$O48))+SUMPRODUCT(($O$19:$O48&lt;&gt;"")*($O$19:$O48=$O48)))</f>
        <v/>
      </c>
      <c r="Q48" s="33"/>
      <c r="R48" s="33"/>
      <c r="S48" s="32" t="str">
        <f t="shared" si="3"/>
        <v/>
      </c>
      <c r="T48" s="33"/>
      <c r="U48" s="34" t="str">
        <f t="shared" si="4"/>
        <v/>
      </c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</row>
    <row r="49" spans="2:33" ht="15.75" customHeight="1" x14ac:dyDescent="0.25">
      <c r="B49" s="22" t="str">
        <f>IF($C49="","",COUNTA($C$19:$C49))</f>
        <v/>
      </c>
      <c r="C49" s="33"/>
      <c r="D49" s="33"/>
      <c r="E49" s="33"/>
      <c r="F49" s="33"/>
      <c r="G49" s="33"/>
      <c r="H49" s="33"/>
      <c r="I49" s="26" t="str">
        <f t="shared" si="0"/>
        <v/>
      </c>
      <c r="J49" s="27" t="str">
        <f t="shared" si="1"/>
        <v/>
      </c>
      <c r="K49" s="33"/>
      <c r="L49" s="33"/>
      <c r="M49" s="33"/>
      <c r="N49" s="33"/>
      <c r="O49" s="30" t="str">
        <f t="shared" si="2"/>
        <v/>
      </c>
      <c r="P49" s="26" t="str">
        <f>IF($O49="","",SUMPRODUCT(($O$19:$O$68&lt;&gt;"")*($O$19:$O$68&gt;$O49))+SUMPRODUCT(($O$19:$O49&lt;&gt;"")*($O$19:$O49=$O49)))</f>
        <v/>
      </c>
      <c r="Q49" s="33"/>
      <c r="R49" s="33"/>
      <c r="S49" s="32" t="str">
        <f t="shared" si="3"/>
        <v/>
      </c>
      <c r="T49" s="33"/>
      <c r="U49" s="34" t="str">
        <f t="shared" si="4"/>
        <v/>
      </c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</row>
    <row r="50" spans="2:33" ht="15.75" customHeight="1" x14ac:dyDescent="0.25">
      <c r="B50" s="22" t="str">
        <f>IF($C50="","",COUNTA($C$19:$C50))</f>
        <v/>
      </c>
      <c r="C50" s="33"/>
      <c r="D50" s="33"/>
      <c r="E50" s="33"/>
      <c r="F50" s="33"/>
      <c r="G50" s="33"/>
      <c r="H50" s="33"/>
      <c r="I50" s="26" t="str">
        <f t="shared" si="0"/>
        <v/>
      </c>
      <c r="J50" s="27" t="str">
        <f t="shared" si="1"/>
        <v/>
      </c>
      <c r="K50" s="33"/>
      <c r="L50" s="33"/>
      <c r="M50" s="33"/>
      <c r="N50" s="33"/>
      <c r="O50" s="30" t="str">
        <f t="shared" si="2"/>
        <v/>
      </c>
      <c r="P50" s="26" t="str">
        <f>IF($O50="","",SUMPRODUCT(($O$19:$O$68&lt;&gt;"")*($O$19:$O$68&gt;$O50))+SUMPRODUCT(($O$19:$O50&lt;&gt;"")*($O$19:$O50=$O50)))</f>
        <v/>
      </c>
      <c r="Q50" s="33"/>
      <c r="R50" s="33"/>
      <c r="S50" s="32" t="str">
        <f t="shared" si="3"/>
        <v/>
      </c>
      <c r="T50" s="33"/>
      <c r="U50" s="34" t="str">
        <f t="shared" si="4"/>
        <v/>
      </c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</row>
    <row r="51" spans="2:33" ht="15.75" customHeight="1" x14ac:dyDescent="0.25">
      <c r="B51" s="22" t="str">
        <f>IF($C51="","",COUNTA($C$19:$C51))</f>
        <v/>
      </c>
      <c r="C51" s="33"/>
      <c r="D51" s="33"/>
      <c r="E51" s="33"/>
      <c r="F51" s="33"/>
      <c r="G51" s="33"/>
      <c r="H51" s="33"/>
      <c r="I51" s="26" t="str">
        <f t="shared" ref="I51:I68" si="5">IF($G51="","",IF($H51="","",(YEAR($H51)-YEAR($G51))*12+MONTH($H51)-MONTH($G51)+1))</f>
        <v/>
      </c>
      <c r="J51" s="27" t="str">
        <f t="shared" ref="J51:J68" si="6">IF($G51="","",IF((YEAR($G51)-Berichtsjahr)*4+ROUNDUP(MONTH($G51)/3,0)&lt;=Akt_Quartal,"Jetzt",IF((YEAR($G51)-Berichtsjahr)*4+ROUNDUP(MONTH($G51)/3,0)=Akt_Quartal+1,"Als Nächstes","Später")))</f>
        <v/>
      </c>
      <c r="K51" s="33"/>
      <c r="L51" s="33"/>
      <c r="M51" s="33"/>
      <c r="N51" s="33"/>
      <c r="O51" s="30" t="str">
        <f t="shared" ref="O51:O68" si="7">IF($K51="","",IF($K51=0,"",IF($L51="","",ROUND(($L51*Gew_Nutzen+$M51*Gew_Dringlichkeit+$N51*Gew_Strategie)/($K51/Aufwand_Normierung),2))))</f>
        <v/>
      </c>
      <c r="P51" s="26" t="str">
        <f>IF($O51="","",SUMPRODUCT(($O$19:$O$68&lt;&gt;"")*($O$19:$O$68&gt;$O51))+SUMPRODUCT(($O$19:$O51&lt;&gt;"")*($O$19:$O51=$O51)))</f>
        <v/>
      </c>
      <c r="Q51" s="33"/>
      <c r="R51" s="33"/>
      <c r="S51" s="32" t="str">
        <f t="shared" ref="S51:S68" si="8">IF($C51="","",IF($R51="Zurückgestellt","Zurückgestellt",IF($R51="Idee","Idee – nicht terminiert",IF(OR($G51="",$H51=""),"Termine offen",IF($Q51&gt;=1,"Abgeschlossen",IF($H51&lt;Stichtag,"Verzögert",IF($G51&gt;Stichtag,"Geplant",IF($H51-Stichtag&lt;=Warnfrist,"Endspurt","In Umsetzung"))))))))</f>
        <v/>
      </c>
      <c r="T51" s="33"/>
      <c r="U51" s="34" t="str">
        <f t="shared" ref="U51:U68" si="9">IF($C51="","",IF($R51="Idee","Idee – noch zu terminieren",IF($G51="","Starttermin fehlt",IF($H51="","Endtermin fehlt",IF($H51&lt;$G51,"Ende liegt vor Start",IF($F51="","Verantwortlichkeit fehlt",IF(IFERROR(MATCH($E51,Liste_Ziel,0),0)=0,"Strategieziel prüfen",IF(IFERROR(MATCH($D51,Liste_Feld,0),0)=0,"Handlungsfeld prüfen",IF($K51="","Aufwand schätzen",IF(OR($L51="",$M51="",$N51=""),"Bewertung unvollständig",IF(IF($T51="",0,IFERROR(INDEX($H$19:$H$68,MATCH($T51,$B$19:$B$68,0)),-1))=-1,"Abhängigkeit unbekannt",IF(IF($T51="",0,IFERROR(INDEX($H$19:$H$68,MATCH($T51,$B$19:$B$68,0)),-1))&gt;$G51,"Start vor Ende der Abhängigkeit",IF(IF($R51="Abgeschlossen",1,0)*IF($Q51&lt;1,1,0)=1,"Fortschritt auf 100 % setzen",IF(IF($R51="In Umsetzung",1,0)*IF($Q51=0,1,0)=1,"Fortschritt pflegen",IF(IF($R51="Geplant",1,0)*IF($Q51&gt;0,1,0)=1,"Status auf „In Umsetzung“ setzen",IF($S51="Verzögert","Termin überschritten – neu planen",IF($R51="Zurückgestellt","Zurückgestellt – Termine prüfen","OK")))))))))))))))))</f>
        <v/>
      </c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</row>
    <row r="52" spans="2:33" ht="15.75" customHeight="1" x14ac:dyDescent="0.25">
      <c r="B52" s="22" t="str">
        <f>IF($C52="","",COUNTA($C$19:$C52))</f>
        <v/>
      </c>
      <c r="C52" s="33"/>
      <c r="D52" s="33"/>
      <c r="E52" s="33"/>
      <c r="F52" s="33"/>
      <c r="G52" s="33"/>
      <c r="H52" s="33"/>
      <c r="I52" s="26" t="str">
        <f t="shared" si="5"/>
        <v/>
      </c>
      <c r="J52" s="27" t="str">
        <f t="shared" si="6"/>
        <v/>
      </c>
      <c r="K52" s="33"/>
      <c r="L52" s="33"/>
      <c r="M52" s="33"/>
      <c r="N52" s="33"/>
      <c r="O52" s="30" t="str">
        <f t="shared" si="7"/>
        <v/>
      </c>
      <c r="P52" s="26" t="str">
        <f>IF($O52="","",SUMPRODUCT(($O$19:$O$68&lt;&gt;"")*($O$19:$O$68&gt;$O52))+SUMPRODUCT(($O$19:$O52&lt;&gt;"")*($O$19:$O52=$O52)))</f>
        <v/>
      </c>
      <c r="Q52" s="33"/>
      <c r="R52" s="33"/>
      <c r="S52" s="32" t="str">
        <f t="shared" si="8"/>
        <v/>
      </c>
      <c r="T52" s="33"/>
      <c r="U52" s="34" t="str">
        <f t="shared" si="9"/>
        <v/>
      </c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</row>
    <row r="53" spans="2:33" ht="15.75" customHeight="1" x14ac:dyDescent="0.25">
      <c r="B53" s="22" t="str">
        <f>IF($C53="","",COUNTA($C$19:$C53))</f>
        <v/>
      </c>
      <c r="C53" s="33"/>
      <c r="D53" s="33"/>
      <c r="E53" s="33"/>
      <c r="F53" s="33"/>
      <c r="G53" s="33"/>
      <c r="H53" s="33"/>
      <c r="I53" s="26" t="str">
        <f t="shared" si="5"/>
        <v/>
      </c>
      <c r="J53" s="27" t="str">
        <f t="shared" si="6"/>
        <v/>
      </c>
      <c r="K53" s="33"/>
      <c r="L53" s="33"/>
      <c r="M53" s="33"/>
      <c r="N53" s="33"/>
      <c r="O53" s="30" t="str">
        <f t="shared" si="7"/>
        <v/>
      </c>
      <c r="P53" s="26" t="str">
        <f>IF($O53="","",SUMPRODUCT(($O$19:$O$68&lt;&gt;"")*($O$19:$O$68&gt;$O53))+SUMPRODUCT(($O$19:$O53&lt;&gt;"")*($O$19:$O53=$O53)))</f>
        <v/>
      </c>
      <c r="Q53" s="33"/>
      <c r="R53" s="33"/>
      <c r="S53" s="32" t="str">
        <f t="shared" si="8"/>
        <v/>
      </c>
      <c r="T53" s="33"/>
      <c r="U53" s="34" t="str">
        <f t="shared" si="9"/>
        <v/>
      </c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</row>
    <row r="54" spans="2:33" ht="15.75" customHeight="1" x14ac:dyDescent="0.25">
      <c r="B54" s="22" t="str">
        <f>IF($C54="","",COUNTA($C$19:$C54))</f>
        <v/>
      </c>
      <c r="C54" s="33"/>
      <c r="D54" s="33"/>
      <c r="E54" s="33"/>
      <c r="F54" s="33"/>
      <c r="G54" s="33"/>
      <c r="H54" s="33"/>
      <c r="I54" s="26" t="str">
        <f t="shared" si="5"/>
        <v/>
      </c>
      <c r="J54" s="27" t="str">
        <f t="shared" si="6"/>
        <v/>
      </c>
      <c r="K54" s="33"/>
      <c r="L54" s="33"/>
      <c r="M54" s="33"/>
      <c r="N54" s="33"/>
      <c r="O54" s="30" t="str">
        <f t="shared" si="7"/>
        <v/>
      </c>
      <c r="P54" s="26" t="str">
        <f>IF($O54="","",SUMPRODUCT(($O$19:$O$68&lt;&gt;"")*($O$19:$O$68&gt;$O54))+SUMPRODUCT(($O$19:$O54&lt;&gt;"")*($O$19:$O54=$O54)))</f>
        <v/>
      </c>
      <c r="Q54" s="33"/>
      <c r="R54" s="33"/>
      <c r="S54" s="32" t="str">
        <f t="shared" si="8"/>
        <v/>
      </c>
      <c r="T54" s="33"/>
      <c r="U54" s="34" t="str">
        <f t="shared" si="9"/>
        <v/>
      </c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</row>
    <row r="55" spans="2:33" ht="15.75" customHeight="1" x14ac:dyDescent="0.25">
      <c r="B55" s="22" t="str">
        <f>IF($C55="","",COUNTA($C$19:$C55))</f>
        <v/>
      </c>
      <c r="C55" s="33"/>
      <c r="D55" s="33"/>
      <c r="E55" s="33"/>
      <c r="F55" s="33"/>
      <c r="G55" s="33"/>
      <c r="H55" s="33"/>
      <c r="I55" s="26" t="str">
        <f t="shared" si="5"/>
        <v/>
      </c>
      <c r="J55" s="27" t="str">
        <f t="shared" si="6"/>
        <v/>
      </c>
      <c r="K55" s="33"/>
      <c r="L55" s="33"/>
      <c r="M55" s="33"/>
      <c r="N55" s="33"/>
      <c r="O55" s="30" t="str">
        <f t="shared" si="7"/>
        <v/>
      </c>
      <c r="P55" s="26" t="str">
        <f>IF($O55="","",SUMPRODUCT(($O$19:$O$68&lt;&gt;"")*($O$19:$O$68&gt;$O55))+SUMPRODUCT(($O$19:$O55&lt;&gt;"")*($O$19:$O55=$O55)))</f>
        <v/>
      </c>
      <c r="Q55" s="33"/>
      <c r="R55" s="33"/>
      <c r="S55" s="32" t="str">
        <f t="shared" si="8"/>
        <v/>
      </c>
      <c r="T55" s="33"/>
      <c r="U55" s="34" t="str">
        <f t="shared" si="9"/>
        <v/>
      </c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</row>
    <row r="56" spans="2:33" ht="15.75" customHeight="1" x14ac:dyDescent="0.25">
      <c r="B56" s="22" t="str">
        <f>IF($C56="","",COUNTA($C$19:$C56))</f>
        <v/>
      </c>
      <c r="C56" s="33"/>
      <c r="D56" s="33"/>
      <c r="E56" s="33"/>
      <c r="F56" s="33"/>
      <c r="G56" s="33"/>
      <c r="H56" s="33"/>
      <c r="I56" s="26" t="str">
        <f t="shared" si="5"/>
        <v/>
      </c>
      <c r="J56" s="27" t="str">
        <f t="shared" si="6"/>
        <v/>
      </c>
      <c r="K56" s="33"/>
      <c r="L56" s="33"/>
      <c r="M56" s="33"/>
      <c r="N56" s="33"/>
      <c r="O56" s="30" t="str">
        <f t="shared" si="7"/>
        <v/>
      </c>
      <c r="P56" s="26" t="str">
        <f>IF($O56="","",SUMPRODUCT(($O$19:$O$68&lt;&gt;"")*($O$19:$O$68&gt;$O56))+SUMPRODUCT(($O$19:$O56&lt;&gt;"")*($O$19:$O56=$O56)))</f>
        <v/>
      </c>
      <c r="Q56" s="33"/>
      <c r="R56" s="33"/>
      <c r="S56" s="32" t="str">
        <f t="shared" si="8"/>
        <v/>
      </c>
      <c r="T56" s="33"/>
      <c r="U56" s="34" t="str">
        <f t="shared" si="9"/>
        <v/>
      </c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</row>
    <row r="57" spans="2:33" ht="15.75" customHeight="1" x14ac:dyDescent="0.25">
      <c r="B57" s="22" t="str">
        <f>IF($C57="","",COUNTA($C$19:$C57))</f>
        <v/>
      </c>
      <c r="C57" s="33"/>
      <c r="D57" s="33"/>
      <c r="E57" s="33"/>
      <c r="F57" s="33"/>
      <c r="G57" s="33"/>
      <c r="H57" s="33"/>
      <c r="I57" s="26" t="str">
        <f t="shared" si="5"/>
        <v/>
      </c>
      <c r="J57" s="27" t="str">
        <f t="shared" si="6"/>
        <v/>
      </c>
      <c r="K57" s="33"/>
      <c r="L57" s="33"/>
      <c r="M57" s="33"/>
      <c r="N57" s="33"/>
      <c r="O57" s="30" t="str">
        <f t="shared" si="7"/>
        <v/>
      </c>
      <c r="P57" s="26" t="str">
        <f>IF($O57="","",SUMPRODUCT(($O$19:$O$68&lt;&gt;"")*($O$19:$O$68&gt;$O57))+SUMPRODUCT(($O$19:$O57&lt;&gt;"")*($O$19:$O57=$O57)))</f>
        <v/>
      </c>
      <c r="Q57" s="33"/>
      <c r="R57" s="33"/>
      <c r="S57" s="32" t="str">
        <f t="shared" si="8"/>
        <v/>
      </c>
      <c r="T57" s="33"/>
      <c r="U57" s="34" t="str">
        <f t="shared" si="9"/>
        <v/>
      </c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</row>
    <row r="58" spans="2:33" ht="15.75" customHeight="1" x14ac:dyDescent="0.25">
      <c r="B58" s="22" t="str">
        <f>IF($C58="","",COUNTA($C$19:$C58))</f>
        <v/>
      </c>
      <c r="C58" s="33"/>
      <c r="D58" s="33"/>
      <c r="E58" s="33"/>
      <c r="F58" s="33"/>
      <c r="G58" s="33"/>
      <c r="H58" s="33"/>
      <c r="I58" s="26" t="str">
        <f t="shared" si="5"/>
        <v/>
      </c>
      <c r="J58" s="27" t="str">
        <f t="shared" si="6"/>
        <v/>
      </c>
      <c r="K58" s="33"/>
      <c r="L58" s="33"/>
      <c r="M58" s="33"/>
      <c r="N58" s="33"/>
      <c r="O58" s="30" t="str">
        <f t="shared" si="7"/>
        <v/>
      </c>
      <c r="P58" s="26" t="str">
        <f>IF($O58="","",SUMPRODUCT(($O$19:$O$68&lt;&gt;"")*($O$19:$O$68&gt;$O58))+SUMPRODUCT(($O$19:$O58&lt;&gt;"")*($O$19:$O58=$O58)))</f>
        <v/>
      </c>
      <c r="Q58" s="33"/>
      <c r="R58" s="33"/>
      <c r="S58" s="32" t="str">
        <f t="shared" si="8"/>
        <v/>
      </c>
      <c r="T58" s="33"/>
      <c r="U58" s="34" t="str">
        <f t="shared" si="9"/>
        <v/>
      </c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</row>
    <row r="59" spans="2:33" ht="15.75" customHeight="1" x14ac:dyDescent="0.25">
      <c r="B59" s="22" t="str">
        <f>IF($C59="","",COUNTA($C$19:$C59))</f>
        <v/>
      </c>
      <c r="C59" s="33"/>
      <c r="D59" s="33"/>
      <c r="E59" s="33"/>
      <c r="F59" s="33"/>
      <c r="G59" s="33"/>
      <c r="H59" s="33"/>
      <c r="I59" s="26" t="str">
        <f t="shared" si="5"/>
        <v/>
      </c>
      <c r="J59" s="27" t="str">
        <f t="shared" si="6"/>
        <v/>
      </c>
      <c r="K59" s="33"/>
      <c r="L59" s="33"/>
      <c r="M59" s="33"/>
      <c r="N59" s="33"/>
      <c r="O59" s="30" t="str">
        <f t="shared" si="7"/>
        <v/>
      </c>
      <c r="P59" s="26" t="str">
        <f>IF($O59="","",SUMPRODUCT(($O$19:$O$68&lt;&gt;"")*($O$19:$O$68&gt;$O59))+SUMPRODUCT(($O$19:$O59&lt;&gt;"")*($O$19:$O59=$O59)))</f>
        <v/>
      </c>
      <c r="Q59" s="33"/>
      <c r="R59" s="33"/>
      <c r="S59" s="32" t="str">
        <f t="shared" si="8"/>
        <v/>
      </c>
      <c r="T59" s="33"/>
      <c r="U59" s="34" t="str">
        <f t="shared" si="9"/>
        <v/>
      </c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</row>
    <row r="60" spans="2:33" ht="15.75" customHeight="1" x14ac:dyDescent="0.25">
      <c r="B60" s="22" t="str">
        <f>IF($C60="","",COUNTA($C$19:$C60))</f>
        <v/>
      </c>
      <c r="C60" s="33"/>
      <c r="D60" s="33"/>
      <c r="E60" s="33"/>
      <c r="F60" s="33"/>
      <c r="G60" s="33"/>
      <c r="H60" s="33"/>
      <c r="I60" s="26" t="str">
        <f t="shared" si="5"/>
        <v/>
      </c>
      <c r="J60" s="27" t="str">
        <f t="shared" si="6"/>
        <v/>
      </c>
      <c r="K60" s="33"/>
      <c r="L60" s="33"/>
      <c r="M60" s="33"/>
      <c r="N60" s="33"/>
      <c r="O60" s="30" t="str">
        <f t="shared" si="7"/>
        <v/>
      </c>
      <c r="P60" s="26" t="str">
        <f>IF($O60="","",SUMPRODUCT(($O$19:$O$68&lt;&gt;"")*($O$19:$O$68&gt;$O60))+SUMPRODUCT(($O$19:$O60&lt;&gt;"")*($O$19:$O60=$O60)))</f>
        <v/>
      </c>
      <c r="Q60" s="33"/>
      <c r="R60" s="33"/>
      <c r="S60" s="32" t="str">
        <f t="shared" si="8"/>
        <v/>
      </c>
      <c r="T60" s="33"/>
      <c r="U60" s="34" t="str">
        <f t="shared" si="9"/>
        <v/>
      </c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</row>
    <row r="61" spans="2:33" ht="15.75" customHeight="1" x14ac:dyDescent="0.25">
      <c r="B61" s="22" t="str">
        <f>IF($C61="","",COUNTA($C$19:$C61))</f>
        <v/>
      </c>
      <c r="C61" s="33"/>
      <c r="D61" s="33"/>
      <c r="E61" s="33"/>
      <c r="F61" s="33"/>
      <c r="G61" s="33"/>
      <c r="H61" s="33"/>
      <c r="I61" s="26" t="str">
        <f t="shared" si="5"/>
        <v/>
      </c>
      <c r="J61" s="27" t="str">
        <f t="shared" si="6"/>
        <v/>
      </c>
      <c r="K61" s="33"/>
      <c r="L61" s="33"/>
      <c r="M61" s="33"/>
      <c r="N61" s="33"/>
      <c r="O61" s="30" t="str">
        <f t="shared" si="7"/>
        <v/>
      </c>
      <c r="P61" s="26" t="str">
        <f>IF($O61="","",SUMPRODUCT(($O$19:$O$68&lt;&gt;"")*($O$19:$O$68&gt;$O61))+SUMPRODUCT(($O$19:$O61&lt;&gt;"")*($O$19:$O61=$O61)))</f>
        <v/>
      </c>
      <c r="Q61" s="33"/>
      <c r="R61" s="33"/>
      <c r="S61" s="32" t="str">
        <f t="shared" si="8"/>
        <v/>
      </c>
      <c r="T61" s="33"/>
      <c r="U61" s="34" t="str">
        <f t="shared" si="9"/>
        <v/>
      </c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</row>
    <row r="62" spans="2:33" ht="15.75" customHeight="1" x14ac:dyDescent="0.25">
      <c r="B62" s="22" t="str">
        <f>IF($C62="","",COUNTA($C$19:$C62))</f>
        <v/>
      </c>
      <c r="C62" s="33"/>
      <c r="D62" s="33"/>
      <c r="E62" s="33"/>
      <c r="F62" s="33"/>
      <c r="G62" s="33"/>
      <c r="H62" s="33"/>
      <c r="I62" s="26" t="str">
        <f t="shared" si="5"/>
        <v/>
      </c>
      <c r="J62" s="27" t="str">
        <f t="shared" si="6"/>
        <v/>
      </c>
      <c r="K62" s="33"/>
      <c r="L62" s="33"/>
      <c r="M62" s="33"/>
      <c r="N62" s="33"/>
      <c r="O62" s="30" t="str">
        <f t="shared" si="7"/>
        <v/>
      </c>
      <c r="P62" s="26" t="str">
        <f>IF($O62="","",SUMPRODUCT(($O$19:$O$68&lt;&gt;"")*($O$19:$O$68&gt;$O62))+SUMPRODUCT(($O$19:$O62&lt;&gt;"")*($O$19:$O62=$O62)))</f>
        <v/>
      </c>
      <c r="Q62" s="33"/>
      <c r="R62" s="33"/>
      <c r="S62" s="32" t="str">
        <f t="shared" si="8"/>
        <v/>
      </c>
      <c r="T62" s="33"/>
      <c r="U62" s="34" t="str">
        <f t="shared" si="9"/>
        <v/>
      </c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</row>
    <row r="63" spans="2:33" ht="15.75" customHeight="1" x14ac:dyDescent="0.25">
      <c r="B63" s="22" t="str">
        <f>IF($C63="","",COUNTA($C$19:$C63))</f>
        <v/>
      </c>
      <c r="C63" s="33"/>
      <c r="D63" s="33"/>
      <c r="E63" s="33"/>
      <c r="F63" s="33"/>
      <c r="G63" s="33"/>
      <c r="H63" s="33"/>
      <c r="I63" s="26" t="str">
        <f t="shared" si="5"/>
        <v/>
      </c>
      <c r="J63" s="27" t="str">
        <f t="shared" si="6"/>
        <v/>
      </c>
      <c r="K63" s="33"/>
      <c r="L63" s="33"/>
      <c r="M63" s="33"/>
      <c r="N63" s="33"/>
      <c r="O63" s="30" t="str">
        <f t="shared" si="7"/>
        <v/>
      </c>
      <c r="P63" s="26" t="str">
        <f>IF($O63="","",SUMPRODUCT(($O$19:$O$68&lt;&gt;"")*($O$19:$O$68&gt;$O63))+SUMPRODUCT(($O$19:$O63&lt;&gt;"")*($O$19:$O63=$O63)))</f>
        <v/>
      </c>
      <c r="Q63" s="33"/>
      <c r="R63" s="33"/>
      <c r="S63" s="32" t="str">
        <f t="shared" si="8"/>
        <v/>
      </c>
      <c r="T63" s="33"/>
      <c r="U63" s="34" t="str">
        <f t="shared" si="9"/>
        <v/>
      </c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</row>
    <row r="64" spans="2:33" ht="15.75" customHeight="1" x14ac:dyDescent="0.25">
      <c r="B64" s="22" t="str">
        <f>IF($C64="","",COUNTA($C$19:$C64))</f>
        <v/>
      </c>
      <c r="C64" s="33"/>
      <c r="D64" s="33"/>
      <c r="E64" s="33"/>
      <c r="F64" s="33"/>
      <c r="G64" s="33"/>
      <c r="H64" s="33"/>
      <c r="I64" s="26" t="str">
        <f t="shared" si="5"/>
        <v/>
      </c>
      <c r="J64" s="27" t="str">
        <f t="shared" si="6"/>
        <v/>
      </c>
      <c r="K64" s="33"/>
      <c r="L64" s="33"/>
      <c r="M64" s="33"/>
      <c r="N64" s="33"/>
      <c r="O64" s="30" t="str">
        <f t="shared" si="7"/>
        <v/>
      </c>
      <c r="P64" s="26" t="str">
        <f>IF($O64="","",SUMPRODUCT(($O$19:$O$68&lt;&gt;"")*($O$19:$O$68&gt;$O64))+SUMPRODUCT(($O$19:$O64&lt;&gt;"")*($O$19:$O64=$O64)))</f>
        <v/>
      </c>
      <c r="Q64" s="33"/>
      <c r="R64" s="33"/>
      <c r="S64" s="32" t="str">
        <f t="shared" si="8"/>
        <v/>
      </c>
      <c r="T64" s="33"/>
      <c r="U64" s="34" t="str">
        <f t="shared" si="9"/>
        <v/>
      </c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</row>
    <row r="65" spans="2:36" ht="15.75" customHeight="1" x14ac:dyDescent="0.25">
      <c r="B65" s="22" t="str">
        <f>IF($C65="","",COUNTA($C$19:$C65))</f>
        <v/>
      </c>
      <c r="C65" s="33"/>
      <c r="D65" s="33"/>
      <c r="E65" s="33"/>
      <c r="F65" s="33"/>
      <c r="G65" s="33"/>
      <c r="H65" s="33"/>
      <c r="I65" s="26" t="str">
        <f t="shared" si="5"/>
        <v/>
      </c>
      <c r="J65" s="27" t="str">
        <f t="shared" si="6"/>
        <v/>
      </c>
      <c r="K65" s="33"/>
      <c r="L65" s="33"/>
      <c r="M65" s="33"/>
      <c r="N65" s="33"/>
      <c r="O65" s="30" t="str">
        <f t="shared" si="7"/>
        <v/>
      </c>
      <c r="P65" s="26" t="str">
        <f>IF($O65="","",SUMPRODUCT(($O$19:$O$68&lt;&gt;"")*($O$19:$O$68&gt;$O65))+SUMPRODUCT(($O$19:$O65&lt;&gt;"")*($O$19:$O65=$O65)))</f>
        <v/>
      </c>
      <c r="Q65" s="33"/>
      <c r="R65" s="33"/>
      <c r="S65" s="32" t="str">
        <f t="shared" si="8"/>
        <v/>
      </c>
      <c r="T65" s="33"/>
      <c r="U65" s="34" t="str">
        <f t="shared" si="9"/>
        <v/>
      </c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</row>
    <row r="66" spans="2:36" ht="15.75" customHeight="1" x14ac:dyDescent="0.25">
      <c r="B66" s="22" t="str">
        <f>IF($C66="","",COUNTA($C$19:$C66))</f>
        <v/>
      </c>
      <c r="C66" s="33"/>
      <c r="D66" s="33"/>
      <c r="E66" s="33"/>
      <c r="F66" s="33"/>
      <c r="G66" s="33"/>
      <c r="H66" s="33"/>
      <c r="I66" s="26" t="str">
        <f t="shared" si="5"/>
        <v/>
      </c>
      <c r="J66" s="27" t="str">
        <f t="shared" si="6"/>
        <v/>
      </c>
      <c r="K66" s="33"/>
      <c r="L66" s="33"/>
      <c r="M66" s="33"/>
      <c r="N66" s="33"/>
      <c r="O66" s="30" t="str">
        <f t="shared" si="7"/>
        <v/>
      </c>
      <c r="P66" s="26" t="str">
        <f>IF($O66="","",SUMPRODUCT(($O$19:$O$68&lt;&gt;"")*($O$19:$O$68&gt;$O66))+SUMPRODUCT(($O$19:$O66&lt;&gt;"")*($O$19:$O66=$O66)))</f>
        <v/>
      </c>
      <c r="Q66" s="33"/>
      <c r="R66" s="33"/>
      <c r="S66" s="32" t="str">
        <f t="shared" si="8"/>
        <v/>
      </c>
      <c r="T66" s="33"/>
      <c r="U66" s="34" t="str">
        <f t="shared" si="9"/>
        <v/>
      </c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</row>
    <row r="67" spans="2:36" ht="15.75" customHeight="1" x14ac:dyDescent="0.25">
      <c r="B67" s="22" t="str">
        <f>IF($C67="","",COUNTA($C$19:$C67))</f>
        <v/>
      </c>
      <c r="C67" s="33"/>
      <c r="D67" s="33"/>
      <c r="E67" s="33"/>
      <c r="F67" s="33"/>
      <c r="G67" s="33"/>
      <c r="H67" s="33"/>
      <c r="I67" s="26" t="str">
        <f t="shared" si="5"/>
        <v/>
      </c>
      <c r="J67" s="27" t="str">
        <f t="shared" si="6"/>
        <v/>
      </c>
      <c r="K67" s="33"/>
      <c r="L67" s="33"/>
      <c r="M67" s="33"/>
      <c r="N67" s="33"/>
      <c r="O67" s="30" t="str">
        <f t="shared" si="7"/>
        <v/>
      </c>
      <c r="P67" s="26" t="str">
        <f>IF($O67="","",SUMPRODUCT(($O$19:$O$68&lt;&gt;"")*($O$19:$O$68&gt;$O67))+SUMPRODUCT(($O$19:$O67&lt;&gt;"")*($O$19:$O67=$O67)))</f>
        <v/>
      </c>
      <c r="Q67" s="33"/>
      <c r="R67" s="33"/>
      <c r="S67" s="32" t="str">
        <f t="shared" si="8"/>
        <v/>
      </c>
      <c r="T67" s="33"/>
      <c r="U67" s="34" t="str">
        <f t="shared" si="9"/>
        <v/>
      </c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</row>
    <row r="68" spans="2:36" ht="15.75" customHeight="1" x14ac:dyDescent="0.25">
      <c r="B68" s="22" t="str">
        <f>IF($C68="","",COUNTA($C$19:$C68))</f>
        <v/>
      </c>
      <c r="C68" s="33"/>
      <c r="D68" s="33"/>
      <c r="E68" s="33"/>
      <c r="F68" s="33"/>
      <c r="G68" s="33"/>
      <c r="H68" s="33"/>
      <c r="I68" s="26" t="str">
        <f t="shared" si="5"/>
        <v/>
      </c>
      <c r="J68" s="27" t="str">
        <f t="shared" si="6"/>
        <v/>
      </c>
      <c r="K68" s="33"/>
      <c r="L68" s="33"/>
      <c r="M68" s="33"/>
      <c r="N68" s="33"/>
      <c r="O68" s="30" t="str">
        <f t="shared" si="7"/>
        <v/>
      </c>
      <c r="P68" s="26" t="str">
        <f>IF($O68="","",SUMPRODUCT(($O$19:$O$68&lt;&gt;"")*($O$19:$O$68&gt;$O68))+SUMPRODUCT(($O$19:$O68&lt;&gt;"")*($O$19:$O68=$O68)))</f>
        <v/>
      </c>
      <c r="Q68" s="33"/>
      <c r="R68" s="33"/>
      <c r="S68" s="32" t="str">
        <f t="shared" si="8"/>
        <v/>
      </c>
      <c r="T68" s="33"/>
      <c r="U68" s="34" t="str">
        <f t="shared" si="9"/>
        <v/>
      </c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</row>
    <row r="69" spans="2:36" ht="19.5" customHeight="1" x14ac:dyDescent="0.25">
      <c r="B69" s="124" t="str">
        <f ca="1">COUNTA($C$19:$C$68)&amp;" Initiativen  ·  "&amp;COUNTIF($R$19:$R$68,"Abgeschlossen")&amp;" abgeschlossen  ·  "&amp;COUNTIF($S$19:$S$68,"Verzögert")&amp;" verzögert"</f>
        <v>28 Initiativen  ·  6 abgeschlossen  ·  2 verzögert</v>
      </c>
      <c r="C69" s="124"/>
      <c r="D69" s="124"/>
      <c r="E69" s="124"/>
      <c r="F69" s="124"/>
      <c r="G69" s="125" t="s">
        <v>129</v>
      </c>
      <c r="H69" s="125"/>
      <c r="I69" s="125"/>
      <c r="J69" s="36">
        <f>IFERROR(ROUND(AVERAGE($I$19:$I$68),1),"")</f>
        <v>4.4000000000000004</v>
      </c>
      <c r="K69" s="37">
        <f>SUM($K$19:$K$68)</f>
        <v>1940</v>
      </c>
      <c r="L69" s="125" t="s">
        <v>130</v>
      </c>
      <c r="M69" s="125"/>
      <c r="N69" s="125"/>
      <c r="O69" s="38">
        <f>IFERROR(ROUND(AVERAGE($O$19:$O$68),2),"")</f>
        <v>3.26</v>
      </c>
      <c r="P69" s="39"/>
      <c r="Q69" s="40">
        <f>IFERROR(SUMPRODUCT($K$19:$K$68,$Q$19:$Q$68)/SUM($K$19:$K$68),0)</f>
        <v>0.40695876288659794</v>
      </c>
      <c r="R69" s="125" t="s">
        <v>131</v>
      </c>
      <c r="S69" s="125"/>
      <c r="T69" s="125"/>
      <c r="U69" s="41" t="str">
        <f ca="1">SUMPRODUCT(($U$19:$U$68&lt;&gt;"")*($U$19:$U$68&lt;&gt;"OK"))&amp;" offen"</f>
        <v>6 offen</v>
      </c>
      <c r="V69" s="42">
        <f t="shared" ref="V69:AG69" si="10">SUMPRODUCT(($G$19:$G$68&lt;&gt;0)*($G$19:$G$68&lt;=EOMONTH(V$15,0))*($H$19:$H$68&gt;=V$15))</f>
        <v>2</v>
      </c>
      <c r="W69" s="42">
        <f t="shared" si="10"/>
        <v>4</v>
      </c>
      <c r="X69" s="42">
        <f t="shared" si="10"/>
        <v>7</v>
      </c>
      <c r="Y69" s="42">
        <f t="shared" si="10"/>
        <v>10</v>
      </c>
      <c r="Z69" s="42">
        <f t="shared" si="10"/>
        <v>11</v>
      </c>
      <c r="AA69" s="42">
        <f t="shared" si="10"/>
        <v>12</v>
      </c>
      <c r="AB69" s="42">
        <f t="shared" si="10"/>
        <v>11</v>
      </c>
      <c r="AC69" s="42">
        <f t="shared" si="10"/>
        <v>9</v>
      </c>
      <c r="AD69" s="42">
        <f t="shared" si="10"/>
        <v>13</v>
      </c>
      <c r="AE69" s="42">
        <f t="shared" si="10"/>
        <v>13</v>
      </c>
      <c r="AF69" s="42">
        <f t="shared" si="10"/>
        <v>12</v>
      </c>
      <c r="AG69" s="42">
        <f t="shared" si="10"/>
        <v>9</v>
      </c>
    </row>
    <row r="70" spans="2:36" ht="7.5" customHeight="1" x14ac:dyDescent="0.25"/>
    <row r="71" spans="2:36" ht="19.5" customHeight="1" x14ac:dyDescent="0.25">
      <c r="B71" s="17" t="s">
        <v>132</v>
      </c>
      <c r="C71" s="5" t="s">
        <v>133</v>
      </c>
      <c r="D71" s="5"/>
      <c r="E71" s="5"/>
      <c r="F71" s="5"/>
      <c r="G71" s="5"/>
      <c r="H71" s="4" t="s">
        <v>134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2:36" ht="25.5" customHeight="1" x14ac:dyDescent="0.25">
      <c r="B72" s="43" t="s">
        <v>47</v>
      </c>
      <c r="C72" s="43" t="s">
        <v>135</v>
      </c>
      <c r="D72" s="43" t="s">
        <v>136</v>
      </c>
      <c r="E72" s="43" t="s">
        <v>137</v>
      </c>
      <c r="F72" s="43" t="s">
        <v>51</v>
      </c>
      <c r="G72" s="126" t="s">
        <v>138</v>
      </c>
      <c r="H72" s="126"/>
      <c r="I72" s="126" t="s">
        <v>139</v>
      </c>
      <c r="J72" s="126"/>
      <c r="K72" s="126"/>
      <c r="L72" s="126"/>
      <c r="M72" s="126"/>
      <c r="N72" s="126"/>
      <c r="O72" s="126"/>
      <c r="P72" s="126"/>
      <c r="Q72" s="126"/>
      <c r="R72" s="43" t="s">
        <v>63</v>
      </c>
      <c r="S72" s="43" t="s">
        <v>64</v>
      </c>
      <c r="T72" s="126" t="s">
        <v>66</v>
      </c>
      <c r="U72" s="126"/>
      <c r="V72" s="44" t="s">
        <v>67</v>
      </c>
      <c r="W72" s="44" t="s">
        <v>68</v>
      </c>
      <c r="X72" s="44" t="s">
        <v>69</v>
      </c>
      <c r="Y72" s="44" t="s">
        <v>70</v>
      </c>
      <c r="Z72" s="44" t="s">
        <v>71</v>
      </c>
      <c r="AA72" s="44" t="s">
        <v>72</v>
      </c>
      <c r="AB72" s="44" t="s">
        <v>73</v>
      </c>
      <c r="AC72" s="44" t="s">
        <v>74</v>
      </c>
      <c r="AD72" s="44" t="s">
        <v>75</v>
      </c>
      <c r="AE72" s="44" t="s">
        <v>76</v>
      </c>
      <c r="AF72" s="44" t="s">
        <v>77</v>
      </c>
      <c r="AG72" s="44" t="s">
        <v>78</v>
      </c>
      <c r="AI72" s="45" t="s">
        <v>140</v>
      </c>
      <c r="AJ72" s="45" t="s">
        <v>61</v>
      </c>
    </row>
    <row r="73" spans="2:36" ht="15.75" customHeight="1" x14ac:dyDescent="0.25">
      <c r="B73" s="22">
        <f>IF($C73="","",COUNTA($C$73:$C73))</f>
        <v>1</v>
      </c>
      <c r="C73" s="23" t="s">
        <v>141</v>
      </c>
      <c r="D73" s="24" t="s">
        <v>142</v>
      </c>
      <c r="E73" s="24" t="s">
        <v>143</v>
      </c>
      <c r="F73" s="24" t="s">
        <v>88</v>
      </c>
      <c r="G73" s="127">
        <v>46037</v>
      </c>
      <c r="H73" s="127"/>
      <c r="I73" s="128" t="s">
        <v>144</v>
      </c>
      <c r="J73" s="128"/>
      <c r="K73" s="128"/>
      <c r="L73" s="128"/>
      <c r="M73" s="128"/>
      <c r="N73" s="128"/>
      <c r="O73" s="128"/>
      <c r="P73" s="128"/>
      <c r="Q73" s="128"/>
      <c r="R73" s="24" t="s">
        <v>145</v>
      </c>
      <c r="S73" s="32" t="str">
        <f t="shared" ref="S73:S90" si="11">IF($C73="","",IF($R73="Erreicht","Erreicht",IF($R73="Verschoben","Verschoben",IF($G73="","Termin offen",IF($G73&lt;Stichtag,"Überfällig",IF($G73-Stichtag&lt;=Warnfrist,"Fällig in Kürze","Geplant"))))))</f>
        <v>Erreicht</v>
      </c>
      <c r="T73" s="129" t="str">
        <f t="shared" ref="T73:T90" si="12">IF($C73="","",IF($G73="","Termin fehlt",IF($F73="","Verantwortliche Person fehlt",IF($D73="","Bezug zur Initiative fehlt",IF($S73="Überfällig","Termin überschritten – Status pflegen",IF($S73="Fällig in Kürze","Abschluss vorbereiten","OK"))))))</f>
        <v>OK</v>
      </c>
      <c r="U73" s="129"/>
      <c r="V73" s="46" t="str">
        <f t="shared" ref="V73:AG82" si="13">IF($G73="","",IF(AND(YEAR($G73)=YEAR(V$15),MONTH($G73)=MONTH(V$15)),"◆",""))</f>
        <v>◆</v>
      </c>
      <c r="W73" s="46" t="str">
        <f t="shared" si="13"/>
        <v/>
      </c>
      <c r="X73" s="46" t="str">
        <f t="shared" si="13"/>
        <v/>
      </c>
      <c r="Y73" s="46" t="str">
        <f t="shared" si="13"/>
        <v/>
      </c>
      <c r="Z73" s="46" t="str">
        <f t="shared" si="13"/>
        <v/>
      </c>
      <c r="AA73" s="46" t="str">
        <f t="shared" si="13"/>
        <v/>
      </c>
      <c r="AB73" s="46" t="str">
        <f t="shared" si="13"/>
        <v/>
      </c>
      <c r="AC73" s="46" t="str">
        <f t="shared" si="13"/>
        <v/>
      </c>
      <c r="AD73" s="46" t="str">
        <f t="shared" si="13"/>
        <v/>
      </c>
      <c r="AE73" s="46" t="str">
        <f t="shared" si="13"/>
        <v/>
      </c>
      <c r="AF73" s="46" t="str">
        <f t="shared" si="13"/>
        <v/>
      </c>
      <c r="AG73" s="46" t="str">
        <f t="shared" si="13"/>
        <v/>
      </c>
      <c r="AI73" s="47">
        <f t="shared" ref="AI73:AI90" si="14">IF($C73="",0,IF($G73="",0,IF($R73="Erreicht",0,1)))</f>
        <v>0</v>
      </c>
      <c r="AJ73" s="47" t="str">
        <f t="shared" ref="AJ73:AJ90" si="15">IF($AI73=0,"",SUMPRODUCT(($AI$73:$AI$90=1)*($G$73:$G$90&lt;$G73))+SUMPRODUCT(($AI$73:$AI$90=1)*($G$73:$G$90=$G73)*(ROW($G$73:$G$90)&lt;=ROW($G73))))</f>
        <v/>
      </c>
    </row>
    <row r="74" spans="2:36" ht="15.75" customHeight="1" x14ac:dyDescent="0.25">
      <c r="B74" s="22">
        <f>IF($C74="","",COUNTA($C$73:$C74))</f>
        <v>2</v>
      </c>
      <c r="C74" s="23" t="s">
        <v>146</v>
      </c>
      <c r="D74" s="24" t="s">
        <v>79</v>
      </c>
      <c r="E74" s="24" t="s">
        <v>147</v>
      </c>
      <c r="F74" s="24" t="s">
        <v>82</v>
      </c>
      <c r="G74" s="127">
        <v>46080</v>
      </c>
      <c r="H74" s="127"/>
      <c r="I74" s="128" t="s">
        <v>148</v>
      </c>
      <c r="J74" s="128"/>
      <c r="K74" s="128"/>
      <c r="L74" s="128"/>
      <c r="M74" s="128"/>
      <c r="N74" s="128"/>
      <c r="O74" s="128"/>
      <c r="P74" s="128"/>
      <c r="Q74" s="128"/>
      <c r="R74" s="24" t="s">
        <v>145</v>
      </c>
      <c r="S74" s="32" t="str">
        <f t="shared" si="11"/>
        <v>Erreicht</v>
      </c>
      <c r="T74" s="129" t="str">
        <f t="shared" si="12"/>
        <v>OK</v>
      </c>
      <c r="U74" s="129"/>
      <c r="V74" s="46" t="str">
        <f t="shared" si="13"/>
        <v/>
      </c>
      <c r="W74" s="46" t="str">
        <f t="shared" si="13"/>
        <v>◆</v>
      </c>
      <c r="X74" s="46" t="str">
        <f t="shared" si="13"/>
        <v/>
      </c>
      <c r="Y74" s="46" t="str">
        <f t="shared" si="13"/>
        <v/>
      </c>
      <c r="Z74" s="46" t="str">
        <f t="shared" si="13"/>
        <v/>
      </c>
      <c r="AA74" s="46" t="str">
        <f t="shared" si="13"/>
        <v/>
      </c>
      <c r="AB74" s="46" t="str">
        <f t="shared" si="13"/>
        <v/>
      </c>
      <c r="AC74" s="46" t="str">
        <f t="shared" si="13"/>
        <v/>
      </c>
      <c r="AD74" s="46" t="str">
        <f t="shared" si="13"/>
        <v/>
      </c>
      <c r="AE74" s="46" t="str">
        <f t="shared" si="13"/>
        <v/>
      </c>
      <c r="AF74" s="46" t="str">
        <f t="shared" si="13"/>
        <v/>
      </c>
      <c r="AG74" s="46" t="str">
        <f t="shared" si="13"/>
        <v/>
      </c>
      <c r="AI74" s="47">
        <f t="shared" si="14"/>
        <v>0</v>
      </c>
      <c r="AJ74" s="47" t="str">
        <f t="shared" si="15"/>
        <v/>
      </c>
    </row>
    <row r="75" spans="2:36" ht="15.75" customHeight="1" x14ac:dyDescent="0.25">
      <c r="B75" s="22">
        <f>IF($C75="","",COUNTA($C$73:$C75))</f>
        <v>3</v>
      </c>
      <c r="C75" s="23" t="s">
        <v>149</v>
      </c>
      <c r="D75" s="24" t="s">
        <v>122</v>
      </c>
      <c r="E75" s="24" t="s">
        <v>150</v>
      </c>
      <c r="F75" s="24" t="s">
        <v>102</v>
      </c>
      <c r="G75" s="127">
        <v>46142</v>
      </c>
      <c r="H75" s="127"/>
      <c r="I75" s="128" t="s">
        <v>151</v>
      </c>
      <c r="J75" s="128"/>
      <c r="K75" s="128"/>
      <c r="L75" s="128"/>
      <c r="M75" s="128"/>
      <c r="N75" s="128"/>
      <c r="O75" s="128"/>
      <c r="P75" s="128"/>
      <c r="Q75" s="128"/>
      <c r="R75" s="24" t="s">
        <v>145</v>
      </c>
      <c r="S75" s="32" t="str">
        <f t="shared" si="11"/>
        <v>Erreicht</v>
      </c>
      <c r="T75" s="129" t="str">
        <f t="shared" si="12"/>
        <v>OK</v>
      </c>
      <c r="U75" s="129"/>
      <c r="V75" s="46" t="str">
        <f t="shared" si="13"/>
        <v/>
      </c>
      <c r="W75" s="46" t="str">
        <f t="shared" si="13"/>
        <v/>
      </c>
      <c r="X75" s="46" t="str">
        <f t="shared" si="13"/>
        <v/>
      </c>
      <c r="Y75" s="46" t="str">
        <f t="shared" si="13"/>
        <v>◆</v>
      </c>
      <c r="Z75" s="46" t="str">
        <f t="shared" si="13"/>
        <v/>
      </c>
      <c r="AA75" s="46" t="str">
        <f t="shared" si="13"/>
        <v/>
      </c>
      <c r="AB75" s="46" t="str">
        <f t="shared" si="13"/>
        <v/>
      </c>
      <c r="AC75" s="46" t="str">
        <f t="shared" si="13"/>
        <v/>
      </c>
      <c r="AD75" s="46" t="str">
        <f t="shared" si="13"/>
        <v/>
      </c>
      <c r="AE75" s="46" t="str">
        <f t="shared" si="13"/>
        <v/>
      </c>
      <c r="AF75" s="46" t="str">
        <f t="shared" si="13"/>
        <v/>
      </c>
      <c r="AG75" s="46" t="str">
        <f t="shared" si="13"/>
        <v/>
      </c>
      <c r="AI75" s="47">
        <f t="shared" si="14"/>
        <v>0</v>
      </c>
      <c r="AJ75" s="47" t="str">
        <f t="shared" si="15"/>
        <v/>
      </c>
    </row>
    <row r="76" spans="2:36" ht="15.75" customHeight="1" x14ac:dyDescent="0.25">
      <c r="B76" s="22">
        <f>IF($C76="","",COUNTA($C$73:$C76))</f>
        <v>4</v>
      </c>
      <c r="C76" s="23" t="s">
        <v>152</v>
      </c>
      <c r="D76" s="24" t="s">
        <v>89</v>
      </c>
      <c r="E76" s="24" t="s">
        <v>150</v>
      </c>
      <c r="F76" s="24" t="s">
        <v>92</v>
      </c>
      <c r="G76" s="127">
        <v>46203</v>
      </c>
      <c r="H76" s="127"/>
      <c r="I76" s="128" t="s">
        <v>153</v>
      </c>
      <c r="J76" s="128"/>
      <c r="K76" s="128"/>
      <c r="L76" s="128"/>
      <c r="M76" s="128"/>
      <c r="N76" s="128"/>
      <c r="O76" s="128"/>
      <c r="P76" s="128"/>
      <c r="Q76" s="128"/>
      <c r="R76" s="24" t="s">
        <v>145</v>
      </c>
      <c r="S76" s="32" t="str">
        <f t="shared" si="11"/>
        <v>Erreicht</v>
      </c>
      <c r="T76" s="129" t="str">
        <f t="shared" si="12"/>
        <v>OK</v>
      </c>
      <c r="U76" s="129"/>
      <c r="V76" s="46" t="str">
        <f t="shared" si="13"/>
        <v/>
      </c>
      <c r="W76" s="46" t="str">
        <f t="shared" si="13"/>
        <v/>
      </c>
      <c r="X76" s="46" t="str">
        <f t="shared" si="13"/>
        <v/>
      </c>
      <c r="Y76" s="46" t="str">
        <f t="shared" si="13"/>
        <v/>
      </c>
      <c r="Z76" s="46" t="str">
        <f t="shared" si="13"/>
        <v/>
      </c>
      <c r="AA76" s="46" t="str">
        <f t="shared" si="13"/>
        <v>◆</v>
      </c>
      <c r="AB76" s="46" t="str">
        <f t="shared" si="13"/>
        <v/>
      </c>
      <c r="AC76" s="46" t="str">
        <f t="shared" si="13"/>
        <v/>
      </c>
      <c r="AD76" s="46" t="str">
        <f t="shared" si="13"/>
        <v/>
      </c>
      <c r="AE76" s="46" t="str">
        <f t="shared" si="13"/>
        <v/>
      </c>
      <c r="AF76" s="46" t="str">
        <f t="shared" si="13"/>
        <v/>
      </c>
      <c r="AG76" s="46" t="str">
        <f t="shared" si="13"/>
        <v/>
      </c>
      <c r="AI76" s="47">
        <f t="shared" si="14"/>
        <v>0</v>
      </c>
      <c r="AJ76" s="47" t="str">
        <f t="shared" si="15"/>
        <v/>
      </c>
    </row>
    <row r="77" spans="2:36" ht="15.75" customHeight="1" x14ac:dyDescent="0.25">
      <c r="B77" s="22">
        <f>IF($C77="","",COUNTA($C$73:$C77))</f>
        <v>5</v>
      </c>
      <c r="C77" s="23" t="s">
        <v>154</v>
      </c>
      <c r="D77" s="24" t="s">
        <v>95</v>
      </c>
      <c r="E77" s="24" t="s">
        <v>155</v>
      </c>
      <c r="F77" s="24" t="s">
        <v>97</v>
      </c>
      <c r="G77" s="127">
        <v>46203</v>
      </c>
      <c r="H77" s="127"/>
      <c r="I77" s="128" t="s">
        <v>156</v>
      </c>
      <c r="J77" s="128"/>
      <c r="K77" s="128"/>
      <c r="L77" s="128"/>
      <c r="M77" s="128"/>
      <c r="N77" s="128"/>
      <c r="O77" s="128"/>
      <c r="P77" s="128"/>
      <c r="Q77" s="128"/>
      <c r="R77" s="24" t="s">
        <v>145</v>
      </c>
      <c r="S77" s="32" t="str">
        <f t="shared" si="11"/>
        <v>Erreicht</v>
      </c>
      <c r="T77" s="129" t="str">
        <f t="shared" si="12"/>
        <v>OK</v>
      </c>
      <c r="U77" s="129"/>
      <c r="V77" s="46" t="str">
        <f t="shared" si="13"/>
        <v/>
      </c>
      <c r="W77" s="46" t="str">
        <f t="shared" si="13"/>
        <v/>
      </c>
      <c r="X77" s="46" t="str">
        <f t="shared" si="13"/>
        <v/>
      </c>
      <c r="Y77" s="46" t="str">
        <f t="shared" si="13"/>
        <v/>
      </c>
      <c r="Z77" s="46" t="str">
        <f t="shared" si="13"/>
        <v/>
      </c>
      <c r="AA77" s="46" t="str">
        <f t="shared" si="13"/>
        <v>◆</v>
      </c>
      <c r="AB77" s="46" t="str">
        <f t="shared" si="13"/>
        <v/>
      </c>
      <c r="AC77" s="46" t="str">
        <f t="shared" si="13"/>
        <v/>
      </c>
      <c r="AD77" s="46" t="str">
        <f t="shared" si="13"/>
        <v/>
      </c>
      <c r="AE77" s="46" t="str">
        <f t="shared" si="13"/>
        <v/>
      </c>
      <c r="AF77" s="46" t="str">
        <f t="shared" si="13"/>
        <v/>
      </c>
      <c r="AG77" s="46" t="str">
        <f t="shared" si="13"/>
        <v/>
      </c>
      <c r="AI77" s="47">
        <f t="shared" si="14"/>
        <v>0</v>
      </c>
      <c r="AJ77" s="47" t="str">
        <f t="shared" si="15"/>
        <v/>
      </c>
    </row>
    <row r="78" spans="2:36" ht="15.75" customHeight="1" x14ac:dyDescent="0.25">
      <c r="B78" s="22">
        <f>IF($C78="","",COUNTA($C$73:$C78))</f>
        <v>6</v>
      </c>
      <c r="C78" s="23" t="s">
        <v>157</v>
      </c>
      <c r="D78" s="24" t="s">
        <v>104</v>
      </c>
      <c r="E78" s="24" t="s">
        <v>147</v>
      </c>
      <c r="F78" s="24" t="s">
        <v>102</v>
      </c>
      <c r="G78" s="127">
        <v>46203</v>
      </c>
      <c r="H78" s="127"/>
      <c r="I78" s="128" t="s">
        <v>158</v>
      </c>
      <c r="J78" s="128"/>
      <c r="K78" s="128"/>
      <c r="L78" s="128"/>
      <c r="M78" s="128"/>
      <c r="N78" s="128"/>
      <c r="O78" s="128"/>
      <c r="P78" s="128"/>
      <c r="Q78" s="128"/>
      <c r="R78" s="24" t="s">
        <v>159</v>
      </c>
      <c r="S78" s="32" t="str">
        <f t="shared" ca="1" si="11"/>
        <v>Überfällig</v>
      </c>
      <c r="T78" s="129" t="str">
        <f t="shared" ca="1" si="12"/>
        <v>Termin überschritten – Status pflegen</v>
      </c>
      <c r="U78" s="129"/>
      <c r="V78" s="46" t="str">
        <f t="shared" si="13"/>
        <v/>
      </c>
      <c r="W78" s="46" t="str">
        <f t="shared" si="13"/>
        <v/>
      </c>
      <c r="X78" s="46" t="str">
        <f t="shared" si="13"/>
        <v/>
      </c>
      <c r="Y78" s="46" t="str">
        <f t="shared" si="13"/>
        <v/>
      </c>
      <c r="Z78" s="46" t="str">
        <f t="shared" si="13"/>
        <v/>
      </c>
      <c r="AA78" s="46" t="str">
        <f t="shared" si="13"/>
        <v>◆</v>
      </c>
      <c r="AB78" s="46" t="str">
        <f t="shared" si="13"/>
        <v/>
      </c>
      <c r="AC78" s="46" t="str">
        <f t="shared" si="13"/>
        <v/>
      </c>
      <c r="AD78" s="46" t="str">
        <f t="shared" si="13"/>
        <v/>
      </c>
      <c r="AE78" s="46" t="str">
        <f t="shared" si="13"/>
        <v/>
      </c>
      <c r="AF78" s="46" t="str">
        <f t="shared" si="13"/>
        <v/>
      </c>
      <c r="AG78" s="46" t="str">
        <f t="shared" si="13"/>
        <v/>
      </c>
      <c r="AI78" s="47">
        <f t="shared" si="14"/>
        <v>1</v>
      </c>
      <c r="AJ78" s="47">
        <f t="shared" si="15"/>
        <v>1</v>
      </c>
    </row>
    <row r="79" spans="2:36" ht="15.75" customHeight="1" x14ac:dyDescent="0.25">
      <c r="B79" s="22">
        <f>IF($C79="","",COUNTA($C$73:$C79))</f>
        <v>7</v>
      </c>
      <c r="C79" s="23" t="s">
        <v>160</v>
      </c>
      <c r="D79" s="24" t="s">
        <v>142</v>
      </c>
      <c r="E79" s="24" t="s">
        <v>161</v>
      </c>
      <c r="F79" s="24" t="s">
        <v>162</v>
      </c>
      <c r="G79" s="127">
        <v>46213</v>
      </c>
      <c r="H79" s="127"/>
      <c r="I79" s="128" t="s">
        <v>163</v>
      </c>
      <c r="J79" s="128"/>
      <c r="K79" s="128"/>
      <c r="L79" s="128"/>
      <c r="M79" s="128"/>
      <c r="N79" s="128"/>
      <c r="O79" s="128"/>
      <c r="P79" s="128"/>
      <c r="Q79" s="128"/>
      <c r="R79" s="24" t="s">
        <v>145</v>
      </c>
      <c r="S79" s="32" t="str">
        <f t="shared" si="11"/>
        <v>Erreicht</v>
      </c>
      <c r="T79" s="129" t="str">
        <f t="shared" si="12"/>
        <v>OK</v>
      </c>
      <c r="U79" s="129"/>
      <c r="V79" s="46" t="str">
        <f t="shared" si="13"/>
        <v/>
      </c>
      <c r="W79" s="46" t="str">
        <f t="shared" si="13"/>
        <v/>
      </c>
      <c r="X79" s="46" t="str">
        <f t="shared" si="13"/>
        <v/>
      </c>
      <c r="Y79" s="46" t="str">
        <f t="shared" si="13"/>
        <v/>
      </c>
      <c r="Z79" s="46" t="str">
        <f t="shared" si="13"/>
        <v/>
      </c>
      <c r="AA79" s="46" t="str">
        <f t="shared" si="13"/>
        <v/>
      </c>
      <c r="AB79" s="46" t="str">
        <f t="shared" si="13"/>
        <v>◆</v>
      </c>
      <c r="AC79" s="46" t="str">
        <f t="shared" si="13"/>
        <v/>
      </c>
      <c r="AD79" s="46" t="str">
        <f t="shared" si="13"/>
        <v/>
      </c>
      <c r="AE79" s="46" t="str">
        <f t="shared" si="13"/>
        <v/>
      </c>
      <c r="AF79" s="46" t="str">
        <f t="shared" si="13"/>
        <v/>
      </c>
      <c r="AG79" s="46" t="str">
        <f t="shared" si="13"/>
        <v/>
      </c>
      <c r="AI79" s="47">
        <f t="shared" si="14"/>
        <v>0</v>
      </c>
      <c r="AJ79" s="47" t="str">
        <f t="shared" si="15"/>
        <v/>
      </c>
    </row>
    <row r="80" spans="2:36" ht="15.75" customHeight="1" x14ac:dyDescent="0.25">
      <c r="B80" s="22">
        <f>IF($C80="","",COUNTA($C$73:$C80))</f>
        <v>8</v>
      </c>
      <c r="C80" s="23" t="s">
        <v>164</v>
      </c>
      <c r="D80" s="24" t="s">
        <v>108</v>
      </c>
      <c r="E80" s="24" t="s">
        <v>155</v>
      </c>
      <c r="F80" s="24" t="s">
        <v>92</v>
      </c>
      <c r="G80" s="127">
        <v>46220</v>
      </c>
      <c r="H80" s="127"/>
      <c r="I80" s="128" t="s">
        <v>165</v>
      </c>
      <c r="J80" s="128"/>
      <c r="K80" s="128"/>
      <c r="L80" s="128"/>
      <c r="M80" s="128"/>
      <c r="N80" s="128"/>
      <c r="O80" s="128"/>
      <c r="P80" s="128"/>
      <c r="Q80" s="128"/>
      <c r="R80" s="24" t="s">
        <v>159</v>
      </c>
      <c r="S80" s="32" t="str">
        <f t="shared" ca="1" si="11"/>
        <v>Überfällig</v>
      </c>
      <c r="T80" s="129" t="str">
        <f t="shared" ca="1" si="12"/>
        <v>Termin überschritten – Status pflegen</v>
      </c>
      <c r="U80" s="129"/>
      <c r="V80" s="46" t="str">
        <f t="shared" si="13"/>
        <v/>
      </c>
      <c r="W80" s="46" t="str">
        <f t="shared" si="13"/>
        <v/>
      </c>
      <c r="X80" s="46" t="str">
        <f t="shared" si="13"/>
        <v/>
      </c>
      <c r="Y80" s="46" t="str">
        <f t="shared" si="13"/>
        <v/>
      </c>
      <c r="Z80" s="46" t="str">
        <f t="shared" si="13"/>
        <v/>
      </c>
      <c r="AA80" s="46" t="str">
        <f t="shared" si="13"/>
        <v/>
      </c>
      <c r="AB80" s="46" t="str">
        <f t="shared" si="13"/>
        <v>◆</v>
      </c>
      <c r="AC80" s="46" t="str">
        <f t="shared" si="13"/>
        <v/>
      </c>
      <c r="AD80" s="46" t="str">
        <f t="shared" si="13"/>
        <v/>
      </c>
      <c r="AE80" s="46" t="str">
        <f t="shared" si="13"/>
        <v/>
      </c>
      <c r="AF80" s="46" t="str">
        <f t="shared" si="13"/>
        <v/>
      </c>
      <c r="AG80" s="46" t="str">
        <f t="shared" si="13"/>
        <v/>
      </c>
      <c r="AI80" s="47">
        <f t="shared" si="14"/>
        <v>1</v>
      </c>
      <c r="AJ80" s="47">
        <f t="shared" si="15"/>
        <v>2</v>
      </c>
    </row>
    <row r="81" spans="2:36" ht="15.75" customHeight="1" x14ac:dyDescent="0.25">
      <c r="B81" s="22">
        <f>IF($C81="","",COUNTA($C$73:$C81))</f>
        <v>9</v>
      </c>
      <c r="C81" s="23" t="s">
        <v>166</v>
      </c>
      <c r="D81" s="24" t="s">
        <v>103</v>
      </c>
      <c r="E81" s="24" t="s">
        <v>150</v>
      </c>
      <c r="F81" s="24" t="s">
        <v>102</v>
      </c>
      <c r="G81" s="127">
        <v>46234</v>
      </c>
      <c r="H81" s="127"/>
      <c r="I81" s="128" t="s">
        <v>167</v>
      </c>
      <c r="J81" s="128"/>
      <c r="K81" s="128"/>
      <c r="L81" s="128"/>
      <c r="M81" s="128"/>
      <c r="N81" s="128"/>
      <c r="O81" s="128"/>
      <c r="P81" s="128"/>
      <c r="Q81" s="128"/>
      <c r="R81" s="24" t="s">
        <v>159</v>
      </c>
      <c r="S81" s="32" t="str">
        <f t="shared" ca="1" si="11"/>
        <v>Fällig in Kürze</v>
      </c>
      <c r="T81" s="129" t="str">
        <f t="shared" ca="1" si="12"/>
        <v>Abschluss vorbereiten</v>
      </c>
      <c r="U81" s="129"/>
      <c r="V81" s="46" t="str">
        <f t="shared" si="13"/>
        <v/>
      </c>
      <c r="W81" s="46" t="str">
        <f t="shared" si="13"/>
        <v/>
      </c>
      <c r="X81" s="46" t="str">
        <f t="shared" si="13"/>
        <v/>
      </c>
      <c r="Y81" s="46" t="str">
        <f t="shared" si="13"/>
        <v/>
      </c>
      <c r="Z81" s="46" t="str">
        <f t="shared" si="13"/>
        <v/>
      </c>
      <c r="AA81" s="46" t="str">
        <f t="shared" si="13"/>
        <v/>
      </c>
      <c r="AB81" s="46" t="str">
        <f t="shared" si="13"/>
        <v>◆</v>
      </c>
      <c r="AC81" s="46" t="str">
        <f t="shared" si="13"/>
        <v/>
      </c>
      <c r="AD81" s="46" t="str">
        <f t="shared" si="13"/>
        <v/>
      </c>
      <c r="AE81" s="46" t="str">
        <f t="shared" si="13"/>
        <v/>
      </c>
      <c r="AF81" s="46" t="str">
        <f t="shared" si="13"/>
        <v/>
      </c>
      <c r="AG81" s="46" t="str">
        <f t="shared" si="13"/>
        <v/>
      </c>
      <c r="AI81" s="47">
        <f t="shared" si="14"/>
        <v>1</v>
      </c>
      <c r="AJ81" s="47">
        <f t="shared" si="15"/>
        <v>3</v>
      </c>
    </row>
    <row r="82" spans="2:36" ht="15.75" customHeight="1" x14ac:dyDescent="0.25">
      <c r="B82" s="22">
        <f>IF($C82="","",COUNTA($C$73:$C82))</f>
        <v>10</v>
      </c>
      <c r="C82" s="23" t="s">
        <v>168</v>
      </c>
      <c r="D82" s="24" t="s">
        <v>106</v>
      </c>
      <c r="E82" s="24" t="s">
        <v>143</v>
      </c>
      <c r="F82" s="24" t="s">
        <v>88</v>
      </c>
      <c r="G82" s="127">
        <v>46265</v>
      </c>
      <c r="H82" s="127"/>
      <c r="I82" s="128" t="s">
        <v>169</v>
      </c>
      <c r="J82" s="128"/>
      <c r="K82" s="128"/>
      <c r="L82" s="128"/>
      <c r="M82" s="128"/>
      <c r="N82" s="128"/>
      <c r="O82" s="128"/>
      <c r="P82" s="128"/>
      <c r="Q82" s="128"/>
      <c r="R82" s="24" t="s">
        <v>170</v>
      </c>
      <c r="S82" s="32" t="str">
        <f t="shared" ca="1" si="11"/>
        <v>Geplant</v>
      </c>
      <c r="T82" s="129" t="str">
        <f t="shared" ca="1" si="12"/>
        <v>OK</v>
      </c>
      <c r="U82" s="129"/>
      <c r="V82" s="46" t="str">
        <f t="shared" si="13"/>
        <v/>
      </c>
      <c r="W82" s="46" t="str">
        <f t="shared" si="13"/>
        <v/>
      </c>
      <c r="X82" s="46" t="str">
        <f t="shared" si="13"/>
        <v/>
      </c>
      <c r="Y82" s="46" t="str">
        <f t="shared" si="13"/>
        <v/>
      </c>
      <c r="Z82" s="46" t="str">
        <f t="shared" si="13"/>
        <v/>
      </c>
      <c r="AA82" s="46" t="str">
        <f t="shared" si="13"/>
        <v/>
      </c>
      <c r="AB82" s="46" t="str">
        <f t="shared" si="13"/>
        <v/>
      </c>
      <c r="AC82" s="46" t="str">
        <f t="shared" si="13"/>
        <v>◆</v>
      </c>
      <c r="AD82" s="46" t="str">
        <f t="shared" si="13"/>
        <v/>
      </c>
      <c r="AE82" s="46" t="str">
        <f t="shared" si="13"/>
        <v/>
      </c>
      <c r="AF82" s="46" t="str">
        <f t="shared" si="13"/>
        <v/>
      </c>
      <c r="AG82" s="46" t="str">
        <f t="shared" si="13"/>
        <v/>
      </c>
      <c r="AI82" s="47">
        <f t="shared" si="14"/>
        <v>1</v>
      </c>
      <c r="AJ82" s="47">
        <f t="shared" si="15"/>
        <v>4</v>
      </c>
    </row>
    <row r="83" spans="2:36" ht="15.75" customHeight="1" x14ac:dyDescent="0.25">
      <c r="B83" s="22">
        <f>IF($C83="","",COUNTA($C$73:$C83))</f>
        <v>11</v>
      </c>
      <c r="C83" s="23" t="s">
        <v>171</v>
      </c>
      <c r="D83" s="24" t="s">
        <v>84</v>
      </c>
      <c r="E83" s="24" t="s">
        <v>161</v>
      </c>
      <c r="F83" s="24" t="s">
        <v>82</v>
      </c>
      <c r="G83" s="127">
        <v>46295</v>
      </c>
      <c r="H83" s="127"/>
      <c r="I83" s="128" t="s">
        <v>172</v>
      </c>
      <c r="J83" s="128"/>
      <c r="K83" s="128"/>
      <c r="L83" s="128"/>
      <c r="M83" s="128"/>
      <c r="N83" s="128"/>
      <c r="O83" s="128"/>
      <c r="P83" s="128"/>
      <c r="Q83" s="128"/>
      <c r="R83" s="24" t="s">
        <v>170</v>
      </c>
      <c r="S83" s="32" t="str">
        <f t="shared" ca="1" si="11"/>
        <v>Geplant</v>
      </c>
      <c r="T83" s="129" t="str">
        <f t="shared" ca="1" si="12"/>
        <v>OK</v>
      </c>
      <c r="U83" s="129"/>
      <c r="V83" s="46" t="str">
        <f t="shared" ref="V83:AG90" si="16">IF($G83="","",IF(AND(YEAR($G83)=YEAR(V$15),MONTH($G83)=MONTH(V$15)),"◆",""))</f>
        <v/>
      </c>
      <c r="W83" s="46" t="str">
        <f t="shared" si="16"/>
        <v/>
      </c>
      <c r="X83" s="46" t="str">
        <f t="shared" si="16"/>
        <v/>
      </c>
      <c r="Y83" s="46" t="str">
        <f t="shared" si="16"/>
        <v/>
      </c>
      <c r="Z83" s="46" t="str">
        <f t="shared" si="16"/>
        <v/>
      </c>
      <c r="AA83" s="46" t="str">
        <f t="shared" si="16"/>
        <v/>
      </c>
      <c r="AB83" s="46" t="str">
        <f t="shared" si="16"/>
        <v/>
      </c>
      <c r="AC83" s="46" t="str">
        <f t="shared" si="16"/>
        <v/>
      </c>
      <c r="AD83" s="46" t="str">
        <f t="shared" si="16"/>
        <v>◆</v>
      </c>
      <c r="AE83" s="46" t="str">
        <f t="shared" si="16"/>
        <v/>
      </c>
      <c r="AF83" s="46" t="str">
        <f t="shared" si="16"/>
        <v/>
      </c>
      <c r="AG83" s="46" t="str">
        <f t="shared" si="16"/>
        <v/>
      </c>
      <c r="AI83" s="47">
        <f t="shared" si="14"/>
        <v>1</v>
      </c>
      <c r="AJ83" s="47">
        <f t="shared" si="15"/>
        <v>5</v>
      </c>
    </row>
    <row r="84" spans="2:36" ht="15.75" customHeight="1" x14ac:dyDescent="0.25">
      <c r="B84" s="22">
        <f>IF($C84="","",COUNTA($C$73:$C84))</f>
        <v>12</v>
      </c>
      <c r="C84" s="23" t="s">
        <v>173</v>
      </c>
      <c r="D84" s="24" t="s">
        <v>93</v>
      </c>
      <c r="E84" s="24" t="s">
        <v>150</v>
      </c>
      <c r="F84" s="24" t="s">
        <v>92</v>
      </c>
      <c r="G84" s="127">
        <v>46325</v>
      </c>
      <c r="H84" s="127"/>
      <c r="I84" s="128" t="s">
        <v>174</v>
      </c>
      <c r="J84" s="128"/>
      <c r="K84" s="128"/>
      <c r="L84" s="128"/>
      <c r="M84" s="128"/>
      <c r="N84" s="128"/>
      <c r="O84" s="128"/>
      <c r="P84" s="128"/>
      <c r="Q84" s="128"/>
      <c r="R84" s="24" t="s">
        <v>170</v>
      </c>
      <c r="S84" s="32" t="str">
        <f t="shared" ca="1" si="11"/>
        <v>Geplant</v>
      </c>
      <c r="T84" s="129" t="str">
        <f t="shared" ca="1" si="12"/>
        <v>OK</v>
      </c>
      <c r="U84" s="129"/>
      <c r="V84" s="46" t="str">
        <f t="shared" si="16"/>
        <v/>
      </c>
      <c r="W84" s="46" t="str">
        <f t="shared" si="16"/>
        <v/>
      </c>
      <c r="X84" s="46" t="str">
        <f t="shared" si="16"/>
        <v/>
      </c>
      <c r="Y84" s="46" t="str">
        <f t="shared" si="16"/>
        <v/>
      </c>
      <c r="Z84" s="46" t="str">
        <f t="shared" si="16"/>
        <v/>
      </c>
      <c r="AA84" s="46" t="str">
        <f t="shared" si="16"/>
        <v/>
      </c>
      <c r="AB84" s="46" t="str">
        <f t="shared" si="16"/>
        <v/>
      </c>
      <c r="AC84" s="46" t="str">
        <f t="shared" si="16"/>
        <v/>
      </c>
      <c r="AD84" s="46" t="str">
        <f t="shared" si="16"/>
        <v/>
      </c>
      <c r="AE84" s="46" t="str">
        <f t="shared" si="16"/>
        <v>◆</v>
      </c>
      <c r="AF84" s="46" t="str">
        <f t="shared" si="16"/>
        <v/>
      </c>
      <c r="AG84" s="46" t="str">
        <f t="shared" si="16"/>
        <v/>
      </c>
      <c r="AI84" s="47">
        <f t="shared" si="14"/>
        <v>1</v>
      </c>
      <c r="AJ84" s="47">
        <f t="shared" si="15"/>
        <v>6</v>
      </c>
    </row>
    <row r="85" spans="2:36" ht="15.75" customHeight="1" x14ac:dyDescent="0.25">
      <c r="B85" s="22">
        <f>IF($C85="","",COUNTA($C$73:$C85))</f>
        <v>13</v>
      </c>
      <c r="C85" s="23" t="s">
        <v>175</v>
      </c>
      <c r="D85" s="24" t="s">
        <v>115</v>
      </c>
      <c r="E85" s="24" t="s">
        <v>161</v>
      </c>
      <c r="F85" s="24" t="s">
        <v>88</v>
      </c>
      <c r="G85" s="127">
        <v>46326</v>
      </c>
      <c r="H85" s="127"/>
      <c r="I85" s="128" t="s">
        <v>176</v>
      </c>
      <c r="J85" s="128"/>
      <c r="K85" s="128"/>
      <c r="L85" s="128"/>
      <c r="M85" s="128"/>
      <c r="N85" s="128"/>
      <c r="O85" s="128"/>
      <c r="P85" s="128"/>
      <c r="Q85" s="128"/>
      <c r="R85" s="24" t="s">
        <v>170</v>
      </c>
      <c r="S85" s="32" t="str">
        <f t="shared" ca="1" si="11"/>
        <v>Geplant</v>
      </c>
      <c r="T85" s="129" t="str">
        <f t="shared" ca="1" si="12"/>
        <v>OK</v>
      </c>
      <c r="U85" s="129"/>
      <c r="V85" s="46" t="str">
        <f t="shared" si="16"/>
        <v/>
      </c>
      <c r="W85" s="46" t="str">
        <f t="shared" si="16"/>
        <v/>
      </c>
      <c r="X85" s="46" t="str">
        <f t="shared" si="16"/>
        <v/>
      </c>
      <c r="Y85" s="46" t="str">
        <f t="shared" si="16"/>
        <v/>
      </c>
      <c r="Z85" s="46" t="str">
        <f t="shared" si="16"/>
        <v/>
      </c>
      <c r="AA85" s="46" t="str">
        <f t="shared" si="16"/>
        <v/>
      </c>
      <c r="AB85" s="46" t="str">
        <f t="shared" si="16"/>
        <v/>
      </c>
      <c r="AC85" s="46" t="str">
        <f t="shared" si="16"/>
        <v/>
      </c>
      <c r="AD85" s="46" t="str">
        <f t="shared" si="16"/>
        <v/>
      </c>
      <c r="AE85" s="46" t="str">
        <f t="shared" si="16"/>
        <v>◆</v>
      </c>
      <c r="AF85" s="46" t="str">
        <f t="shared" si="16"/>
        <v/>
      </c>
      <c r="AG85" s="46" t="str">
        <f t="shared" si="16"/>
        <v/>
      </c>
      <c r="AI85" s="47">
        <f t="shared" si="14"/>
        <v>1</v>
      </c>
      <c r="AJ85" s="47">
        <f t="shared" si="15"/>
        <v>7</v>
      </c>
    </row>
    <row r="86" spans="2:36" ht="15.75" customHeight="1" x14ac:dyDescent="0.25">
      <c r="B86" s="22">
        <f>IF($C86="","",COUNTA($C$73:$C86))</f>
        <v>14</v>
      </c>
      <c r="C86" s="23" t="s">
        <v>177</v>
      </c>
      <c r="D86" s="24" t="s">
        <v>124</v>
      </c>
      <c r="E86" s="24" t="s">
        <v>155</v>
      </c>
      <c r="F86" s="24" t="s">
        <v>88</v>
      </c>
      <c r="G86" s="127">
        <v>46356</v>
      </c>
      <c r="H86" s="127"/>
      <c r="I86" s="128" t="s">
        <v>178</v>
      </c>
      <c r="J86" s="128"/>
      <c r="K86" s="128"/>
      <c r="L86" s="128"/>
      <c r="M86" s="128"/>
      <c r="N86" s="128"/>
      <c r="O86" s="128"/>
      <c r="P86" s="128"/>
      <c r="Q86" s="128"/>
      <c r="R86" s="24" t="s">
        <v>170</v>
      </c>
      <c r="S86" s="32" t="str">
        <f t="shared" ca="1" si="11"/>
        <v>Geplant</v>
      </c>
      <c r="T86" s="129" t="str">
        <f t="shared" ca="1" si="12"/>
        <v>OK</v>
      </c>
      <c r="U86" s="129"/>
      <c r="V86" s="46" t="str">
        <f t="shared" si="16"/>
        <v/>
      </c>
      <c r="W86" s="46" t="str">
        <f t="shared" si="16"/>
        <v/>
      </c>
      <c r="X86" s="46" t="str">
        <f t="shared" si="16"/>
        <v/>
      </c>
      <c r="Y86" s="46" t="str">
        <f t="shared" si="16"/>
        <v/>
      </c>
      <c r="Z86" s="46" t="str">
        <f t="shared" si="16"/>
        <v/>
      </c>
      <c r="AA86" s="46" t="str">
        <f t="shared" si="16"/>
        <v/>
      </c>
      <c r="AB86" s="46" t="str">
        <f t="shared" si="16"/>
        <v/>
      </c>
      <c r="AC86" s="46" t="str">
        <f t="shared" si="16"/>
        <v/>
      </c>
      <c r="AD86" s="46" t="str">
        <f t="shared" si="16"/>
        <v/>
      </c>
      <c r="AE86" s="46" t="str">
        <f t="shared" si="16"/>
        <v/>
      </c>
      <c r="AF86" s="46" t="str">
        <f t="shared" si="16"/>
        <v>◆</v>
      </c>
      <c r="AG86" s="46" t="str">
        <f t="shared" si="16"/>
        <v/>
      </c>
      <c r="AI86" s="47">
        <f t="shared" si="14"/>
        <v>1</v>
      </c>
      <c r="AJ86" s="47">
        <f t="shared" si="15"/>
        <v>8</v>
      </c>
    </row>
    <row r="87" spans="2:36" ht="15.75" customHeight="1" x14ac:dyDescent="0.25">
      <c r="B87" s="22">
        <f>IF($C87="","",COUNTA($C$73:$C87))</f>
        <v>15</v>
      </c>
      <c r="C87" s="23" t="s">
        <v>179</v>
      </c>
      <c r="D87" s="24" t="s">
        <v>142</v>
      </c>
      <c r="E87" s="24" t="s">
        <v>161</v>
      </c>
      <c r="F87" s="24"/>
      <c r="G87" s="127">
        <v>46371</v>
      </c>
      <c r="H87" s="127"/>
      <c r="I87" s="128" t="s">
        <v>180</v>
      </c>
      <c r="J87" s="128"/>
      <c r="K87" s="128"/>
      <c r="L87" s="128"/>
      <c r="M87" s="128"/>
      <c r="N87" s="128"/>
      <c r="O87" s="128"/>
      <c r="P87" s="128"/>
      <c r="Q87" s="128"/>
      <c r="R87" s="24" t="s">
        <v>170</v>
      </c>
      <c r="S87" s="32" t="str">
        <f t="shared" ca="1" si="11"/>
        <v>Geplant</v>
      </c>
      <c r="T87" s="129" t="str">
        <f t="shared" si="12"/>
        <v>Verantwortliche Person fehlt</v>
      </c>
      <c r="U87" s="129"/>
      <c r="V87" s="46" t="str">
        <f t="shared" si="16"/>
        <v/>
      </c>
      <c r="W87" s="46" t="str">
        <f t="shared" si="16"/>
        <v/>
      </c>
      <c r="X87" s="46" t="str">
        <f t="shared" si="16"/>
        <v/>
      </c>
      <c r="Y87" s="46" t="str">
        <f t="shared" si="16"/>
        <v/>
      </c>
      <c r="Z87" s="46" t="str">
        <f t="shared" si="16"/>
        <v/>
      </c>
      <c r="AA87" s="46" t="str">
        <f t="shared" si="16"/>
        <v/>
      </c>
      <c r="AB87" s="46" t="str">
        <f t="shared" si="16"/>
        <v/>
      </c>
      <c r="AC87" s="46" t="str">
        <f t="shared" si="16"/>
        <v/>
      </c>
      <c r="AD87" s="46" t="str">
        <f t="shared" si="16"/>
        <v/>
      </c>
      <c r="AE87" s="46" t="str">
        <f t="shared" si="16"/>
        <v/>
      </c>
      <c r="AF87" s="46" t="str">
        <f t="shared" si="16"/>
        <v/>
      </c>
      <c r="AG87" s="46" t="str">
        <f t="shared" si="16"/>
        <v>◆</v>
      </c>
      <c r="AI87" s="47">
        <f t="shared" si="14"/>
        <v>1</v>
      </c>
      <c r="AJ87" s="47">
        <f t="shared" si="15"/>
        <v>9</v>
      </c>
    </row>
    <row r="88" spans="2:36" ht="15.75" customHeight="1" x14ac:dyDescent="0.25">
      <c r="B88" s="22" t="str">
        <f>IF($C88="","",COUNTA($C$73:$C88))</f>
        <v/>
      </c>
      <c r="C88" s="33"/>
      <c r="D88" s="33"/>
      <c r="E88" s="33"/>
      <c r="F88" s="33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33"/>
      <c r="S88" s="32" t="str">
        <f t="shared" si="11"/>
        <v/>
      </c>
      <c r="T88" s="129" t="str">
        <f t="shared" si="12"/>
        <v/>
      </c>
      <c r="U88" s="129"/>
      <c r="V88" s="46" t="str">
        <f t="shared" si="16"/>
        <v/>
      </c>
      <c r="W88" s="46" t="str">
        <f t="shared" si="16"/>
        <v/>
      </c>
      <c r="X88" s="46" t="str">
        <f t="shared" si="16"/>
        <v/>
      </c>
      <c r="Y88" s="46" t="str">
        <f t="shared" si="16"/>
        <v/>
      </c>
      <c r="Z88" s="46" t="str">
        <f t="shared" si="16"/>
        <v/>
      </c>
      <c r="AA88" s="46" t="str">
        <f t="shared" si="16"/>
        <v/>
      </c>
      <c r="AB88" s="46" t="str">
        <f t="shared" si="16"/>
        <v/>
      </c>
      <c r="AC88" s="46" t="str">
        <f t="shared" si="16"/>
        <v/>
      </c>
      <c r="AD88" s="46" t="str">
        <f t="shared" si="16"/>
        <v/>
      </c>
      <c r="AE88" s="46" t="str">
        <f t="shared" si="16"/>
        <v/>
      </c>
      <c r="AF88" s="46" t="str">
        <f t="shared" si="16"/>
        <v/>
      </c>
      <c r="AG88" s="46" t="str">
        <f t="shared" si="16"/>
        <v/>
      </c>
      <c r="AI88" s="47">
        <f t="shared" si="14"/>
        <v>0</v>
      </c>
      <c r="AJ88" s="47" t="str">
        <f t="shared" si="15"/>
        <v/>
      </c>
    </row>
    <row r="89" spans="2:36" ht="15.75" customHeight="1" x14ac:dyDescent="0.25">
      <c r="B89" s="22" t="str">
        <f>IF($C89="","",COUNTA($C$73:$C89))</f>
        <v/>
      </c>
      <c r="C89" s="33"/>
      <c r="D89" s="33"/>
      <c r="E89" s="33"/>
      <c r="F89" s="33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33"/>
      <c r="S89" s="32" t="str">
        <f t="shared" si="11"/>
        <v/>
      </c>
      <c r="T89" s="129" t="str">
        <f t="shared" si="12"/>
        <v/>
      </c>
      <c r="U89" s="129"/>
      <c r="V89" s="46" t="str">
        <f t="shared" si="16"/>
        <v/>
      </c>
      <c r="W89" s="46" t="str">
        <f t="shared" si="16"/>
        <v/>
      </c>
      <c r="X89" s="46" t="str">
        <f t="shared" si="16"/>
        <v/>
      </c>
      <c r="Y89" s="46" t="str">
        <f t="shared" si="16"/>
        <v/>
      </c>
      <c r="Z89" s="46" t="str">
        <f t="shared" si="16"/>
        <v/>
      </c>
      <c r="AA89" s="46" t="str">
        <f t="shared" si="16"/>
        <v/>
      </c>
      <c r="AB89" s="46" t="str">
        <f t="shared" si="16"/>
        <v/>
      </c>
      <c r="AC89" s="46" t="str">
        <f t="shared" si="16"/>
        <v/>
      </c>
      <c r="AD89" s="46" t="str">
        <f t="shared" si="16"/>
        <v/>
      </c>
      <c r="AE89" s="46" t="str">
        <f t="shared" si="16"/>
        <v/>
      </c>
      <c r="AF89" s="46" t="str">
        <f t="shared" si="16"/>
        <v/>
      </c>
      <c r="AG89" s="46" t="str">
        <f t="shared" si="16"/>
        <v/>
      </c>
      <c r="AI89" s="47">
        <f t="shared" si="14"/>
        <v>0</v>
      </c>
      <c r="AJ89" s="47" t="str">
        <f t="shared" si="15"/>
        <v/>
      </c>
    </row>
    <row r="90" spans="2:36" ht="15.75" customHeight="1" x14ac:dyDescent="0.25">
      <c r="B90" s="22" t="str">
        <f>IF($C90="","",COUNTA($C$73:$C90))</f>
        <v/>
      </c>
      <c r="C90" s="33"/>
      <c r="D90" s="33"/>
      <c r="E90" s="33"/>
      <c r="F90" s="33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33"/>
      <c r="S90" s="32" t="str">
        <f t="shared" si="11"/>
        <v/>
      </c>
      <c r="T90" s="129" t="str">
        <f t="shared" si="12"/>
        <v/>
      </c>
      <c r="U90" s="129"/>
      <c r="V90" s="46" t="str">
        <f t="shared" si="16"/>
        <v/>
      </c>
      <c r="W90" s="46" t="str">
        <f t="shared" si="16"/>
        <v/>
      </c>
      <c r="X90" s="46" t="str">
        <f t="shared" si="16"/>
        <v/>
      </c>
      <c r="Y90" s="46" t="str">
        <f t="shared" si="16"/>
        <v/>
      </c>
      <c r="Z90" s="46" t="str">
        <f t="shared" si="16"/>
        <v/>
      </c>
      <c r="AA90" s="46" t="str">
        <f t="shared" si="16"/>
        <v/>
      </c>
      <c r="AB90" s="46" t="str">
        <f t="shared" si="16"/>
        <v/>
      </c>
      <c r="AC90" s="46" t="str">
        <f t="shared" si="16"/>
        <v/>
      </c>
      <c r="AD90" s="46" t="str">
        <f t="shared" si="16"/>
        <v/>
      </c>
      <c r="AE90" s="46" t="str">
        <f t="shared" si="16"/>
        <v/>
      </c>
      <c r="AF90" s="46" t="str">
        <f t="shared" si="16"/>
        <v/>
      </c>
      <c r="AG90" s="46" t="str">
        <f t="shared" si="16"/>
        <v/>
      </c>
      <c r="AI90" s="47">
        <f t="shared" si="14"/>
        <v>0</v>
      </c>
      <c r="AJ90" s="47" t="str">
        <f t="shared" si="15"/>
        <v/>
      </c>
    </row>
    <row r="92" spans="2:36" ht="18" customHeight="1" x14ac:dyDescent="0.25">
      <c r="B92" s="131" t="s">
        <v>181</v>
      </c>
      <c r="C92" s="131"/>
      <c r="E92" s="132" t="s">
        <v>182</v>
      </c>
      <c r="F92" s="132"/>
      <c r="H92" s="133" t="s">
        <v>183</v>
      </c>
      <c r="I92" s="133"/>
      <c r="J92" s="133"/>
      <c r="L92" s="134" t="s">
        <v>126</v>
      </c>
      <c r="M92" s="134"/>
      <c r="N92" s="134"/>
      <c r="O92" s="134"/>
      <c r="P92" s="134"/>
      <c r="R92" s="135" t="s">
        <v>184</v>
      </c>
      <c r="S92" s="135"/>
      <c r="T92" s="135"/>
      <c r="V92" s="136" t="s">
        <v>185</v>
      </c>
      <c r="W92" s="136"/>
      <c r="X92" s="136"/>
      <c r="Y92" s="136"/>
      <c r="Z92" s="136"/>
      <c r="AA92" s="136"/>
      <c r="AB92" s="136"/>
      <c r="AD92" s="137" t="s">
        <v>186</v>
      </c>
      <c r="AE92" s="137"/>
      <c r="AF92" s="137"/>
    </row>
    <row r="93" spans="2:36" x14ac:dyDescent="0.25">
      <c r="B93" s="138" t="s">
        <v>187</v>
      </c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</row>
  </sheetData>
  <autoFilter ref="B18:U68" xr:uid="{00000000-0009-0000-0000-000000000000}"/>
  <mergeCells count="131">
    <mergeCell ref="B92:C92"/>
    <mergeCell ref="E92:F92"/>
    <mergeCell ref="H92:J92"/>
    <mergeCell ref="L92:P92"/>
    <mergeCell ref="R92:T92"/>
    <mergeCell ref="V92:AB92"/>
    <mergeCell ref="AD92:AF92"/>
    <mergeCell ref="B93:AG93"/>
    <mergeCell ref="G88:H88"/>
    <mergeCell ref="I88:Q88"/>
    <mergeCell ref="T88:U88"/>
    <mergeCell ref="G89:H89"/>
    <mergeCell ref="I89:Q89"/>
    <mergeCell ref="T89:U89"/>
    <mergeCell ref="G90:H90"/>
    <mergeCell ref="I90:Q90"/>
    <mergeCell ref="T90:U90"/>
    <mergeCell ref="G85:H85"/>
    <mergeCell ref="I85:Q85"/>
    <mergeCell ref="T85:U85"/>
    <mergeCell ref="G86:H86"/>
    <mergeCell ref="I86:Q86"/>
    <mergeCell ref="T86:U86"/>
    <mergeCell ref="G87:H87"/>
    <mergeCell ref="I87:Q87"/>
    <mergeCell ref="T87:U87"/>
    <mergeCell ref="G82:H82"/>
    <mergeCell ref="I82:Q82"/>
    <mergeCell ref="T82:U82"/>
    <mergeCell ref="G83:H83"/>
    <mergeCell ref="I83:Q83"/>
    <mergeCell ref="T83:U83"/>
    <mergeCell ref="G84:H84"/>
    <mergeCell ref="I84:Q84"/>
    <mergeCell ref="T84:U84"/>
    <mergeCell ref="G79:H79"/>
    <mergeCell ref="I79:Q79"/>
    <mergeCell ref="T79:U79"/>
    <mergeCell ref="G80:H80"/>
    <mergeCell ref="I80:Q80"/>
    <mergeCell ref="T80:U80"/>
    <mergeCell ref="G81:H81"/>
    <mergeCell ref="I81:Q81"/>
    <mergeCell ref="T81:U81"/>
    <mergeCell ref="G76:H76"/>
    <mergeCell ref="I76:Q76"/>
    <mergeCell ref="T76:U76"/>
    <mergeCell ref="G77:H77"/>
    <mergeCell ref="I77:Q77"/>
    <mergeCell ref="T77:U77"/>
    <mergeCell ref="G78:H78"/>
    <mergeCell ref="I78:Q78"/>
    <mergeCell ref="T78:U78"/>
    <mergeCell ref="G73:H73"/>
    <mergeCell ref="I73:Q73"/>
    <mergeCell ref="T73:U73"/>
    <mergeCell ref="G74:H74"/>
    <mergeCell ref="I74:Q74"/>
    <mergeCell ref="T74:U74"/>
    <mergeCell ref="G75:H75"/>
    <mergeCell ref="I75:Q75"/>
    <mergeCell ref="T75:U75"/>
    <mergeCell ref="B69:F69"/>
    <mergeCell ref="G69:I69"/>
    <mergeCell ref="L69:N69"/>
    <mergeCell ref="R69:T69"/>
    <mergeCell ref="C71:G71"/>
    <mergeCell ref="H71:AG71"/>
    <mergeCell ref="G72:H72"/>
    <mergeCell ref="I72:Q72"/>
    <mergeCell ref="T72:U72"/>
    <mergeCell ref="C16:G16"/>
    <mergeCell ref="H16:AG16"/>
    <mergeCell ref="B17:F17"/>
    <mergeCell ref="G17:J17"/>
    <mergeCell ref="K17:P17"/>
    <mergeCell ref="Q17:U17"/>
    <mergeCell ref="V17:X17"/>
    <mergeCell ref="Y17:AA17"/>
    <mergeCell ref="AB17:AD17"/>
    <mergeCell ref="AE17:AG17"/>
    <mergeCell ref="B12:C12"/>
    <mergeCell ref="E12:F12"/>
    <mergeCell ref="H12:J12"/>
    <mergeCell ref="L12:P12"/>
    <mergeCell ref="R12:T12"/>
    <mergeCell ref="V12:AB12"/>
    <mergeCell ref="AD12:AF12"/>
    <mergeCell ref="B13:C13"/>
    <mergeCell ref="E13:F13"/>
    <mergeCell ref="H13:J13"/>
    <mergeCell ref="L13:P13"/>
    <mergeCell ref="R13:T13"/>
    <mergeCell ref="V13:AB13"/>
    <mergeCell ref="AD13:AF13"/>
    <mergeCell ref="C10:G10"/>
    <mergeCell ref="H10:AG10"/>
    <mergeCell ref="B11:C11"/>
    <mergeCell ref="E11:F11"/>
    <mergeCell ref="H11:J11"/>
    <mergeCell ref="L11:P11"/>
    <mergeCell ref="R11:T11"/>
    <mergeCell ref="V11:AB11"/>
    <mergeCell ref="AD11:AF11"/>
    <mergeCell ref="C6:G6"/>
    <mergeCell ref="H6:U6"/>
    <mergeCell ref="V6:AG8"/>
    <mergeCell ref="B7:C7"/>
    <mergeCell ref="D7:F7"/>
    <mergeCell ref="G7:I7"/>
    <mergeCell ref="J7:N7"/>
    <mergeCell ref="O7:Q7"/>
    <mergeCell ref="R7:U7"/>
    <mergeCell ref="B8:C8"/>
    <mergeCell ref="D8:F8"/>
    <mergeCell ref="G8:I8"/>
    <mergeCell ref="J8:N8"/>
    <mergeCell ref="O8:Q8"/>
    <mergeCell ref="R8:U8"/>
    <mergeCell ref="B2:P2"/>
    <mergeCell ref="Q2:U2"/>
    <mergeCell ref="V2:X2"/>
    <mergeCell ref="Y2:AA2"/>
    <mergeCell ref="AB2:AD2"/>
    <mergeCell ref="AE2:AG2"/>
    <mergeCell ref="B3:P3"/>
    <mergeCell ref="Q3:U3"/>
    <mergeCell ref="V3:X3"/>
    <mergeCell ref="Y3:AA3"/>
    <mergeCell ref="AB3:AD3"/>
    <mergeCell ref="AE3:AG3"/>
  </mergeCells>
  <conditionalFormatting sqref="B19:B68">
    <cfRule type="expression" dxfId="80" priority="10">
      <formula>$D19="Organisation &amp; Personal"</formula>
    </cfRule>
    <cfRule type="expression" dxfId="79" priority="6">
      <formula>$D19="Markt &amp; Vertrieb"</formula>
    </cfRule>
    <cfRule type="expression" dxfId="78" priority="7">
      <formula>$D19="Produkt &amp; Leistung"</formula>
    </cfRule>
    <cfRule type="expression" dxfId="77" priority="8">
      <formula>$D19="Digitalisierung &amp; IT"</formula>
    </cfRule>
    <cfRule type="expression" dxfId="76" priority="9">
      <formula>$D19="Prozesse &amp; Qualität"</formula>
    </cfRule>
    <cfRule type="expression" dxfId="75" priority="11">
      <formula>$D19="Nachhaltigkeit"</formula>
    </cfRule>
    <cfRule type="expression" dxfId="74" priority="12">
      <formula>$D19="Finanzen &amp; Steuerung"</formula>
    </cfRule>
  </conditionalFormatting>
  <conditionalFormatting sqref="D19:D68">
    <cfRule type="expression" dxfId="73" priority="18">
      <formula>$D19="Nachhaltigkeit"</formula>
    </cfRule>
    <cfRule type="expression" dxfId="72" priority="13">
      <formula>$D19="Markt &amp; Vertrieb"</formula>
    </cfRule>
    <cfRule type="expression" dxfId="71" priority="14">
      <formula>$D19="Produkt &amp; Leistung"</formula>
    </cfRule>
    <cfRule type="expression" dxfId="70" priority="15">
      <formula>$D19="Digitalisierung &amp; IT"</formula>
    </cfRule>
    <cfRule type="expression" dxfId="69" priority="16">
      <formula>$D19="Prozesse &amp; Qualität"</formula>
    </cfRule>
    <cfRule type="expression" dxfId="68" priority="17">
      <formula>$D19="Organisation &amp; Personal"</formula>
    </cfRule>
    <cfRule type="expression" dxfId="67" priority="19">
      <formula>$D19="Finanzen &amp; Steuerung"</formula>
    </cfRule>
  </conditionalFormatting>
  <conditionalFormatting sqref="J19:J68">
    <cfRule type="expression" dxfId="66" priority="20">
      <formula>$J19="Jetzt"</formula>
    </cfRule>
    <cfRule type="expression" dxfId="65" priority="21">
      <formula>$J19="Als Nächstes"</formula>
    </cfRule>
    <cfRule type="expression" dxfId="64" priority="22">
      <formula>$J19="Später"</formula>
    </cfRule>
  </conditionalFormatting>
  <conditionalFormatting sqref="O19:P68">
    <cfRule type="expression" dxfId="63" priority="58">
      <formula>AND($P19&lt;&gt;"",$P19&lt;=5)</formula>
    </cfRule>
  </conditionalFormatting>
  <conditionalFormatting sqref="Q19:Q68">
    <cfRule type="dataBar" priority="59">
      <dataBar>
        <cfvo type="num" val="0"/>
        <cfvo type="num" val="1"/>
        <color rgb="FF3B4FC4"/>
      </dataBar>
      <extLst>
        <ext xmlns:x14="http://schemas.microsoft.com/office/spreadsheetml/2009/9/main" uri="{B025F937-C7B1-47D3-B67F-A62EFF666E3E}">
          <x14:id>{EE2A205E-F02F-4C48-9F15-A9F0B0A727F7}</x14:id>
        </ext>
      </extLst>
    </cfRule>
  </conditionalFormatting>
  <conditionalFormatting sqref="R19:R68">
    <cfRule type="expression" dxfId="62" priority="26">
      <formula>$R19="Zurückgestellt"</formula>
    </cfRule>
    <cfRule type="expression" dxfId="61" priority="27">
      <formula>$R19="Idee"</formula>
    </cfRule>
    <cfRule type="expression" dxfId="60" priority="23">
      <formula>$R19="Abgeschlossen"</formula>
    </cfRule>
    <cfRule type="expression" dxfId="59" priority="24">
      <formula>$R19="In Umsetzung"</formula>
    </cfRule>
    <cfRule type="expression" dxfId="58" priority="25">
      <formula>$R19="Geplant"</formula>
    </cfRule>
  </conditionalFormatting>
  <conditionalFormatting sqref="S19:S68">
    <cfRule type="expression" dxfId="57" priority="39">
      <formula>$S19="Termin offen"</formula>
    </cfRule>
    <cfRule type="expression" dxfId="56" priority="40">
      <formula>$S19="Idee – nicht terminiert"</formula>
    </cfRule>
    <cfRule type="expression" dxfId="55" priority="28">
      <formula>$S19="Abgeschlossen"</formula>
    </cfRule>
    <cfRule type="expression" dxfId="54" priority="29">
      <formula>$S19="Erreicht"</formula>
    </cfRule>
    <cfRule type="expression" dxfId="53" priority="30">
      <formula>$S19="Verzögert"</formula>
    </cfRule>
    <cfRule type="expression" dxfId="52" priority="31">
      <formula>$S19="Überfällig"</formula>
    </cfRule>
    <cfRule type="expression" dxfId="51" priority="32">
      <formula>$S19="Endspurt"</formula>
    </cfRule>
    <cfRule type="expression" dxfId="50" priority="33">
      <formula>$S19="Fällig in Kürze"</formula>
    </cfRule>
    <cfRule type="expression" dxfId="49" priority="34">
      <formula>$S19="In Umsetzung"</formula>
    </cfRule>
    <cfRule type="expression" dxfId="48" priority="35">
      <formula>$S19="Geplant"</formula>
    </cfRule>
    <cfRule type="expression" dxfId="47" priority="36">
      <formula>$S19="Zurückgestellt"</formula>
    </cfRule>
    <cfRule type="expression" dxfId="46" priority="37">
      <formula>$S19="Verschoben"</formula>
    </cfRule>
    <cfRule type="expression" dxfId="45" priority="38">
      <formula>$S19="Termine offen"</formula>
    </cfRule>
  </conditionalFormatting>
  <conditionalFormatting sqref="S73:S90">
    <cfRule type="expression" dxfId="44" priority="41">
      <formula>$S73="Abgeschlossen"</formula>
    </cfRule>
    <cfRule type="expression" dxfId="43" priority="42">
      <formula>$S73="Erreicht"</formula>
    </cfRule>
    <cfRule type="expression" dxfId="42" priority="43">
      <formula>$S73="Verzögert"</formula>
    </cfRule>
    <cfRule type="expression" dxfId="41" priority="44">
      <formula>$S73="Überfällig"</formula>
    </cfRule>
    <cfRule type="expression" dxfId="40" priority="45">
      <formula>$S73="Endspurt"</formula>
    </cfRule>
    <cfRule type="expression" dxfId="39" priority="46">
      <formula>$S73="Fällig in Kürze"</formula>
    </cfRule>
    <cfRule type="expression" dxfId="38" priority="47">
      <formula>$S73="In Umsetzung"</formula>
    </cfRule>
    <cfRule type="expression" dxfId="37" priority="48">
      <formula>$S73="Geplant"</formula>
    </cfRule>
    <cfRule type="expression" dxfId="36" priority="49">
      <formula>$S73="Zurückgestellt"</formula>
    </cfRule>
    <cfRule type="expression" dxfId="35" priority="50">
      <formula>$S73="Verschoben"</formula>
    </cfRule>
    <cfRule type="expression" dxfId="34" priority="51">
      <formula>$S73="Termine offen"</formula>
    </cfRule>
    <cfRule type="expression" dxfId="33" priority="52">
      <formula>$S73="Termin offen"</formula>
    </cfRule>
    <cfRule type="expression" dxfId="32" priority="53">
      <formula>$S73="Idee – nicht terminiert"</formula>
    </cfRule>
  </conditionalFormatting>
  <conditionalFormatting sqref="T73:T90">
    <cfRule type="expression" dxfId="31" priority="56">
      <formula>$T73="OK"</formula>
    </cfRule>
    <cfRule type="expression" dxfId="30" priority="57">
      <formula>$T73&lt;&gt;""</formula>
    </cfRule>
  </conditionalFormatting>
  <conditionalFormatting sqref="U19:U68">
    <cfRule type="expression" dxfId="29" priority="54">
      <formula>$U19="OK"</formula>
    </cfRule>
    <cfRule type="expression" dxfId="28" priority="55">
      <formula>$U19&lt;&gt;""</formula>
    </cfRule>
  </conditionalFormatting>
  <conditionalFormatting sqref="V3:X3">
    <cfRule type="expression" dxfId="27" priority="2">
      <formula>Akt_Quartal=1</formula>
    </cfRule>
  </conditionalFormatting>
  <conditionalFormatting sqref="V19:AG68">
    <cfRule type="expression" dxfId="26" priority="60">
      <formula>IF($R19&lt;&gt;"Zurückgestellt",0,IF($C19="",0,IF($G19=0,0,IF($H19=0,0,IF(EOMONTH(V$15,0)&lt;$G19,0,IF(V$15&gt;$H19,0,1))))))</formula>
    </cfRule>
    <cfRule type="expression" dxfId="25" priority="61">
      <formula>IF(IF($C19="",0,IF($G19=0,0,IF($H19=0,0,IF(EOMONTH(V$15,0)&lt;$G19,0,IF(V$15&gt;$H19,0,1)))))=0,0,IF($Q19&gt;=1,1,IF(EOMONTH(V$15,0)&lt;=$G19+($H19-$G19)*$Q19,1,0)))</formula>
    </cfRule>
    <cfRule type="expression" dxfId="24" priority="62">
      <formula>IF($S19&lt;&gt;"Verzögert",0,IF($C19="",0,IF($G19=0,0,IF($H19=0,0,IF(EOMONTH(V$15,0)&lt;$G19,0,IF(V$15&gt;$H19,0,1))))))</formula>
    </cfRule>
    <cfRule type="expression" dxfId="23" priority="63">
      <formula>IF($C19="",0,IF($G19=0,0,IF($H19=0,0,IF(EOMONTH(V$15,0)&lt;$G19,0,IF(V$15&gt;$H19,0,1)))))</formula>
    </cfRule>
    <cfRule type="expression" dxfId="22" priority="64">
      <formula>IF(V$15="",0,IF(AND(YEAR(V$15)=YEAR(Stichtag),MONTH(V$15)=MONTH(Stichtag)),1,0))</formula>
    </cfRule>
  </conditionalFormatting>
  <conditionalFormatting sqref="V73:AG90">
    <cfRule type="expression" dxfId="21" priority="65">
      <formula>IF(V73="",0,IF($S73="Erreicht",1,0))</formula>
    </cfRule>
    <cfRule type="expression" dxfId="20" priority="66">
      <formula>IF(V73="",0,IF($S73="Überfällig",1,0))</formula>
    </cfRule>
    <cfRule type="expression" dxfId="19" priority="67">
      <formula>IF(V73="",0,1)</formula>
    </cfRule>
    <cfRule type="expression" dxfId="18" priority="68">
      <formula>IF(V$15="",0,IF(AND(YEAR(V$15)=YEAR(Stichtag),MONTH(V$15)=MONTH(Stichtag)),1,0))</formula>
    </cfRule>
  </conditionalFormatting>
  <conditionalFormatting sqref="Y3:AA3">
    <cfRule type="expression" dxfId="17" priority="3">
      <formula>Akt_Quartal=2</formula>
    </cfRule>
  </conditionalFormatting>
  <conditionalFormatting sqref="AB3:AD3">
    <cfRule type="expression" dxfId="16" priority="4">
      <formula>Akt_Quartal=3</formula>
    </cfRule>
  </conditionalFormatting>
  <conditionalFormatting sqref="AE3:AG3">
    <cfRule type="expression" dxfId="15" priority="5">
      <formula>Akt_Quartal=4</formula>
    </cfRule>
  </conditionalFormatting>
  <dataValidations count="8">
    <dataValidation type="list" allowBlank="1" sqref="D19:D68" xr:uid="{00000000-0002-0000-0000-000000000000}">
      <formula1>Liste_Feld</formula1>
      <formula2>0</formula2>
    </dataValidation>
    <dataValidation type="list" allowBlank="1" sqref="E19:E68" xr:uid="{00000000-0002-0000-0000-000001000000}">
      <formula1>Liste_Ziel</formula1>
      <formula2>0</formula2>
    </dataValidation>
    <dataValidation type="list" allowBlank="1" sqref="F19:F68 F73:F90" xr:uid="{00000000-0002-0000-0000-000002000000}">
      <formula1>Liste_Team</formula1>
      <formula2>0</formula2>
    </dataValidation>
    <dataValidation type="list" allowBlank="1" sqref="R19:R68" xr:uid="{00000000-0002-0000-0000-000003000000}">
      <formula1>Liste_Status</formula1>
      <formula2>0</formula2>
    </dataValidation>
    <dataValidation type="list" allowBlank="1" sqref="L19:N68" xr:uid="{00000000-0002-0000-0000-000004000000}">
      <formula1>"1,2,3,4,5"</formula1>
      <formula2>0</formula2>
    </dataValidation>
    <dataValidation type="list" allowBlank="1" sqref="E73:E90" xr:uid="{00000000-0002-0000-0000-000005000000}">
      <formula1>Liste_MTyp</formula1>
      <formula2>0</formula2>
    </dataValidation>
    <dataValidation type="list" allowBlank="1" sqref="R73:R90" xr:uid="{00000000-0002-0000-0000-000006000000}">
      <formula1>Liste_MStatus</formula1>
      <formula2>0</formula2>
    </dataValidation>
    <dataValidation type="decimal" allowBlank="1" showErrorMessage="1" errorTitle="Fortschritt" error="Bitte einen Wert zwischen 0 % und 100 % eingeben." sqref="Q19:Q68" xr:uid="{00000000-0002-0000-0000-000008000000}">
      <formula1>0</formula1>
      <formula2>1</formula2>
    </dataValidation>
  </dataValidations>
  <printOptions horizontalCentered="1"/>
  <pageMargins left="0.3" right="0.3" top="0.35" bottom="0.35" header="0.511811023622047" footer="0.511811023622047"/>
  <pageSetup paperSize="8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E2A205E-F02F-4C48-9F15-A9F0B0A727F7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3B4FC4"/>
            </x14:dataBar>
          </x14:cfRule>
          <xm:sqref>Q19:Q68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P52"/>
  <sheetViews>
    <sheetView showGridLines="0" zoomScaleNormal="100" workbookViewId="0"/>
  </sheetViews>
  <sheetFormatPr baseColWidth="10" defaultColWidth="8.7109375" defaultRowHeight="15" x14ac:dyDescent="0.25"/>
  <cols>
    <col min="1" max="1" width="1.85546875" customWidth="1"/>
    <col min="2" max="2" width="3.140625" customWidth="1"/>
    <col min="3" max="3" width="26" customWidth="1"/>
    <col min="4" max="14" width="11" customWidth="1"/>
    <col min="38" max="42" width="13" hidden="1" customWidth="1"/>
  </cols>
  <sheetData>
    <row r="1" spans="2:14" ht="4.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2:14" ht="27" customHeight="1" x14ac:dyDescent="0.4">
      <c r="B2" s="14" t="s">
        <v>188</v>
      </c>
      <c r="C2" s="14"/>
      <c r="D2" s="14"/>
      <c r="E2" s="14"/>
      <c r="F2" s="14"/>
      <c r="G2" s="14"/>
      <c r="H2" s="14"/>
      <c r="I2" s="14"/>
      <c r="J2" s="14"/>
      <c r="K2" s="13" t="s">
        <v>1</v>
      </c>
      <c r="L2" s="13"/>
      <c r="M2" s="13"/>
      <c r="N2" s="13"/>
    </row>
    <row r="3" spans="2:14" ht="16.5" customHeight="1" x14ac:dyDescent="0.25">
      <c r="B3" s="8" t="s">
        <v>189</v>
      </c>
      <c r="C3" s="8"/>
      <c r="D3" s="8"/>
      <c r="E3" s="8"/>
      <c r="F3" s="8"/>
      <c r="G3" s="8"/>
      <c r="H3" s="8"/>
      <c r="I3" s="8"/>
      <c r="J3" s="8"/>
      <c r="K3" s="7" t="s">
        <v>190</v>
      </c>
      <c r="L3" s="7"/>
      <c r="M3" s="7"/>
      <c r="N3" s="7"/>
    </row>
    <row r="4" spans="2:14" ht="4.5" customHeight="1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6" spans="2:14" ht="19.5" customHeight="1" x14ac:dyDescent="0.25">
      <c r="B6" s="17" t="s">
        <v>12</v>
      </c>
      <c r="C6" s="5" t="s">
        <v>191</v>
      </c>
      <c r="D6" s="5"/>
      <c r="E6" s="5"/>
      <c r="F6" s="5"/>
      <c r="G6" s="5"/>
      <c r="H6" s="4" t="s">
        <v>192</v>
      </c>
      <c r="I6" s="4"/>
      <c r="J6" s="4"/>
      <c r="K6" s="4"/>
      <c r="L6" s="4"/>
      <c r="M6" s="4"/>
      <c r="N6" s="4"/>
    </row>
    <row r="7" spans="2:14" ht="12.75" customHeight="1" x14ac:dyDescent="0.25">
      <c r="B7" s="48" t="s">
        <v>25</v>
      </c>
      <c r="D7" s="139" t="s">
        <v>28</v>
      </c>
      <c r="E7" s="139"/>
      <c r="G7" s="139" t="s">
        <v>193</v>
      </c>
      <c r="H7" s="139"/>
      <c r="J7" s="139" t="s">
        <v>27</v>
      </c>
      <c r="K7" s="139"/>
      <c r="M7" s="48" t="s">
        <v>194</v>
      </c>
    </row>
    <row r="8" spans="2:14" ht="21.75" customHeight="1" x14ac:dyDescent="0.25">
      <c r="B8" s="49">
        <f>COUNTA(Roadmap!$C$19:$C$68)</f>
        <v>28</v>
      </c>
      <c r="D8" s="140">
        <f>IFERROR(SUMPRODUCT(Roadmap!$K$19:$K$68,Roadmap!$Q$19:$Q$68)/SUM(Roadmap!$K$19:$K$68),0)</f>
        <v>0.40695876288659794</v>
      </c>
      <c r="E8" s="140"/>
      <c r="G8" s="141">
        <f>COUNTIF(Roadmap!$R$19:$R$68,"Abgeschlossen")</f>
        <v>6</v>
      </c>
      <c r="H8" s="141"/>
      <c r="J8" s="142">
        <f ca="1">COUNTIF(Roadmap!$S$19:$S$68,"Verzögert")</f>
        <v>2</v>
      </c>
      <c r="K8" s="142"/>
      <c r="M8" s="50">
        <f>COUNTIF(Roadmap!$R$73:$R$90,"Erreicht")</f>
        <v>6</v>
      </c>
    </row>
    <row r="9" spans="2:14" ht="12.75" customHeight="1" x14ac:dyDescent="0.25">
      <c r="B9" s="51" t="str">
        <f>"in "&amp;(COUNTA(Stammdaten!$C$31:$C$37))&amp;" Handlungsfeldern"</f>
        <v>in 7 Handlungsfeldern</v>
      </c>
      <c r="D9" s="143" t="str">
        <f>"Ziel: "&amp;TEXT(Ziel_Fortschritt,"0 %")</f>
        <v>Ziel: 55 %</v>
      </c>
      <c r="E9" s="143"/>
      <c r="G9" s="144" t="str">
        <f>"von "&amp;COUNTA(Roadmap!$C$19:$C$68)&amp;" Initiativen"</f>
        <v>von 28 Initiativen</v>
      </c>
      <c r="H9" s="144"/>
      <c r="J9" s="145" t="s">
        <v>195</v>
      </c>
      <c r="K9" s="145"/>
      <c r="M9" s="52" t="str">
        <f>"von "&amp;COUNTA(Roadmap!$C$73:$C$90)&amp;" Meilensteinen"</f>
        <v>von 15 Meilensteinen</v>
      </c>
    </row>
    <row r="11" spans="2:14" ht="19.5" customHeight="1" x14ac:dyDescent="0.25">
      <c r="B11" s="17" t="s">
        <v>22</v>
      </c>
      <c r="C11" s="5" t="s">
        <v>196</v>
      </c>
      <c r="D11" s="5"/>
      <c r="E11" s="5"/>
      <c r="F11" s="5"/>
      <c r="G11" s="5"/>
      <c r="H11" s="53"/>
      <c r="I11" s="54" t="s">
        <v>36</v>
      </c>
      <c r="J11" s="5" t="s">
        <v>197</v>
      </c>
      <c r="K11" s="5"/>
      <c r="L11" s="5"/>
      <c r="M11" s="5"/>
      <c r="N11" s="5"/>
    </row>
    <row r="12" spans="2:14" ht="24" customHeight="1" x14ac:dyDescent="0.25">
      <c r="B12" s="21" t="s">
        <v>49</v>
      </c>
      <c r="C12" s="21" t="s">
        <v>198</v>
      </c>
      <c r="D12" s="21" t="s">
        <v>199</v>
      </c>
      <c r="E12" s="21" t="s">
        <v>200</v>
      </c>
      <c r="F12" s="146" t="s">
        <v>62</v>
      </c>
      <c r="G12" s="146"/>
      <c r="H12" s="146"/>
      <c r="I12" s="21" t="s">
        <v>50</v>
      </c>
      <c r="J12" s="21" t="s">
        <v>198</v>
      </c>
      <c r="K12" s="21" t="s">
        <v>199</v>
      </c>
      <c r="L12" s="21" t="s">
        <v>201</v>
      </c>
      <c r="M12" s="21" t="s">
        <v>202</v>
      </c>
      <c r="N12" s="21" t="s">
        <v>63</v>
      </c>
    </row>
    <row r="13" spans="2:14" ht="16.5" customHeight="1" x14ac:dyDescent="0.25">
      <c r="B13" s="55" t="s">
        <v>203</v>
      </c>
      <c r="C13" s="56" t="s">
        <v>80</v>
      </c>
      <c r="D13" s="57">
        <f>COUNTIF(Roadmap!$D$19:$D$68,$C13)</f>
        <v>4</v>
      </c>
      <c r="E13" s="57">
        <f>SUMIF(Roadmap!$D$19:$D$68,$C13,Roadmap!$K$19:$K$68)</f>
        <v>245</v>
      </c>
      <c r="F13" s="58">
        <f>IFERROR(SUMPRODUCT((Roadmap!$D$19:$D$68=$C13)*Roadmap!$K$19:$K$68*Roadmap!$Q$19:$Q$68)/SUMIF(Roadmap!$D$19:$D$68,$C13,Roadmap!$K$19:$K$68),0)</f>
        <v>0.41224489795918368</v>
      </c>
      <c r="G13" s="147" t="str">
        <f t="shared" ref="G13:G19" si="0">IFERROR(REPT("▮",ROUND($F13*14,0)),"")</f>
        <v>▮▮▮▮▮▮</v>
      </c>
      <c r="H13" s="147"/>
      <c r="I13" s="56" t="s">
        <v>81</v>
      </c>
      <c r="J13" s="57">
        <f>COUNTIF(Roadmap!$E$19:$E$68,$I13)</f>
        <v>9</v>
      </c>
      <c r="K13" s="57">
        <f>SUMIF(Roadmap!$E$19:$E$68,$I13,Roadmap!$K$19:$K$68)</f>
        <v>640</v>
      </c>
      <c r="L13" s="59">
        <f>IFERROR($K13/SUM($K$13:$K$17),0)</f>
        <v>0.32989690721649484</v>
      </c>
      <c r="M13" s="60">
        <f>INDEX(Stammdaten!$E$41:$E$45,1)</f>
        <v>0.3</v>
      </c>
      <c r="N13" s="61" t="str">
        <f>IF($L13="","",IF($L13&gt;$M13+Toleranz_Ziel,"über Zielanteil",IF($L13&lt;$M13-Toleranz_Ziel,"unter Zielanteil","im Zielkorridor")))</f>
        <v>im Zielkorridor</v>
      </c>
    </row>
    <row r="14" spans="2:14" ht="16.5" customHeight="1" x14ac:dyDescent="0.25">
      <c r="B14" s="62" t="s">
        <v>203</v>
      </c>
      <c r="C14" s="56" t="s">
        <v>96</v>
      </c>
      <c r="D14" s="57">
        <f>COUNTIF(Roadmap!$D$19:$D$68,$C14)</f>
        <v>3</v>
      </c>
      <c r="E14" s="57">
        <f>SUMIF(Roadmap!$D$19:$D$68,$C14,Roadmap!$K$19:$K$68)</f>
        <v>330</v>
      </c>
      <c r="F14" s="58">
        <f>IFERROR(SUMPRODUCT((Roadmap!$D$19:$D$68=$C14)*Roadmap!$K$19:$K$68*Roadmap!$Q$19:$Q$68)/SUMIF(Roadmap!$D$19:$D$68,$C14,Roadmap!$K$19:$K$68),0)</f>
        <v>0.42878787878787877</v>
      </c>
      <c r="G14" s="148" t="str">
        <f t="shared" si="0"/>
        <v>▮▮▮▮▮▮</v>
      </c>
      <c r="H14" s="148"/>
      <c r="I14" s="56" t="s">
        <v>101</v>
      </c>
      <c r="J14" s="57">
        <f>COUNTIF(Roadmap!$E$19:$E$68,$I14)</f>
        <v>10</v>
      </c>
      <c r="K14" s="57">
        <f>SUMIF(Roadmap!$E$19:$E$68,$I14,Roadmap!$K$19:$K$68)</f>
        <v>585</v>
      </c>
      <c r="L14" s="59">
        <f>IFERROR($K14/SUM($K$13:$K$17),0)</f>
        <v>0.3015463917525773</v>
      </c>
      <c r="M14" s="60">
        <f>INDEX(Stammdaten!$E$41:$E$45,2)</f>
        <v>0.25</v>
      </c>
      <c r="N14" s="61" t="str">
        <f>IF($L14="","",IF($L14&gt;$M14+Toleranz_Ziel,"über Zielanteil",IF($L14&lt;$M14-Toleranz_Ziel,"unter Zielanteil","im Zielkorridor")))</f>
        <v>über Zielanteil</v>
      </c>
    </row>
    <row r="15" spans="2:14" ht="16.5" customHeight="1" x14ac:dyDescent="0.25">
      <c r="B15" s="63" t="s">
        <v>203</v>
      </c>
      <c r="C15" s="56" t="s">
        <v>90</v>
      </c>
      <c r="D15" s="57">
        <f>COUNTIF(Roadmap!$D$19:$D$68,$C15)</f>
        <v>5</v>
      </c>
      <c r="E15" s="57">
        <f>SUMIF(Roadmap!$D$19:$D$68,$C15,Roadmap!$K$19:$K$68)</f>
        <v>590</v>
      </c>
      <c r="F15" s="58">
        <f>IFERROR(SUMPRODUCT((Roadmap!$D$19:$D$68=$C15)*Roadmap!$K$19:$K$68*Roadmap!$Q$19:$Q$68)/SUMIF(Roadmap!$D$19:$D$68,$C15,Roadmap!$K$19:$K$68),0)</f>
        <v>0.42372881355932202</v>
      </c>
      <c r="G15" s="149" t="str">
        <f t="shared" si="0"/>
        <v>▮▮▮▮▮▮</v>
      </c>
      <c r="H15" s="149"/>
      <c r="I15" s="56" t="s">
        <v>94</v>
      </c>
      <c r="J15" s="57">
        <f>COUNTIF(Roadmap!$E$19:$E$68,$I15)</f>
        <v>3</v>
      </c>
      <c r="K15" s="57">
        <f>SUMIF(Roadmap!$E$19:$E$68,$I15,Roadmap!$K$19:$K$68)</f>
        <v>260</v>
      </c>
      <c r="L15" s="59">
        <f>IFERROR($K15/SUM($K$13:$K$17),0)</f>
        <v>0.13402061855670103</v>
      </c>
      <c r="M15" s="60">
        <f>INDEX(Stammdaten!$E$41:$E$45,3)</f>
        <v>0.2</v>
      </c>
      <c r="N15" s="61" t="str">
        <f>IF($L15="","",IF($L15&gt;$M15+Toleranz_Ziel,"über Zielanteil",IF($L15&lt;$M15-Toleranz_Ziel,"unter Zielanteil","im Zielkorridor")))</f>
        <v>unter Zielanteil</v>
      </c>
    </row>
    <row r="16" spans="2:14" ht="16.5" customHeight="1" x14ac:dyDescent="0.25">
      <c r="B16" s="64" t="s">
        <v>203</v>
      </c>
      <c r="C16" s="56" t="s">
        <v>100</v>
      </c>
      <c r="D16" s="57">
        <f>COUNTIF(Roadmap!$D$19:$D$68,$C16)</f>
        <v>6</v>
      </c>
      <c r="E16" s="57">
        <f>SUMIF(Roadmap!$D$19:$D$68,$C16,Roadmap!$K$19:$K$68)</f>
        <v>265</v>
      </c>
      <c r="F16" s="58">
        <f>IFERROR(SUMPRODUCT((Roadmap!$D$19:$D$68=$C16)*Roadmap!$K$19:$K$68*Roadmap!$Q$19:$Q$68)/SUMIF(Roadmap!$D$19:$D$68,$C16,Roadmap!$K$19:$K$68),0)</f>
        <v>0.65283018867924525</v>
      </c>
      <c r="G16" s="150" t="str">
        <f t="shared" si="0"/>
        <v>▮▮▮▮▮▮▮▮▮</v>
      </c>
      <c r="H16" s="150"/>
      <c r="I16" s="56" t="s">
        <v>91</v>
      </c>
      <c r="J16" s="57">
        <f>COUNTIF(Roadmap!$E$19:$E$68,$I16)</f>
        <v>3</v>
      </c>
      <c r="K16" s="57">
        <f>SUMIF(Roadmap!$E$19:$E$68,$I16,Roadmap!$K$19:$K$68)</f>
        <v>290</v>
      </c>
      <c r="L16" s="59">
        <f>IFERROR($K16/SUM($K$13:$K$17),0)</f>
        <v>0.14948453608247422</v>
      </c>
      <c r="M16" s="60">
        <f>INDEX(Stammdaten!$E$41:$E$45,4)</f>
        <v>0.15</v>
      </c>
      <c r="N16" s="61" t="str">
        <f>IF($L16="","",IF($L16&gt;$M16+Toleranz_Ziel,"über Zielanteil",IF($L16&lt;$M16-Toleranz_Ziel,"unter Zielanteil","im Zielkorridor")))</f>
        <v>im Zielkorridor</v>
      </c>
    </row>
    <row r="17" spans="2:42" ht="16.5" customHeight="1" x14ac:dyDescent="0.25">
      <c r="B17" s="65" t="s">
        <v>203</v>
      </c>
      <c r="C17" s="56" t="s">
        <v>111</v>
      </c>
      <c r="D17" s="57">
        <f>COUNTIF(Roadmap!$D$19:$D$68,$C17)</f>
        <v>4</v>
      </c>
      <c r="E17" s="57">
        <f>SUMIF(Roadmap!$D$19:$D$68,$C17,Roadmap!$K$19:$K$68)</f>
        <v>235</v>
      </c>
      <c r="F17" s="58">
        <f>IFERROR(SUMPRODUCT((Roadmap!$D$19:$D$68=$C17)*Roadmap!$K$19:$K$68*Roadmap!$Q$19:$Q$68)/SUMIF(Roadmap!$D$19:$D$68,$C17,Roadmap!$K$19:$K$68),0)</f>
        <v>0.28510638297872343</v>
      </c>
      <c r="G17" s="151" t="str">
        <f t="shared" si="0"/>
        <v>▮▮▮▮</v>
      </c>
      <c r="H17" s="151"/>
      <c r="I17" s="56" t="s">
        <v>116</v>
      </c>
      <c r="J17" s="57">
        <f>COUNTIF(Roadmap!$E$19:$E$68,$I17)</f>
        <v>3</v>
      </c>
      <c r="K17" s="57">
        <f>SUMIF(Roadmap!$E$19:$E$68,$I17,Roadmap!$K$19:$K$68)</f>
        <v>165</v>
      </c>
      <c r="L17" s="59">
        <f>IFERROR($K17/SUM($K$13:$K$17),0)</f>
        <v>8.505154639175258E-2</v>
      </c>
      <c r="M17" s="60">
        <f>INDEX(Stammdaten!$E$41:$E$45,5)</f>
        <v>0.1</v>
      </c>
      <c r="N17" s="61" t="str">
        <f>IF($L17="","",IF($L17&gt;$M17+Toleranz_Ziel,"über Zielanteil",IF($L17&lt;$M17-Toleranz_Ziel,"unter Zielanteil","im Zielkorridor")))</f>
        <v>im Zielkorridor</v>
      </c>
    </row>
    <row r="18" spans="2:42" ht="16.5" customHeight="1" x14ac:dyDescent="0.25">
      <c r="B18" s="66" t="s">
        <v>203</v>
      </c>
      <c r="C18" s="56" t="s">
        <v>116</v>
      </c>
      <c r="D18" s="57">
        <f>COUNTIF(Roadmap!$D$19:$D$68,$C18)</f>
        <v>3</v>
      </c>
      <c r="E18" s="57">
        <f>SUMIF(Roadmap!$D$19:$D$68,$C18,Roadmap!$K$19:$K$68)</f>
        <v>165</v>
      </c>
      <c r="F18" s="58">
        <f>IFERROR(SUMPRODUCT((Roadmap!$D$19:$D$68=$C18)*Roadmap!$K$19:$K$68*Roadmap!$Q$19:$Q$68)/SUMIF(Roadmap!$D$19:$D$68,$C18,Roadmap!$K$19:$K$68),0)</f>
        <v>9.0909090909090912E-2</v>
      </c>
      <c r="G18" s="152" t="str">
        <f t="shared" si="0"/>
        <v>▮</v>
      </c>
      <c r="H18" s="152"/>
      <c r="I18" s="67" t="s">
        <v>204</v>
      </c>
      <c r="J18" s="68">
        <f>SUM($J$13:$J$17)</f>
        <v>28</v>
      </c>
      <c r="K18" s="68">
        <f>SUM($K$13:$K$17)</f>
        <v>1940</v>
      </c>
      <c r="L18" s="69">
        <f>SUM($L$13:$L$17)</f>
        <v>1</v>
      </c>
      <c r="M18" s="69">
        <f>SUM($M$13:$M$17)</f>
        <v>1</v>
      </c>
      <c r="N18" s="70"/>
    </row>
    <row r="19" spans="2:42" ht="16.5" customHeight="1" x14ac:dyDescent="0.25">
      <c r="B19" s="71" t="s">
        <v>203</v>
      </c>
      <c r="C19" s="56" t="s">
        <v>87</v>
      </c>
      <c r="D19" s="57">
        <f>COUNTIF(Roadmap!$D$19:$D$68,$C19)</f>
        <v>3</v>
      </c>
      <c r="E19" s="57">
        <f>SUMIF(Roadmap!$D$19:$D$68,$C19,Roadmap!$K$19:$K$68)</f>
        <v>110</v>
      </c>
      <c r="F19" s="58">
        <f>IFERROR(SUMPRODUCT((Roadmap!$D$19:$D$68=$C19)*Roadmap!$K$19:$K$68*Roadmap!$Q$19:$Q$68)/SUMIF(Roadmap!$D$19:$D$68,$C19,Roadmap!$K$19:$K$68),0)</f>
        <v>0.38181818181818183</v>
      </c>
      <c r="G19" s="153" t="str">
        <f t="shared" si="0"/>
        <v>▮▮▮▮▮</v>
      </c>
      <c r="H19" s="153"/>
    </row>
    <row r="20" spans="2:42" ht="16.5" customHeight="1" x14ac:dyDescent="0.25">
      <c r="B20" s="154" t="s">
        <v>204</v>
      </c>
      <c r="C20" s="154"/>
      <c r="D20" s="68">
        <f>SUM($D$13:$D$19)</f>
        <v>28</v>
      </c>
      <c r="E20" s="68">
        <f>SUM($E$13:$E$19)</f>
        <v>1940</v>
      </c>
      <c r="F20" s="69">
        <f>IFERROR(SUMPRODUCT($E$13:$E$19,$F$13:$F$19)/SUM($E$13:$E$19),0)</f>
        <v>0.40695876288659794</v>
      </c>
      <c r="G20" s="155"/>
      <c r="H20" s="155"/>
    </row>
    <row r="21" spans="2:42" ht="19.5" customHeight="1" x14ac:dyDescent="0.25">
      <c r="B21" s="17" t="s">
        <v>132</v>
      </c>
      <c r="C21" s="5" t="s">
        <v>205</v>
      </c>
      <c r="D21" s="5"/>
      <c r="E21" s="5"/>
      <c r="F21" s="5"/>
      <c r="G21" s="5"/>
      <c r="H21" s="4" t="s">
        <v>206</v>
      </c>
      <c r="I21" s="4"/>
      <c r="J21" s="4"/>
      <c r="K21" s="4"/>
      <c r="L21" s="4"/>
      <c r="M21" s="4"/>
      <c r="N21" s="4"/>
    </row>
    <row r="22" spans="2:42" ht="24" customHeight="1" x14ac:dyDescent="0.25">
      <c r="B22" s="21" t="s">
        <v>207</v>
      </c>
      <c r="C22" s="21" t="s">
        <v>208</v>
      </c>
      <c r="D22" s="21" t="s">
        <v>209</v>
      </c>
      <c r="E22" s="21" t="s">
        <v>210</v>
      </c>
      <c r="F22" s="21" t="s">
        <v>211</v>
      </c>
      <c r="G22" s="21" t="s">
        <v>212</v>
      </c>
      <c r="H22" s="21" t="s">
        <v>213</v>
      </c>
      <c r="I22" s="21" t="s">
        <v>214</v>
      </c>
      <c r="J22" s="21" t="s">
        <v>215</v>
      </c>
      <c r="K22" s="21" t="s">
        <v>216</v>
      </c>
      <c r="L22" s="21" t="s">
        <v>217</v>
      </c>
      <c r="M22" s="21" t="s">
        <v>218</v>
      </c>
      <c r="N22" s="21" t="s">
        <v>219</v>
      </c>
    </row>
    <row r="23" spans="2:42" ht="16.5" customHeight="1" x14ac:dyDescent="0.25">
      <c r="B23" s="72"/>
      <c r="C23" s="56" t="s">
        <v>43</v>
      </c>
      <c r="D23" s="73" t="s">
        <v>8</v>
      </c>
      <c r="E23" s="57">
        <f>SUMPRODUCT((Roadmap!$G$19:$G$68&lt;&gt;0)*(ROUNDUP(MONTH(Roadmap!$G$19:$G$68)/3,0)+(YEAR(Roadmap!$G$19:$G$68)-Berichtsjahr)*4)=1)</f>
        <v>0</v>
      </c>
      <c r="F23" s="74">
        <f>SUMPRODUCT((Roadmap!$G$19:$G$68&lt;&gt;0)*(Roadmap!$R$19:$R$68&lt;&gt;"Zurückgestellt")*((ROUNDUP(MONTH(Roadmap!$G$19:$G$68)/3,0)+(YEAR(Roadmap!$G$19:$G$68)-Berichtsjahr)*4)=1)*Roadmap!$K$19:$K$68)</f>
        <v>565</v>
      </c>
      <c r="G23" s="57">
        <f>Kapazitaet_Quartal</f>
        <v>720</v>
      </c>
      <c r="H23" s="58">
        <f>IFERROR($F23/$G23,0)</f>
        <v>0.78472222222222221</v>
      </c>
      <c r="I23" s="61" t="str">
        <f>IF($H23&gt;1,"überplant",IF($H23&gt;Ziel_Auslastung,"hohe Auslastung",IF($H23&lt;Ziel_Auslastung*0.5,"Freiraum","im Zielbereich")))</f>
        <v>im Zielbereich</v>
      </c>
      <c r="J23" s="75">
        <f>SUMPRODUCT((Roadmap!$G$19:$G$68&lt;&gt;0)*(Roadmap!$D$19:$D$68=$AL23)*((ROUNDUP(MONTH(Roadmap!$G$19:$G$68)/3,0)+(YEAR(Roadmap!$G$19:$G$68)-Berichtsjahr)*4)=1)*Roadmap!$K$19:$K$68)</f>
        <v>155</v>
      </c>
      <c r="K23" s="75">
        <f>SUMPRODUCT((Roadmap!$G$19:$G$68&lt;&gt;0)*(Roadmap!$D$19:$D$68=$AM23)*((ROUNDUP(MONTH(Roadmap!$G$19:$G$68)/3,0)+(YEAR(Roadmap!$G$19:$G$68)-Berichtsjahr)*4)=1)*Roadmap!$K$19:$K$68)</f>
        <v>110</v>
      </c>
      <c r="L23" s="75">
        <f>SUMPRODUCT((Roadmap!$G$19:$G$68&lt;&gt;0)*(Roadmap!$D$19:$D$68=$AN23)*((ROUNDUP(MONTH(Roadmap!$G$19:$G$68)/3,0)+(YEAR(Roadmap!$G$19:$G$68)-Berichtsjahr)*4)=1)*Roadmap!$K$19:$K$68)</f>
        <v>160</v>
      </c>
      <c r="M23" s="75">
        <f>SUMPRODUCT((Roadmap!$G$19:$G$68&lt;&gt;0)*(Roadmap!$D$19:$D$68=$AO23)*((ROUNDUP(MONTH(Roadmap!$G$19:$G$68)/3,0)+(YEAR(Roadmap!$G$19:$G$68)-Berichtsjahr)*4)=1)*Roadmap!$K$19:$K$68)</f>
        <v>100</v>
      </c>
      <c r="N23" s="75">
        <f>SUMPRODUCT((Roadmap!$G$19:$G$68&lt;&gt;0)*(Roadmap!$D$19:$D$68=$AP23)*((ROUNDUP(MONTH(Roadmap!$G$19:$G$68)/3,0)+(YEAR(Roadmap!$G$19:$G$68)-Berichtsjahr)*4)=1)*Roadmap!$K$19:$K$68)</f>
        <v>120</v>
      </c>
      <c r="O23" s="76">
        <f>$F23-SUM($J23:$N23)</f>
        <v>-80</v>
      </c>
      <c r="AL23" s="77" t="s">
        <v>80</v>
      </c>
      <c r="AM23" s="77" t="s">
        <v>96</v>
      </c>
      <c r="AN23" s="77" t="s">
        <v>90</v>
      </c>
      <c r="AO23" s="77" t="s">
        <v>100</v>
      </c>
      <c r="AP23" s="77" t="s">
        <v>111</v>
      </c>
    </row>
    <row r="24" spans="2:42" ht="16.5" customHeight="1" x14ac:dyDescent="0.25">
      <c r="B24" s="78"/>
      <c r="C24" s="56" t="s">
        <v>44</v>
      </c>
      <c r="D24" s="73" t="s">
        <v>9</v>
      </c>
      <c r="E24" s="57">
        <f>SUMPRODUCT((Roadmap!$G$19:$G$68&lt;&gt;0)*(ROUNDUP(MONTH(Roadmap!$G$19:$G$68)/3,0)+(YEAR(Roadmap!$G$19:$G$68)-Berichtsjahr)*4)=2)</f>
        <v>0</v>
      </c>
      <c r="F24" s="74">
        <f>SUMPRODUCT((Roadmap!$G$19:$G$68&lt;&gt;0)*(Roadmap!$R$19:$R$68&lt;&gt;"Zurückgestellt")*((ROUNDUP(MONTH(Roadmap!$G$19:$G$68)/3,0)+(YEAR(Roadmap!$G$19:$G$68)-Berichtsjahr)*4)=2)*Roadmap!$K$19:$K$68)</f>
        <v>430</v>
      </c>
      <c r="G24" s="57">
        <f>Kapazitaet_Quartal</f>
        <v>720</v>
      </c>
      <c r="H24" s="58">
        <f>IFERROR($F24/$G24,0)</f>
        <v>0.59722222222222221</v>
      </c>
      <c r="I24" s="61" t="str">
        <f>IF($H24&gt;1,"überplant",IF($H24&gt;Ziel_Auslastung,"hohe Auslastung",IF($H24&lt;Ziel_Auslastung*0.5,"Freiraum","im Zielbereich")))</f>
        <v>im Zielbereich</v>
      </c>
      <c r="J24" s="75">
        <f>SUMPRODUCT((Roadmap!$G$19:$G$68&lt;&gt;0)*(Roadmap!$D$19:$D$68=$AL24)*((ROUNDUP(MONTH(Roadmap!$G$19:$G$68)/3,0)+(YEAR(Roadmap!$G$19:$G$68)-Berichtsjahr)*4)=2)*Roadmap!$K$19:$K$68)</f>
        <v>0</v>
      </c>
      <c r="K24" s="75">
        <f>SUMPRODUCT((Roadmap!$G$19:$G$68&lt;&gt;0)*(Roadmap!$D$19:$D$68=$AM24)*((ROUNDUP(MONTH(Roadmap!$G$19:$G$68)/3,0)+(YEAR(Roadmap!$G$19:$G$68)-Berichtsjahr)*4)=2)*Roadmap!$K$19:$K$68)</f>
        <v>90</v>
      </c>
      <c r="L24" s="75">
        <f>SUMPRODUCT((Roadmap!$G$19:$G$68&lt;&gt;0)*(Roadmap!$D$19:$D$68=$AN24)*((ROUNDUP(MONTH(Roadmap!$G$19:$G$68)/3,0)+(YEAR(Roadmap!$G$19:$G$68)-Berichtsjahr)*4)=2)*Roadmap!$K$19:$K$68)</f>
        <v>50</v>
      </c>
      <c r="M24" s="75">
        <f>SUMPRODUCT((Roadmap!$G$19:$G$68&lt;&gt;0)*(Roadmap!$D$19:$D$68=$AO24)*((ROUNDUP(MONTH(Roadmap!$G$19:$G$68)/3,0)+(YEAR(Roadmap!$G$19:$G$68)-Berichtsjahr)*4)=2)*Roadmap!$K$19:$K$68)</f>
        <v>135</v>
      </c>
      <c r="N24" s="75">
        <f>SUMPRODUCT((Roadmap!$G$19:$G$68&lt;&gt;0)*(Roadmap!$D$19:$D$68=$AP24)*((ROUNDUP(MONTH(Roadmap!$G$19:$G$68)/3,0)+(YEAR(Roadmap!$G$19:$G$68)-Berichtsjahr)*4)=2)*Roadmap!$K$19:$K$68)</f>
        <v>60</v>
      </c>
      <c r="O24" s="76">
        <f>$F24-SUM($J24:$N24)</f>
        <v>95</v>
      </c>
      <c r="AL24" s="77" t="s">
        <v>80</v>
      </c>
      <c r="AM24" s="77" t="s">
        <v>96</v>
      </c>
      <c r="AN24" s="77" t="s">
        <v>90</v>
      </c>
      <c r="AO24" s="77" t="s">
        <v>100</v>
      </c>
      <c r="AP24" s="77" t="s">
        <v>111</v>
      </c>
    </row>
    <row r="25" spans="2:42" ht="16.5" customHeight="1" x14ac:dyDescent="0.25">
      <c r="B25" s="79"/>
      <c r="C25" s="56" t="s">
        <v>45</v>
      </c>
      <c r="D25" s="73" t="s">
        <v>10</v>
      </c>
      <c r="E25" s="57">
        <f>SUMPRODUCT((Roadmap!$G$19:$G$68&lt;&gt;0)*(ROUNDUP(MONTH(Roadmap!$G$19:$G$68)/3,0)+(YEAR(Roadmap!$G$19:$G$68)-Berichtsjahr)*4)=3)</f>
        <v>0</v>
      </c>
      <c r="F25" s="74">
        <f>SUMPRODUCT((Roadmap!$G$19:$G$68&lt;&gt;0)*(Roadmap!$R$19:$R$68&lt;&gt;"Zurückgestellt")*((ROUNDUP(MONTH(Roadmap!$G$19:$G$68)/3,0)+(YEAR(Roadmap!$G$19:$G$68)-Berichtsjahr)*4)=3)*Roadmap!$K$19:$K$68)</f>
        <v>595</v>
      </c>
      <c r="G25" s="57">
        <f>Kapazitaet_Quartal</f>
        <v>720</v>
      </c>
      <c r="H25" s="58">
        <f>IFERROR($F25/$G25,0)</f>
        <v>0.82638888888888884</v>
      </c>
      <c r="I25" s="61" t="str">
        <f>IF($H25&gt;1,"überplant",IF($H25&gt;Ziel_Auslastung,"hohe Auslastung",IF($H25&lt;Ziel_Auslastung*0.5,"Freiraum","im Zielbereich")))</f>
        <v>im Zielbereich</v>
      </c>
      <c r="J25" s="75">
        <f>SUMPRODUCT((Roadmap!$G$19:$G$68&lt;&gt;0)*(Roadmap!$D$19:$D$68=$AL25)*((ROUNDUP(MONTH(Roadmap!$G$19:$G$68)/3,0)+(YEAR(Roadmap!$G$19:$G$68)-Berichtsjahr)*4)=3)*Roadmap!$K$19:$K$68)</f>
        <v>25</v>
      </c>
      <c r="K25" s="75">
        <f>SUMPRODUCT((Roadmap!$G$19:$G$68&lt;&gt;0)*(Roadmap!$D$19:$D$68=$AM25)*((ROUNDUP(MONTH(Roadmap!$G$19:$G$68)/3,0)+(YEAR(Roadmap!$G$19:$G$68)-Berichtsjahr)*4)=3)*Roadmap!$K$19:$K$68)</f>
        <v>0</v>
      </c>
      <c r="L25" s="75">
        <f>SUMPRODUCT((Roadmap!$G$19:$G$68&lt;&gt;0)*(Roadmap!$D$19:$D$68=$AN25)*((ROUNDUP(MONTH(Roadmap!$G$19:$G$68)/3,0)+(YEAR(Roadmap!$G$19:$G$68)-Berichtsjahr)*4)=3)*Roadmap!$K$19:$K$68)</f>
        <v>380</v>
      </c>
      <c r="M25" s="75">
        <f>SUMPRODUCT((Roadmap!$G$19:$G$68&lt;&gt;0)*(Roadmap!$D$19:$D$68=$AO25)*((ROUNDUP(MONTH(Roadmap!$G$19:$G$68)/3,0)+(YEAR(Roadmap!$G$19:$G$68)-Berichtsjahr)*4)=3)*Roadmap!$K$19:$K$68)</f>
        <v>0</v>
      </c>
      <c r="N25" s="75">
        <f>SUMPRODUCT((Roadmap!$G$19:$G$68&lt;&gt;0)*(Roadmap!$D$19:$D$68=$AP25)*((ROUNDUP(MONTH(Roadmap!$G$19:$G$68)/3,0)+(YEAR(Roadmap!$G$19:$G$68)-Berichtsjahr)*4)=3)*Roadmap!$K$19:$K$68)</f>
        <v>55</v>
      </c>
      <c r="O25" s="76">
        <f>$F25-SUM($J25:$N25)</f>
        <v>135</v>
      </c>
      <c r="AL25" s="77" t="s">
        <v>80</v>
      </c>
      <c r="AM25" s="77" t="s">
        <v>96</v>
      </c>
      <c r="AN25" s="77" t="s">
        <v>90</v>
      </c>
      <c r="AO25" s="77" t="s">
        <v>100</v>
      </c>
      <c r="AP25" s="77" t="s">
        <v>111</v>
      </c>
    </row>
    <row r="26" spans="2:42" ht="16.5" customHeight="1" x14ac:dyDescent="0.25">
      <c r="B26" s="80"/>
      <c r="C26" s="56" t="s">
        <v>46</v>
      </c>
      <c r="D26" s="73" t="s">
        <v>11</v>
      </c>
      <c r="E26" s="57">
        <f>SUMPRODUCT((Roadmap!$G$19:$G$68&lt;&gt;0)*(ROUNDUP(MONTH(Roadmap!$G$19:$G$68)/3,0)+(YEAR(Roadmap!$G$19:$G$68)-Berichtsjahr)*4)=4)</f>
        <v>0</v>
      </c>
      <c r="F26" s="74">
        <f>SUMPRODUCT((Roadmap!$G$19:$G$68&lt;&gt;0)*(Roadmap!$R$19:$R$68&lt;&gt;"Zurückgestellt")*((ROUNDUP(MONTH(Roadmap!$G$19:$G$68)/3,0)+(YEAR(Roadmap!$G$19:$G$68)-Berichtsjahr)*4)=4)*Roadmap!$K$19:$K$68)</f>
        <v>270</v>
      </c>
      <c r="G26" s="57">
        <f>Kapazitaet_Quartal</f>
        <v>720</v>
      </c>
      <c r="H26" s="58">
        <f>IFERROR($F26/$G26,0)</f>
        <v>0.375</v>
      </c>
      <c r="I26" s="61" t="str">
        <f>IF($H26&gt;1,"überplant",IF($H26&gt;Ziel_Auslastung,"hohe Auslastung",IF($H26&lt;Ziel_Auslastung*0.5,"Freiraum","im Zielbereich")))</f>
        <v>Freiraum</v>
      </c>
      <c r="J26" s="75">
        <f>SUMPRODUCT((Roadmap!$G$19:$G$68&lt;&gt;0)*(Roadmap!$D$19:$D$68=$AL26)*((ROUNDUP(MONTH(Roadmap!$G$19:$G$68)/3,0)+(YEAR(Roadmap!$G$19:$G$68)-Berichtsjahr)*4)=4)*Roadmap!$K$19:$K$68)</f>
        <v>65</v>
      </c>
      <c r="K26" s="75">
        <f>SUMPRODUCT((Roadmap!$G$19:$G$68&lt;&gt;0)*(Roadmap!$D$19:$D$68=$AM26)*((ROUNDUP(MONTH(Roadmap!$G$19:$G$68)/3,0)+(YEAR(Roadmap!$G$19:$G$68)-Berichtsjahr)*4)=4)*Roadmap!$K$19:$K$68)</f>
        <v>130</v>
      </c>
      <c r="L26" s="75">
        <f>SUMPRODUCT((Roadmap!$G$19:$G$68&lt;&gt;0)*(Roadmap!$D$19:$D$68=$AN26)*((ROUNDUP(MONTH(Roadmap!$G$19:$G$68)/3,0)+(YEAR(Roadmap!$G$19:$G$68)-Berichtsjahr)*4)=4)*Roadmap!$K$19:$K$68)</f>
        <v>0</v>
      </c>
      <c r="M26" s="75">
        <f>SUMPRODUCT((Roadmap!$G$19:$G$68&lt;&gt;0)*(Roadmap!$D$19:$D$68=$AO26)*((ROUNDUP(MONTH(Roadmap!$G$19:$G$68)/3,0)+(YEAR(Roadmap!$G$19:$G$68)-Berichtsjahr)*4)=4)*Roadmap!$K$19:$K$68)</f>
        <v>30</v>
      </c>
      <c r="N26" s="75">
        <f>SUMPRODUCT((Roadmap!$G$19:$G$68&lt;&gt;0)*(Roadmap!$D$19:$D$68=$AP26)*((ROUNDUP(MONTH(Roadmap!$G$19:$G$68)/3,0)+(YEAR(Roadmap!$G$19:$G$68)-Berichtsjahr)*4)=4)*Roadmap!$K$19:$K$68)</f>
        <v>0</v>
      </c>
      <c r="O26" s="76">
        <f>$F26-SUM($J26:$N26)</f>
        <v>45</v>
      </c>
      <c r="AL26" s="77" t="s">
        <v>80</v>
      </c>
      <c r="AM26" s="77" t="s">
        <v>96</v>
      </c>
      <c r="AN26" s="77" t="s">
        <v>90</v>
      </c>
      <c r="AO26" s="77" t="s">
        <v>100</v>
      </c>
      <c r="AP26" s="77" t="s">
        <v>111</v>
      </c>
    </row>
    <row r="27" spans="2:42" ht="16.5" customHeight="1" x14ac:dyDescent="0.25">
      <c r="B27" s="154" t="s">
        <v>220</v>
      </c>
      <c r="C27" s="154"/>
      <c r="D27" s="154"/>
      <c r="E27" s="68">
        <f>SUM($E$23:$E$26)</f>
        <v>0</v>
      </c>
      <c r="F27" s="68">
        <f>SUM($F$23:$F$26)</f>
        <v>1860</v>
      </c>
      <c r="G27" s="68">
        <f>Kapazitaet_Quartal*4</f>
        <v>2880</v>
      </c>
      <c r="H27" s="69">
        <f>IFERROR(SUM($F$23:$F$26)/($G27),0)</f>
        <v>0.64583333333333337</v>
      </c>
      <c r="I27" s="70"/>
      <c r="J27" s="81">
        <f t="shared" ref="J27:O27" si="1">SUM(J$23:J$26)</f>
        <v>245</v>
      </c>
      <c r="K27" s="81">
        <f t="shared" si="1"/>
        <v>330</v>
      </c>
      <c r="L27" s="81">
        <f t="shared" si="1"/>
        <v>590</v>
      </c>
      <c r="M27" s="81">
        <f t="shared" si="1"/>
        <v>265</v>
      </c>
      <c r="N27" s="81">
        <f t="shared" si="1"/>
        <v>235</v>
      </c>
      <c r="O27" s="82">
        <f t="shared" si="1"/>
        <v>195</v>
      </c>
    </row>
    <row r="29" spans="2:42" ht="19.5" customHeight="1" x14ac:dyDescent="0.25">
      <c r="B29" s="54" t="s">
        <v>221</v>
      </c>
      <c r="C29" s="5" t="s">
        <v>222</v>
      </c>
      <c r="D29" s="5"/>
      <c r="E29" s="5"/>
      <c r="F29" s="5"/>
      <c r="G29" s="5"/>
      <c r="H29" s="53"/>
      <c r="I29" s="17" t="s">
        <v>223</v>
      </c>
      <c r="J29" s="5" t="s">
        <v>224</v>
      </c>
      <c r="K29" s="5"/>
      <c r="L29" s="5"/>
      <c r="M29" s="5"/>
      <c r="N29" s="5"/>
    </row>
    <row r="30" spans="2:42" ht="19.5" customHeight="1" x14ac:dyDescent="0.3">
      <c r="B30" s="156">
        <f>COUNTIF(Roadmap!$R$73:$R$90,"Erreicht")</f>
        <v>6</v>
      </c>
      <c r="C30" s="156"/>
      <c r="D30" s="157">
        <f ca="1">COUNTIF(Roadmap!$S$73:$S$90,"Überfällig")</f>
        <v>2</v>
      </c>
      <c r="E30" s="157"/>
      <c r="F30" s="158">
        <f ca="1">COUNTIF(Roadmap!$S$73:$S$90,"Fällig in Kürze")</f>
        <v>1</v>
      </c>
      <c r="G30" s="158"/>
      <c r="I30" s="21" t="s">
        <v>63</v>
      </c>
      <c r="J30" s="21" t="s">
        <v>198</v>
      </c>
      <c r="K30" s="21" t="s">
        <v>199</v>
      </c>
      <c r="L30" s="21" t="s">
        <v>225</v>
      </c>
      <c r="M30" s="146" t="s">
        <v>226</v>
      </c>
      <c r="N30" s="146"/>
    </row>
    <row r="31" spans="2:42" ht="16.5" customHeight="1" x14ac:dyDescent="0.25">
      <c r="B31" s="159" t="s">
        <v>227</v>
      </c>
      <c r="C31" s="159"/>
      <c r="D31" s="160" t="s">
        <v>228</v>
      </c>
      <c r="E31" s="160"/>
      <c r="F31" s="161" t="s">
        <v>229</v>
      </c>
      <c r="G31" s="161"/>
      <c r="I31" s="56" t="s">
        <v>128</v>
      </c>
      <c r="J31" s="57">
        <f>COUNTIF(Roadmap!$R$19:$R$68,$I31)</f>
        <v>1</v>
      </c>
      <c r="K31" s="57">
        <f>SUMIF(Roadmap!$R$19:$R$68,$I31,Roadmap!$K$19:$K$68)</f>
        <v>0</v>
      </c>
      <c r="L31" s="59">
        <f>IFERROR($J31/COUNTA(Roadmap!$C$19:$C$68),0)</f>
        <v>3.5714285714285712E-2</v>
      </c>
      <c r="M31" s="162">
        <f>$J31</f>
        <v>1</v>
      </c>
      <c r="N31" s="162"/>
    </row>
    <row r="32" spans="2:42" ht="16.5" customHeight="1" x14ac:dyDescent="0.25">
      <c r="B32" s="163" t="s">
        <v>230</v>
      </c>
      <c r="C32" s="163"/>
      <c r="D32" s="163"/>
      <c r="E32" s="163"/>
      <c r="F32" s="44" t="s">
        <v>138</v>
      </c>
      <c r="G32" s="164" t="s">
        <v>63</v>
      </c>
      <c r="H32" s="164"/>
      <c r="I32" s="56" t="s">
        <v>107</v>
      </c>
      <c r="J32" s="57">
        <f>COUNTIF(Roadmap!$R$19:$R$68,$I32)</f>
        <v>9</v>
      </c>
      <c r="K32" s="57">
        <f>SUMIF(Roadmap!$R$19:$R$68,$I32,Roadmap!$K$19:$K$68)</f>
        <v>655</v>
      </c>
      <c r="L32" s="59">
        <f>IFERROR($J32/COUNTA(Roadmap!$C$19:$C$68),0)</f>
        <v>0.32142857142857145</v>
      </c>
      <c r="M32" s="162">
        <f>$J32</f>
        <v>9</v>
      </c>
      <c r="N32" s="162"/>
    </row>
    <row r="33" spans="2:14" ht="16.5" customHeight="1" x14ac:dyDescent="0.25">
      <c r="B33" s="165" t="str">
        <f>IFERROR(INDEX(Roadmap!$C$73:$C$90,MATCH(1,Roadmap!$AJ$73:$AJ$90,0)),"—")</f>
        <v>Lieferantenbewertung eingeführt</v>
      </c>
      <c r="C33" s="165"/>
      <c r="D33" s="165"/>
      <c r="E33" s="165"/>
      <c r="F33" s="83">
        <f>IFERROR(INDEX(Roadmap!$G$73:$G$90,MATCH(1,Roadmap!$AJ$73:$AJ$90,0)),"")</f>
        <v>46203</v>
      </c>
      <c r="G33" s="166" t="str">
        <f ca="1">IFERROR(INDEX(Roadmap!$S$73:$S$90,MATCH(1,Roadmap!$AJ$73:$AJ$90,0)),"")</f>
        <v>Überfällig</v>
      </c>
      <c r="H33" s="166"/>
      <c r="I33" s="56" t="s">
        <v>85</v>
      </c>
      <c r="J33" s="57">
        <f>COUNTIF(Roadmap!$R$19:$R$68,$I33)</f>
        <v>11</v>
      </c>
      <c r="K33" s="57">
        <f>SUMIF(Roadmap!$R$19:$R$68,$I33,Roadmap!$K$19:$K$68)</f>
        <v>760</v>
      </c>
      <c r="L33" s="59">
        <f>IFERROR($J33/COUNTA(Roadmap!$C$19:$C$68),0)</f>
        <v>0.39285714285714285</v>
      </c>
      <c r="M33" s="162">
        <f>$J33</f>
        <v>11</v>
      </c>
      <c r="N33" s="162"/>
    </row>
    <row r="34" spans="2:14" ht="16.5" customHeight="1" x14ac:dyDescent="0.25">
      <c r="B34" s="165" t="str">
        <f>IFERROR(INDEX(Roadmap!$C$73:$C$90,MATCH(2,Roadmap!$AJ$73:$AJ$90,0)),"—")</f>
        <v>Sicherheitskonzept verabschiedet</v>
      </c>
      <c r="C34" s="165"/>
      <c r="D34" s="165"/>
      <c r="E34" s="165"/>
      <c r="F34" s="83">
        <f>IFERROR(INDEX(Roadmap!$G$73:$G$90,MATCH(2,Roadmap!$AJ$73:$AJ$90,0)),"")</f>
        <v>46220</v>
      </c>
      <c r="G34" s="166" t="str">
        <f ca="1">IFERROR(INDEX(Roadmap!$S$73:$S$90,MATCH(2,Roadmap!$AJ$73:$AJ$90,0)),"")</f>
        <v>Überfällig</v>
      </c>
      <c r="H34" s="166"/>
      <c r="I34" s="56" t="s">
        <v>83</v>
      </c>
      <c r="J34" s="57">
        <f>COUNTIF(Roadmap!$R$19:$R$68,$I34)</f>
        <v>6</v>
      </c>
      <c r="K34" s="57">
        <f>SUMIF(Roadmap!$R$19:$R$68,$I34,Roadmap!$K$19:$K$68)</f>
        <v>445</v>
      </c>
      <c r="L34" s="59">
        <f>IFERROR($J34/COUNTA(Roadmap!$C$19:$C$68),0)</f>
        <v>0.21428571428571427</v>
      </c>
      <c r="M34" s="162">
        <f>$J34</f>
        <v>6</v>
      </c>
      <c r="N34" s="162"/>
    </row>
    <row r="35" spans="2:14" ht="16.5" customHeight="1" x14ac:dyDescent="0.25">
      <c r="B35" s="165" t="str">
        <f>IFERROR(INDEX(Roadmap!$C$73:$C$90,MATCH(3,Roadmap!$AJ$73:$AJ$90,0)),"—")</f>
        <v>Reklamationsprozess produktiv</v>
      </c>
      <c r="C35" s="165"/>
      <c r="D35" s="165"/>
      <c r="E35" s="165"/>
      <c r="F35" s="83">
        <f>IFERROR(INDEX(Roadmap!$G$73:$G$90,MATCH(3,Roadmap!$AJ$73:$AJ$90,0)),"")</f>
        <v>46234</v>
      </c>
      <c r="G35" s="166" t="str">
        <f ca="1">IFERROR(INDEX(Roadmap!$S$73:$S$90,MATCH(3,Roadmap!$AJ$73:$AJ$90,0)),"")</f>
        <v>Fällig in Kürze</v>
      </c>
      <c r="H35" s="166"/>
      <c r="I35" s="56" t="s">
        <v>126</v>
      </c>
      <c r="J35" s="57">
        <f>COUNTIF(Roadmap!$R$19:$R$68,$I35)</f>
        <v>1</v>
      </c>
      <c r="K35" s="57">
        <f>SUMIF(Roadmap!$R$19:$R$68,$I35,Roadmap!$K$19:$K$68)</f>
        <v>80</v>
      </c>
      <c r="L35" s="59">
        <f>IFERROR($J35/COUNTA(Roadmap!$C$19:$C$68),0)</f>
        <v>3.5714285714285712E-2</v>
      </c>
      <c r="M35" s="162">
        <f>$J35</f>
        <v>1</v>
      </c>
      <c r="N35" s="162"/>
    </row>
    <row r="36" spans="2:14" ht="16.5" customHeight="1" x14ac:dyDescent="0.25">
      <c r="B36" s="165" t="str">
        <f>IFERROR(INDEX(Roadmap!$C$73:$C$90,MATCH(4,Roadmap!$AJ$73:$AJ$90,0)),"—")</f>
        <v>Entscheidung ERP-Modul Einkauf</v>
      </c>
      <c r="C36" s="165"/>
      <c r="D36" s="165"/>
      <c r="E36" s="165"/>
      <c r="F36" s="83">
        <f>IFERROR(INDEX(Roadmap!$G$73:$G$90,MATCH(4,Roadmap!$AJ$73:$AJ$90,0)),"")</f>
        <v>46265</v>
      </c>
      <c r="G36" s="166" t="str">
        <f ca="1">IFERROR(INDEX(Roadmap!$S$73:$S$90,MATCH(4,Roadmap!$AJ$73:$AJ$90,0)),"")</f>
        <v>Geplant</v>
      </c>
      <c r="H36" s="166"/>
    </row>
    <row r="37" spans="2:14" ht="16.5" customHeight="1" x14ac:dyDescent="0.25">
      <c r="B37" s="165" t="str">
        <f>IFERROR(INDEX(Roadmap!$C$73:$C$90,MATCH(5,Roadmap!$AJ$73:$AJ$90,0)),"—")</f>
        <v>Erste Aufträge neue Region</v>
      </c>
      <c r="C37" s="165"/>
      <c r="D37" s="165"/>
      <c r="E37" s="165"/>
      <c r="F37" s="83">
        <f>IFERROR(INDEX(Roadmap!$G$73:$G$90,MATCH(5,Roadmap!$AJ$73:$AJ$90,0)),"")</f>
        <v>46295</v>
      </c>
      <c r="G37" s="166" t="str">
        <f ca="1">IFERROR(INDEX(Roadmap!$S$73:$S$90,MATCH(5,Roadmap!$AJ$73:$AJ$90,0)),"")</f>
        <v>Geplant</v>
      </c>
      <c r="H37" s="166"/>
    </row>
    <row r="38" spans="2:14" ht="16.5" customHeight="1" x14ac:dyDescent="0.25">
      <c r="B38" s="165" t="str">
        <f>IFERROR(INDEX(Roadmap!$C$73:$C$90,MATCH(6,Roadmap!$AJ$73:$AJ$90,0)),"—")</f>
        <v>Kundenportal Beta-Start</v>
      </c>
      <c r="C38" s="165"/>
      <c r="D38" s="165"/>
      <c r="E38" s="165"/>
      <c r="F38" s="83">
        <f>IFERROR(INDEX(Roadmap!$G$73:$G$90,MATCH(6,Roadmap!$AJ$73:$AJ$90,0)),"")</f>
        <v>46325</v>
      </c>
      <c r="G38" s="166" t="str">
        <f ca="1">IFERROR(INDEX(Roadmap!$S$73:$S$90,MATCH(6,Roadmap!$AJ$73:$AJ$90,0)),"")</f>
        <v>Geplant</v>
      </c>
      <c r="H38" s="166"/>
    </row>
    <row r="40" spans="2:14" ht="19.5" customHeight="1" x14ac:dyDescent="0.25">
      <c r="B40" s="17" t="s">
        <v>231</v>
      </c>
      <c r="C40" s="5" t="s">
        <v>232</v>
      </c>
      <c r="D40" s="5"/>
      <c r="E40" s="5"/>
      <c r="F40" s="5"/>
      <c r="G40" s="5"/>
      <c r="H40" s="4" t="s">
        <v>233</v>
      </c>
      <c r="I40" s="4"/>
      <c r="J40" s="4"/>
      <c r="K40" s="4"/>
      <c r="L40" s="4"/>
      <c r="M40" s="4"/>
      <c r="N40" s="4"/>
    </row>
    <row r="41" spans="2:14" ht="19.5" customHeight="1" x14ac:dyDescent="0.25">
      <c r="B41" s="167" t="s">
        <v>234</v>
      </c>
      <c r="C41" s="167"/>
      <c r="D41" s="167"/>
      <c r="E41" s="167"/>
      <c r="F41" s="167"/>
      <c r="G41" s="167"/>
      <c r="H41" s="167"/>
      <c r="I41" s="167"/>
      <c r="J41" s="84" t="s">
        <v>235</v>
      </c>
      <c r="K41" s="84" t="s">
        <v>236</v>
      </c>
      <c r="L41" s="168" t="s">
        <v>63</v>
      </c>
      <c r="M41" s="168"/>
      <c r="N41" s="168"/>
    </row>
    <row r="42" spans="2:14" ht="16.5" customHeight="1" x14ac:dyDescent="0.25">
      <c r="B42" s="165" t="s">
        <v>237</v>
      </c>
      <c r="C42" s="165"/>
      <c r="D42" s="165"/>
      <c r="E42" s="165"/>
      <c r="F42" s="165"/>
      <c r="G42" s="165"/>
      <c r="H42" s="165"/>
      <c r="I42" s="165"/>
      <c r="J42" s="74">
        <f>SUMPRODUCT((Roadmap!$C$19:$C$68&lt;&gt;"")*(Roadmap!$D$19:$D$68=""))</f>
        <v>0</v>
      </c>
      <c r="K42" s="85" t="s">
        <v>238</v>
      </c>
      <c r="L42" s="166" t="str">
        <f>IF($J42=0,"OK","PRÜFEN")</f>
        <v>OK</v>
      </c>
      <c r="M42" s="166"/>
      <c r="N42" s="166"/>
    </row>
    <row r="43" spans="2:14" ht="16.5" customHeight="1" x14ac:dyDescent="0.25">
      <c r="B43" s="165" t="s">
        <v>239</v>
      </c>
      <c r="C43" s="165"/>
      <c r="D43" s="165"/>
      <c r="E43" s="165"/>
      <c r="F43" s="165"/>
      <c r="G43" s="165"/>
      <c r="H43" s="165"/>
      <c r="I43" s="165"/>
      <c r="J43" s="74">
        <f>SUMPRODUCT((Roadmap!$C$19:$C$68&lt;&gt;"")*(Roadmap!$E$19:$E$68=""))</f>
        <v>0</v>
      </c>
      <c r="K43" s="85" t="s">
        <v>238</v>
      </c>
      <c r="L43" s="166" t="str">
        <f>IF($J43=0,"OK","PRÜFEN")</f>
        <v>OK</v>
      </c>
      <c r="M43" s="166"/>
      <c r="N43" s="166"/>
    </row>
    <row r="44" spans="2:14" ht="16.5" customHeight="1" x14ac:dyDescent="0.25">
      <c r="B44" s="165" t="s">
        <v>240</v>
      </c>
      <c r="C44" s="165"/>
      <c r="D44" s="165"/>
      <c r="E44" s="165"/>
      <c r="F44" s="165"/>
      <c r="G44" s="165"/>
      <c r="H44" s="165"/>
      <c r="I44" s="165"/>
      <c r="J44" s="74">
        <f>SUMPRODUCT((Roadmap!$G$19:$G$68&lt;&gt;0)*(Roadmap!$K$19:$K$68=""))</f>
        <v>0</v>
      </c>
      <c r="K44" s="85" t="s">
        <v>238</v>
      </c>
      <c r="L44" s="166" t="str">
        <f>IF($J44=0,"OK","PRÜFEN")</f>
        <v>OK</v>
      </c>
      <c r="M44" s="166"/>
      <c r="N44" s="166"/>
    </row>
    <row r="45" spans="2:14" ht="16.5" customHeight="1" x14ac:dyDescent="0.25">
      <c r="B45" s="165" t="s">
        <v>241</v>
      </c>
      <c r="C45" s="165"/>
      <c r="D45" s="165"/>
      <c r="E45" s="165"/>
      <c r="F45" s="165"/>
      <c r="G45" s="165"/>
      <c r="H45" s="165"/>
      <c r="I45" s="165"/>
      <c r="J45" s="74">
        <f>SUMPRODUCT((Roadmap!$G$19:$G$68&lt;&gt;0)*(Roadmap!$H$19:$H$68&lt;&gt;0)*(Roadmap!$H$19:$H$68&lt;Roadmap!$G$19:$G$68))</f>
        <v>0</v>
      </c>
      <c r="K45" s="85" t="s">
        <v>238</v>
      </c>
      <c r="L45" s="166" t="str">
        <f>IF($J45=0,"OK","PRÜFEN")</f>
        <v>OK</v>
      </c>
      <c r="M45" s="166"/>
      <c r="N45" s="166"/>
    </row>
    <row r="46" spans="2:14" ht="16.5" customHeight="1" x14ac:dyDescent="0.25">
      <c r="B46" s="165" t="s">
        <v>242</v>
      </c>
      <c r="C46" s="165"/>
      <c r="D46" s="165"/>
      <c r="E46" s="165"/>
      <c r="F46" s="165"/>
      <c r="G46" s="165"/>
      <c r="H46" s="165"/>
      <c r="I46" s="165"/>
      <c r="J46" s="58">
        <f>SUM(Stammdaten!$E$41:$E$45)</f>
        <v>1</v>
      </c>
      <c r="K46" s="85" t="s">
        <v>243</v>
      </c>
      <c r="L46" s="166" t="str">
        <f>IF(ROUND($J46,4)=1,"OK","PRÜFEN")</f>
        <v>OK</v>
      </c>
      <c r="M46" s="166"/>
      <c r="N46" s="166"/>
    </row>
    <row r="47" spans="2:14" ht="16.5" customHeight="1" x14ac:dyDescent="0.25">
      <c r="B47" s="165" t="s">
        <v>244</v>
      </c>
      <c r="C47" s="165"/>
      <c r="D47" s="165"/>
      <c r="E47" s="165"/>
      <c r="F47" s="165"/>
      <c r="G47" s="165"/>
      <c r="H47" s="165"/>
      <c r="I47" s="165"/>
      <c r="J47" s="58">
        <f>SUMPRODUCT(($H$23:$H$26&gt;1)*1)</f>
        <v>0</v>
      </c>
      <c r="K47" s="85" t="s">
        <v>238</v>
      </c>
      <c r="L47" s="166" t="str">
        <f>IF($J47=0,"OK","PRÜFEN")</f>
        <v>OK</v>
      </c>
      <c r="M47" s="166"/>
      <c r="N47" s="166"/>
    </row>
    <row r="48" spans="2:14" ht="16.5" customHeight="1" x14ac:dyDescent="0.25">
      <c r="B48" s="165" t="s">
        <v>245</v>
      </c>
      <c r="C48" s="165"/>
      <c r="D48" s="165"/>
      <c r="E48" s="165"/>
      <c r="F48" s="165"/>
      <c r="G48" s="165"/>
      <c r="H48" s="165"/>
      <c r="I48" s="165"/>
      <c r="J48" s="58">
        <f>IFERROR(SUMPRODUCT(Roadmap!$K$19:$K$68,Roadmap!$Q$19:$Q$68)/SUM(Roadmap!$K$19:$K$68),0)</f>
        <v>0.40695876288659794</v>
      </c>
      <c r="K48" s="85" t="s">
        <v>246</v>
      </c>
      <c r="L48" s="166" t="str">
        <f>IF($J48&gt;=Ziel_Fortschritt,"OK","PRÜFEN")</f>
        <v>PRÜFEN</v>
      </c>
      <c r="M48" s="166"/>
      <c r="N48" s="166"/>
    </row>
    <row r="49" spans="2:14" ht="16.5" customHeight="1" x14ac:dyDescent="0.25">
      <c r="B49" s="165" t="s">
        <v>247</v>
      </c>
      <c r="C49" s="165"/>
      <c r="D49" s="165"/>
      <c r="E49" s="165"/>
      <c r="F49" s="165"/>
      <c r="G49" s="165"/>
      <c r="H49" s="165"/>
      <c r="I49" s="165"/>
      <c r="J49" s="74">
        <f ca="1">COUNTIF(Roadmap!$S$73:$S$90,"Überfällig")</f>
        <v>2</v>
      </c>
      <c r="K49" s="85" t="s">
        <v>238</v>
      </c>
      <c r="L49" s="166" t="str">
        <f ca="1">IF($J49=0,"OK","PRÜFEN")</f>
        <v>PRÜFEN</v>
      </c>
      <c r="M49" s="166"/>
      <c r="N49" s="166"/>
    </row>
    <row r="50" spans="2:14" ht="16.5" customHeight="1" x14ac:dyDescent="0.25">
      <c r="B50" s="165" t="s">
        <v>248</v>
      </c>
      <c r="C50" s="165"/>
      <c r="D50" s="165"/>
      <c r="E50" s="165"/>
      <c r="F50" s="165"/>
      <c r="G50" s="165"/>
      <c r="H50" s="165"/>
      <c r="I50" s="165"/>
      <c r="J50" s="74">
        <f ca="1">SUMPRODUCT((Roadmap!$U$19:$U$68&lt;&gt;"")*(Roadmap!$U$19:$U$68&lt;&gt;"OK"))</f>
        <v>6</v>
      </c>
      <c r="K50" s="85" t="s">
        <v>238</v>
      </c>
      <c r="L50" s="166" t="str">
        <f ca="1">IF($J50=0,"OK","PRÜFEN")</f>
        <v>PRÜFEN</v>
      </c>
      <c r="M50" s="166"/>
      <c r="N50" s="166"/>
    </row>
    <row r="52" spans="2:14" ht="19.5" customHeight="1" x14ac:dyDescent="0.25">
      <c r="B52" s="17" t="s">
        <v>249</v>
      </c>
      <c r="C52" s="5" t="s">
        <v>250</v>
      </c>
      <c r="D52" s="5"/>
      <c r="E52" s="5"/>
      <c r="F52" s="5"/>
      <c r="G52" s="5"/>
      <c r="H52" s="53"/>
      <c r="I52" s="53"/>
      <c r="J52" s="53"/>
      <c r="K52" s="53"/>
      <c r="L52" s="53"/>
      <c r="M52" s="53"/>
      <c r="N52" s="53"/>
    </row>
  </sheetData>
  <mergeCells count="81">
    <mergeCell ref="B49:I49"/>
    <mergeCell ref="L49:N49"/>
    <mergeCell ref="B50:I50"/>
    <mergeCell ref="L50:N50"/>
    <mergeCell ref="C52:G52"/>
    <mergeCell ref="B46:I46"/>
    <mergeCell ref="L46:N46"/>
    <mergeCell ref="B47:I47"/>
    <mergeCell ref="L47:N47"/>
    <mergeCell ref="B48:I48"/>
    <mergeCell ref="L48:N48"/>
    <mergeCell ref="B43:I43"/>
    <mergeCell ref="L43:N43"/>
    <mergeCell ref="B44:I44"/>
    <mergeCell ref="L44:N44"/>
    <mergeCell ref="B45:I45"/>
    <mergeCell ref="L45:N45"/>
    <mergeCell ref="C40:G40"/>
    <mergeCell ref="H40:N40"/>
    <mergeCell ref="B41:I41"/>
    <mergeCell ref="L41:N41"/>
    <mergeCell ref="B42:I42"/>
    <mergeCell ref="L42:N42"/>
    <mergeCell ref="B36:E36"/>
    <mergeCell ref="G36:H36"/>
    <mergeCell ref="B37:E37"/>
    <mergeCell ref="G37:H37"/>
    <mergeCell ref="B38:E38"/>
    <mergeCell ref="G38:H38"/>
    <mergeCell ref="B34:E34"/>
    <mergeCell ref="G34:H34"/>
    <mergeCell ref="M34:N34"/>
    <mergeCell ref="B35:E35"/>
    <mergeCell ref="G35:H35"/>
    <mergeCell ref="M35:N35"/>
    <mergeCell ref="B32:E32"/>
    <mergeCell ref="G32:H32"/>
    <mergeCell ref="M32:N32"/>
    <mergeCell ref="B33:E33"/>
    <mergeCell ref="G33:H33"/>
    <mergeCell ref="M33:N33"/>
    <mergeCell ref="B30:C30"/>
    <mergeCell ref="D30:E30"/>
    <mergeCell ref="F30:G30"/>
    <mergeCell ref="M30:N30"/>
    <mergeCell ref="B31:C31"/>
    <mergeCell ref="D31:E31"/>
    <mergeCell ref="F31:G31"/>
    <mergeCell ref="M31:N31"/>
    <mergeCell ref="C21:G21"/>
    <mergeCell ref="H21:N21"/>
    <mergeCell ref="B27:D27"/>
    <mergeCell ref="C29:G29"/>
    <mergeCell ref="J29:N29"/>
    <mergeCell ref="G17:H17"/>
    <mergeCell ref="G18:H18"/>
    <mergeCell ref="G19:H19"/>
    <mergeCell ref="B20:C20"/>
    <mergeCell ref="G20:H20"/>
    <mergeCell ref="F12:H12"/>
    <mergeCell ref="G13:H13"/>
    <mergeCell ref="G14:H14"/>
    <mergeCell ref="G15:H15"/>
    <mergeCell ref="G16:H16"/>
    <mergeCell ref="D9:E9"/>
    <mergeCell ref="G9:H9"/>
    <mergeCell ref="J9:K9"/>
    <mergeCell ref="C11:G11"/>
    <mergeCell ref="J11:N11"/>
    <mergeCell ref="D7:E7"/>
    <mergeCell ref="G7:H7"/>
    <mergeCell ref="J7:K7"/>
    <mergeCell ref="D8:E8"/>
    <mergeCell ref="G8:H8"/>
    <mergeCell ref="J8:K8"/>
    <mergeCell ref="B2:J2"/>
    <mergeCell ref="K2:N2"/>
    <mergeCell ref="B3:J3"/>
    <mergeCell ref="K3:N3"/>
    <mergeCell ref="C6:G6"/>
    <mergeCell ref="H6:N6"/>
  </mergeCells>
  <conditionalFormatting sqref="G33:H38">
    <cfRule type="expression" dxfId="14" priority="10">
      <formula>$G33="Überfällig"</formula>
    </cfRule>
    <cfRule type="expression" dxfId="13" priority="11">
      <formula>$G33="Fällig in Kürze"</formula>
    </cfRule>
    <cfRule type="expression" dxfId="12" priority="12">
      <formula>$G33="Geplant"</formula>
    </cfRule>
  </conditionalFormatting>
  <conditionalFormatting sqref="H23:H26">
    <cfRule type="dataBar" priority="9">
      <dataBar>
        <cfvo type="num" val="0"/>
        <cfvo type="num" val="1.2"/>
        <color rgb="FFD99B0F"/>
      </dataBar>
      <extLst>
        <ext xmlns:x14="http://schemas.microsoft.com/office/spreadsheetml/2009/9/main" uri="{B025F937-C7B1-47D3-B67F-A62EFF666E3E}">
          <x14:id>{7F42D2B5-3ACE-45BC-8C8F-F7E041A0B1E7}</x14:id>
        </ext>
      </extLst>
    </cfRule>
  </conditionalFormatting>
  <conditionalFormatting sqref="I23:I26">
    <cfRule type="expression" dxfId="11" priority="5">
      <formula>$I23="im Zielbereich"</formula>
    </cfRule>
    <cfRule type="expression" dxfId="10" priority="6">
      <formula>$I23="hohe Auslastung"</formula>
    </cfRule>
    <cfRule type="expression" dxfId="9" priority="7">
      <formula>$I23="überplant"</formula>
    </cfRule>
    <cfRule type="expression" dxfId="8" priority="8">
      <formula>$I23="Freiraum"</formula>
    </cfRule>
  </conditionalFormatting>
  <conditionalFormatting sqref="L42:N50">
    <cfRule type="expression" dxfId="7" priority="14">
      <formula>$L42="OK"</formula>
    </cfRule>
    <cfRule type="expression" dxfId="6" priority="15">
      <formula>$L42="PRÜFEN"</formula>
    </cfRule>
  </conditionalFormatting>
  <conditionalFormatting sqref="M31:N35">
    <cfRule type="dataBar" priority="13">
      <dataBar showValue="0">
        <cfvo type="num" val="0"/>
        <cfvo type="max"/>
        <color rgb="FF3B4FC4"/>
      </dataBar>
      <extLst>
        <ext xmlns:x14="http://schemas.microsoft.com/office/spreadsheetml/2009/9/main" uri="{B025F937-C7B1-47D3-B67F-A62EFF666E3E}">
          <x14:id>{10177D1E-39F5-42A0-A8DC-3C7ACF48EB30}</x14:id>
        </ext>
      </extLst>
    </cfRule>
  </conditionalFormatting>
  <conditionalFormatting sqref="N13:N17">
    <cfRule type="expression" dxfId="5" priority="2">
      <formula>$N13="im Zielkorridor"</formula>
    </cfRule>
    <cfRule type="expression" dxfId="4" priority="3">
      <formula>$N13="über Zielanteil"</formula>
    </cfRule>
    <cfRule type="expression" dxfId="3" priority="4">
      <formula>$N13="unter Zielanteil"</formula>
    </cfRule>
  </conditionalFormatting>
  <printOptions horizontalCentered="1"/>
  <pageMargins left="0.3" right="0.3" top="0.35" bottom="0.35" header="0.511811023622047" footer="0.511811023622047"/>
  <pageSetup paperSize="8" fitToHeight="2" orientation="landscape" horizontalDpi="300" verticalDpi="300"/>
  <rowBreaks count="1" manualBreakCount="1">
    <brk id="51" max="16383" man="1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F42D2B5-3ACE-45BC-8C8F-F7E041A0B1E7}">
            <x14:dataBar axisPosition="none">
              <x14:cfvo type="num">
                <xm:f>0</xm:f>
              </x14:cfvo>
              <x14:cfvo type="num">
                <xm:f>1.2</xm:f>
              </x14:cfvo>
              <x14:negativeFillColor rgb="FFD99B0F"/>
            </x14:dataBar>
          </x14:cfRule>
          <xm:sqref>H23:H26</xm:sqref>
        </x14:conditionalFormatting>
        <x14:conditionalFormatting xmlns:xm="http://schemas.microsoft.com/office/excel/2006/main">
          <x14:cfRule type="dataBar" id="{10177D1E-39F5-42A0-A8DC-3C7ACF48EB30}">
            <x14:dataBar axisPosition="none">
              <x14:cfvo type="num">
                <xm:f>0</xm:f>
              </x14:cfvo>
              <x14:cfvo type="max"/>
              <x14:negativeFillColor rgb="FF3B4FC4"/>
            </x14:dataBar>
          </x14:cfRule>
          <xm:sqref>M31:N35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82"/>
  <sheetViews>
    <sheetView showGridLines="0" zoomScaleNormal="100" workbookViewId="0"/>
  </sheetViews>
  <sheetFormatPr baseColWidth="10" defaultColWidth="8.7109375" defaultRowHeight="15" x14ac:dyDescent="0.25"/>
  <cols>
    <col min="1" max="1" width="1.85546875" customWidth="1"/>
    <col min="2" max="2" width="3.42578125" customWidth="1"/>
    <col min="3" max="3" width="28" customWidth="1"/>
    <col min="4" max="4" width="20" customWidth="1"/>
    <col min="5" max="5" width="18" customWidth="1"/>
    <col min="6" max="6" width="15" customWidth="1"/>
    <col min="7" max="7" width="18" customWidth="1"/>
    <col min="8" max="8" width="14" customWidth="1"/>
  </cols>
  <sheetData>
    <row r="1" spans="2:8" ht="4.5" customHeight="1" x14ac:dyDescent="0.25">
      <c r="B1" s="15"/>
      <c r="C1" s="15"/>
      <c r="D1" s="15"/>
      <c r="E1" s="15"/>
      <c r="F1" s="15"/>
      <c r="G1" s="15"/>
      <c r="H1" s="15"/>
    </row>
    <row r="2" spans="2:8" ht="27" customHeight="1" x14ac:dyDescent="0.4">
      <c r="B2" s="14" t="s">
        <v>251</v>
      </c>
      <c r="C2" s="14"/>
      <c r="D2" s="14"/>
      <c r="E2" s="14"/>
      <c r="F2" s="13" t="s">
        <v>0</v>
      </c>
      <c r="G2" s="13"/>
      <c r="H2" s="13"/>
    </row>
    <row r="3" spans="2:8" ht="16.5" customHeight="1" x14ac:dyDescent="0.25">
      <c r="B3" s="8" t="s">
        <v>252</v>
      </c>
      <c r="C3" s="8"/>
      <c r="D3" s="8"/>
      <c r="E3" s="8"/>
      <c r="F3" s="7" t="s">
        <v>253</v>
      </c>
      <c r="G3" s="7"/>
      <c r="H3" s="7"/>
    </row>
    <row r="4" spans="2:8" ht="4.5" customHeight="1" x14ac:dyDescent="0.25">
      <c r="B4" s="16"/>
      <c r="C4" s="16"/>
      <c r="D4" s="16"/>
      <c r="E4" s="16"/>
      <c r="F4" s="16"/>
      <c r="G4" s="16"/>
      <c r="H4" s="16"/>
    </row>
    <row r="5" spans="2:8" ht="19.5" customHeight="1" x14ac:dyDescent="0.25">
      <c r="B5" s="17" t="s">
        <v>12</v>
      </c>
      <c r="C5" s="5" t="s">
        <v>254</v>
      </c>
      <c r="D5" s="5"/>
      <c r="E5" s="5"/>
      <c r="F5" s="5"/>
      <c r="G5" s="5"/>
      <c r="H5" s="18" t="s">
        <v>255</v>
      </c>
    </row>
    <row r="6" spans="2:8" x14ac:dyDescent="0.25">
      <c r="C6" s="19" t="s">
        <v>256</v>
      </c>
      <c r="D6" s="169" t="s">
        <v>1</v>
      </c>
      <c r="E6" s="169"/>
    </row>
    <row r="7" spans="2:8" x14ac:dyDescent="0.25">
      <c r="C7" s="19" t="s">
        <v>257</v>
      </c>
      <c r="D7" s="169" t="s">
        <v>7</v>
      </c>
      <c r="E7" s="169"/>
    </row>
    <row r="8" spans="2:8" x14ac:dyDescent="0.25">
      <c r="C8" s="19" t="s">
        <v>258</v>
      </c>
      <c r="D8" s="169" t="s">
        <v>259</v>
      </c>
      <c r="E8" s="169"/>
    </row>
    <row r="9" spans="2:8" x14ac:dyDescent="0.25">
      <c r="C9" s="19" t="s">
        <v>260</v>
      </c>
      <c r="D9" s="169" t="s">
        <v>261</v>
      </c>
      <c r="E9" s="169"/>
    </row>
    <row r="10" spans="2:8" x14ac:dyDescent="0.25">
      <c r="C10" s="19" t="s">
        <v>262</v>
      </c>
      <c r="D10" s="169" t="s">
        <v>263</v>
      </c>
      <c r="E10" s="169"/>
    </row>
    <row r="11" spans="2:8" x14ac:dyDescent="0.25">
      <c r="C11" s="19" t="s">
        <v>264</v>
      </c>
      <c r="D11" s="170">
        <v>46209</v>
      </c>
      <c r="E11" s="170"/>
    </row>
    <row r="12" spans="2:8" x14ac:dyDescent="0.25">
      <c r="C12" s="19" t="s">
        <v>265</v>
      </c>
      <c r="D12" s="169" t="s">
        <v>266</v>
      </c>
      <c r="E12" s="169"/>
    </row>
    <row r="13" spans="2:8" x14ac:dyDescent="0.25">
      <c r="C13" s="19" t="s">
        <v>155</v>
      </c>
      <c r="D13" s="169" t="s">
        <v>267</v>
      </c>
      <c r="E13" s="169"/>
    </row>
    <row r="15" spans="2:8" ht="19.5" customHeight="1" x14ac:dyDescent="0.25">
      <c r="B15" s="17" t="s">
        <v>22</v>
      </c>
      <c r="C15" s="5" t="s">
        <v>268</v>
      </c>
      <c r="D15" s="5"/>
      <c r="E15" s="5"/>
      <c r="F15" s="5"/>
      <c r="G15" s="5"/>
      <c r="H15" s="18" t="s">
        <v>269</v>
      </c>
    </row>
    <row r="16" spans="2:8" x14ac:dyDescent="0.25">
      <c r="C16" s="19" t="s">
        <v>270</v>
      </c>
      <c r="D16" s="86">
        <v>2026</v>
      </c>
      <c r="E16" s="171" t="s">
        <v>271</v>
      </c>
      <c r="F16" s="171"/>
      <c r="G16" s="171"/>
      <c r="H16" s="171"/>
    </row>
    <row r="17" spans="2:8" x14ac:dyDescent="0.25">
      <c r="C17" s="19" t="s">
        <v>272</v>
      </c>
      <c r="D17" s="87">
        <f ca="1">TODAY()</f>
        <v>46231</v>
      </c>
      <c r="E17" s="171" t="s">
        <v>273</v>
      </c>
      <c r="F17" s="171"/>
      <c r="G17" s="171"/>
      <c r="H17" s="171"/>
    </row>
    <row r="18" spans="2:8" x14ac:dyDescent="0.25">
      <c r="C18" s="19" t="s">
        <v>274</v>
      </c>
      <c r="D18" s="88">
        <f ca="1">(YEAR(Stichtag)-Berichtsjahr)*4+ROUNDUP(MONTH(Stichtag)/3,0)</f>
        <v>3</v>
      </c>
      <c r="E18" s="171" t="s">
        <v>275</v>
      </c>
      <c r="F18" s="171"/>
      <c r="G18" s="171"/>
      <c r="H18" s="171"/>
    </row>
    <row r="19" spans="2:8" x14ac:dyDescent="0.25">
      <c r="C19" s="19" t="s">
        <v>276</v>
      </c>
      <c r="D19" s="89">
        <v>30</v>
      </c>
      <c r="E19" s="171" t="s">
        <v>277</v>
      </c>
      <c r="F19" s="171"/>
      <c r="G19" s="171"/>
      <c r="H19" s="171"/>
    </row>
    <row r="20" spans="2:8" x14ac:dyDescent="0.25">
      <c r="C20" s="19" t="s">
        <v>278</v>
      </c>
      <c r="D20" s="90">
        <v>0.5</v>
      </c>
      <c r="E20" s="171" t="s">
        <v>279</v>
      </c>
      <c r="F20" s="171"/>
      <c r="G20" s="171"/>
      <c r="H20" s="171"/>
    </row>
    <row r="21" spans="2:8" x14ac:dyDescent="0.25">
      <c r="C21" s="19" t="s">
        <v>280</v>
      </c>
      <c r="D21" s="90">
        <v>0.2</v>
      </c>
      <c r="E21" s="171" t="s">
        <v>279</v>
      </c>
      <c r="F21" s="171"/>
      <c r="G21" s="171"/>
      <c r="H21" s="171"/>
    </row>
    <row r="22" spans="2:8" x14ac:dyDescent="0.25">
      <c r="C22" s="19" t="s">
        <v>281</v>
      </c>
      <c r="D22" s="90">
        <v>0.3</v>
      </c>
      <c r="E22" s="171" t="s">
        <v>282</v>
      </c>
      <c r="F22" s="171"/>
      <c r="G22" s="171"/>
      <c r="H22" s="171"/>
    </row>
    <row r="23" spans="2:8" x14ac:dyDescent="0.25">
      <c r="C23" s="19" t="s">
        <v>283</v>
      </c>
      <c r="D23" s="91">
        <v>50</v>
      </c>
      <c r="E23" s="171" t="s">
        <v>284</v>
      </c>
      <c r="F23" s="171"/>
      <c r="G23" s="171"/>
      <c r="H23" s="171"/>
    </row>
    <row r="24" spans="2:8" x14ac:dyDescent="0.25">
      <c r="C24" s="19" t="s">
        <v>285</v>
      </c>
      <c r="D24" s="90">
        <v>0.85</v>
      </c>
      <c r="E24" s="171" t="s">
        <v>286</v>
      </c>
      <c r="F24" s="171"/>
      <c r="G24" s="171"/>
      <c r="H24" s="171"/>
    </row>
    <row r="25" spans="2:8" x14ac:dyDescent="0.25">
      <c r="C25" s="19" t="s">
        <v>287</v>
      </c>
      <c r="D25" s="90">
        <v>0.55000000000000004</v>
      </c>
      <c r="E25" s="171" t="s">
        <v>288</v>
      </c>
      <c r="F25" s="171"/>
      <c r="G25" s="171"/>
      <c r="H25" s="171"/>
    </row>
    <row r="26" spans="2:8" x14ac:dyDescent="0.25">
      <c r="C26" s="19" t="s">
        <v>289</v>
      </c>
      <c r="D26" s="90">
        <v>0.05</v>
      </c>
      <c r="E26" s="171" t="s">
        <v>290</v>
      </c>
      <c r="F26" s="171"/>
      <c r="G26" s="171"/>
      <c r="H26" s="171"/>
    </row>
    <row r="27" spans="2:8" x14ac:dyDescent="0.25">
      <c r="C27" s="19" t="s">
        <v>291</v>
      </c>
      <c r="D27" s="92">
        <f>SUM($E$50:$E$55)</f>
        <v>720</v>
      </c>
      <c r="E27" s="171" t="s">
        <v>292</v>
      </c>
      <c r="F27" s="171"/>
      <c r="G27" s="171"/>
      <c r="H27" s="171"/>
    </row>
    <row r="29" spans="2:8" ht="19.5" customHeight="1" x14ac:dyDescent="0.25">
      <c r="B29" s="17" t="s">
        <v>36</v>
      </c>
      <c r="C29" s="5" t="s">
        <v>293</v>
      </c>
      <c r="D29" s="5"/>
      <c r="E29" s="5"/>
      <c r="F29" s="5"/>
      <c r="G29" s="5"/>
      <c r="H29" s="18" t="s">
        <v>294</v>
      </c>
    </row>
    <row r="30" spans="2:8" ht="24" customHeight="1" x14ac:dyDescent="0.25">
      <c r="B30" s="21" t="s">
        <v>47</v>
      </c>
      <c r="C30" s="21" t="s">
        <v>49</v>
      </c>
      <c r="D30" s="21" t="s">
        <v>295</v>
      </c>
      <c r="E30" s="21" t="s">
        <v>209</v>
      </c>
      <c r="F30" s="21" t="s">
        <v>56</v>
      </c>
      <c r="G30" s="172" t="s">
        <v>296</v>
      </c>
      <c r="H30" s="172"/>
    </row>
    <row r="31" spans="2:8" ht="16.5" customHeight="1" x14ac:dyDescent="0.25">
      <c r="B31" s="93">
        <v>1</v>
      </c>
      <c r="C31" s="94" t="s">
        <v>80</v>
      </c>
      <c r="D31" s="95" t="s">
        <v>297</v>
      </c>
      <c r="E31" s="96">
        <f>COUNTIF(Roadmap!$D$19:$D$68,$C31)</f>
        <v>4</v>
      </c>
      <c r="F31" s="96">
        <f>SUMIF(Roadmap!$D$19:$D$68,$C31,Roadmap!$K$19:$K$68)</f>
        <v>245</v>
      </c>
      <c r="G31" s="173" t="s">
        <v>298</v>
      </c>
      <c r="H31" s="173"/>
    </row>
    <row r="32" spans="2:8" ht="16.5" customHeight="1" x14ac:dyDescent="0.25">
      <c r="B32" s="93">
        <v>2</v>
      </c>
      <c r="C32" s="94" t="s">
        <v>96</v>
      </c>
      <c r="D32" s="95" t="s">
        <v>299</v>
      </c>
      <c r="E32" s="96">
        <f>COUNTIF(Roadmap!$D$19:$D$68,$C32)</f>
        <v>3</v>
      </c>
      <c r="F32" s="96">
        <f>SUMIF(Roadmap!$D$19:$D$68,$C32,Roadmap!$K$19:$K$68)</f>
        <v>330</v>
      </c>
      <c r="G32" s="174" t="s">
        <v>300</v>
      </c>
      <c r="H32" s="174"/>
    </row>
    <row r="33" spans="2:8" ht="16.5" customHeight="1" x14ac:dyDescent="0.25">
      <c r="B33" s="93">
        <v>3</v>
      </c>
      <c r="C33" s="94" t="s">
        <v>90</v>
      </c>
      <c r="D33" s="95" t="s">
        <v>301</v>
      </c>
      <c r="E33" s="96">
        <f>COUNTIF(Roadmap!$D$19:$D$68,$C33)</f>
        <v>5</v>
      </c>
      <c r="F33" s="96">
        <f>SUMIF(Roadmap!$D$19:$D$68,$C33,Roadmap!$K$19:$K$68)</f>
        <v>590</v>
      </c>
      <c r="G33" s="175" t="s">
        <v>302</v>
      </c>
      <c r="H33" s="175"/>
    </row>
    <row r="34" spans="2:8" ht="16.5" customHeight="1" x14ac:dyDescent="0.25">
      <c r="B34" s="93">
        <v>4</v>
      </c>
      <c r="C34" s="94" t="s">
        <v>100</v>
      </c>
      <c r="D34" s="95" t="s">
        <v>303</v>
      </c>
      <c r="E34" s="96">
        <f>COUNTIF(Roadmap!$D$19:$D$68,$C34)</f>
        <v>6</v>
      </c>
      <c r="F34" s="96">
        <f>SUMIF(Roadmap!$D$19:$D$68,$C34,Roadmap!$K$19:$K$68)</f>
        <v>265</v>
      </c>
      <c r="G34" s="176" t="s">
        <v>304</v>
      </c>
      <c r="H34" s="176"/>
    </row>
    <row r="35" spans="2:8" ht="16.5" customHeight="1" x14ac:dyDescent="0.25">
      <c r="B35" s="93">
        <v>5</v>
      </c>
      <c r="C35" s="94" t="s">
        <v>111</v>
      </c>
      <c r="D35" s="95" t="s">
        <v>305</v>
      </c>
      <c r="E35" s="96">
        <f>COUNTIF(Roadmap!$D$19:$D$68,$C35)</f>
        <v>4</v>
      </c>
      <c r="F35" s="96">
        <f>SUMIF(Roadmap!$D$19:$D$68,$C35,Roadmap!$K$19:$K$68)</f>
        <v>235</v>
      </c>
      <c r="G35" s="177" t="s">
        <v>306</v>
      </c>
      <c r="H35" s="177"/>
    </row>
    <row r="36" spans="2:8" ht="16.5" customHeight="1" x14ac:dyDescent="0.25">
      <c r="B36" s="93">
        <v>6</v>
      </c>
      <c r="C36" s="94" t="s">
        <v>116</v>
      </c>
      <c r="D36" s="95" t="s">
        <v>307</v>
      </c>
      <c r="E36" s="96">
        <f>COUNTIF(Roadmap!$D$19:$D$68,$C36)</f>
        <v>3</v>
      </c>
      <c r="F36" s="96">
        <f>SUMIF(Roadmap!$D$19:$D$68,$C36,Roadmap!$K$19:$K$68)</f>
        <v>165</v>
      </c>
      <c r="G36" s="178" t="s">
        <v>308</v>
      </c>
      <c r="H36" s="178"/>
    </row>
    <row r="37" spans="2:8" ht="16.5" customHeight="1" x14ac:dyDescent="0.25">
      <c r="B37" s="93">
        <v>7</v>
      </c>
      <c r="C37" s="94" t="s">
        <v>87</v>
      </c>
      <c r="D37" s="95" t="s">
        <v>309</v>
      </c>
      <c r="E37" s="96">
        <f>COUNTIF(Roadmap!$D$19:$D$68,$C37)</f>
        <v>3</v>
      </c>
      <c r="F37" s="96">
        <f>SUMIF(Roadmap!$D$19:$D$68,$C37,Roadmap!$K$19:$K$68)</f>
        <v>110</v>
      </c>
      <c r="G37" s="179" t="s">
        <v>310</v>
      </c>
      <c r="H37" s="179"/>
    </row>
    <row r="39" spans="2:8" ht="19.5" customHeight="1" x14ac:dyDescent="0.25">
      <c r="B39" s="17" t="s">
        <v>132</v>
      </c>
      <c r="C39" s="5" t="s">
        <v>311</v>
      </c>
      <c r="D39" s="5"/>
      <c r="E39" s="5"/>
      <c r="F39" s="5"/>
      <c r="G39" s="5"/>
      <c r="H39" s="18" t="s">
        <v>312</v>
      </c>
    </row>
    <row r="40" spans="2:8" ht="24" customHeight="1" x14ac:dyDescent="0.25">
      <c r="B40" s="21" t="s">
        <v>47</v>
      </c>
      <c r="C40" s="21" t="s">
        <v>50</v>
      </c>
      <c r="D40" s="21" t="s">
        <v>295</v>
      </c>
      <c r="E40" s="21" t="s">
        <v>202</v>
      </c>
      <c r="F40" s="21" t="s">
        <v>209</v>
      </c>
      <c r="G40" s="21" t="s">
        <v>56</v>
      </c>
      <c r="H40" s="21" t="s">
        <v>201</v>
      </c>
    </row>
    <row r="41" spans="2:8" ht="16.5" customHeight="1" x14ac:dyDescent="0.25">
      <c r="B41" s="93">
        <v>1</v>
      </c>
      <c r="C41" s="94" t="s">
        <v>81</v>
      </c>
      <c r="D41" s="95" t="s">
        <v>313</v>
      </c>
      <c r="E41" s="97">
        <v>0.3</v>
      </c>
      <c r="F41" s="96">
        <f>COUNTIF(Roadmap!$E$19:$E$68,$C41)</f>
        <v>9</v>
      </c>
      <c r="G41" s="96">
        <f>SUMIF(Roadmap!$E$19:$E$68,$C41,Roadmap!$K$19:$K$68)</f>
        <v>640</v>
      </c>
      <c r="H41" s="98">
        <f>IFERROR($G41/SUM($G$41:$G$45),0)</f>
        <v>0.32989690721649484</v>
      </c>
    </row>
    <row r="42" spans="2:8" ht="16.5" customHeight="1" x14ac:dyDescent="0.25">
      <c r="B42" s="93">
        <v>2</v>
      </c>
      <c r="C42" s="94" t="s">
        <v>101</v>
      </c>
      <c r="D42" s="95" t="s">
        <v>314</v>
      </c>
      <c r="E42" s="97">
        <v>0.25</v>
      </c>
      <c r="F42" s="96">
        <f>COUNTIF(Roadmap!$E$19:$E$68,$C42)</f>
        <v>10</v>
      </c>
      <c r="G42" s="96">
        <f>SUMIF(Roadmap!$E$19:$E$68,$C42,Roadmap!$K$19:$K$68)</f>
        <v>585</v>
      </c>
      <c r="H42" s="98">
        <f>IFERROR($G42/SUM($G$41:$G$45),0)</f>
        <v>0.3015463917525773</v>
      </c>
    </row>
    <row r="43" spans="2:8" ht="16.5" customHeight="1" x14ac:dyDescent="0.25">
      <c r="B43" s="93">
        <v>3</v>
      </c>
      <c r="C43" s="94" t="s">
        <v>94</v>
      </c>
      <c r="D43" s="95" t="s">
        <v>315</v>
      </c>
      <c r="E43" s="97">
        <v>0.2</v>
      </c>
      <c r="F43" s="96">
        <f>COUNTIF(Roadmap!$E$19:$E$68,$C43)</f>
        <v>3</v>
      </c>
      <c r="G43" s="96">
        <f>SUMIF(Roadmap!$E$19:$E$68,$C43,Roadmap!$K$19:$K$68)</f>
        <v>260</v>
      </c>
      <c r="H43" s="98">
        <f>IFERROR($G43/SUM($G$41:$G$45),0)</f>
        <v>0.13402061855670103</v>
      </c>
    </row>
    <row r="44" spans="2:8" ht="16.5" customHeight="1" x14ac:dyDescent="0.25">
      <c r="B44" s="93">
        <v>4</v>
      </c>
      <c r="C44" s="94" t="s">
        <v>91</v>
      </c>
      <c r="D44" s="95" t="s">
        <v>316</v>
      </c>
      <c r="E44" s="97">
        <v>0.15</v>
      </c>
      <c r="F44" s="96">
        <f>COUNTIF(Roadmap!$E$19:$E$68,$C44)</f>
        <v>3</v>
      </c>
      <c r="G44" s="96">
        <f>SUMIF(Roadmap!$E$19:$E$68,$C44,Roadmap!$K$19:$K$68)</f>
        <v>290</v>
      </c>
      <c r="H44" s="98">
        <f>IFERROR($G44/SUM($G$41:$G$45),0)</f>
        <v>0.14948453608247422</v>
      </c>
    </row>
    <row r="45" spans="2:8" ht="16.5" customHeight="1" x14ac:dyDescent="0.25">
      <c r="B45" s="93">
        <v>5</v>
      </c>
      <c r="C45" s="94" t="s">
        <v>116</v>
      </c>
      <c r="D45" s="95" t="s">
        <v>317</v>
      </c>
      <c r="E45" s="97">
        <v>0.1</v>
      </c>
      <c r="F45" s="96">
        <f>COUNTIF(Roadmap!$E$19:$E$68,$C45)</f>
        <v>3</v>
      </c>
      <c r="G45" s="96">
        <f>SUMIF(Roadmap!$E$19:$E$68,$C45,Roadmap!$K$19:$K$68)</f>
        <v>165</v>
      </c>
      <c r="H45" s="98">
        <f>IFERROR($G45/SUM($G$41:$G$45),0)</f>
        <v>8.505154639175258E-2</v>
      </c>
    </row>
    <row r="46" spans="2:8" ht="16.5" customHeight="1" x14ac:dyDescent="0.25">
      <c r="B46" s="180" t="s">
        <v>318</v>
      </c>
      <c r="C46" s="180"/>
      <c r="D46" s="180"/>
      <c r="E46" s="69">
        <f>SUM($E$41:$E$45)</f>
        <v>1</v>
      </c>
      <c r="F46" s="68">
        <f>SUM($F$41:$F$45)</f>
        <v>28</v>
      </c>
      <c r="G46" s="68">
        <f>SUM($G$41:$G$45)</f>
        <v>1940</v>
      </c>
      <c r="H46" s="99" t="str">
        <f>IF(ROUND(SUM($E$41:$E$45),4)=1,"in Ordnung","prüfen")</f>
        <v>in Ordnung</v>
      </c>
    </row>
    <row r="48" spans="2:8" ht="19.5" customHeight="1" x14ac:dyDescent="0.25">
      <c r="B48" s="17" t="s">
        <v>221</v>
      </c>
      <c r="C48" s="5" t="s">
        <v>319</v>
      </c>
      <c r="D48" s="5"/>
      <c r="E48" s="5"/>
      <c r="F48" s="5"/>
      <c r="G48" s="5"/>
      <c r="H48" s="18" t="s">
        <v>320</v>
      </c>
    </row>
    <row r="49" spans="2:8" ht="24" customHeight="1" x14ac:dyDescent="0.25">
      <c r="B49" s="21" t="s">
        <v>47</v>
      </c>
      <c r="C49" s="21" t="s">
        <v>321</v>
      </c>
      <c r="D49" s="21" t="s">
        <v>322</v>
      </c>
      <c r="E49" s="21" t="s">
        <v>323</v>
      </c>
      <c r="F49" s="21" t="s">
        <v>324</v>
      </c>
      <c r="G49" s="21" t="s">
        <v>325</v>
      </c>
      <c r="H49" s="21" t="s">
        <v>212</v>
      </c>
    </row>
    <row r="50" spans="2:8" ht="16.5" customHeight="1" x14ac:dyDescent="0.25">
      <c r="B50" s="93">
        <v>1</v>
      </c>
      <c r="C50" s="94" t="s">
        <v>88</v>
      </c>
      <c r="D50" s="95" t="s">
        <v>326</v>
      </c>
      <c r="E50" s="100">
        <v>40</v>
      </c>
      <c r="F50" s="96">
        <f t="shared" ref="F50:F55" si="0">$E50*4</f>
        <v>160</v>
      </c>
      <c r="G50" s="96">
        <f>SUMIFS(Roadmap!$K$19:$K$68,Roadmap!$F$19:$F$68,$C50,Roadmap!$R$19:$R$68,"&lt;&gt;Zurückgestellt")</f>
        <v>160</v>
      </c>
      <c r="H50" s="101">
        <f t="shared" ref="H50:H55" si="1">IFERROR($G50/$F50,0)</f>
        <v>1</v>
      </c>
    </row>
    <row r="51" spans="2:8" ht="16.5" customHeight="1" x14ac:dyDescent="0.25">
      <c r="B51" s="93">
        <v>2</v>
      </c>
      <c r="C51" s="94" t="s">
        <v>82</v>
      </c>
      <c r="D51" s="95" t="s">
        <v>327</v>
      </c>
      <c r="E51" s="100">
        <v>120</v>
      </c>
      <c r="F51" s="96">
        <f t="shared" si="0"/>
        <v>480</v>
      </c>
      <c r="G51" s="96">
        <f>SUMIFS(Roadmap!$K$19:$K$68,Roadmap!$F$19:$F$68,$C51,Roadmap!$R$19:$R$68,"&lt;&gt;Zurückgestellt")</f>
        <v>245</v>
      </c>
      <c r="H51" s="101">
        <f t="shared" si="1"/>
        <v>0.51041666666666663</v>
      </c>
    </row>
    <row r="52" spans="2:8" ht="16.5" customHeight="1" x14ac:dyDescent="0.25">
      <c r="B52" s="93">
        <v>3</v>
      </c>
      <c r="C52" s="94" t="s">
        <v>97</v>
      </c>
      <c r="D52" s="95" t="s">
        <v>328</v>
      </c>
      <c r="E52" s="100">
        <v>140</v>
      </c>
      <c r="F52" s="96">
        <f t="shared" si="0"/>
        <v>560</v>
      </c>
      <c r="G52" s="96">
        <f>SUMIFS(Roadmap!$K$19:$K$68,Roadmap!$F$19:$F$68,$C52,Roadmap!$R$19:$R$68,"&lt;&gt;Zurückgestellt")</f>
        <v>330</v>
      </c>
      <c r="H52" s="101">
        <f t="shared" si="1"/>
        <v>0.5892857142857143</v>
      </c>
    </row>
    <row r="53" spans="2:8" ht="16.5" customHeight="1" x14ac:dyDescent="0.25">
      <c r="B53" s="93">
        <v>4</v>
      </c>
      <c r="C53" s="94" t="s">
        <v>92</v>
      </c>
      <c r="D53" s="95" t="s">
        <v>329</v>
      </c>
      <c r="E53" s="100">
        <v>180</v>
      </c>
      <c r="F53" s="96">
        <f t="shared" si="0"/>
        <v>720</v>
      </c>
      <c r="G53" s="96">
        <f>SUMIFS(Roadmap!$K$19:$K$68,Roadmap!$F$19:$F$68,$C53,Roadmap!$R$19:$R$68,"&lt;&gt;Zurückgestellt")</f>
        <v>620</v>
      </c>
      <c r="H53" s="101">
        <f t="shared" si="1"/>
        <v>0.86111111111111116</v>
      </c>
    </row>
    <row r="54" spans="2:8" ht="16.5" customHeight="1" x14ac:dyDescent="0.25">
      <c r="B54" s="93">
        <v>5</v>
      </c>
      <c r="C54" s="94" t="s">
        <v>102</v>
      </c>
      <c r="D54" s="95" t="s">
        <v>330</v>
      </c>
      <c r="E54" s="100">
        <v>150</v>
      </c>
      <c r="F54" s="96">
        <f t="shared" si="0"/>
        <v>600</v>
      </c>
      <c r="G54" s="96">
        <f>SUMIFS(Roadmap!$K$19:$K$68,Roadmap!$F$19:$F$68,$C54,Roadmap!$R$19:$R$68,"&lt;&gt;Zurückgestellt")</f>
        <v>350</v>
      </c>
      <c r="H54" s="101">
        <f t="shared" si="1"/>
        <v>0.58333333333333337</v>
      </c>
    </row>
    <row r="55" spans="2:8" ht="16.5" customHeight="1" x14ac:dyDescent="0.25">
      <c r="B55" s="93">
        <v>6</v>
      </c>
      <c r="C55" s="94" t="s">
        <v>112</v>
      </c>
      <c r="D55" s="95" t="s">
        <v>331</v>
      </c>
      <c r="E55" s="100">
        <v>90</v>
      </c>
      <c r="F55" s="96">
        <f t="shared" si="0"/>
        <v>360</v>
      </c>
      <c r="G55" s="96">
        <f>SUMIFS(Roadmap!$K$19:$K$68,Roadmap!$F$19:$F$68,$C55,Roadmap!$R$19:$R$68,"&lt;&gt;Zurückgestellt")</f>
        <v>155</v>
      </c>
      <c r="H55" s="101">
        <f t="shared" si="1"/>
        <v>0.43055555555555558</v>
      </c>
    </row>
    <row r="56" spans="2:8" ht="16.5" customHeight="1" x14ac:dyDescent="0.25">
      <c r="B56" s="180" t="s">
        <v>332</v>
      </c>
      <c r="C56" s="180"/>
      <c r="D56" s="180"/>
      <c r="E56" s="68">
        <f>SUM($E$50:$E$55)</f>
        <v>720</v>
      </c>
      <c r="F56" s="68">
        <f>SUM($F$50:$F$55)</f>
        <v>2880</v>
      </c>
      <c r="G56" s="68">
        <f>SUM($G$50:$G$55)</f>
        <v>1860</v>
      </c>
      <c r="H56" s="69">
        <f>IFERROR(SUM($G$50:$G$55)/SUM($F$50:$F$55),0)</f>
        <v>0.64583333333333337</v>
      </c>
    </row>
    <row r="58" spans="2:8" ht="19.5" customHeight="1" x14ac:dyDescent="0.25">
      <c r="B58" s="17" t="s">
        <v>223</v>
      </c>
      <c r="C58" s="5" t="s">
        <v>333</v>
      </c>
      <c r="D58" s="5"/>
      <c r="E58" s="5"/>
      <c r="F58" s="5"/>
      <c r="G58" s="5"/>
      <c r="H58" s="18" t="s">
        <v>334</v>
      </c>
    </row>
    <row r="59" spans="2:8" x14ac:dyDescent="0.25">
      <c r="C59" s="181" t="s">
        <v>335</v>
      </c>
      <c r="D59" s="181"/>
      <c r="E59" s="181" t="s">
        <v>336</v>
      </c>
      <c r="F59" s="181"/>
      <c r="G59" s="181" t="s">
        <v>337</v>
      </c>
      <c r="H59" s="181"/>
    </row>
    <row r="60" spans="2:8" x14ac:dyDescent="0.25">
      <c r="C60" s="182" t="s">
        <v>128</v>
      </c>
      <c r="D60" s="182"/>
      <c r="E60" s="182" t="s">
        <v>170</v>
      </c>
      <c r="F60" s="182"/>
      <c r="G60" s="182" t="s">
        <v>143</v>
      </c>
      <c r="H60" s="182"/>
    </row>
    <row r="61" spans="2:8" x14ac:dyDescent="0.25">
      <c r="C61" s="182" t="s">
        <v>107</v>
      </c>
      <c r="D61" s="182"/>
      <c r="E61" s="182" t="s">
        <v>159</v>
      </c>
      <c r="F61" s="182"/>
      <c r="G61" s="182" t="s">
        <v>155</v>
      </c>
      <c r="H61" s="182"/>
    </row>
    <row r="62" spans="2:8" x14ac:dyDescent="0.25">
      <c r="C62" s="182" t="s">
        <v>85</v>
      </c>
      <c r="D62" s="182"/>
      <c r="E62" s="182" t="s">
        <v>145</v>
      </c>
      <c r="F62" s="182"/>
      <c r="G62" s="182" t="s">
        <v>52</v>
      </c>
      <c r="H62" s="182"/>
    </row>
    <row r="63" spans="2:8" x14ac:dyDescent="0.25">
      <c r="C63" s="182" t="s">
        <v>83</v>
      </c>
      <c r="D63" s="182"/>
      <c r="E63" s="182" t="s">
        <v>338</v>
      </c>
      <c r="F63" s="182"/>
      <c r="G63" s="182" t="s">
        <v>150</v>
      </c>
      <c r="H63" s="182"/>
    </row>
    <row r="64" spans="2:8" x14ac:dyDescent="0.25">
      <c r="C64" s="182" t="s">
        <v>126</v>
      </c>
      <c r="D64" s="182"/>
      <c r="G64" s="182" t="s">
        <v>161</v>
      </c>
      <c r="H64" s="182"/>
    </row>
    <row r="65" spans="2:8" x14ac:dyDescent="0.25">
      <c r="G65" s="182" t="s">
        <v>147</v>
      </c>
      <c r="H65" s="182"/>
    </row>
    <row r="67" spans="2:8" ht="19.5" customHeight="1" x14ac:dyDescent="0.25">
      <c r="B67" s="17" t="s">
        <v>231</v>
      </c>
      <c r="C67" s="5" t="s">
        <v>339</v>
      </c>
      <c r="D67" s="5"/>
      <c r="E67" s="5"/>
      <c r="F67" s="5"/>
      <c r="G67" s="5"/>
      <c r="H67" s="53"/>
    </row>
    <row r="68" spans="2:8" ht="25.5" customHeight="1" x14ac:dyDescent="0.25">
      <c r="B68" s="102" t="s">
        <v>243</v>
      </c>
      <c r="C68" s="183" t="s">
        <v>340</v>
      </c>
      <c r="D68" s="183"/>
      <c r="E68" s="183"/>
      <c r="F68" s="183"/>
      <c r="G68" s="183"/>
      <c r="H68" s="183"/>
    </row>
    <row r="69" spans="2:8" ht="25.5" customHeight="1" x14ac:dyDescent="0.25">
      <c r="B69" s="102" t="s">
        <v>341</v>
      </c>
      <c r="C69" s="183" t="s">
        <v>342</v>
      </c>
      <c r="D69" s="183"/>
      <c r="E69" s="183"/>
      <c r="F69" s="183"/>
      <c r="G69" s="183"/>
      <c r="H69" s="183"/>
    </row>
    <row r="70" spans="2:8" ht="25.5" customHeight="1" x14ac:dyDescent="0.25">
      <c r="B70" s="102" t="s">
        <v>343</v>
      </c>
      <c r="C70" s="183" t="s">
        <v>344</v>
      </c>
      <c r="D70" s="183"/>
      <c r="E70" s="183"/>
      <c r="F70" s="183"/>
      <c r="G70" s="183"/>
      <c r="H70" s="183"/>
    </row>
    <row r="71" spans="2:8" ht="25.5" customHeight="1" x14ac:dyDescent="0.25">
      <c r="B71" s="102" t="s">
        <v>345</v>
      </c>
      <c r="C71" s="183" t="s">
        <v>346</v>
      </c>
      <c r="D71" s="183"/>
      <c r="E71" s="183"/>
      <c r="F71" s="183"/>
      <c r="G71" s="183"/>
      <c r="H71" s="183"/>
    </row>
    <row r="72" spans="2:8" ht="25.5" customHeight="1" x14ac:dyDescent="0.25">
      <c r="B72" s="102" t="s">
        <v>347</v>
      </c>
      <c r="C72" s="183" t="s">
        <v>348</v>
      </c>
      <c r="D72" s="183"/>
      <c r="E72" s="183"/>
      <c r="F72" s="183"/>
      <c r="G72" s="183"/>
      <c r="H72" s="183"/>
    </row>
    <row r="73" spans="2:8" ht="25.5" customHeight="1" x14ac:dyDescent="0.25">
      <c r="B73" s="102" t="s">
        <v>349</v>
      </c>
      <c r="C73" s="183" t="s">
        <v>350</v>
      </c>
      <c r="D73" s="183"/>
      <c r="E73" s="183"/>
      <c r="F73" s="183"/>
      <c r="G73" s="183"/>
      <c r="H73" s="183"/>
    </row>
    <row r="74" spans="2:8" ht="25.5" customHeight="1" x14ac:dyDescent="0.25">
      <c r="B74" s="102" t="s">
        <v>351</v>
      </c>
      <c r="C74" s="183" t="s">
        <v>352</v>
      </c>
      <c r="D74" s="183"/>
      <c r="E74" s="183"/>
      <c r="F74" s="183"/>
      <c r="G74" s="183"/>
      <c r="H74" s="183"/>
    </row>
    <row r="76" spans="2:8" ht="19.5" customHeight="1" x14ac:dyDescent="0.25">
      <c r="B76" s="17" t="s">
        <v>249</v>
      </c>
      <c r="C76" s="5" t="s">
        <v>353</v>
      </c>
      <c r="D76" s="5"/>
      <c r="E76" s="5"/>
      <c r="F76" s="5"/>
      <c r="G76" s="5"/>
      <c r="H76" s="53"/>
    </row>
    <row r="77" spans="2:8" x14ac:dyDescent="0.25">
      <c r="C77" s="184" t="s">
        <v>186</v>
      </c>
      <c r="D77" s="184"/>
      <c r="E77" s="185" t="s">
        <v>354</v>
      </c>
      <c r="F77" s="185"/>
      <c r="G77" s="186" t="s">
        <v>355</v>
      </c>
      <c r="H77" s="186"/>
    </row>
    <row r="78" spans="2:8" x14ac:dyDescent="0.25">
      <c r="C78" s="187" t="s">
        <v>356</v>
      </c>
      <c r="D78" s="187"/>
      <c r="E78" s="188" t="s">
        <v>357</v>
      </c>
      <c r="F78" s="188"/>
      <c r="G78" s="189" t="s">
        <v>135</v>
      </c>
      <c r="H78" s="189"/>
    </row>
    <row r="79" spans="2:8" ht="24" customHeight="1" x14ac:dyDescent="0.25">
      <c r="C79" s="190" t="s">
        <v>358</v>
      </c>
      <c r="D79" s="190"/>
      <c r="E79" s="190"/>
      <c r="F79" s="190"/>
      <c r="G79" s="190"/>
      <c r="H79" s="190"/>
    </row>
    <row r="80" spans="2:8" ht="24" customHeight="1" x14ac:dyDescent="0.25">
      <c r="C80" s="190" t="s">
        <v>359</v>
      </c>
      <c r="D80" s="190"/>
      <c r="E80" s="190"/>
      <c r="F80" s="190"/>
      <c r="G80" s="190"/>
      <c r="H80" s="190"/>
    </row>
    <row r="81" spans="3:8" ht="24" customHeight="1" x14ac:dyDescent="0.25">
      <c r="C81" s="190" t="s">
        <v>360</v>
      </c>
      <c r="D81" s="190"/>
      <c r="E81" s="190"/>
      <c r="F81" s="190"/>
      <c r="G81" s="190"/>
      <c r="H81" s="190"/>
    </row>
    <row r="82" spans="3:8" ht="24" customHeight="1" x14ac:dyDescent="0.25">
      <c r="C82" s="190" t="s">
        <v>361</v>
      </c>
      <c r="D82" s="190"/>
      <c r="E82" s="190"/>
      <c r="F82" s="190"/>
      <c r="G82" s="190"/>
      <c r="H82" s="190"/>
    </row>
  </sheetData>
  <mergeCells count="77">
    <mergeCell ref="C79:H79"/>
    <mergeCell ref="C80:H80"/>
    <mergeCell ref="C81:H81"/>
    <mergeCell ref="C82:H82"/>
    <mergeCell ref="C77:D77"/>
    <mergeCell ref="E77:F77"/>
    <mergeCell ref="G77:H77"/>
    <mergeCell ref="C78:D78"/>
    <mergeCell ref="E78:F78"/>
    <mergeCell ref="G78:H78"/>
    <mergeCell ref="C71:H71"/>
    <mergeCell ref="C72:H72"/>
    <mergeCell ref="C73:H73"/>
    <mergeCell ref="C74:H74"/>
    <mergeCell ref="C76:G76"/>
    <mergeCell ref="G65:H65"/>
    <mergeCell ref="C67:G67"/>
    <mergeCell ref="C68:H68"/>
    <mergeCell ref="C69:H69"/>
    <mergeCell ref="C70:H70"/>
    <mergeCell ref="C63:D63"/>
    <mergeCell ref="E63:F63"/>
    <mergeCell ref="G63:H63"/>
    <mergeCell ref="C64:D64"/>
    <mergeCell ref="G64:H64"/>
    <mergeCell ref="C61:D61"/>
    <mergeCell ref="E61:F61"/>
    <mergeCell ref="G61:H61"/>
    <mergeCell ref="C62:D62"/>
    <mergeCell ref="E62:F62"/>
    <mergeCell ref="G62:H62"/>
    <mergeCell ref="C59:D59"/>
    <mergeCell ref="E59:F59"/>
    <mergeCell ref="G59:H59"/>
    <mergeCell ref="C60:D60"/>
    <mergeCell ref="E60:F60"/>
    <mergeCell ref="G60:H60"/>
    <mergeCell ref="C39:G39"/>
    <mergeCell ref="B46:D46"/>
    <mergeCell ref="C48:G48"/>
    <mergeCell ref="B56:D56"/>
    <mergeCell ref="C58:G58"/>
    <mergeCell ref="G33:H33"/>
    <mergeCell ref="G34:H34"/>
    <mergeCell ref="G35:H35"/>
    <mergeCell ref="G36:H36"/>
    <mergeCell ref="G37:H37"/>
    <mergeCell ref="E27:H27"/>
    <mergeCell ref="C29:G29"/>
    <mergeCell ref="G30:H30"/>
    <mergeCell ref="G31:H31"/>
    <mergeCell ref="G32:H32"/>
    <mergeCell ref="E22:H22"/>
    <mergeCell ref="E23:H23"/>
    <mergeCell ref="E24:H24"/>
    <mergeCell ref="E25:H25"/>
    <mergeCell ref="E26:H26"/>
    <mergeCell ref="E17:H17"/>
    <mergeCell ref="E18:H18"/>
    <mergeCell ref="E19:H19"/>
    <mergeCell ref="E20:H20"/>
    <mergeCell ref="E21:H21"/>
    <mergeCell ref="D11:E11"/>
    <mergeCell ref="D12:E12"/>
    <mergeCell ref="D13:E13"/>
    <mergeCell ref="C15:G15"/>
    <mergeCell ref="E16:H16"/>
    <mergeCell ref="D6:E6"/>
    <mergeCell ref="D7:E7"/>
    <mergeCell ref="D8:E8"/>
    <mergeCell ref="D9:E9"/>
    <mergeCell ref="D10:E10"/>
    <mergeCell ref="B2:E2"/>
    <mergeCell ref="F2:H2"/>
    <mergeCell ref="B3:E3"/>
    <mergeCell ref="F3:H3"/>
    <mergeCell ref="C5:G5"/>
  </mergeCells>
  <conditionalFormatting sqref="D20:D22">
    <cfRule type="expression" dxfId="2" priority="2">
      <formula>ROUND($D$20+$D$21+$D$22,4)&lt;&gt;1</formula>
    </cfRule>
  </conditionalFormatting>
  <conditionalFormatting sqref="H50:H55">
    <cfRule type="expression" dxfId="1" priority="3">
      <formula>$H50&gt;1</formula>
    </cfRule>
    <cfRule type="expression" dxfId="0" priority="4">
      <formula>$H50&gt;Ziel_Auslastung</formula>
    </cfRule>
  </conditionalFormatting>
  <pageMargins left="0.4" right="0.4" top="1" bottom="1" header="0.511811023622047" footer="0.511811023622047"/>
  <pageSetup fitToHeight="2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21</vt:i4>
      </vt:variant>
    </vt:vector>
  </HeadingPairs>
  <TitlesOfParts>
    <vt:vector size="24" baseType="lpstr">
      <vt:lpstr>Roadmap</vt:lpstr>
      <vt:lpstr>Auswertung</vt:lpstr>
      <vt:lpstr>Stammdaten</vt:lpstr>
      <vt:lpstr>Akt_Quartal</vt:lpstr>
      <vt:lpstr>Aufwand_Normierung</vt:lpstr>
      <vt:lpstr>Berichtsjahr</vt:lpstr>
      <vt:lpstr>Auswertung!Druckbereich</vt:lpstr>
      <vt:lpstr>Roadmap!Druckbereich</vt:lpstr>
      <vt:lpstr>Stammdaten!Druckbereich</vt:lpstr>
      <vt:lpstr>Gew_Dringlichkeit</vt:lpstr>
      <vt:lpstr>Gew_Nutzen</vt:lpstr>
      <vt:lpstr>Gew_Strategie</vt:lpstr>
      <vt:lpstr>Kapazitaet_Quartal</vt:lpstr>
      <vt:lpstr>Liste_Feld</vt:lpstr>
      <vt:lpstr>Liste_MStatus</vt:lpstr>
      <vt:lpstr>Liste_MTyp</vt:lpstr>
      <vt:lpstr>Liste_Status</vt:lpstr>
      <vt:lpstr>Liste_Team</vt:lpstr>
      <vt:lpstr>Liste_Ziel</vt:lpstr>
      <vt:lpstr>Stichtag</vt:lpstr>
      <vt:lpstr>Toleranz_Ziel</vt:lpstr>
      <vt:lpstr>Warnfrist</vt:lpstr>
      <vt:lpstr>Ziel_Auslastung</vt:lpstr>
      <vt:lpstr>Ziel_Fortschritt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2026-07-25T09:02:46Z</dcterms:created>
  <dcterms:modified xsi:type="dcterms:W3CDTF">2026-07-28T07:57:26Z</dcterms:modified>
  <dc:language>en-US</dc:language>
</cp:coreProperties>
</file>