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CB431D9C-4E0B-49FB-9EE7-DAAB78CC972D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Cockpit" sheetId="1" r:id="rId1"/>
    <sheet name="Schulungsplan" sheetId="2" r:id="rId2"/>
    <sheet name="Teilnahmen" sheetId="3" r:id="rId3"/>
    <sheet name="Stammdaten" sheetId="4" r:id="rId4"/>
  </sheets>
  <definedNames>
    <definedName name="_xlnm._FilterDatabase" localSheetId="1" hidden="1">Schulungsplan!$B$7:$R$40</definedName>
    <definedName name="_xlnm._FilterDatabase" localSheetId="2" hidden="1">Teilnahmen!$B$7:$N$75</definedName>
    <definedName name="Abteilungen">Stammdaten!$H$24:$H$33</definedName>
    <definedName name="Berichtsjahr">Stammdaten!$C$15</definedName>
    <definedName name="_xlnm.Print_Titles" localSheetId="1">Schulungsplan!$1:$7</definedName>
    <definedName name="_xlnm.Print_Titles" localSheetId="2">Teilnahmen!$1:$7</definedName>
    <definedName name="Kategorien">Stammdaten!$B$24:$B$31</definedName>
    <definedName name="Schulungsarten">Stammdaten!$E$24:$E$29</definedName>
    <definedName name="StatusSchulung">Stammdaten!$B$37:$B$40</definedName>
    <definedName name="StatusTeilnahme">Stammdaten!$E$37:$E$41</definedName>
    <definedName name="Stichtag">Stammdaten!$C$16</definedName>
    <definedName name="Trainer">Stammdaten!$K$24:$K$32</definedName>
    <definedName name="Turnus_Liste">Stammdaten!$H$37:$H$41</definedName>
    <definedName name="Turnus_Monate">Stammdaten!$I$37:$I$41</definedName>
    <definedName name="Warnfrist_Gueltigkeit">Stammdaten!$C$18</definedName>
    <definedName name="Warnfrist_Tage">Stammdaten!$C$17</definedName>
    <definedName name="Ziel_Auslastung">Stammdaten!$C$20</definedName>
    <definedName name="Ziel_Teilnahmequote">Stammdaten!$C$19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6" i="4" l="1"/>
  <c r="Q75" i="3"/>
  <c r="P75" i="3"/>
  <c r="L75" i="3"/>
  <c r="K75" i="3"/>
  <c r="G75" i="3"/>
  <c r="F75" i="3"/>
  <c r="E75" i="3"/>
  <c r="D75" i="3"/>
  <c r="B75" i="3"/>
  <c r="Q74" i="3"/>
  <c r="P74" i="3"/>
  <c r="L74" i="3"/>
  <c r="K74" i="3"/>
  <c r="G74" i="3"/>
  <c r="F74" i="3"/>
  <c r="E74" i="3"/>
  <c r="D74" i="3"/>
  <c r="B74" i="3"/>
  <c r="P73" i="3"/>
  <c r="Q73" i="3" s="1"/>
  <c r="L73" i="3"/>
  <c r="K73" i="3"/>
  <c r="G73" i="3"/>
  <c r="F73" i="3"/>
  <c r="E73" i="3"/>
  <c r="D73" i="3"/>
  <c r="B73" i="3"/>
  <c r="Q72" i="3"/>
  <c r="P72" i="3"/>
  <c r="L72" i="3"/>
  <c r="K72" i="3"/>
  <c r="G72" i="3"/>
  <c r="F72" i="3"/>
  <c r="E72" i="3"/>
  <c r="D72" i="3"/>
  <c r="B72" i="3"/>
  <c r="Q71" i="3"/>
  <c r="P71" i="3"/>
  <c r="L71" i="3"/>
  <c r="K71" i="3"/>
  <c r="G71" i="3"/>
  <c r="F71" i="3"/>
  <c r="E71" i="3"/>
  <c r="D71" i="3"/>
  <c r="B71" i="3"/>
  <c r="Q70" i="3"/>
  <c r="P70" i="3"/>
  <c r="L70" i="3"/>
  <c r="K70" i="3"/>
  <c r="G70" i="3"/>
  <c r="F70" i="3"/>
  <c r="E70" i="3"/>
  <c r="D70" i="3"/>
  <c r="B70" i="3"/>
  <c r="Q69" i="3"/>
  <c r="P69" i="3"/>
  <c r="L69" i="3"/>
  <c r="K69" i="3"/>
  <c r="G69" i="3"/>
  <c r="F69" i="3"/>
  <c r="E69" i="3"/>
  <c r="D69" i="3"/>
  <c r="B69" i="3"/>
  <c r="Q68" i="3"/>
  <c r="P68" i="3"/>
  <c r="L68" i="3"/>
  <c r="K68" i="3"/>
  <c r="G68" i="3"/>
  <c r="F68" i="3"/>
  <c r="E68" i="3"/>
  <c r="D68" i="3"/>
  <c r="B68" i="3"/>
  <c r="Q67" i="3"/>
  <c r="P67" i="3"/>
  <c r="L67" i="3"/>
  <c r="K67" i="3"/>
  <c r="G67" i="3"/>
  <c r="F67" i="3"/>
  <c r="E67" i="3"/>
  <c r="D67" i="3"/>
  <c r="B67" i="3"/>
  <c r="L66" i="3"/>
  <c r="P66" i="3" s="1"/>
  <c r="Q66" i="3" s="1"/>
  <c r="K66" i="3"/>
  <c r="G66" i="3"/>
  <c r="F66" i="3"/>
  <c r="E66" i="3"/>
  <c r="D66" i="3"/>
  <c r="L65" i="3"/>
  <c r="P65" i="3" s="1"/>
  <c r="Q65" i="3" s="1"/>
  <c r="K65" i="3"/>
  <c r="G65" i="3"/>
  <c r="F65" i="3"/>
  <c r="E65" i="3"/>
  <c r="D65" i="3"/>
  <c r="K64" i="3"/>
  <c r="L64" i="3" s="1"/>
  <c r="P64" i="3" s="1"/>
  <c r="Q64" i="3" s="1"/>
  <c r="G64" i="3"/>
  <c r="F64" i="3"/>
  <c r="E64" i="3"/>
  <c r="D64" i="3"/>
  <c r="P63" i="3"/>
  <c r="Q63" i="3" s="1"/>
  <c r="L63" i="3"/>
  <c r="K63" i="3"/>
  <c r="G63" i="3"/>
  <c r="F63" i="3"/>
  <c r="E63" i="3"/>
  <c r="D63" i="3"/>
  <c r="K62" i="3"/>
  <c r="L62" i="3" s="1"/>
  <c r="P62" i="3" s="1"/>
  <c r="Q62" i="3" s="1"/>
  <c r="G62" i="3"/>
  <c r="F62" i="3"/>
  <c r="E62" i="3"/>
  <c r="D62" i="3"/>
  <c r="K61" i="3"/>
  <c r="L61" i="3" s="1"/>
  <c r="P61" i="3" s="1"/>
  <c r="Q61" i="3" s="1"/>
  <c r="G61" i="3"/>
  <c r="F61" i="3"/>
  <c r="E61" i="3"/>
  <c r="D61" i="3"/>
  <c r="K60" i="3"/>
  <c r="L60" i="3" s="1"/>
  <c r="P60" i="3" s="1"/>
  <c r="Q60" i="3" s="1"/>
  <c r="G60" i="3"/>
  <c r="F60" i="3"/>
  <c r="E60" i="3"/>
  <c r="D60" i="3"/>
  <c r="K59" i="3"/>
  <c r="L59" i="3" s="1"/>
  <c r="P59" i="3" s="1"/>
  <c r="Q59" i="3" s="1"/>
  <c r="G59" i="3"/>
  <c r="F59" i="3"/>
  <c r="E59" i="3"/>
  <c r="D59" i="3"/>
  <c r="K58" i="3"/>
  <c r="L58" i="3" s="1"/>
  <c r="P58" i="3" s="1"/>
  <c r="Q58" i="3" s="1"/>
  <c r="G58" i="3"/>
  <c r="F58" i="3"/>
  <c r="E58" i="3"/>
  <c r="D58" i="3"/>
  <c r="K57" i="3"/>
  <c r="L57" i="3" s="1"/>
  <c r="P57" i="3" s="1"/>
  <c r="Q57" i="3" s="1"/>
  <c r="G57" i="3"/>
  <c r="F57" i="3"/>
  <c r="E57" i="3"/>
  <c r="D57" i="3"/>
  <c r="K56" i="3"/>
  <c r="L56" i="3" s="1"/>
  <c r="P56" i="3" s="1"/>
  <c r="Q56" i="3" s="1"/>
  <c r="G56" i="3"/>
  <c r="F56" i="3"/>
  <c r="E56" i="3"/>
  <c r="D56" i="3"/>
  <c r="K55" i="3"/>
  <c r="L55" i="3" s="1"/>
  <c r="P55" i="3" s="1"/>
  <c r="Q55" i="3" s="1"/>
  <c r="G55" i="3"/>
  <c r="F55" i="3"/>
  <c r="E55" i="3"/>
  <c r="D55" i="3"/>
  <c r="K54" i="3"/>
  <c r="L54" i="3" s="1"/>
  <c r="P54" i="3" s="1"/>
  <c r="Q54" i="3" s="1"/>
  <c r="G54" i="3"/>
  <c r="F54" i="3"/>
  <c r="E54" i="3"/>
  <c r="D54" i="3"/>
  <c r="K53" i="3"/>
  <c r="L53" i="3" s="1"/>
  <c r="P53" i="3" s="1"/>
  <c r="Q53" i="3" s="1"/>
  <c r="G53" i="3"/>
  <c r="F53" i="3"/>
  <c r="E53" i="3"/>
  <c r="D53" i="3"/>
  <c r="K52" i="3"/>
  <c r="L52" i="3" s="1"/>
  <c r="P52" i="3" s="1"/>
  <c r="G52" i="3"/>
  <c r="F52" i="3"/>
  <c r="E52" i="3"/>
  <c r="D52" i="3"/>
  <c r="K51" i="3"/>
  <c r="L51" i="3" s="1"/>
  <c r="P51" i="3" s="1"/>
  <c r="G51" i="3"/>
  <c r="F51" i="3"/>
  <c r="E51" i="3"/>
  <c r="D51" i="3"/>
  <c r="K50" i="3"/>
  <c r="L50" i="3" s="1"/>
  <c r="P50" i="3" s="1"/>
  <c r="G50" i="3"/>
  <c r="F50" i="3"/>
  <c r="E50" i="3"/>
  <c r="D50" i="3"/>
  <c r="K49" i="3"/>
  <c r="L49" i="3" s="1"/>
  <c r="P49" i="3" s="1"/>
  <c r="Q49" i="3" s="1"/>
  <c r="G49" i="3"/>
  <c r="F49" i="3"/>
  <c r="E49" i="3"/>
  <c r="D49" i="3"/>
  <c r="G48" i="3"/>
  <c r="F48" i="3"/>
  <c r="E48" i="3"/>
  <c r="K48" i="3" s="1"/>
  <c r="L48" i="3" s="1"/>
  <c r="P48" i="3" s="1"/>
  <c r="Q48" i="3" s="1"/>
  <c r="D48" i="3"/>
  <c r="L47" i="3"/>
  <c r="P47" i="3" s="1"/>
  <c r="Q47" i="3" s="1"/>
  <c r="K47" i="3"/>
  <c r="G47" i="3"/>
  <c r="F47" i="3"/>
  <c r="E47" i="3"/>
  <c r="D47" i="3"/>
  <c r="L46" i="3"/>
  <c r="P46" i="3" s="1"/>
  <c r="Q46" i="3" s="1"/>
  <c r="K46" i="3"/>
  <c r="G46" i="3"/>
  <c r="F46" i="3"/>
  <c r="E46" i="3"/>
  <c r="D46" i="3"/>
  <c r="L45" i="3"/>
  <c r="P45" i="3" s="1"/>
  <c r="Q45" i="3" s="1"/>
  <c r="K45" i="3"/>
  <c r="G45" i="3"/>
  <c r="F45" i="3"/>
  <c r="E45" i="3"/>
  <c r="D45" i="3"/>
  <c r="G44" i="3"/>
  <c r="F44" i="3"/>
  <c r="E44" i="3"/>
  <c r="K44" i="3" s="1"/>
  <c r="L44" i="3" s="1"/>
  <c r="P44" i="3" s="1"/>
  <c r="Q44" i="3" s="1"/>
  <c r="D44" i="3"/>
  <c r="G43" i="3"/>
  <c r="F43" i="3"/>
  <c r="E43" i="3"/>
  <c r="K43" i="3" s="1"/>
  <c r="L43" i="3" s="1"/>
  <c r="P43" i="3" s="1"/>
  <c r="Q43" i="3" s="1"/>
  <c r="D43" i="3"/>
  <c r="G42" i="3"/>
  <c r="F42" i="3"/>
  <c r="E42" i="3"/>
  <c r="K42" i="3" s="1"/>
  <c r="L42" i="3" s="1"/>
  <c r="P42" i="3" s="1"/>
  <c r="Q42" i="3" s="1"/>
  <c r="D42" i="3"/>
  <c r="L41" i="3"/>
  <c r="P41" i="3" s="1"/>
  <c r="Q41" i="3" s="1"/>
  <c r="K41" i="3"/>
  <c r="G41" i="3"/>
  <c r="F41" i="3"/>
  <c r="E41" i="3"/>
  <c r="D41" i="3"/>
  <c r="K40" i="3"/>
  <c r="L40" i="3" s="1"/>
  <c r="P40" i="3" s="1"/>
  <c r="Q40" i="3" s="1"/>
  <c r="G40" i="3"/>
  <c r="F40" i="3"/>
  <c r="E40" i="3"/>
  <c r="D40" i="3"/>
  <c r="G39" i="3"/>
  <c r="F39" i="3"/>
  <c r="E39" i="3"/>
  <c r="K39" i="3" s="1"/>
  <c r="L39" i="3" s="1"/>
  <c r="P39" i="3" s="1"/>
  <c r="Q39" i="3" s="1"/>
  <c r="D39" i="3"/>
  <c r="G38" i="3"/>
  <c r="F38" i="3"/>
  <c r="E38" i="3"/>
  <c r="K38" i="3" s="1"/>
  <c r="L38" i="3" s="1"/>
  <c r="P38" i="3" s="1"/>
  <c r="Q38" i="3" s="1"/>
  <c r="D38" i="3"/>
  <c r="K37" i="3"/>
  <c r="L37" i="3" s="1"/>
  <c r="P37" i="3" s="1"/>
  <c r="Q37" i="3" s="1"/>
  <c r="G37" i="3"/>
  <c r="F37" i="3"/>
  <c r="E37" i="3"/>
  <c r="D37" i="3"/>
  <c r="G36" i="3"/>
  <c r="F36" i="3"/>
  <c r="E36" i="3"/>
  <c r="K36" i="3" s="1"/>
  <c r="L36" i="3" s="1"/>
  <c r="P36" i="3" s="1"/>
  <c r="Q36" i="3" s="1"/>
  <c r="D36" i="3"/>
  <c r="K35" i="3"/>
  <c r="L35" i="3" s="1"/>
  <c r="P35" i="3" s="1"/>
  <c r="Q35" i="3" s="1"/>
  <c r="G35" i="3"/>
  <c r="F35" i="3"/>
  <c r="E35" i="3"/>
  <c r="D35" i="3"/>
  <c r="K34" i="3"/>
  <c r="L34" i="3" s="1"/>
  <c r="P34" i="3" s="1"/>
  <c r="Q34" i="3" s="1"/>
  <c r="G34" i="3"/>
  <c r="F34" i="3"/>
  <c r="E34" i="3"/>
  <c r="D34" i="3"/>
  <c r="K33" i="3"/>
  <c r="L33" i="3" s="1"/>
  <c r="P33" i="3" s="1"/>
  <c r="Q33" i="3" s="1"/>
  <c r="G33" i="3"/>
  <c r="F33" i="3"/>
  <c r="E33" i="3"/>
  <c r="D33" i="3"/>
  <c r="K32" i="3"/>
  <c r="L32" i="3" s="1"/>
  <c r="P32" i="3" s="1"/>
  <c r="Q32" i="3" s="1"/>
  <c r="G32" i="3"/>
  <c r="F32" i="3"/>
  <c r="E32" i="3"/>
  <c r="D32" i="3"/>
  <c r="K31" i="3"/>
  <c r="L31" i="3" s="1"/>
  <c r="P31" i="3" s="1"/>
  <c r="Q31" i="3" s="1"/>
  <c r="G31" i="3"/>
  <c r="F31" i="3"/>
  <c r="E31" i="3"/>
  <c r="D31" i="3"/>
  <c r="K30" i="3"/>
  <c r="L30" i="3" s="1"/>
  <c r="P30" i="3" s="1"/>
  <c r="Q30" i="3" s="1"/>
  <c r="G30" i="3"/>
  <c r="F30" i="3"/>
  <c r="E30" i="3"/>
  <c r="D30" i="3"/>
  <c r="G29" i="3"/>
  <c r="K29" i="3" s="1"/>
  <c r="L29" i="3" s="1"/>
  <c r="P29" i="3" s="1"/>
  <c r="Q29" i="3" s="1"/>
  <c r="F29" i="3"/>
  <c r="E29" i="3"/>
  <c r="D29" i="3"/>
  <c r="G28" i="3"/>
  <c r="F28" i="3"/>
  <c r="E28" i="3"/>
  <c r="K28" i="3" s="1"/>
  <c r="L28" i="3" s="1"/>
  <c r="P28" i="3" s="1"/>
  <c r="Q28" i="3" s="1"/>
  <c r="D28" i="3"/>
  <c r="L27" i="3"/>
  <c r="P27" i="3" s="1"/>
  <c r="Q27" i="3" s="1"/>
  <c r="K27" i="3"/>
  <c r="G27" i="3"/>
  <c r="F27" i="3"/>
  <c r="E27" i="3"/>
  <c r="D27" i="3"/>
  <c r="G26" i="3"/>
  <c r="F26" i="3"/>
  <c r="E26" i="3"/>
  <c r="K26" i="3" s="1"/>
  <c r="L26" i="3" s="1"/>
  <c r="P26" i="3" s="1"/>
  <c r="Q26" i="3" s="1"/>
  <c r="D26" i="3"/>
  <c r="G25" i="3"/>
  <c r="F25" i="3"/>
  <c r="E25" i="3"/>
  <c r="K25" i="3" s="1"/>
  <c r="L25" i="3" s="1"/>
  <c r="P25" i="3" s="1"/>
  <c r="Q25" i="3" s="1"/>
  <c r="D25" i="3"/>
  <c r="G24" i="3"/>
  <c r="F24" i="3"/>
  <c r="E24" i="3"/>
  <c r="K24" i="3" s="1"/>
  <c r="L24" i="3" s="1"/>
  <c r="P24" i="3" s="1"/>
  <c r="Q24" i="3" s="1"/>
  <c r="D24" i="3"/>
  <c r="G23" i="3"/>
  <c r="F23" i="3"/>
  <c r="E23" i="3"/>
  <c r="K23" i="3" s="1"/>
  <c r="L23" i="3" s="1"/>
  <c r="P23" i="3" s="1"/>
  <c r="Q23" i="3" s="1"/>
  <c r="D23" i="3"/>
  <c r="G22" i="3"/>
  <c r="F22" i="3"/>
  <c r="E22" i="3"/>
  <c r="K22" i="3" s="1"/>
  <c r="L22" i="3" s="1"/>
  <c r="P22" i="3" s="1"/>
  <c r="Q22" i="3" s="1"/>
  <c r="D22" i="3"/>
  <c r="G21" i="3"/>
  <c r="F21" i="3"/>
  <c r="E21" i="3"/>
  <c r="K21" i="3" s="1"/>
  <c r="L21" i="3" s="1"/>
  <c r="P21" i="3" s="1"/>
  <c r="Q21" i="3" s="1"/>
  <c r="D21" i="3"/>
  <c r="G20" i="3"/>
  <c r="K20" i="3" s="1"/>
  <c r="L20" i="3" s="1"/>
  <c r="P20" i="3" s="1"/>
  <c r="Q20" i="3" s="1"/>
  <c r="F20" i="3"/>
  <c r="E20" i="3"/>
  <c r="D20" i="3"/>
  <c r="G19" i="3"/>
  <c r="F19" i="3"/>
  <c r="E19" i="3"/>
  <c r="K19" i="3" s="1"/>
  <c r="L19" i="3" s="1"/>
  <c r="P19" i="3" s="1"/>
  <c r="Q19" i="3" s="1"/>
  <c r="D19" i="3"/>
  <c r="G18" i="3"/>
  <c r="F18" i="3"/>
  <c r="E18" i="3"/>
  <c r="K18" i="3" s="1"/>
  <c r="L18" i="3" s="1"/>
  <c r="P18" i="3" s="1"/>
  <c r="D18" i="3"/>
  <c r="K17" i="3"/>
  <c r="L17" i="3" s="1"/>
  <c r="P17" i="3" s="1"/>
  <c r="G17" i="3"/>
  <c r="F17" i="3"/>
  <c r="E17" i="3"/>
  <c r="D17" i="3"/>
  <c r="G16" i="3"/>
  <c r="F16" i="3"/>
  <c r="E16" i="3"/>
  <c r="K16" i="3" s="1"/>
  <c r="L16" i="3" s="1"/>
  <c r="P16" i="3" s="1"/>
  <c r="D16" i="3"/>
  <c r="K15" i="3"/>
  <c r="L15" i="3" s="1"/>
  <c r="P15" i="3" s="1"/>
  <c r="G15" i="3"/>
  <c r="F15" i="3"/>
  <c r="E15" i="3"/>
  <c r="D15" i="3"/>
  <c r="K14" i="3"/>
  <c r="L14" i="3" s="1"/>
  <c r="P14" i="3" s="1"/>
  <c r="Q14" i="3" s="1"/>
  <c r="G14" i="3"/>
  <c r="F14" i="3"/>
  <c r="E14" i="3"/>
  <c r="D14" i="3"/>
  <c r="G13" i="3"/>
  <c r="F13" i="3"/>
  <c r="E13" i="3"/>
  <c r="K13" i="3" s="1"/>
  <c r="L13" i="3" s="1"/>
  <c r="P13" i="3" s="1"/>
  <c r="Q13" i="3" s="1"/>
  <c r="D13" i="3"/>
  <c r="K12" i="3"/>
  <c r="L12" i="3" s="1"/>
  <c r="P12" i="3" s="1"/>
  <c r="Q12" i="3" s="1"/>
  <c r="G12" i="3"/>
  <c r="F12" i="3"/>
  <c r="E12" i="3"/>
  <c r="D12" i="3"/>
  <c r="K11" i="3"/>
  <c r="L11" i="3" s="1"/>
  <c r="P11" i="3" s="1"/>
  <c r="Q11" i="3" s="1"/>
  <c r="G11" i="3"/>
  <c r="F11" i="3"/>
  <c r="E11" i="3"/>
  <c r="D11" i="3"/>
  <c r="K10" i="3"/>
  <c r="L10" i="3" s="1"/>
  <c r="P10" i="3" s="1"/>
  <c r="G10" i="3"/>
  <c r="F10" i="3"/>
  <c r="E10" i="3"/>
  <c r="D10" i="3"/>
  <c r="G9" i="3"/>
  <c r="K9" i="3" s="1"/>
  <c r="L9" i="3" s="1"/>
  <c r="P9" i="3" s="1"/>
  <c r="F9" i="3"/>
  <c r="E9" i="3"/>
  <c r="D9" i="3"/>
  <c r="G8" i="3"/>
  <c r="F8" i="3"/>
  <c r="E8" i="3"/>
  <c r="K8" i="3" s="1"/>
  <c r="L8" i="3" s="1"/>
  <c r="P8" i="3" s="1"/>
  <c r="D8" i="3"/>
  <c r="G7" i="3"/>
  <c r="F7" i="3"/>
  <c r="E7" i="3"/>
  <c r="K7" i="3" s="1"/>
  <c r="L7" i="3" s="1"/>
  <c r="P7" i="3" s="1"/>
  <c r="D7" i="3"/>
  <c r="G6" i="3"/>
  <c r="F6" i="3"/>
  <c r="E6" i="3"/>
  <c r="K6" i="3" s="1"/>
  <c r="L6" i="3" s="1"/>
  <c r="D6" i="3"/>
  <c r="B6" i="3"/>
  <c r="S40" i="2"/>
  <c r="Q40" i="2"/>
  <c r="M40" i="2"/>
  <c r="L40" i="2"/>
  <c r="K40" i="2"/>
  <c r="S39" i="2"/>
  <c r="Q39" i="2"/>
  <c r="M39" i="2"/>
  <c r="L39" i="2"/>
  <c r="K39" i="2"/>
  <c r="S38" i="2"/>
  <c r="Q38" i="2"/>
  <c r="M38" i="2"/>
  <c r="L38" i="2"/>
  <c r="K38" i="2"/>
  <c r="S37" i="2"/>
  <c r="Q37" i="2"/>
  <c r="M37" i="2"/>
  <c r="L37" i="2"/>
  <c r="K37" i="2"/>
  <c r="S36" i="2"/>
  <c r="Q36" i="2"/>
  <c r="M36" i="2"/>
  <c r="L36" i="2"/>
  <c r="K36" i="2"/>
  <c r="S35" i="2"/>
  <c r="Q35" i="2"/>
  <c r="M35" i="2"/>
  <c r="L35" i="2"/>
  <c r="K35" i="2"/>
  <c r="S34" i="2"/>
  <c r="Q34" i="2"/>
  <c r="M34" i="2"/>
  <c r="L34" i="2"/>
  <c r="K34" i="2"/>
  <c r="S33" i="2"/>
  <c r="Q33" i="2"/>
  <c r="M33" i="2"/>
  <c r="L33" i="2"/>
  <c r="K33" i="2"/>
  <c r="S32" i="2"/>
  <c r="Q32" i="2"/>
  <c r="M32" i="2"/>
  <c r="L32" i="2"/>
  <c r="K32" i="2"/>
  <c r="S31" i="2"/>
  <c r="Q31" i="2"/>
  <c r="M31" i="2"/>
  <c r="L31" i="2"/>
  <c r="K31" i="2"/>
  <c r="S30" i="2"/>
  <c r="Q30" i="2"/>
  <c r="M30" i="2"/>
  <c r="L30" i="2"/>
  <c r="K30" i="2"/>
  <c r="S29" i="2"/>
  <c r="Q29" i="2"/>
  <c r="M29" i="2"/>
  <c r="L29" i="2"/>
  <c r="K29" i="2"/>
  <c r="Q28" i="2"/>
  <c r="L28" i="2"/>
  <c r="S28" i="2" s="1"/>
  <c r="K28" i="2"/>
  <c r="M28" i="2" s="1"/>
  <c r="Q27" i="2"/>
  <c r="L27" i="2"/>
  <c r="S27" i="2" s="1"/>
  <c r="K27" i="2"/>
  <c r="M27" i="2" s="1"/>
  <c r="Q26" i="2"/>
  <c r="L26" i="2"/>
  <c r="S26" i="2" s="1"/>
  <c r="K26" i="2"/>
  <c r="M26" i="2" s="1"/>
  <c r="Q25" i="2"/>
  <c r="L25" i="2"/>
  <c r="S25" i="2" s="1"/>
  <c r="K25" i="2"/>
  <c r="M25" i="2" s="1"/>
  <c r="Q24" i="2"/>
  <c r="L24" i="2"/>
  <c r="S24" i="2" s="1"/>
  <c r="K24" i="2"/>
  <c r="M24" i="2" s="1"/>
  <c r="Q23" i="2"/>
  <c r="L23" i="2"/>
  <c r="S23" i="2" s="1"/>
  <c r="K23" i="2"/>
  <c r="M23" i="2" s="1"/>
  <c r="Q22" i="2"/>
  <c r="L22" i="2"/>
  <c r="S22" i="2" s="1"/>
  <c r="K22" i="2"/>
  <c r="M22" i="2" s="1"/>
  <c r="Q21" i="2"/>
  <c r="L21" i="2"/>
  <c r="S21" i="2" s="1"/>
  <c r="K21" i="2"/>
  <c r="M21" i="2" s="1"/>
  <c r="Q20" i="2"/>
  <c r="L20" i="2"/>
  <c r="S20" i="2" s="1"/>
  <c r="K20" i="2"/>
  <c r="M20" i="2" s="1"/>
  <c r="Q19" i="2"/>
  <c r="L19" i="2"/>
  <c r="S19" i="2" s="1"/>
  <c r="K19" i="2"/>
  <c r="M19" i="2" s="1"/>
  <c r="Q18" i="2"/>
  <c r="L18" i="2"/>
  <c r="S18" i="2" s="1"/>
  <c r="K18" i="2"/>
  <c r="M18" i="2" s="1"/>
  <c r="Q17" i="2"/>
  <c r="L17" i="2"/>
  <c r="S17" i="2" s="1"/>
  <c r="K17" i="2"/>
  <c r="M17" i="2" s="1"/>
  <c r="Q16" i="2"/>
  <c r="L16" i="2"/>
  <c r="S16" i="2" s="1"/>
  <c r="K16" i="2"/>
  <c r="M16" i="2" s="1"/>
  <c r="Q15" i="2"/>
  <c r="L15" i="2"/>
  <c r="S15" i="2" s="1"/>
  <c r="K15" i="2"/>
  <c r="M15" i="2" s="1"/>
  <c r="Q14" i="2"/>
  <c r="L14" i="2"/>
  <c r="S14" i="2" s="1"/>
  <c r="K14" i="2"/>
  <c r="M14" i="2" s="1"/>
  <c r="Q13" i="2"/>
  <c r="L13" i="2"/>
  <c r="S13" i="2" s="1"/>
  <c r="K13" i="2"/>
  <c r="M13" i="2" s="1"/>
  <c r="Q12" i="2"/>
  <c r="L12" i="2"/>
  <c r="S12" i="2" s="1"/>
  <c r="K12" i="2"/>
  <c r="M12" i="2" s="1"/>
  <c r="Q11" i="2"/>
  <c r="L11" i="2"/>
  <c r="S11" i="2" s="1"/>
  <c r="K11" i="2"/>
  <c r="M11" i="2" s="1"/>
  <c r="Q10" i="2"/>
  <c r="L10" i="2"/>
  <c r="S10" i="2" s="1"/>
  <c r="K10" i="2"/>
  <c r="M10" i="2" s="1"/>
  <c r="Q9" i="2"/>
  <c r="L9" i="2"/>
  <c r="S9" i="2" s="1"/>
  <c r="K9" i="2"/>
  <c r="M9" i="2" s="1"/>
  <c r="Q8" i="2"/>
  <c r="L8" i="2"/>
  <c r="S8" i="2" s="1"/>
  <c r="K8" i="2"/>
  <c r="M8" i="2" s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D37" i="1"/>
  <c r="C37" i="1"/>
  <c r="K33" i="1"/>
  <c r="J33" i="1"/>
  <c r="J32" i="1"/>
  <c r="K32" i="1" s="1"/>
  <c r="D32" i="1"/>
  <c r="E32" i="1" s="1"/>
  <c r="K31" i="1"/>
  <c r="J31" i="1"/>
  <c r="D31" i="1"/>
  <c r="E31" i="1" s="1"/>
  <c r="K30" i="1"/>
  <c r="J30" i="1"/>
  <c r="E30" i="1"/>
  <c r="D30" i="1"/>
  <c r="J29" i="1"/>
  <c r="K29" i="1" s="1"/>
  <c r="D29" i="1"/>
  <c r="E29" i="1" s="1"/>
  <c r="F26" i="1"/>
  <c r="E26" i="1"/>
  <c r="D26" i="1"/>
  <c r="G26" i="1" s="1"/>
  <c r="F25" i="1"/>
  <c r="E25" i="1"/>
  <c r="D25" i="1"/>
  <c r="G25" i="1" s="1"/>
  <c r="G24" i="1"/>
  <c r="F24" i="1"/>
  <c r="E24" i="1"/>
  <c r="D24" i="1"/>
  <c r="F23" i="1"/>
  <c r="E23" i="1"/>
  <c r="D23" i="1"/>
  <c r="G23" i="1" s="1"/>
  <c r="G22" i="1"/>
  <c r="F22" i="1"/>
  <c r="E22" i="1"/>
  <c r="D22" i="1"/>
  <c r="F21" i="1"/>
  <c r="E21" i="1"/>
  <c r="D21" i="1"/>
  <c r="G21" i="1" s="1"/>
  <c r="F20" i="1"/>
  <c r="E20" i="1"/>
  <c r="D20" i="1"/>
  <c r="G20" i="1" s="1"/>
  <c r="G19" i="1"/>
  <c r="F19" i="1"/>
  <c r="E19" i="1"/>
  <c r="D19" i="1"/>
  <c r="K13" i="1"/>
  <c r="E13" i="1"/>
  <c r="B13" i="1"/>
  <c r="H9" i="1"/>
  <c r="E9" i="1"/>
  <c r="B9" i="1"/>
  <c r="K2" i="1"/>
  <c r="H13" i="1" l="1"/>
  <c r="K9" i="1"/>
  <c r="H25" i="1"/>
  <c r="P6" i="3"/>
  <c r="Q6" i="3" s="1"/>
  <c r="Q50" i="3"/>
  <c r="Q16" i="3"/>
  <c r="Q7" i="3"/>
  <c r="Q8" i="3"/>
  <c r="Q51" i="3"/>
  <c r="B7" i="3"/>
  <c r="Q15" i="3" l="1"/>
  <c r="Q18" i="3"/>
  <c r="B8" i="3"/>
  <c r="Q10" i="3"/>
  <c r="Q52" i="3"/>
  <c r="Q9" i="3"/>
  <c r="K22" i="1" s="1"/>
  <c r="Q17" i="3"/>
  <c r="K21" i="1" l="1"/>
  <c r="H21" i="1"/>
  <c r="H20" i="1"/>
  <c r="L20" i="1"/>
  <c r="L21" i="1"/>
  <c r="H23" i="1"/>
  <c r="B9" i="3"/>
  <c r="L22" i="1"/>
  <c r="K20" i="1"/>
  <c r="H19" i="1"/>
  <c r="H24" i="1"/>
  <c r="K23" i="1"/>
  <c r="L23" i="1"/>
  <c r="K24" i="1"/>
  <c r="L24" i="1"/>
  <c r="K19" i="1"/>
  <c r="H22" i="1"/>
  <c r="L19" i="1"/>
  <c r="B10" i="3" l="1"/>
  <c r="B11" i="3" l="1"/>
  <c r="B12" i="3" l="1"/>
  <c r="B13" i="3" l="1"/>
  <c r="B14" i="3" l="1"/>
  <c r="B15" i="3"/>
  <c r="B16" i="3" l="1"/>
  <c r="B17" i="3" l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</calcChain>
</file>

<file path=xl/sharedStrings.xml><?xml version="1.0" encoding="utf-8"?>
<sst xmlns="http://schemas.openxmlformats.org/spreadsheetml/2006/main" count="614" uniqueCount="231">
  <si>
    <t>Schulungsplan · Cockpit</t>
  </si>
  <si>
    <t>Automatische Auswertung aller Schulungen und Teilnahmen · Stand siehe Stichtag</t>
  </si>
  <si>
    <t>1</t>
  </si>
  <si>
    <t>Kennzahlen im Überblick</t>
  </si>
  <si>
    <t>Schulungen gesamt</t>
  </si>
  <si>
    <t>davon abgeschlossen</t>
  </si>
  <si>
    <t>geplant / in Planung</t>
  </si>
  <si>
    <t>Teilnehmerstunden</t>
  </si>
  <si>
    <t>Teilnahmen gesamt</t>
  </si>
  <si>
    <t>Teilnahmequote</t>
  </si>
  <si>
    <t>Ø Auslastung</t>
  </si>
  <si>
    <t>Schulungskosten</t>
  </si>
  <si>
    <t>2</t>
  </si>
  <si>
    <t>Schulungen nach Kategorie</t>
  </si>
  <si>
    <t>3</t>
  </si>
  <si>
    <t>Fristenmonitor – Auffrischungen</t>
  </si>
  <si>
    <t>Kategorie</t>
  </si>
  <si>
    <t>Anz.</t>
  </si>
  <si>
    <t>Std.</t>
  </si>
  <si>
    <t>Kosten</t>
  </si>
  <si>
    <t>Anteil</t>
  </si>
  <si>
    <t>Person</t>
  </si>
  <si>
    <t>gültig bis</t>
  </si>
  <si>
    <t>Status</t>
  </si>
  <si>
    <t>Pflichtschulung</t>
  </si>
  <si>
    <t>Arbeitssicherheit</t>
  </si>
  <si>
    <t>Datenschutz &amp; Compliance</t>
  </si>
  <si>
    <t>IT &amp; Software</t>
  </si>
  <si>
    <t>Fachschulung</t>
  </si>
  <si>
    <t>Soft Skills &amp; Führung</t>
  </si>
  <si>
    <t>Qualität &amp; Prozesse</t>
  </si>
  <si>
    <t>Onboarding</t>
  </si>
  <si>
    <t>4</t>
  </si>
  <si>
    <t>Schulungen nach Status</t>
  </si>
  <si>
    <t>5</t>
  </si>
  <si>
    <t>Teilnahmen nach Status</t>
  </si>
  <si>
    <t>Anzahl</t>
  </si>
  <si>
    <t>In Planung</t>
  </si>
  <si>
    <t>Eingeladen</t>
  </si>
  <si>
    <t>Geplant</t>
  </si>
  <si>
    <t>Angemeldet</t>
  </si>
  <si>
    <t>Abgeschlossen</t>
  </si>
  <si>
    <t>Teilgenommen</t>
  </si>
  <si>
    <t>Abgesagt</t>
  </si>
  <si>
    <t>Fehlend</t>
  </si>
  <si>
    <t>6</t>
  </si>
  <si>
    <t>Schulungsverlauf 2026 &amp; Verteilung</t>
  </si>
  <si>
    <t>Monat</t>
  </si>
  <si>
    <t>Schulungen</t>
  </si>
  <si>
    <t>Stunden</t>
  </si>
  <si>
    <t>Jan</t>
  </si>
  <si>
    <t>Feb</t>
  </si>
  <si>
    <t>Mär</t>
  </si>
  <si>
    <t>Apr</t>
  </si>
  <si>
    <t>Mai</t>
  </si>
  <si>
    <t>Jun</t>
  </si>
  <si>
    <t>Jul</t>
  </si>
  <si>
    <t>Aug</t>
  </si>
  <si>
    <t>Sep</t>
  </si>
  <si>
    <t>Okt</t>
  </si>
  <si>
    <t>Nov</t>
  </si>
  <si>
    <t>Dez</t>
  </si>
  <si>
    <t>Schulungsplan 2026</t>
  </si>
  <si>
    <t>Alle geplanten und durchgeführten Schulungen · graue Spalten berechnen sich automatisch aus dem Blatt »Teilnahmen«</t>
  </si>
  <si>
    <t>Schulungs-ID</t>
  </si>
  <si>
    <t>Thema / Titel</t>
  </si>
  <si>
    <t>Schulungsart</t>
  </si>
  <si>
    <t>Trainer / Anbieter</t>
  </si>
  <si>
    <t>Ort</t>
  </si>
  <si>
    <t>Datum</t>
  </si>
  <si>
    <t>Dauer
(Std.)</t>
  </si>
  <si>
    <t>Plätze</t>
  </si>
  <si>
    <t>Ange-
meldet</t>
  </si>
  <si>
    <t>Teilge-
nommen</t>
  </si>
  <si>
    <t>Aus-
lastung</t>
  </si>
  <si>
    <t>Kosten
(€)</t>
  </si>
  <si>
    <t>Turnus</t>
  </si>
  <si>
    <t>Termin-
status</t>
  </si>
  <si>
    <t>Bemerkung</t>
  </si>
  <si>
    <t>S-001</t>
  </si>
  <si>
    <t>Datenschutz-Grundlagen (DSGVO)</t>
  </si>
  <si>
    <t>Online-Live</t>
  </si>
  <si>
    <t>DataProtect Institut</t>
  </si>
  <si>
    <t>Online</t>
  </si>
  <si>
    <t>Jährlich</t>
  </si>
  <si>
    <t>Basisschulung für alle Beschäftigten</t>
  </si>
  <si>
    <t>S-002</t>
  </si>
  <si>
    <t>Brandschutzhelfer-Ausbildung</t>
  </si>
  <si>
    <t>Präsenz</t>
  </si>
  <si>
    <t>SafetyFirst Seminare</t>
  </si>
  <si>
    <t>Standort Musterstadt</t>
  </si>
  <si>
    <t>Alle 3 Jahre</t>
  </si>
  <si>
    <t>inkl. praktischer Löschübung</t>
  </si>
  <si>
    <t>S-003</t>
  </si>
  <si>
    <t>Erste-Hilfe-Grundkurs</t>
  </si>
  <si>
    <t>Alle 2 Jahre</t>
  </si>
  <si>
    <t>Ersthelfer nach DGUV</t>
  </si>
  <si>
    <t>S-004</t>
  </si>
  <si>
    <t>Unterweisung Arbeitssicherheit</t>
  </si>
  <si>
    <t>M. Hoffmann (intern)</t>
  </si>
  <si>
    <t>gesetzliche Jahresunterweisung</t>
  </si>
  <si>
    <t>S-005</t>
  </si>
  <si>
    <t>IT-Security Awareness</t>
  </si>
  <si>
    <t>E-Learning</t>
  </si>
  <si>
    <t>TechSkills Online</t>
  </si>
  <si>
    <t>Online (LMS)</t>
  </si>
  <si>
    <t>Phishing &amp; Passwortsicherheit</t>
  </si>
  <si>
    <t>S-006</t>
  </si>
  <si>
    <t>Excel Grundlagen</t>
  </si>
  <si>
    <t>Einmalig</t>
  </si>
  <si>
    <t>S-007</t>
  </si>
  <si>
    <t>Excel Aufbau (Pivot &amp; Funktionen)</t>
  </si>
  <si>
    <t>S-008</t>
  </si>
  <si>
    <t>Projektmanagement Grundlagen</t>
  </si>
  <si>
    <t>Weiterbildung Consult GmbH</t>
  </si>
  <si>
    <t>Musterstadt</t>
  </si>
  <si>
    <t>2 Tage</t>
  </si>
  <si>
    <t>S-009</t>
  </si>
  <si>
    <t>Kommunikation &amp; Konfliktmanagement</t>
  </si>
  <si>
    <t>Workshop</t>
  </si>
  <si>
    <t>Kommunika Trainings</t>
  </si>
  <si>
    <t>S-010</t>
  </si>
  <si>
    <t>Führungskräfte-Training Modul 1</t>
  </si>
  <si>
    <t>Tagungshotel</t>
  </si>
  <si>
    <t>für Team- und Abteilungsleitung</t>
  </si>
  <si>
    <t>S-011</t>
  </si>
  <si>
    <t>Führungskräfte-Training Modul 2</t>
  </si>
  <si>
    <t>Aufbau zu Modul 1</t>
  </si>
  <si>
    <t>S-012</t>
  </si>
  <si>
    <t>Qualitätsmanagement ISO 9001</t>
  </si>
  <si>
    <t>Externes Seminar</t>
  </si>
  <si>
    <t>Nordlicht Akademie</t>
  </si>
  <si>
    <t>extern</t>
  </si>
  <si>
    <t>S-013</t>
  </si>
  <si>
    <t>Gabelstapler-Fahrerunterweisung</t>
  </si>
  <si>
    <t>Logistikzentrum</t>
  </si>
  <si>
    <t>Flurförderzeuge, jährl. Pflicht</t>
  </si>
  <si>
    <t>S-014</t>
  </si>
  <si>
    <t>Onboarding neue Mitarbeitende</t>
  </si>
  <si>
    <t>S. König (intern)</t>
  </si>
  <si>
    <t>Halbjährlich</t>
  </si>
  <si>
    <t>Willkommenstag Q3</t>
  </si>
  <si>
    <t>S-015</t>
  </si>
  <si>
    <t>Compliance &amp; Antikorruption</t>
  </si>
  <si>
    <t>S-016</t>
  </si>
  <si>
    <t>Hygieneschulung</t>
  </si>
  <si>
    <t>S-017</t>
  </si>
  <si>
    <t>Präsentationstraining</t>
  </si>
  <si>
    <t>S-018</t>
  </si>
  <si>
    <t>Datenschutz-Auffrischung (DSGVO)</t>
  </si>
  <si>
    <t>Auffrischung zu S-001</t>
  </si>
  <si>
    <t>S-019</t>
  </si>
  <si>
    <t>Reklamations- &amp; Beschwerdemanagement</t>
  </si>
  <si>
    <t>Termin noch offen</t>
  </si>
  <si>
    <t>S-020</t>
  </si>
  <si>
    <t>Erste-Hilfe-Auffrischung</t>
  </si>
  <si>
    <t>Auffrischung zu S-003</t>
  </si>
  <si>
    <t>S-021</t>
  </si>
  <si>
    <t>Zeitmanagement &amp; Selbstorganisation</t>
  </si>
  <si>
    <t>Webinar</t>
  </si>
  <si>
    <t>wegen zu geringer Anmeldezahl abgesagt</t>
  </si>
  <si>
    <t>Teilnahmen &amp; Nachweise</t>
  </si>
  <si>
    <t>Zuordnung Person ⇄ Schulung · Thema, Datum und Turnus werden automatisch ergänzt · »Gültig bis« steuert die Auffrischungen</t>
  </si>
  <si>
    <t>Anna Berg</t>
  </si>
  <si>
    <t>Vertrieb</t>
  </si>
  <si>
    <t>Kemal Yıldız</t>
  </si>
  <si>
    <t>Produktion</t>
  </si>
  <si>
    <t>Sophie Wagner</t>
  </si>
  <si>
    <t>Personal</t>
  </si>
  <si>
    <t>Lukas Brandt</t>
  </si>
  <si>
    <t>IT</t>
  </si>
  <si>
    <t>Marie Schulz</t>
  </si>
  <si>
    <t>Finanzen</t>
  </si>
  <si>
    <t>Thomas Krüger</t>
  </si>
  <si>
    <t>Einkauf</t>
  </si>
  <si>
    <t>krankheitsbedingt</t>
  </si>
  <si>
    <t>Jonas Reinhardt</t>
  </si>
  <si>
    <t>Logistik</t>
  </si>
  <si>
    <t>David Lehmann</t>
  </si>
  <si>
    <t>Robert Fischer</t>
  </si>
  <si>
    <t>Geschäftsleitung</t>
  </si>
  <si>
    <t>Nadine Aksoy</t>
  </si>
  <si>
    <t>Kundenservice</t>
  </si>
  <si>
    <t>Yuki Tanaka</t>
  </si>
  <si>
    <t>Elena Petrova</t>
  </si>
  <si>
    <t>Marketing</t>
  </si>
  <si>
    <t>Carla Mendes</t>
  </si>
  <si>
    <t>Fatima El-Amin</t>
  </si>
  <si>
    <t>Stammdaten &amp; Anleitung</t>
  </si>
  <si>
    <t>Zentrale Einstellungen, Auswahllisten und Bedienhinweise · Werte in den cremefarbenen Feldern anpassen</t>
  </si>
  <si>
    <t>Organisation</t>
  </si>
  <si>
    <t>Muster GmbH</t>
  </si>
  <si>
    <t>Anschrift</t>
  </si>
  <si>
    <t>Musterallee 12, 26123 Musterstadt</t>
  </si>
  <si>
    <t>Verantwortlich (Personalentwicklung)</t>
  </si>
  <si>
    <t>Julia Brandt</t>
  </si>
  <si>
    <t>Bereich / Abteilung</t>
  </si>
  <si>
    <t>Personal / HR</t>
  </si>
  <si>
    <t>Plan-Titel</t>
  </si>
  <si>
    <t>Schulungsplan Weiterbildung</t>
  </si>
  <si>
    <t>Parameter (Berechnungsgrundlagen)</t>
  </si>
  <si>
    <t>Berichtsjahr</t>
  </si>
  <si>
    <t>Stichtag (heute)</t>
  </si>
  <si>
    <t>Warnfrist Termine (Tage)</t>
  </si>
  <si>
    <t>Warnfrist Gültigkeit (Tage)</t>
  </si>
  <si>
    <t>Ziel-Teilnahmequote</t>
  </si>
  <si>
    <t>Ziel-Auslastung</t>
  </si>
  <si>
    <t>Auswahllisten (für Dropdown-Menüs)</t>
  </si>
  <si>
    <t>Kategorien</t>
  </si>
  <si>
    <t>Schulungsarten</t>
  </si>
  <si>
    <t>Abteilungen</t>
  </si>
  <si>
    <t>J. Brandt (intern)</t>
  </si>
  <si>
    <t>Status-Werte &amp; Turnus</t>
  </si>
  <si>
    <t>Status Schulung</t>
  </si>
  <si>
    <t>Status Teilnahme</t>
  </si>
  <si>
    <t>Monate</t>
  </si>
  <si>
    <t>Anleitung in 6 Schritten</t>
  </si>
  <si>
    <t>1.  Passen Sie oben unter »Organisation« und »Parameter« die cremefarbenen Felder an Ihr Unternehmen und Berichtsjahr an.</t>
  </si>
  <si>
    <t>2.  Erfassen Sie im Blatt »Schulungsplan« jede geplante Schulung in einer Zeile (Schulungs-ID, Thema, Kategorie, Trainer, Datum, Dauer, Plätze, Kosten, Turnus, Status). Die grau hinterlegten Spalten (Angemeldet, Teilgenommen, Auslastung, Terminstatus) berechnen sich automatisch.</t>
  </si>
  <si>
    <t>3.  Ordnen Sie im Blatt »Teilnahmen« jeder Person eine Schulung zu: Schulungs-ID auswählen – Thema, Datum, Kategorie und Turnus werden automatisch ergänzt. Setzen Sie den Teilnahme-Status.</t>
  </si>
  <si>
    <t>4.  Für wiederkehrende Pflichtschulungen (Turnus ≠ Einmalig) berechnet die Vorlage aus dem Teilnahmedatum automatisch »Gültig bis« und meldet ablaufende Qualifikationen.</t>
  </si>
  <si>
    <t>5.  Das Blatt »Cockpit« zeigt alle Kennzahlen, Verteilungen, den Fristenmonitor und die Diagramme – ohne weiteres Zutun.</t>
  </si>
  <si>
    <t>6.  Dropdown-Werte und Fristen ändern Sie hier im Blatt »Stammdaten«. Neue Zeilen einfach innerhalb der bestehenden Bereiche einfügen, damit die Formeln greifen.</t>
  </si>
  <si>
    <t>Farblegende</t>
  </si>
  <si>
    <t xml:space="preserve">  Cremefarben = Eingabefeld</t>
  </si>
  <si>
    <t xml:space="preserve">  Grau = automatische Berechnung</t>
  </si>
  <si>
    <t xml:space="preserve">  Grün = abgeschlossen / gültig</t>
  </si>
  <si>
    <t xml:space="preserve">  Gelb = geplant / läuft bald ab</t>
  </si>
  <si>
    <t xml:space="preserve">  Rot = überfällig / abgelaufen</t>
  </si>
  <si>
    <t xml:space="preserve">  Blau = in Planung / offen</t>
  </si>
  <si>
    <t>Hinweis: generische Muster-Vorlage mit fiktiven Beispieldaten. Alle Namen, Anbieter und Werte sind frei erfunden. Bei personenbezogenen Schulungsnachweisen die Vorgaben der DSGVO (Zweckbindung, Löschfristen) beachten.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</si>
</sst>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&quot; h&quot;"/>
    <numFmt numFmtId="165" formatCode="#,##0&quot; €&quot;"/>
    <numFmt numFmtId="166" formatCode="0;;\–"/>
    <numFmt numFmtId="167" formatCode="#,##0;;\–"/>
    <numFmt numFmtId="168" formatCode="dd\.mm\.yyyy"/>
    <numFmt numFmtId="169" formatCode="0.0;;\–"/>
    <numFmt numFmtId="170" formatCode="0.0"/>
    <numFmt numFmtId="171" formatCode="0;\-0;&quot;&quot;"/>
    <numFmt numFmtId="172" formatCode="0%;\-0%;&quot;&quot;"/>
    <numFmt numFmtId="173" formatCode="#,##0&quot; €&quot;;\-#,##0&quot; €&quot;;&quot;&quot;"/>
    <numFmt numFmtId="174" formatCode="0;;&quot;&quot;"/>
  </numFmts>
  <fonts count="2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sz val="9"/>
      <color rgb="FFFFFFFF"/>
      <name val="Calibri"/>
      <charset val="1"/>
    </font>
    <font>
      <i/>
      <sz val="10"/>
      <color rgb="FF7C8AA0"/>
      <name val="Calibri"/>
      <charset val="1"/>
    </font>
    <font>
      <b/>
      <sz val="11"/>
      <color rgb="FF1E2B3C"/>
      <name val="Calibri"/>
      <charset val="1"/>
    </font>
    <font>
      <b/>
      <sz val="14"/>
      <color rgb="FF294B6E"/>
      <name val="Calibri"/>
      <charset val="1"/>
    </font>
    <font>
      <b/>
      <sz val="14"/>
      <color rgb="FF3E8E5E"/>
      <name val="Calibri"/>
      <charset val="1"/>
    </font>
    <font>
      <b/>
      <sz val="14"/>
      <color rgb="FF35659A"/>
      <name val="Calibri"/>
      <charset val="1"/>
    </font>
    <font>
      <b/>
      <sz val="14"/>
      <color rgb="FF9A7620"/>
      <name val="Calibri"/>
      <charset val="1"/>
    </font>
    <font>
      <sz val="8.5"/>
      <color rgb="FF7C8AA0"/>
      <name val="Calibri"/>
      <charset val="1"/>
    </font>
    <font>
      <b/>
      <sz val="14"/>
      <color rgb="FF2E4763"/>
      <name val="Calibri"/>
      <charset val="1"/>
    </font>
    <font>
      <b/>
      <sz val="14"/>
      <color rgb="FFD9922B"/>
      <name val="Calibri"/>
      <charset val="1"/>
    </font>
    <font>
      <b/>
      <sz val="8.5"/>
      <color rgb="FFFFFFFF"/>
      <name val="Calibri"/>
      <charset val="1"/>
    </font>
    <font>
      <sz val="8.5"/>
      <color rgb="FF1E2B3C"/>
      <name val="Calibri"/>
      <charset val="1"/>
    </font>
    <font>
      <b/>
      <sz val="8.5"/>
      <color rgb="FF1E2B3C"/>
      <name val="Calibri"/>
      <charset val="1"/>
    </font>
    <font>
      <i/>
      <sz val="8.5"/>
      <color rgb="FFB23A2A"/>
      <name val="Calibri"/>
      <charset val="1"/>
    </font>
    <font>
      <b/>
      <sz val="9"/>
      <color rgb="FFFFFFFF"/>
      <name val="Calibri"/>
      <charset val="1"/>
    </font>
    <font>
      <b/>
      <sz val="9.5"/>
      <color rgb="FF294B6E"/>
      <name val="Calibri"/>
      <charset val="1"/>
    </font>
    <font>
      <sz val="9.5"/>
      <color rgb="FF1E2B3C"/>
      <name val="Calibri"/>
      <charset val="1"/>
    </font>
    <font>
      <sz val="9"/>
      <color rgb="FF1E2B3C"/>
      <name val="Calibri"/>
      <charset val="1"/>
    </font>
    <font>
      <b/>
      <sz val="9"/>
      <color rgb="FF1E2B3C"/>
      <name val="Calibri"/>
      <charset val="1"/>
    </font>
    <font>
      <sz val="9"/>
      <color rgb="FF7C8AA0"/>
      <name val="Calibri"/>
      <charset val="1"/>
    </font>
    <font>
      <sz val="10"/>
      <color rgb="FF7C8AA0"/>
      <name val="Calibri"/>
      <charset val="1"/>
    </font>
    <font>
      <b/>
      <sz val="10"/>
      <color rgb="FF1E2B3C"/>
      <name val="Calibri"/>
      <charset val="1"/>
    </font>
    <font>
      <b/>
      <sz val="9"/>
      <color rgb="FF2E7D4A"/>
      <name val="Calibri"/>
      <charset val="1"/>
    </font>
    <font>
      <b/>
      <sz val="9"/>
      <color rgb="FF8A6412"/>
      <name val="Calibri"/>
      <charset val="1"/>
    </font>
    <font>
      <b/>
      <sz val="9"/>
      <color rgb="FFB23A2A"/>
      <name val="Calibri"/>
      <charset val="1"/>
    </font>
    <font>
      <b/>
      <sz val="9"/>
      <color rgb="FF35547E"/>
      <name val="Calibri"/>
      <charset val="1"/>
    </font>
    <font>
      <i/>
      <sz val="8.5"/>
      <color rgb="FF7C8AA0"/>
      <name val="Calibri"/>
      <charset val="1"/>
    </font>
  </fonts>
  <fills count="13">
    <fill>
      <patternFill patternType="none"/>
    </fill>
    <fill>
      <patternFill patternType="gray125"/>
    </fill>
    <fill>
      <patternFill patternType="solid">
        <fgColor rgb="FFC79A2E"/>
        <bgColor rgb="FFD9922B"/>
      </patternFill>
    </fill>
    <fill>
      <patternFill patternType="solid">
        <fgColor rgb="FF294B6E"/>
        <bgColor rgb="FF2E4763"/>
      </patternFill>
    </fill>
    <fill>
      <patternFill patternType="solid">
        <fgColor rgb="FFFFFFFF"/>
        <bgColor rgb="FFF9F9F9"/>
      </patternFill>
    </fill>
    <fill>
      <patternFill patternType="solid">
        <fgColor rgb="FF2E4763"/>
        <bgColor rgb="FF294B6E"/>
      </patternFill>
    </fill>
    <fill>
      <patternFill patternType="solid">
        <fgColor rgb="FFF7F9FB"/>
        <bgColor rgb="FFF9F9F9"/>
      </patternFill>
    </fill>
    <fill>
      <patternFill patternType="solid">
        <fgColor rgb="FFF1F4F8"/>
        <bgColor rgb="FFF7F9FB"/>
      </patternFill>
    </fill>
    <fill>
      <patternFill patternType="solid">
        <fgColor rgb="FFFFF7DD"/>
        <bgColor rgb="FFFBEECB"/>
      </patternFill>
    </fill>
    <fill>
      <patternFill patternType="solid">
        <fgColor rgb="FFDBEEDD"/>
        <bgColor rgb="FFDEE5EC"/>
      </patternFill>
    </fill>
    <fill>
      <patternFill patternType="solid">
        <fgColor rgb="FFFBEECB"/>
        <bgColor rgb="FFFFF7DD"/>
      </patternFill>
    </fill>
    <fill>
      <patternFill patternType="solid">
        <fgColor rgb="FFF7DDDA"/>
        <bgColor rgb="FFFBEECB"/>
      </patternFill>
    </fill>
    <fill>
      <patternFill patternType="solid">
        <fgColor rgb="FFDEE7F1"/>
        <bgColor rgb="FFDEE5EC"/>
      </patternFill>
    </fill>
  </fills>
  <borders count="25">
    <border>
      <left/>
      <right/>
      <top/>
      <bottom/>
      <diagonal/>
    </border>
    <border>
      <left/>
      <right/>
      <top/>
      <bottom style="thin">
        <color rgb="FFC79A2E"/>
      </bottom>
      <diagonal/>
    </border>
    <border>
      <left style="thick">
        <color rgb="FF294B6E"/>
      </left>
      <right style="thin">
        <color rgb="FFC8D2DD"/>
      </right>
      <top style="hair">
        <color rgb="FFDEE5EC"/>
      </top>
      <bottom/>
      <diagonal/>
    </border>
    <border>
      <left style="thick">
        <color rgb="FF3E8E5E"/>
      </left>
      <right style="thin">
        <color rgb="FFC8D2DD"/>
      </right>
      <top style="hair">
        <color rgb="FFDEE5EC"/>
      </top>
      <bottom/>
      <diagonal/>
    </border>
    <border>
      <left style="thick">
        <color rgb="FF35659A"/>
      </left>
      <right style="thin">
        <color rgb="FFC8D2DD"/>
      </right>
      <top style="hair">
        <color rgb="FFDEE5EC"/>
      </top>
      <bottom/>
      <diagonal/>
    </border>
    <border>
      <left style="thick">
        <color rgb="FF9A7620"/>
      </left>
      <right style="thin">
        <color rgb="FFC8D2DD"/>
      </right>
      <top style="hair">
        <color rgb="FFDEE5EC"/>
      </top>
      <bottom/>
      <diagonal/>
    </border>
    <border>
      <left style="thick">
        <color rgb="FF294B6E"/>
      </left>
      <right style="thin">
        <color rgb="FFC8D2DD"/>
      </right>
      <top/>
      <bottom style="hair">
        <color rgb="FFDEE5EC"/>
      </bottom>
      <diagonal/>
    </border>
    <border>
      <left style="thick">
        <color rgb="FF3E8E5E"/>
      </left>
      <right style="thin">
        <color rgb="FFC8D2DD"/>
      </right>
      <top/>
      <bottom style="hair">
        <color rgb="FFDEE5EC"/>
      </bottom>
      <diagonal/>
    </border>
    <border>
      <left style="thick">
        <color rgb="FF35659A"/>
      </left>
      <right style="thin">
        <color rgb="FFC8D2DD"/>
      </right>
      <top/>
      <bottom style="hair">
        <color rgb="FFDEE5EC"/>
      </bottom>
      <diagonal/>
    </border>
    <border>
      <left style="thick">
        <color rgb="FF9A7620"/>
      </left>
      <right style="thin">
        <color rgb="FFC8D2DD"/>
      </right>
      <top/>
      <bottom style="hair">
        <color rgb="FFDEE5EC"/>
      </bottom>
      <diagonal/>
    </border>
    <border>
      <left style="thick">
        <color rgb="FF2E4763"/>
      </left>
      <right style="thin">
        <color rgb="FFC8D2DD"/>
      </right>
      <top style="hair">
        <color rgb="FFDEE5EC"/>
      </top>
      <bottom/>
      <diagonal/>
    </border>
    <border>
      <left style="thick">
        <color rgb="FFD9922B"/>
      </left>
      <right style="thin">
        <color rgb="FFC8D2DD"/>
      </right>
      <top style="hair">
        <color rgb="FFDEE5EC"/>
      </top>
      <bottom/>
      <diagonal/>
    </border>
    <border>
      <left style="thick">
        <color rgb="FF2E4763"/>
      </left>
      <right style="thin">
        <color rgb="FFC8D2DD"/>
      </right>
      <top/>
      <bottom style="hair">
        <color rgb="FFDEE5EC"/>
      </bottom>
      <diagonal/>
    </border>
    <border>
      <left style="thick">
        <color rgb="FFD9922B"/>
      </left>
      <right style="thin">
        <color rgb="FFC8D2DD"/>
      </right>
      <top/>
      <bottom style="hair">
        <color rgb="FFDEE5EC"/>
      </bottom>
      <diagonal/>
    </border>
    <border>
      <left style="thin">
        <color rgb="FFC8D2DD"/>
      </left>
      <right/>
      <top style="thin">
        <color rgb="FFC8D2DD"/>
      </top>
      <bottom style="medium">
        <color rgb="FFC79A2E"/>
      </bottom>
      <diagonal/>
    </border>
    <border>
      <left/>
      <right/>
      <top style="thin">
        <color rgb="FFC8D2DD"/>
      </top>
      <bottom style="medium">
        <color rgb="FFC79A2E"/>
      </bottom>
      <diagonal/>
    </border>
    <border>
      <left/>
      <right style="thin">
        <color rgb="FFC8D2DD"/>
      </right>
      <top style="thin">
        <color rgb="FFC8D2DD"/>
      </top>
      <bottom style="medium">
        <color rgb="FFC79A2E"/>
      </bottom>
      <diagonal/>
    </border>
    <border>
      <left style="thin">
        <color rgb="FFC8D2DD"/>
      </left>
      <right/>
      <top/>
      <bottom/>
      <diagonal/>
    </border>
    <border>
      <left/>
      <right style="thin">
        <color rgb="FFC8D2DD"/>
      </right>
      <top/>
      <bottom/>
      <diagonal/>
    </border>
    <border>
      <left style="thin">
        <color rgb="FFC8D2DD"/>
      </left>
      <right/>
      <top/>
      <bottom style="thin">
        <color rgb="FFC8D2DD"/>
      </bottom>
      <diagonal/>
    </border>
    <border>
      <left/>
      <right/>
      <top/>
      <bottom style="thin">
        <color rgb="FFC8D2DD"/>
      </bottom>
      <diagonal/>
    </border>
    <border>
      <left/>
      <right style="thin">
        <color rgb="FFC8D2DD"/>
      </right>
      <top/>
      <bottom style="thin">
        <color rgb="FFC8D2DD"/>
      </bottom>
      <diagonal/>
    </border>
    <border>
      <left/>
      <right/>
      <top style="thin">
        <color rgb="FFC8D2DD"/>
      </top>
      <bottom/>
      <diagonal/>
    </border>
    <border>
      <left/>
      <right style="thin">
        <color rgb="FFC8D2DD"/>
      </right>
      <top style="thin">
        <color rgb="FFC8D2DD"/>
      </top>
      <bottom/>
      <diagonal/>
    </border>
    <border>
      <left style="hair">
        <color rgb="FFDEE5EC"/>
      </left>
      <right style="hair">
        <color rgb="FFDEE5EC"/>
      </right>
      <top style="hair">
        <color rgb="FFDEE5EC"/>
      </top>
      <bottom style="hair">
        <color rgb="FFDEE5EC"/>
      </bottom>
      <diagonal/>
    </border>
  </borders>
  <cellStyleXfs count="1">
    <xf numFmtId="0" fontId="0" fillId="0" borderId="0"/>
  </cellStyleXfs>
  <cellXfs count="148">
    <xf numFmtId="0" fontId="0" fillId="0" borderId="0" xfId="0"/>
    <xf numFmtId="9" fontId="6" fillId="4" borderId="3" xfId="0" applyNumberFormat="1" applyFont="1" applyFill="1" applyBorder="1" applyAlignment="1">
      <alignment horizontal="left" vertical="center" indent="1"/>
    </xf>
    <xf numFmtId="3" fontId="10" fillId="4" borderId="10" xfId="0" applyNumberFormat="1" applyFont="1" applyFill="1" applyBorder="1" applyAlignment="1">
      <alignment horizontal="left" vertical="center" indent="1"/>
    </xf>
    <xf numFmtId="0" fontId="9" fillId="4" borderId="9" xfId="0" applyFont="1" applyFill="1" applyBorder="1" applyAlignment="1">
      <alignment horizontal="left" vertical="center" wrapText="1" indent="1"/>
    </xf>
    <xf numFmtId="0" fontId="9" fillId="4" borderId="8" xfId="0" applyFont="1" applyFill="1" applyBorder="1" applyAlignment="1">
      <alignment horizontal="left" vertical="center" wrapText="1" indent="1"/>
    </xf>
    <xf numFmtId="0" fontId="9" fillId="4" borderId="7" xfId="0" applyFont="1" applyFill="1" applyBorder="1" applyAlignment="1">
      <alignment horizontal="left" vertical="center" wrapText="1" indent="1"/>
    </xf>
    <xf numFmtId="0" fontId="9" fillId="4" borderId="6" xfId="0" applyFont="1" applyFill="1" applyBorder="1" applyAlignment="1">
      <alignment horizontal="left" vertical="center" wrapText="1" indent="1"/>
    </xf>
    <xf numFmtId="164" fontId="8" fillId="4" borderId="5" xfId="0" applyNumberFormat="1" applyFont="1" applyFill="1" applyBorder="1" applyAlignment="1">
      <alignment horizontal="left" vertical="center" indent="1"/>
    </xf>
    <xf numFmtId="3" fontId="7" fillId="4" borderId="4" xfId="0" applyNumberFormat="1" applyFont="1" applyFill="1" applyBorder="1" applyAlignment="1">
      <alignment horizontal="left" vertical="center" indent="1"/>
    </xf>
    <xf numFmtId="3" fontId="6" fillId="4" borderId="3" xfId="0" applyNumberFormat="1" applyFont="1" applyFill="1" applyBorder="1" applyAlignment="1">
      <alignment horizontal="left" vertical="center" indent="1"/>
    </xf>
    <xf numFmtId="3" fontId="5" fillId="4" borderId="2" xfId="0" applyNumberFormat="1" applyFont="1" applyFill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/>
    </xf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 wrapText="1"/>
    </xf>
    <xf numFmtId="166" fontId="13" fillId="4" borderId="0" xfId="0" applyNumberFormat="1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9" fontId="13" fillId="4" borderId="18" xfId="0" applyNumberFormat="1" applyFont="1" applyFill="1" applyBorder="1" applyAlignment="1">
      <alignment horizontal="center" vertical="center"/>
    </xf>
    <xf numFmtId="168" fontId="13" fillId="4" borderId="0" xfId="0" applyNumberFormat="1" applyFont="1" applyFill="1" applyAlignment="1">
      <alignment horizontal="center" vertical="center"/>
    </xf>
    <xf numFmtId="0" fontId="13" fillId="6" borderId="17" xfId="0" applyFont="1" applyFill="1" applyBorder="1" applyAlignment="1">
      <alignment horizontal="left" vertical="center" wrapText="1"/>
    </xf>
    <xf numFmtId="166" fontId="13" fillId="6" borderId="0" xfId="0" applyNumberFormat="1" applyFont="1" applyFill="1" applyAlignment="1">
      <alignment horizontal="center" vertical="center"/>
    </xf>
    <xf numFmtId="167" fontId="13" fillId="6" borderId="0" xfId="0" applyNumberFormat="1" applyFont="1" applyFill="1" applyAlignment="1">
      <alignment horizontal="center" vertical="center"/>
    </xf>
    <xf numFmtId="9" fontId="13" fillId="6" borderId="18" xfId="0" applyNumberFormat="1" applyFont="1" applyFill="1" applyBorder="1" applyAlignment="1">
      <alignment horizontal="center" vertical="center"/>
    </xf>
    <xf numFmtId="168" fontId="13" fillId="6" borderId="0" xfId="0" applyNumberFormat="1" applyFont="1" applyFill="1" applyAlignment="1">
      <alignment horizontal="center" vertical="center"/>
    </xf>
    <xf numFmtId="0" fontId="13" fillId="6" borderId="19" xfId="0" applyFont="1" applyFill="1" applyBorder="1" applyAlignment="1">
      <alignment horizontal="left" vertical="center" wrapText="1"/>
    </xf>
    <xf numFmtId="168" fontId="13" fillId="6" borderId="20" xfId="0" applyNumberFormat="1" applyFont="1" applyFill="1" applyBorder="1" applyAlignment="1">
      <alignment horizontal="center" vertical="center"/>
    </xf>
    <xf numFmtId="166" fontId="13" fillId="6" borderId="20" xfId="0" applyNumberFormat="1" applyFont="1" applyFill="1" applyBorder="1" applyAlignment="1">
      <alignment horizontal="center" vertical="center"/>
    </xf>
    <xf numFmtId="167" fontId="13" fillId="6" borderId="20" xfId="0" applyNumberFormat="1" applyFont="1" applyFill="1" applyBorder="1" applyAlignment="1">
      <alignment horizontal="center" vertical="center"/>
    </xf>
    <xf numFmtId="9" fontId="13" fillId="6" borderId="21" xfId="0" applyNumberFormat="1" applyFont="1" applyFill="1" applyBorder="1" applyAlignment="1">
      <alignment horizontal="center" vertical="center"/>
    </xf>
    <xf numFmtId="0" fontId="0" fillId="0" borderId="22" xfId="0" applyBorder="1"/>
    <xf numFmtId="0" fontId="0" fillId="0" borderId="23" xfId="0" applyBorder="1"/>
    <xf numFmtId="9" fontId="13" fillId="4" borderId="0" xfId="0" applyNumberFormat="1" applyFont="1" applyFill="1" applyAlignment="1">
      <alignment horizontal="center" vertical="center"/>
    </xf>
    <xf numFmtId="0" fontId="0" fillId="4" borderId="18" xfId="0" applyFill="1" applyBorder="1"/>
    <xf numFmtId="9" fontId="13" fillId="6" borderId="0" xfId="0" applyNumberFormat="1" applyFont="1" applyFill="1" applyAlignment="1">
      <alignment horizontal="center" vertical="center"/>
    </xf>
    <xf numFmtId="0" fontId="0" fillId="6" borderId="18" xfId="0" applyFill="1" applyBorder="1"/>
    <xf numFmtId="9" fontId="13" fillId="6" borderId="20" xfId="0" applyNumberFormat="1" applyFont="1" applyFill="1" applyBorder="1" applyAlignment="1">
      <alignment horizontal="center" vertical="center"/>
    </xf>
    <xf numFmtId="0" fontId="0" fillId="6" borderId="21" xfId="0" applyFill="1" applyBorder="1"/>
    <xf numFmtId="166" fontId="13" fillId="4" borderId="20" xfId="0" applyNumberFormat="1" applyFont="1" applyFill="1" applyBorder="1" applyAlignment="1">
      <alignment horizontal="center" vertical="center"/>
    </xf>
    <xf numFmtId="9" fontId="13" fillId="4" borderId="20" xfId="0" applyNumberFormat="1" applyFont="1" applyFill="1" applyBorder="1" applyAlignment="1">
      <alignment horizontal="center" vertical="center"/>
    </xf>
    <xf numFmtId="0" fontId="0" fillId="4" borderId="21" xfId="0" applyFill="1" applyBorder="1"/>
    <xf numFmtId="169" fontId="13" fillId="4" borderId="18" xfId="0" applyNumberFormat="1" applyFont="1" applyFill="1" applyBorder="1" applyAlignment="1">
      <alignment horizontal="center" vertical="center"/>
    </xf>
    <xf numFmtId="169" fontId="13" fillId="6" borderId="18" xfId="0" applyNumberFormat="1" applyFont="1" applyFill="1" applyBorder="1" applyAlignment="1">
      <alignment horizontal="center" vertical="center"/>
    </xf>
    <xf numFmtId="169" fontId="13" fillId="6" borderId="21" xfId="0" applyNumberFormat="1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8" fillId="4" borderId="0" xfId="0" applyFont="1" applyFill="1" applyAlignment="1">
      <alignment horizontal="center" vertical="center"/>
    </xf>
    <xf numFmtId="168" fontId="18" fillId="4" borderId="0" xfId="0" applyNumberFormat="1" applyFont="1" applyFill="1" applyAlignment="1">
      <alignment horizontal="center" vertical="center"/>
    </xf>
    <xf numFmtId="170" fontId="18" fillId="4" borderId="0" xfId="0" applyNumberFormat="1" applyFont="1" applyFill="1" applyAlignment="1">
      <alignment horizontal="center" vertical="center"/>
    </xf>
    <xf numFmtId="1" fontId="18" fillId="4" borderId="0" xfId="0" applyNumberFormat="1" applyFont="1" applyFill="1" applyAlignment="1">
      <alignment horizontal="center" vertical="center"/>
    </xf>
    <xf numFmtId="171" fontId="18" fillId="7" borderId="0" xfId="0" applyNumberFormat="1" applyFont="1" applyFill="1" applyAlignment="1">
      <alignment horizontal="center" vertical="center"/>
    </xf>
    <xf numFmtId="172" fontId="18" fillId="7" borderId="0" xfId="0" applyNumberFormat="1" applyFont="1" applyFill="1" applyAlignment="1">
      <alignment horizontal="center" vertical="center"/>
    </xf>
    <xf numFmtId="173" fontId="18" fillId="4" borderId="0" xfId="0" applyNumberFormat="1" applyFont="1" applyFill="1" applyAlignment="1">
      <alignment horizontal="right" vertical="center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horizontal="center" vertical="center"/>
    </xf>
    <xf numFmtId="0" fontId="20" fillId="7" borderId="0" xfId="0" applyFont="1" applyFill="1" applyAlignment="1">
      <alignment horizontal="center" vertical="center"/>
    </xf>
    <xf numFmtId="0" fontId="21" fillId="4" borderId="18" xfId="0" applyFont="1" applyFill="1" applyBorder="1" applyAlignment="1">
      <alignment horizontal="left" vertical="center" wrapText="1"/>
    </xf>
    <xf numFmtId="0" fontId="17" fillId="6" borderId="17" xfId="0" applyFont="1" applyFill="1" applyBorder="1" applyAlignment="1">
      <alignment horizontal="center" vertical="center"/>
    </xf>
    <xf numFmtId="0" fontId="18" fillId="6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center" vertical="center"/>
    </xf>
    <xf numFmtId="168" fontId="18" fillId="6" borderId="0" xfId="0" applyNumberFormat="1" applyFont="1" applyFill="1" applyAlignment="1">
      <alignment horizontal="center" vertical="center"/>
    </xf>
    <xf numFmtId="170" fontId="18" fillId="6" borderId="0" xfId="0" applyNumberFormat="1" applyFont="1" applyFill="1" applyAlignment="1">
      <alignment horizontal="center" vertical="center"/>
    </xf>
    <xf numFmtId="1" fontId="18" fillId="6" borderId="0" xfId="0" applyNumberFormat="1" applyFont="1" applyFill="1" applyAlignment="1">
      <alignment horizontal="center" vertical="center"/>
    </xf>
    <xf numFmtId="173" fontId="18" fillId="6" borderId="0" xfId="0" applyNumberFormat="1" applyFont="1" applyFill="1" applyAlignment="1">
      <alignment horizontal="right" vertical="center"/>
    </xf>
    <xf numFmtId="0" fontId="19" fillId="6" borderId="0" xfId="0" applyFont="1" applyFill="1" applyAlignment="1">
      <alignment horizontal="center" vertical="center"/>
    </xf>
    <xf numFmtId="0" fontId="20" fillId="6" borderId="0" xfId="0" applyFont="1" applyFill="1" applyAlignment="1">
      <alignment horizontal="center" vertical="center"/>
    </xf>
    <xf numFmtId="0" fontId="21" fillId="6" borderId="18" xfId="0" applyFont="1" applyFill="1" applyBorder="1" applyAlignment="1">
      <alignment horizontal="left" vertical="center" wrapText="1"/>
    </xf>
    <xf numFmtId="0" fontId="0" fillId="6" borderId="17" xfId="0" applyFill="1" applyBorder="1"/>
    <xf numFmtId="0" fontId="0" fillId="6" borderId="0" xfId="0" applyFill="1"/>
    <xf numFmtId="0" fontId="0" fillId="4" borderId="17" xfId="0" applyFill="1" applyBorder="1"/>
    <xf numFmtId="0" fontId="0" fillId="4" borderId="0" xfId="0" applyFill="1"/>
    <xf numFmtId="0" fontId="0" fillId="4" borderId="19" xfId="0" applyFill="1" applyBorder="1"/>
    <xf numFmtId="0" fontId="0" fillId="4" borderId="20" xfId="0" applyFill="1" applyBorder="1"/>
    <xf numFmtId="171" fontId="18" fillId="7" borderId="20" xfId="0" applyNumberFormat="1" applyFont="1" applyFill="1" applyBorder="1" applyAlignment="1">
      <alignment horizontal="center" vertical="center"/>
    </xf>
    <xf numFmtId="172" fontId="18" fillId="7" borderId="20" xfId="0" applyNumberFormat="1" applyFont="1" applyFill="1" applyBorder="1" applyAlignment="1">
      <alignment horizontal="center" vertical="center"/>
    </xf>
    <xf numFmtId="0" fontId="20" fillId="7" borderId="20" xfId="0" applyFont="1" applyFill="1" applyBorder="1" applyAlignment="1">
      <alignment horizontal="center" vertical="center"/>
    </xf>
    <xf numFmtId="1" fontId="19" fillId="7" borderId="0" xfId="0" applyNumberFormat="1" applyFont="1" applyFill="1" applyAlignment="1">
      <alignment horizontal="center" vertical="center"/>
    </xf>
    <xf numFmtId="0" fontId="17" fillId="4" borderId="0" xfId="0" applyFont="1" applyFill="1" applyAlignment="1">
      <alignment horizontal="center" vertical="center"/>
    </xf>
    <xf numFmtId="0" fontId="19" fillId="7" borderId="0" xfId="0" applyFont="1" applyFill="1" applyAlignment="1">
      <alignment horizontal="left" vertical="center" wrapText="1"/>
    </xf>
    <xf numFmtId="168" fontId="19" fillId="7" borderId="0" xfId="0" applyNumberFormat="1" applyFont="1" applyFill="1" applyAlignment="1">
      <alignment horizontal="center" vertical="center"/>
    </xf>
    <xf numFmtId="0" fontId="19" fillId="7" borderId="0" xfId="0" applyFont="1" applyFill="1" applyAlignment="1">
      <alignment horizontal="center" vertical="center"/>
    </xf>
    <xf numFmtId="174" fontId="19" fillId="4" borderId="0" xfId="0" applyNumberFormat="1" applyFont="1" applyFill="1" applyAlignment="1">
      <alignment horizontal="center" vertical="center"/>
    </xf>
    <xf numFmtId="0" fontId="21" fillId="4" borderId="0" xfId="0" applyFont="1" applyFill="1" applyAlignment="1">
      <alignment horizontal="left" vertical="center" wrapText="1"/>
    </xf>
    <xf numFmtId="1" fontId="19" fillId="7" borderId="14" xfId="0" applyNumberFormat="1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left" vertical="center" wrapText="1"/>
    </xf>
    <xf numFmtId="168" fontId="19" fillId="7" borderId="15" xfId="0" applyNumberFormat="1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/>
    </xf>
    <xf numFmtId="0" fontId="18" fillId="6" borderId="15" xfId="0" applyFont="1" applyFill="1" applyBorder="1" applyAlignment="1">
      <alignment horizontal="left" vertical="center" wrapText="1"/>
    </xf>
    <xf numFmtId="0" fontId="19" fillId="6" borderId="15" xfId="0" applyFont="1" applyFill="1" applyBorder="1" applyAlignment="1">
      <alignment horizontal="center" vertical="center"/>
    </xf>
    <xf numFmtId="0" fontId="20" fillId="6" borderId="15" xfId="0" applyFont="1" applyFill="1" applyBorder="1" applyAlignment="1">
      <alignment horizontal="center" vertical="center"/>
    </xf>
    <xf numFmtId="0" fontId="20" fillId="7" borderId="15" xfId="0" applyFont="1" applyFill="1" applyBorder="1" applyAlignment="1">
      <alignment horizontal="center" vertical="center"/>
    </xf>
    <xf numFmtId="174" fontId="19" fillId="6" borderId="15" xfId="0" applyNumberFormat="1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left" vertical="center" wrapText="1"/>
    </xf>
    <xf numFmtId="1" fontId="19" fillId="7" borderId="17" xfId="0" applyNumberFormat="1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174" fontId="19" fillId="6" borderId="0" xfId="0" applyNumberFormat="1" applyFont="1" applyFill="1" applyAlignment="1">
      <alignment horizontal="center" vertical="center"/>
    </xf>
    <xf numFmtId="0" fontId="19" fillId="7" borderId="0" xfId="0" applyFont="1" applyFill="1"/>
    <xf numFmtId="1" fontId="19" fillId="7" borderId="19" xfId="0" applyNumberFormat="1" applyFont="1" applyFill="1" applyBorder="1" applyAlignment="1">
      <alignment horizontal="center" vertical="center"/>
    </xf>
    <xf numFmtId="0" fontId="0" fillId="6" borderId="20" xfId="0" applyFill="1" applyBorder="1"/>
    <xf numFmtId="0" fontId="19" fillId="7" borderId="20" xfId="0" applyFont="1" applyFill="1" applyBorder="1"/>
    <xf numFmtId="168" fontId="19" fillId="7" borderId="20" xfId="0" applyNumberFormat="1" applyFont="1" applyFill="1" applyBorder="1" applyAlignment="1">
      <alignment horizontal="center" vertical="center"/>
    </xf>
    <xf numFmtId="0" fontId="19" fillId="7" borderId="20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1" fontId="23" fillId="8" borderId="24" xfId="0" applyNumberFormat="1" applyFont="1" applyFill="1" applyBorder="1" applyAlignment="1">
      <alignment horizontal="center" vertical="center"/>
    </xf>
    <xf numFmtId="168" fontId="23" fillId="8" borderId="24" xfId="0" applyNumberFormat="1" applyFont="1" applyFill="1" applyBorder="1" applyAlignment="1">
      <alignment horizontal="center" vertical="center"/>
    </xf>
    <xf numFmtId="9" fontId="23" fillId="8" borderId="24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8" fillId="4" borderId="24" xfId="0" applyFont="1" applyFill="1" applyBorder="1" applyAlignment="1">
      <alignment horizontal="left" vertical="center" wrapText="1"/>
    </xf>
    <xf numFmtId="0" fontId="18" fillId="6" borderId="24" xfId="0" applyFont="1" applyFill="1" applyBorder="1" applyAlignment="1">
      <alignment horizontal="left" vertical="center" wrapText="1"/>
    </xf>
    <xf numFmtId="0" fontId="18" fillId="4" borderId="24" xfId="0" applyFont="1" applyFill="1" applyBorder="1" applyAlignment="1">
      <alignment horizontal="center" vertical="center"/>
    </xf>
    <xf numFmtId="0" fontId="18" fillId="6" borderId="24" xfId="0" applyFont="1" applyFill="1" applyBorder="1" applyAlignment="1">
      <alignment horizontal="center" vertical="center"/>
    </xf>
    <xf numFmtId="9" fontId="11" fillId="4" borderId="11" xfId="0" applyNumberFormat="1" applyFont="1" applyFill="1" applyBorder="1" applyAlignment="1">
      <alignment horizontal="left" vertical="center" indent="1"/>
    </xf>
    <xf numFmtId="165" fontId="8" fillId="4" borderId="5" xfId="0" applyNumberFormat="1" applyFont="1" applyFill="1" applyBorder="1" applyAlignment="1">
      <alignment horizontal="left" vertical="center" indent="1"/>
    </xf>
    <xf numFmtId="0" fontId="9" fillId="4" borderId="12" xfId="0" applyFont="1" applyFill="1" applyBorder="1" applyAlignment="1">
      <alignment horizontal="left" vertical="center" wrapText="1" indent="1"/>
    </xf>
    <xf numFmtId="0" fontId="9" fillId="4" borderId="13" xfId="0" applyFont="1" applyFill="1" applyBorder="1" applyAlignment="1">
      <alignment horizontal="left" vertical="center" wrapText="1" indent="1"/>
    </xf>
    <xf numFmtId="0" fontId="12" fillId="5" borderId="14" xfId="0" applyFont="1" applyFill="1" applyBorder="1" applyAlignment="1">
      <alignment horizontal="left" vertical="center" wrapText="1"/>
    </xf>
    <xf numFmtId="0" fontId="12" fillId="5" borderId="16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horizontal="left" vertical="center" wrapText="1"/>
    </xf>
    <xf numFmtId="0" fontId="14" fillId="6" borderId="18" xfId="0" applyFont="1" applyFill="1" applyBorder="1" applyAlignment="1">
      <alignment horizontal="center" vertical="center"/>
    </xf>
    <xf numFmtId="0" fontId="13" fillId="6" borderId="19" xfId="0" applyFont="1" applyFill="1" applyBorder="1" applyAlignment="1">
      <alignment horizontal="left" vertical="center" wrapText="1"/>
    </xf>
    <xf numFmtId="0" fontId="14" fillId="6" borderId="21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0" fillId="5" borderId="16" xfId="0" applyFill="1" applyBorder="1"/>
    <xf numFmtId="0" fontId="0" fillId="4" borderId="18" xfId="0" applyFill="1" applyBorder="1"/>
    <xf numFmtId="0" fontId="0" fillId="6" borderId="18" xfId="0" applyFill="1" applyBorder="1"/>
    <xf numFmtId="0" fontId="0" fillId="6" borderId="21" xfId="0" applyFill="1" applyBorder="1"/>
    <xf numFmtId="0" fontId="13" fillId="4" borderId="19" xfId="0" applyFont="1" applyFill="1" applyBorder="1" applyAlignment="1">
      <alignment horizontal="left" vertical="center" wrapText="1"/>
    </xf>
    <xf numFmtId="0" fontId="0" fillId="4" borderId="21" xfId="0" applyFill="1" applyBorder="1"/>
    <xf numFmtId="0" fontId="23" fillId="8" borderId="24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20" fillId="8" borderId="24" xfId="0" applyFont="1" applyFill="1" applyBorder="1" applyAlignment="1">
      <alignment horizontal="left" vertical="center" wrapText="1"/>
    </xf>
    <xf numFmtId="0" fontId="20" fillId="7" borderId="24" xfId="0" applyFont="1" applyFill="1" applyBorder="1" applyAlignment="1">
      <alignment horizontal="left" vertical="center" wrapText="1"/>
    </xf>
    <xf numFmtId="0" fontId="24" fillId="9" borderId="24" xfId="0" applyFont="1" applyFill="1" applyBorder="1" applyAlignment="1">
      <alignment horizontal="left" vertical="center" wrapText="1"/>
    </xf>
    <xf numFmtId="0" fontId="25" fillId="10" borderId="24" xfId="0" applyFont="1" applyFill="1" applyBorder="1" applyAlignment="1">
      <alignment horizontal="left" vertical="center" wrapText="1"/>
    </xf>
    <xf numFmtId="0" fontId="26" fillId="11" borderId="24" xfId="0" applyFont="1" applyFill="1" applyBorder="1" applyAlignment="1">
      <alignment horizontal="left" vertical="center" wrapText="1"/>
    </xf>
    <xf numFmtId="0" fontId="27" fillId="12" borderId="24" xfId="0" applyFont="1" applyFill="1" applyBorder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</cellXfs>
  <cellStyles count="1">
    <cellStyle name="Standard" xfId="0" builtinId="0"/>
  </cellStyles>
  <dxfs count="28"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56606E"/>
        <name val="Calibri"/>
        <charset val="1"/>
      </font>
      <fill>
        <patternFill>
          <bgColor rgb="FFE6E9EE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35547E"/>
        <name val="Calibri"/>
        <charset val="1"/>
      </font>
      <fill>
        <patternFill>
          <bgColor rgb="FFDEE7F1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  <dxf>
      <font>
        <b/>
        <sz val="9"/>
        <color rgb="FF56606E"/>
        <name val="Calibri"/>
        <charset val="1"/>
      </font>
      <fill>
        <patternFill>
          <bgColor rgb="FFE6E9EE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56606E"/>
        <name val="Calibri"/>
        <charset val="1"/>
      </font>
      <fill>
        <patternFill>
          <bgColor rgb="FFE6E9EE"/>
        </patternFill>
      </fill>
    </dxf>
    <dxf>
      <font>
        <b/>
        <sz val="9"/>
        <color rgb="FF35547E"/>
        <name val="Calibri"/>
        <charset val="1"/>
      </font>
      <fill>
        <patternFill>
          <bgColor rgb="FFDEE7F1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56606E"/>
        <name val="Calibri"/>
        <charset val="1"/>
      </font>
      <fill>
        <patternFill>
          <bgColor rgb="FFE6E9EE"/>
        </patternFill>
      </fill>
    </dxf>
    <dxf>
      <font>
        <b/>
        <sz val="9"/>
        <color rgb="FFB23A2A"/>
        <name val="Calibri"/>
        <charset val="1"/>
      </font>
      <fill>
        <patternFill>
          <bgColor rgb="FFF7DDDA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35547E"/>
        <name val="Calibri"/>
        <charset val="1"/>
      </font>
      <fill>
        <patternFill>
          <bgColor rgb="FFDEE7F1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  <dxf>
      <font>
        <b/>
        <sz val="9"/>
        <color rgb="FF56606E"/>
        <name val="Calibri"/>
        <charset val="1"/>
      </font>
      <fill>
        <patternFill>
          <bgColor rgb="FFE6E9EE"/>
        </patternFill>
      </fill>
    </dxf>
    <dxf>
      <font>
        <b/>
        <sz val="9"/>
        <color rgb="FF8A6412"/>
        <name val="Calibri"/>
        <charset val="1"/>
      </font>
      <fill>
        <patternFill>
          <bgColor rgb="FFFBEECB"/>
        </patternFill>
      </fill>
    </dxf>
    <dxf>
      <font>
        <b/>
        <sz val="9"/>
        <color rgb="FF35547E"/>
        <name val="Calibri"/>
        <charset val="1"/>
      </font>
      <fill>
        <patternFill>
          <bgColor rgb="FFDEE7F1"/>
        </patternFill>
      </fill>
    </dxf>
    <dxf>
      <font>
        <b/>
        <sz val="9"/>
        <color rgb="FF2E7D4A"/>
        <name val="Calibri"/>
        <charset val="1"/>
      </font>
      <fill>
        <patternFill>
          <bgColor rgb="FFDBEED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7F9FB"/>
      <rgbColor rgb="FFFF00FF"/>
      <rgbColor rgb="FF00FFFF"/>
      <rgbColor rgb="FF800000"/>
      <rgbColor rgb="FF008000"/>
      <rgbColor rgb="FF000080"/>
      <rgbColor rgb="FF9A7620"/>
      <rgbColor rgb="FF800080"/>
      <rgbColor rgb="FF2E7D4A"/>
      <rgbColor rgb="FFD9D9D9"/>
      <rgbColor rgb="FF878787"/>
      <rgbColor rgb="FF9999FF"/>
      <rgbColor rgb="FFC0432B"/>
      <rgbColor rgb="FFFFF7DD"/>
      <rgbColor rgb="FFDEE7F1"/>
      <rgbColor rgb="FF660066"/>
      <rgbColor rgb="FFC79A2E"/>
      <rgbColor rgb="FF35547E"/>
      <rgbColor rgb="FFC8D2DD"/>
      <rgbColor rgb="FF000080"/>
      <rgbColor rgb="FFFF00FF"/>
      <rgbColor rgb="FFFFFF00"/>
      <rgbColor rgb="FF00FFFF"/>
      <rgbColor rgb="FF800080"/>
      <rgbColor rgb="FF800000"/>
      <rgbColor rgb="FF4F81BD"/>
      <rgbColor rgb="FF0000FF"/>
      <rgbColor rgb="FF00CCFF"/>
      <rgbColor rgb="FFF1F4F8"/>
      <rgbColor rgb="FFDBEEDD"/>
      <rgbColor rgb="FFFBEECB"/>
      <rgbColor rgb="FFDEE5EC"/>
      <rgbColor rgb="FFF9F9F9"/>
      <rgbColor rgb="FFE6E9EE"/>
      <rgbColor rgb="FFF7DDDA"/>
      <rgbColor rgb="FF35659A"/>
      <rgbColor rgb="FF33CCCC"/>
      <rgbColor rgb="FF99CC00"/>
      <rgbColor rgb="FFFFCC00"/>
      <rgbColor rgb="FFD9922B"/>
      <rgbColor rgb="FFFF6600"/>
      <rgbColor rgb="FF56606E"/>
      <rgbColor rgb="FF7C8AA0"/>
      <rgbColor rgb="FF294B6E"/>
      <rgbColor rgb="FF3E8E5E"/>
      <rgbColor rgb="FF003300"/>
      <rgbColor rgb="FF333300"/>
      <rgbColor rgb="FFB23A2A"/>
      <rgbColor rgb="FF8A6412"/>
      <rgbColor rgb="FF2E4763"/>
      <rgbColor rgb="FF1E2B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Schulungen je Monat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Cockpit!$C$36</c:f>
              <c:strCache>
                <c:ptCount val="1"/>
                <c:pt idx="0">
                  <c:v>Schulungen</c:v>
                </c:pt>
              </c:strCache>
            </c:strRef>
          </c:tx>
          <c:spPr>
            <a:solidFill>
              <a:srgbClr val="294B6E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Cockpit!$B$37:$B$48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Mär</c:v>
                </c:pt>
                <c:pt idx="3">
                  <c:v>Apr</c:v>
                </c:pt>
                <c:pt idx="4">
                  <c:v>Mai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Okt</c:v>
                </c:pt>
                <c:pt idx="10">
                  <c:v>Nov</c:v>
                </c:pt>
                <c:pt idx="11">
                  <c:v>Dez</c:v>
                </c:pt>
              </c:strCache>
            </c:strRef>
          </c:cat>
          <c:val>
            <c:numRef>
              <c:f>Cockpit!$C$37:$C$48</c:f>
              <c:numCache>
                <c:formatCode>0;;\–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4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CE-454F-8F52-2B87DCB83E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51952"/>
        <c:axId val="1036748"/>
      </c:barChart>
      <c:catAx>
        <c:axId val="3545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1036748"/>
        <c:crosses val="autoZero"/>
        <c:auto val="1"/>
        <c:lblAlgn val="ctr"/>
        <c:lblOffset val="100"/>
        <c:noMultiLvlLbl val="0"/>
      </c:catAx>
      <c:valAx>
        <c:axId val="1036748"/>
        <c:scaling>
          <c:orientation val="minMax"/>
        </c:scaling>
        <c:delete val="0"/>
        <c:axPos val="l"/>
        <c:numFmt formatCode="0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35451952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5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500" b="1" strike="noStrike" spc="-1">
                <a:solidFill>
                  <a:srgbClr val="000000"/>
                </a:solidFill>
                <a:latin typeface="Calibri"/>
              </a:rPr>
              <a:t>Teilnahmen nach Status</a:t>
            </a:r>
          </a:p>
        </c:rich>
      </c:tx>
      <c:layout>
        <c:manualLayout>
          <c:xMode val="edge"/>
          <c:yMode val="edge"/>
          <c:x val="0.57063193457134442"/>
          <c:y val="4.005722460658083E-2"/>
        </c:manualLayout>
      </c:layout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Cockpit!$J$28</c:f>
              <c:strCache>
                <c:ptCount val="1"/>
                <c:pt idx="0">
                  <c:v>Anzahl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3E8E5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07F5-4A5F-AE28-C443DB0AA176}"/>
              </c:ext>
            </c:extLst>
          </c:dPt>
          <c:dPt>
            <c:idx val="1"/>
            <c:bubble3D val="0"/>
            <c:spPr>
              <a:solidFill>
                <a:srgbClr val="35659A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07F5-4A5F-AE28-C443DB0AA176}"/>
              </c:ext>
            </c:extLst>
          </c:dPt>
          <c:dPt>
            <c:idx val="2"/>
            <c:bubble3D val="0"/>
            <c:spPr>
              <a:solidFill>
                <a:srgbClr val="D9922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07F5-4A5F-AE28-C443DB0AA176}"/>
              </c:ext>
            </c:extLst>
          </c:dPt>
          <c:dPt>
            <c:idx val="3"/>
            <c:bubble3D val="0"/>
            <c:spPr>
              <a:solidFill>
                <a:srgbClr val="C0432B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07F5-4A5F-AE28-C443DB0AA176}"/>
              </c:ext>
            </c:extLst>
          </c:dPt>
          <c:dPt>
            <c:idx val="4"/>
            <c:bubble3D val="0"/>
            <c:spPr>
              <a:solidFill>
                <a:srgbClr val="56606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07F5-4A5F-AE28-C443DB0AA176}"/>
              </c:ext>
            </c:extLst>
          </c:dPt>
          <c:cat>
            <c:strRef>
              <c:f>Cockpit!$H$29:$H$33</c:f>
              <c:strCache>
                <c:ptCount val="5"/>
                <c:pt idx="0">
                  <c:v>Eingeladen</c:v>
                </c:pt>
                <c:pt idx="1">
                  <c:v>Angemeldet</c:v>
                </c:pt>
                <c:pt idx="2">
                  <c:v>Teilgenommen</c:v>
                </c:pt>
                <c:pt idx="3">
                  <c:v>Fehlend</c:v>
                </c:pt>
                <c:pt idx="4">
                  <c:v>Abgesagt</c:v>
                </c:pt>
              </c:strCache>
            </c:strRef>
          </c:cat>
          <c:val>
            <c:numRef>
              <c:f>Cockpit!$J$29:$J$33</c:f>
              <c:numCache>
                <c:formatCode>0;;\–</c:formatCode>
                <c:ptCount val="5"/>
                <c:pt idx="0">
                  <c:v>6</c:v>
                </c:pt>
                <c:pt idx="1">
                  <c:v>9</c:v>
                </c:pt>
                <c:pt idx="2">
                  <c:v>41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7F5-4A5F-AE28-C443DB0AA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123825</xdr:rowOff>
    </xdr:from>
    <xdr:to>
      <xdr:col>12</xdr:col>
      <xdr:colOff>561975</xdr:colOff>
      <xdr:row>61</xdr:row>
      <xdr:rowOff>22905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4</xdr:col>
      <xdr:colOff>38100</xdr:colOff>
      <xdr:row>35</xdr:row>
      <xdr:rowOff>19050</xdr:rowOff>
    </xdr:from>
    <xdr:to>
      <xdr:col>12</xdr:col>
      <xdr:colOff>561976</xdr:colOff>
      <xdr:row>48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48"/>
  <sheetViews>
    <sheetView showGridLines="0" tabSelected="1" zoomScaleNormal="100" workbookViewId="0">
      <selection activeCell="Q54" sqref="Q54"/>
    </sheetView>
  </sheetViews>
  <sheetFormatPr baseColWidth="10" defaultColWidth="8.7109375" defaultRowHeight="15" x14ac:dyDescent="0.25"/>
  <cols>
    <col min="1" max="1" width="2.140625" customWidth="1"/>
    <col min="2" max="13" width="9.5703125" customWidth="1"/>
  </cols>
  <sheetData>
    <row r="1" spans="2:13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2:13" ht="15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3" t="str">
        <f ca="1">"Organisation: "&amp;Stammdaten!$C$8&amp;CHAR(10)&amp;"Berichtsjahr: "&amp;Berichtsjahr&amp;CHAR(10)&amp;"Stichtag: "&amp;TEXT(Stichtag,"DD.MM.YYYY")</f>
        <v>Organisation: Muster GmbH
Berichtsjahr: 2026
Stichtag: 28.07.YYYY</v>
      </c>
      <c r="L2" s="13"/>
      <c r="M2" s="13"/>
    </row>
    <row r="3" spans="2:13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3"/>
      <c r="L3" s="13"/>
      <c r="M3" s="13"/>
    </row>
    <row r="4" spans="2:13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3"/>
      <c r="L4" s="13"/>
      <c r="M4" s="13"/>
    </row>
    <row r="5" spans="2:13" ht="15.75" customHeight="1" x14ac:dyDescent="0.25">
      <c r="B5" s="12" t="s">
        <v>1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7" spans="2:13" ht="19.5" customHeight="1" x14ac:dyDescent="0.25">
      <c r="B7" s="16" t="s">
        <v>2</v>
      </c>
      <c r="C7" s="11" t="s">
        <v>3</v>
      </c>
      <c r="D7" s="11"/>
      <c r="E7" s="11"/>
      <c r="F7" s="11"/>
      <c r="G7" s="11"/>
      <c r="H7" s="11"/>
      <c r="I7" s="11"/>
      <c r="J7" s="11"/>
      <c r="K7" s="11"/>
      <c r="L7" s="11"/>
      <c r="M7" s="11"/>
    </row>
    <row r="9" spans="2:13" ht="16.5" customHeight="1" x14ac:dyDescent="0.25">
      <c r="B9" s="10">
        <f>COUNTA(Schulungsplan!$B$8:$B$40)</f>
        <v>21</v>
      </c>
      <c r="C9" s="10"/>
      <c r="D9" s="10"/>
      <c r="E9" s="9">
        <f>COUNTIF(Schulungsplan!$P$8:$P$40,"Abgeschlossen")</f>
        <v>12</v>
      </c>
      <c r="F9" s="9"/>
      <c r="G9" s="9"/>
      <c r="H9" s="8">
        <f>COUNTIF(Schulungsplan!$P$8:$P$40,"Geplant")+COUNTIF(Schulungsplan!$P$8:$P$40,"In Planung")</f>
        <v>8</v>
      </c>
      <c r="I9" s="8"/>
      <c r="J9" s="8"/>
      <c r="K9" s="7">
        <f>SUM(Schulungsplan!$S$8:$S$40)</f>
        <v>242</v>
      </c>
      <c r="L9" s="7"/>
      <c r="M9" s="7"/>
    </row>
    <row r="10" spans="2:13" ht="4.5" customHeight="1" x14ac:dyDescent="0.25">
      <c r="B10" s="10"/>
      <c r="C10" s="10"/>
      <c r="D10" s="10"/>
      <c r="E10" s="9"/>
      <c r="F10" s="9"/>
      <c r="G10" s="9"/>
      <c r="H10" s="8"/>
      <c r="I10" s="8"/>
      <c r="J10" s="8"/>
      <c r="K10" s="7"/>
      <c r="L10" s="7"/>
      <c r="M10" s="7"/>
    </row>
    <row r="11" spans="2:13" ht="13.5" customHeight="1" x14ac:dyDescent="0.25">
      <c r="B11" s="6" t="s">
        <v>4</v>
      </c>
      <c r="C11" s="6"/>
      <c r="D11" s="6"/>
      <c r="E11" s="5" t="s">
        <v>5</v>
      </c>
      <c r="F11" s="5"/>
      <c r="G11" s="5"/>
      <c r="H11" s="4" t="s">
        <v>6</v>
      </c>
      <c r="I11" s="4"/>
      <c r="J11" s="4"/>
      <c r="K11" s="3" t="s">
        <v>7</v>
      </c>
      <c r="L11" s="3"/>
      <c r="M11" s="3"/>
    </row>
    <row r="13" spans="2:13" ht="16.5" customHeight="1" x14ac:dyDescent="0.25">
      <c r="B13" s="2">
        <f>COUNTA(Teilnahmen!$C$6:$C$75)</f>
        <v>61</v>
      </c>
      <c r="C13" s="2"/>
      <c r="D13" s="2"/>
      <c r="E13" s="1">
        <f>IFERROR(COUNTIF(Teilnahmen!$J$6:$J$75,"Teilgenommen")/(COUNTIF(Teilnahmen!$J$6:$J$75,"Teilgenommen")+COUNTIF(Teilnahmen!$J$6:$J$75,"Fehlend")),0)</f>
        <v>0.93181818181818177</v>
      </c>
      <c r="F13" s="1"/>
      <c r="G13" s="1"/>
      <c r="H13" s="120">
        <f>IFERROR(AVERAGE(Schulungsplan!$M$8:$M$40),0)</f>
        <v>0.54484126984126979</v>
      </c>
      <c r="I13" s="120"/>
      <c r="J13" s="120"/>
      <c r="K13" s="121">
        <f>SUM(Schulungsplan!$N$8:$N$40)</f>
        <v>23530</v>
      </c>
      <c r="L13" s="121"/>
      <c r="M13" s="121"/>
    </row>
    <row r="14" spans="2:13" ht="4.5" customHeight="1" x14ac:dyDescent="0.25">
      <c r="B14" s="2"/>
      <c r="C14" s="2"/>
      <c r="D14" s="2"/>
      <c r="E14" s="1"/>
      <c r="F14" s="1"/>
      <c r="G14" s="1"/>
      <c r="H14" s="120"/>
      <c r="I14" s="120"/>
      <c r="J14" s="120"/>
      <c r="K14" s="121"/>
      <c r="L14" s="121"/>
      <c r="M14" s="121"/>
    </row>
    <row r="15" spans="2:13" ht="13.5" customHeight="1" x14ac:dyDescent="0.25">
      <c r="B15" s="122" t="s">
        <v>8</v>
      </c>
      <c r="C15" s="122"/>
      <c r="D15" s="122"/>
      <c r="E15" s="5" t="s">
        <v>9</v>
      </c>
      <c r="F15" s="5"/>
      <c r="G15" s="5"/>
      <c r="H15" s="123" t="s">
        <v>10</v>
      </c>
      <c r="I15" s="123"/>
      <c r="J15" s="123"/>
      <c r="K15" s="3" t="s">
        <v>11</v>
      </c>
      <c r="L15" s="3"/>
      <c r="M15" s="3"/>
    </row>
    <row r="17" spans="2:13" ht="19.5" customHeight="1" x14ac:dyDescent="0.25">
      <c r="B17" s="16" t="s">
        <v>12</v>
      </c>
      <c r="C17" s="11" t="s">
        <v>13</v>
      </c>
      <c r="D17" s="11"/>
      <c r="E17" s="11"/>
      <c r="F17" s="11"/>
      <c r="G17" s="11"/>
      <c r="H17" s="16" t="s">
        <v>14</v>
      </c>
      <c r="I17" s="11" t="s">
        <v>15</v>
      </c>
      <c r="J17" s="11"/>
      <c r="K17" s="11"/>
      <c r="L17" s="11"/>
      <c r="M17" s="11"/>
    </row>
    <row r="18" spans="2:13" ht="15" customHeight="1" x14ac:dyDescent="0.25">
      <c r="B18" s="124" t="s">
        <v>16</v>
      </c>
      <c r="C18" s="124"/>
      <c r="D18" s="18" t="s">
        <v>17</v>
      </c>
      <c r="E18" s="18" t="s">
        <v>18</v>
      </c>
      <c r="F18" s="18" t="s">
        <v>19</v>
      </c>
      <c r="G18" s="19" t="s">
        <v>20</v>
      </c>
      <c r="H18" s="124" t="s">
        <v>21</v>
      </c>
      <c r="I18" s="124"/>
      <c r="J18" s="124"/>
      <c r="K18" s="18" t="s">
        <v>22</v>
      </c>
      <c r="L18" s="125" t="s">
        <v>23</v>
      </c>
      <c r="M18" s="125"/>
    </row>
    <row r="19" spans="2:13" ht="13.5" customHeight="1" x14ac:dyDescent="0.25">
      <c r="B19" s="126" t="s">
        <v>24</v>
      </c>
      <c r="C19" s="126"/>
      <c r="D19" s="21">
        <f>COUNTIF(Schulungsplan!$D$8:$D$40,$B19)</f>
        <v>1</v>
      </c>
      <c r="E19" s="21">
        <f>SUMIF(Schulungsplan!$D$8:$D$40,$B19,Schulungsplan!$I$8:$I$40)</f>
        <v>2</v>
      </c>
      <c r="F19" s="22">
        <f>SUMIF(Schulungsplan!$D$8:$D$40,$B19,Schulungsplan!$N$8:$N$40)</f>
        <v>600</v>
      </c>
      <c r="G19" s="23">
        <f>IFERROR($D19/COUNTA(Schulungsplan!$B$8:$B$40),0)</f>
        <v>4.7619047619047616E-2</v>
      </c>
      <c r="H19" s="126" t="str">
        <f ca="1">IFERROR(INDEX(Teilnahmen!$H$6:$H$75,MATCH(1,Teilnahmen!$Q$6:$Q$75,0))&amp;" · "&amp;INDEX(Teilnahmen!$C$6:$C$75,MATCH(1,Teilnahmen!$Q$6:$Q$75,0)),"")</f>
        <v>Sophie Wagner · S-003</v>
      </c>
      <c r="I19" s="126"/>
      <c r="J19" s="126"/>
      <c r="K19" s="24">
        <f ca="1">IFERROR(INDEX(Teilnahmen!$K$6:$K$75,MATCH(1,Teilnahmen!$Q$6:$Q$75,0)),"")</f>
        <v>46184</v>
      </c>
      <c r="L19" s="127" t="str">
        <f ca="1">IFERROR(INDEX(Teilnahmen!$L$6:$L$75,MATCH(1,Teilnahmen!$Q$6:$Q$75,0)),"")</f>
        <v>Abgelaufen</v>
      </c>
      <c r="M19" s="127"/>
    </row>
    <row r="20" spans="2:13" ht="13.5" customHeight="1" x14ac:dyDescent="0.25">
      <c r="B20" s="128" t="s">
        <v>25</v>
      </c>
      <c r="C20" s="128"/>
      <c r="D20" s="26">
        <f>COUNTIF(Schulungsplan!$D$8:$D$40,$B20)</f>
        <v>5</v>
      </c>
      <c r="E20" s="26">
        <f>SUMIF(Schulungsplan!$D$8:$D$40,$B20,Schulungsplan!$I$8:$I$40)</f>
        <v>21.5</v>
      </c>
      <c r="F20" s="27">
        <f>SUMIF(Schulungsplan!$D$8:$D$40,$B20,Schulungsplan!$N$8:$N$40)</f>
        <v>4300</v>
      </c>
      <c r="G20" s="28">
        <f>IFERROR($D20/COUNTA(Schulungsplan!$B$8:$B$40),0)</f>
        <v>0.23809523809523808</v>
      </c>
      <c r="H20" s="128" t="str">
        <f ca="1">IFERROR(INDEX(Teilnahmen!$H$6:$H$75,MATCH(2,Teilnahmen!$Q$6:$Q$75,0))&amp;" · "&amp;INDEX(Teilnahmen!$C$6:$C$75,MATCH(2,Teilnahmen!$Q$6:$Q$75,0)),"")</f>
        <v>Robert Fischer · S-003</v>
      </c>
      <c r="I20" s="128"/>
      <c r="J20" s="128"/>
      <c r="K20" s="29">
        <f ca="1">IFERROR(INDEX(Teilnahmen!$K$6:$K$75,MATCH(2,Teilnahmen!$Q$6:$Q$75,0)),"")</f>
        <v>46184</v>
      </c>
      <c r="L20" s="129" t="str">
        <f ca="1">IFERROR(INDEX(Teilnahmen!$L$6:$L$75,MATCH(2,Teilnahmen!$Q$6:$Q$75,0)),"")</f>
        <v>Abgelaufen</v>
      </c>
      <c r="M20" s="129"/>
    </row>
    <row r="21" spans="2:13" ht="13.5" customHeight="1" x14ac:dyDescent="0.25">
      <c r="B21" s="126" t="s">
        <v>26</v>
      </c>
      <c r="C21" s="126"/>
      <c r="D21" s="21">
        <f>COUNTIF(Schulungsplan!$D$8:$D$40,$B21)</f>
        <v>3</v>
      </c>
      <c r="E21" s="21">
        <f>SUMIF(Schulungsplan!$D$8:$D$40,$B21,Schulungsplan!$I$8:$I$40)</f>
        <v>5.5</v>
      </c>
      <c r="F21" s="22">
        <f>SUMIF(Schulungsplan!$D$8:$D$40,$B21,Schulungsplan!$N$8:$N$40)</f>
        <v>2000</v>
      </c>
      <c r="G21" s="23">
        <f>IFERROR($D21/COUNTA(Schulungsplan!$B$8:$B$40),0)</f>
        <v>0.14285714285714285</v>
      </c>
      <c r="H21" s="126" t="str">
        <f ca="1">IFERROR(INDEX(Teilnahmen!$H$6:$H$75,MATCH(3,Teilnahmen!$Q$6:$Q$75,0))&amp;" · "&amp;INDEX(Teilnahmen!$C$6:$C$75,MATCH(3,Teilnahmen!$Q$6:$Q$75,0)),"")</f>
        <v>Nadine Aksoy · S-003</v>
      </c>
      <c r="I21" s="126"/>
      <c r="J21" s="126"/>
      <c r="K21" s="24">
        <f ca="1">IFERROR(INDEX(Teilnahmen!$K$6:$K$75,MATCH(3,Teilnahmen!$Q$6:$Q$75,0)),"")</f>
        <v>46184</v>
      </c>
      <c r="L21" s="127" t="str">
        <f ca="1">IFERROR(INDEX(Teilnahmen!$L$6:$L$75,MATCH(3,Teilnahmen!$Q$6:$Q$75,0)),"")</f>
        <v>Abgelaufen</v>
      </c>
      <c r="M21" s="127"/>
    </row>
    <row r="22" spans="2:13" ht="13.5" customHeight="1" x14ac:dyDescent="0.25">
      <c r="B22" s="128" t="s">
        <v>27</v>
      </c>
      <c r="C22" s="128"/>
      <c r="D22" s="26">
        <f>COUNTIF(Schulungsplan!$D$8:$D$40,$B22)</f>
        <v>3</v>
      </c>
      <c r="E22" s="26">
        <f>SUMIF(Schulungsplan!$D$8:$D$40,$B22,Schulungsplan!$I$8:$I$40)</f>
        <v>13</v>
      </c>
      <c r="F22" s="27">
        <f>SUMIF(Schulungsplan!$D$8:$D$40,$B22,Schulungsplan!$N$8:$N$40)</f>
        <v>2180</v>
      </c>
      <c r="G22" s="28">
        <f>IFERROR($D22/COUNTA(Schulungsplan!$B$8:$B$40),0)</f>
        <v>0.14285714285714285</v>
      </c>
      <c r="H22" s="128" t="str">
        <f ca="1">IFERROR(INDEX(Teilnahmen!$H$6:$H$75,MATCH(4,Teilnahmen!$Q$6:$Q$75,0))&amp;" · "&amp;INDEX(Teilnahmen!$C$6:$C$75,MATCH(4,Teilnahmen!$Q$6:$Q$75,0)),"")</f>
        <v>David Lehmann · S-003</v>
      </c>
      <c r="I22" s="128"/>
      <c r="J22" s="128"/>
      <c r="K22" s="29">
        <f ca="1">IFERROR(INDEX(Teilnahmen!$K$6:$K$75,MATCH(4,Teilnahmen!$Q$6:$Q$75,0)),"")</f>
        <v>46184</v>
      </c>
      <c r="L22" s="129" t="str">
        <f ca="1">IFERROR(INDEX(Teilnahmen!$L$6:$L$75,MATCH(4,Teilnahmen!$Q$6:$Q$75,0)),"")</f>
        <v>Abgelaufen</v>
      </c>
      <c r="M22" s="129"/>
    </row>
    <row r="23" spans="2:13" ht="13.5" customHeight="1" x14ac:dyDescent="0.25">
      <c r="B23" s="126" t="s">
        <v>28</v>
      </c>
      <c r="C23" s="126"/>
      <c r="D23" s="21">
        <f>COUNTIF(Schulungsplan!$D$8:$D$40,$B23)</f>
        <v>2</v>
      </c>
      <c r="E23" s="21">
        <f>SUMIF(Schulungsplan!$D$8:$D$40,$B23,Schulungsplan!$I$8:$I$40)</f>
        <v>20</v>
      </c>
      <c r="F23" s="22">
        <f>SUMIF(Schulungsplan!$D$8:$D$40,$B23,Schulungsplan!$N$8:$N$40)</f>
        <v>3350</v>
      </c>
      <c r="G23" s="23">
        <f>IFERROR($D23/COUNTA(Schulungsplan!$B$8:$B$40),0)</f>
        <v>9.5238095238095233E-2</v>
      </c>
      <c r="H23" s="126" t="str">
        <f ca="1">IFERROR(INDEX(Teilnahmen!$H$6:$H$75,MATCH(5,Teilnahmen!$Q$6:$Q$75,0))&amp;" · "&amp;INDEX(Teilnahmen!$C$6:$C$75,MATCH(5,Teilnahmen!$Q$6:$Q$75,0)),"")</f>
        <v>Jonas Reinhardt · S-013</v>
      </c>
      <c r="I23" s="126"/>
      <c r="J23" s="126"/>
      <c r="K23" s="24">
        <f ca="1">IFERROR(INDEX(Teilnahmen!$K$6:$K$75,MATCH(5,Teilnahmen!$Q$6:$Q$75,0)),"")</f>
        <v>46253</v>
      </c>
      <c r="L23" s="127" t="str">
        <f ca="1">IFERROR(INDEX(Teilnahmen!$L$6:$L$75,MATCH(5,Teilnahmen!$Q$6:$Q$75,0)),"")</f>
        <v>Läuft bald ab</v>
      </c>
      <c r="M23" s="127"/>
    </row>
    <row r="24" spans="2:13" ht="13.5" customHeight="1" x14ac:dyDescent="0.25">
      <c r="B24" s="128" t="s">
        <v>29</v>
      </c>
      <c r="C24" s="128"/>
      <c r="D24" s="26">
        <f>COUNTIF(Schulungsplan!$D$8:$D$40,$B24)</f>
        <v>5</v>
      </c>
      <c r="E24" s="26">
        <f>SUMIF(Schulungsplan!$D$8:$D$40,$B24,Schulungsplan!$I$8:$I$40)</f>
        <v>51</v>
      </c>
      <c r="F24" s="27">
        <f>SUMIF(Schulungsplan!$D$8:$D$40,$B24,Schulungsplan!$N$8:$N$40)</f>
        <v>10000</v>
      </c>
      <c r="G24" s="28">
        <f>IFERROR($D24/COUNTA(Schulungsplan!$B$8:$B$40),0)</f>
        <v>0.23809523809523808</v>
      </c>
      <c r="H24" s="130" t="str">
        <f ca="1">IFERROR(INDEX(Teilnahmen!$H$6:$H$75,MATCH(6,Teilnahmen!$Q$6:$Q$75,0))&amp;" · "&amp;INDEX(Teilnahmen!$C$6:$C$75,MATCH(6,Teilnahmen!$Q$6:$Q$75,0)),"")</f>
        <v>David Lehmann · S-013</v>
      </c>
      <c r="I24" s="130"/>
      <c r="J24" s="130"/>
      <c r="K24" s="31">
        <f ca="1">IFERROR(INDEX(Teilnahmen!$K$6:$K$75,MATCH(6,Teilnahmen!$Q$6:$Q$75,0)),"")</f>
        <v>46253</v>
      </c>
      <c r="L24" s="131" t="str">
        <f ca="1">IFERROR(INDEX(Teilnahmen!$L$6:$L$75,MATCH(6,Teilnahmen!$Q$6:$Q$75,0)),"")</f>
        <v>Läuft bald ab</v>
      </c>
      <c r="M24" s="131"/>
    </row>
    <row r="25" spans="2:13" ht="15" customHeight="1" x14ac:dyDescent="0.25">
      <c r="B25" s="126" t="s">
        <v>30</v>
      </c>
      <c r="C25" s="126"/>
      <c r="D25" s="21">
        <f>COUNTIF(Schulungsplan!$D$8:$D$40,$B25)</f>
        <v>1</v>
      </c>
      <c r="E25" s="21">
        <f>SUMIF(Schulungsplan!$D$8:$D$40,$B25,Schulungsplan!$I$8:$I$40)</f>
        <v>8</v>
      </c>
      <c r="F25" s="22">
        <f>SUMIF(Schulungsplan!$D$8:$D$40,$B25,Schulungsplan!$N$8:$N$40)</f>
        <v>1100</v>
      </c>
      <c r="G25" s="23">
        <f>IFERROR($D25/COUNTA(Schulungsplan!$B$8:$B$40),0)</f>
        <v>4.7619047619047616E-2</v>
      </c>
      <c r="H25" s="132" t="str">
        <f ca="1">IF((COUNTIF(Teilnahmen!$L$6:$L$75,"Abgelaufen")+COUNTIF(Teilnahmen!$L$6:$L$75,"Läuft bald ab"))&gt;0,"⚠ "&amp;(COUNTIF(Teilnahmen!$L$6:$L$75,"Abgelaufen")+COUNTIF(Teilnahmen!$L$6:$L$75,"Läuft bald ab"))&amp;" Qualifikation(en) abgelaufen oder bald fällig – Auffrischung einplanen.","Alle Qualifikationen aktuell.")</f>
        <v>⚠ 12 Qualifikation(en) abgelaufen oder bald fällig – Auffrischung einplanen.</v>
      </c>
      <c r="I25" s="132"/>
      <c r="J25" s="132"/>
      <c r="K25" s="132"/>
      <c r="L25" s="132"/>
      <c r="M25" s="132"/>
    </row>
    <row r="26" spans="2:13" ht="13.5" customHeight="1" x14ac:dyDescent="0.25">
      <c r="B26" s="130" t="s">
        <v>31</v>
      </c>
      <c r="C26" s="130"/>
      <c r="D26" s="32">
        <f>COUNTIF(Schulungsplan!$D$8:$D$40,$B26)</f>
        <v>1</v>
      </c>
      <c r="E26" s="32">
        <f>SUMIF(Schulungsplan!$D$8:$D$40,$B26,Schulungsplan!$I$8:$I$40)</f>
        <v>4</v>
      </c>
      <c r="F26" s="33">
        <f>SUMIF(Schulungsplan!$D$8:$D$40,$B26,Schulungsplan!$N$8:$N$40)</f>
        <v>0</v>
      </c>
      <c r="G26" s="34">
        <f>IFERROR($D26/COUNTA(Schulungsplan!$B$8:$B$40),0)</f>
        <v>4.7619047619047616E-2</v>
      </c>
    </row>
    <row r="27" spans="2:13" ht="19.5" customHeight="1" x14ac:dyDescent="0.25">
      <c r="B27" s="16" t="s">
        <v>32</v>
      </c>
      <c r="C27" s="11" t="s">
        <v>33</v>
      </c>
      <c r="D27" s="11"/>
      <c r="E27" s="11"/>
      <c r="F27" s="11"/>
      <c r="G27" s="11"/>
      <c r="H27" s="16" t="s">
        <v>34</v>
      </c>
      <c r="I27" s="11" t="s">
        <v>35</v>
      </c>
      <c r="J27" s="11"/>
      <c r="K27" s="11"/>
      <c r="L27" s="11"/>
      <c r="M27" s="11"/>
    </row>
    <row r="28" spans="2:13" ht="15" customHeight="1" x14ac:dyDescent="0.25">
      <c r="B28" s="124" t="s">
        <v>23</v>
      </c>
      <c r="C28" s="124"/>
      <c r="D28" s="18" t="s">
        <v>36</v>
      </c>
      <c r="E28" s="18" t="s">
        <v>20</v>
      </c>
      <c r="F28" s="35"/>
      <c r="G28" s="36"/>
      <c r="H28" s="124" t="s">
        <v>23</v>
      </c>
      <c r="I28" s="124"/>
      <c r="J28" s="18" t="s">
        <v>36</v>
      </c>
      <c r="K28" s="18" t="s">
        <v>20</v>
      </c>
      <c r="L28" s="133"/>
      <c r="M28" s="133"/>
    </row>
    <row r="29" spans="2:13" ht="13.5" customHeight="1" x14ac:dyDescent="0.25">
      <c r="B29" s="126" t="s">
        <v>37</v>
      </c>
      <c r="C29" s="126"/>
      <c r="D29" s="21">
        <f>COUNTIF(Schulungsplan!$P$8:$P$40,$B29)</f>
        <v>1</v>
      </c>
      <c r="E29" s="37">
        <f>IFERROR($D29/COUNTA(Schulungsplan!$B$8:$B$40),0)</f>
        <v>4.7619047619047616E-2</v>
      </c>
      <c r="F29" s="134"/>
      <c r="G29" s="134"/>
      <c r="H29" s="126" t="s">
        <v>38</v>
      </c>
      <c r="I29" s="126"/>
      <c r="J29" s="21">
        <f>COUNTIF(Teilnahmen!$J$6:$J$75,$H29)</f>
        <v>6</v>
      </c>
      <c r="K29" s="37">
        <f>IFERROR($J29/COUNTA(Teilnahmen!$C$6:$C$75),0)</f>
        <v>9.8360655737704916E-2</v>
      </c>
      <c r="L29" s="134"/>
      <c r="M29" s="134"/>
    </row>
    <row r="30" spans="2:13" ht="13.5" customHeight="1" x14ac:dyDescent="0.25">
      <c r="B30" s="128" t="s">
        <v>39</v>
      </c>
      <c r="C30" s="128"/>
      <c r="D30" s="26">
        <f>COUNTIF(Schulungsplan!$P$8:$P$40,$B30)</f>
        <v>7</v>
      </c>
      <c r="E30" s="39">
        <f>IFERROR($D30/COUNTA(Schulungsplan!$B$8:$B$40),0)</f>
        <v>0.33333333333333331</v>
      </c>
      <c r="F30" s="135"/>
      <c r="G30" s="135"/>
      <c r="H30" s="128" t="s">
        <v>40</v>
      </c>
      <c r="I30" s="128"/>
      <c r="J30" s="26">
        <f>COUNTIF(Teilnahmen!$J$6:$J$75,$H30)</f>
        <v>9</v>
      </c>
      <c r="K30" s="39">
        <f>IFERROR($J30/COUNTA(Teilnahmen!$C$6:$C$75),0)</f>
        <v>0.14754098360655737</v>
      </c>
      <c r="L30" s="135"/>
      <c r="M30" s="135"/>
    </row>
    <row r="31" spans="2:13" ht="13.5" customHeight="1" x14ac:dyDescent="0.25">
      <c r="B31" s="126" t="s">
        <v>41</v>
      </c>
      <c r="C31" s="126"/>
      <c r="D31" s="21">
        <f>COUNTIF(Schulungsplan!$P$8:$P$40,$B31)</f>
        <v>12</v>
      </c>
      <c r="E31" s="37">
        <f>IFERROR($D31/COUNTA(Schulungsplan!$B$8:$B$40),0)</f>
        <v>0.5714285714285714</v>
      </c>
      <c r="F31" s="134"/>
      <c r="G31" s="134"/>
      <c r="H31" s="126" t="s">
        <v>42</v>
      </c>
      <c r="I31" s="126"/>
      <c r="J31" s="21">
        <f>COUNTIF(Teilnahmen!$J$6:$J$75,$H31)</f>
        <v>41</v>
      </c>
      <c r="K31" s="37">
        <f>IFERROR($J31/COUNTA(Teilnahmen!$C$6:$C$75),0)</f>
        <v>0.67213114754098358</v>
      </c>
      <c r="L31" s="134"/>
      <c r="M31" s="134"/>
    </row>
    <row r="32" spans="2:13" ht="13.5" customHeight="1" x14ac:dyDescent="0.25">
      <c r="B32" s="130" t="s">
        <v>43</v>
      </c>
      <c r="C32" s="130"/>
      <c r="D32" s="32">
        <f>COUNTIF(Schulungsplan!$P$8:$P$40,$B32)</f>
        <v>1</v>
      </c>
      <c r="E32" s="41">
        <f>IFERROR($D32/COUNTA(Schulungsplan!$B$8:$B$40),0)</f>
        <v>4.7619047619047616E-2</v>
      </c>
      <c r="F32" s="136"/>
      <c r="G32" s="136"/>
      <c r="H32" s="128" t="s">
        <v>44</v>
      </c>
      <c r="I32" s="128"/>
      <c r="J32" s="26">
        <f>COUNTIF(Teilnahmen!$J$6:$J$75,$H32)</f>
        <v>3</v>
      </c>
      <c r="K32" s="39">
        <f>IFERROR($J32/COUNTA(Teilnahmen!$C$6:$C$75),0)</f>
        <v>4.9180327868852458E-2</v>
      </c>
      <c r="L32" s="135"/>
      <c r="M32" s="135"/>
    </row>
    <row r="33" spans="2:13" ht="13.5" customHeight="1" x14ac:dyDescent="0.25">
      <c r="H33" s="137" t="s">
        <v>43</v>
      </c>
      <c r="I33" s="137"/>
      <c r="J33" s="43">
        <f>COUNTIF(Teilnahmen!$J$6:$J$75,$H33)</f>
        <v>2</v>
      </c>
      <c r="K33" s="44">
        <f>IFERROR($J33/COUNTA(Teilnahmen!$C$6:$C$75),0)</f>
        <v>3.2786885245901641E-2</v>
      </c>
      <c r="L33" s="138"/>
      <c r="M33" s="138"/>
    </row>
    <row r="35" spans="2:13" ht="19.5" customHeight="1" x14ac:dyDescent="0.25">
      <c r="B35" s="16" t="s">
        <v>45</v>
      </c>
      <c r="C35" s="11" t="s">
        <v>46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</row>
    <row r="36" spans="2:13" x14ac:dyDescent="0.25">
      <c r="B36" s="17" t="s">
        <v>47</v>
      </c>
      <c r="C36" s="18" t="s">
        <v>48</v>
      </c>
      <c r="D36" s="19" t="s">
        <v>49</v>
      </c>
    </row>
    <row r="37" spans="2:13" ht="12.75" customHeight="1" x14ac:dyDescent="0.25">
      <c r="B37" s="20" t="s">
        <v>50</v>
      </c>
      <c r="C37" s="21">
        <f>COUNTIFS(Schulungsplan!$H$8:$H$40,"&gt;="&amp;DATE(Berichtsjahr,1,1),Schulungsplan!$H$8:$H$40,"&lt;"&amp;DATE(Berichtsjahr,2,1))</f>
        <v>0</v>
      </c>
      <c r="D37" s="46">
        <f>SUMIFS(Schulungsplan!$I$8:$I$40,Schulungsplan!$H$8:$H$40,"&gt;="&amp;DATE(Berichtsjahr,1,1),Schulungsplan!$H$8:$H$40,"&lt;"&amp;DATE(Berichtsjahr,2,1))</f>
        <v>0</v>
      </c>
    </row>
    <row r="38" spans="2:13" ht="12.75" customHeight="1" x14ac:dyDescent="0.25">
      <c r="B38" s="25" t="s">
        <v>51</v>
      </c>
      <c r="C38" s="26">
        <f>COUNTIFS(Schulungsplan!$H$8:$H$40,"&gt;="&amp;DATE(Berichtsjahr,2,1),Schulungsplan!$H$8:$H$40,"&lt;"&amp;DATE(Berichtsjahr,3,1))</f>
        <v>1</v>
      </c>
      <c r="D38" s="47">
        <f>SUMIFS(Schulungsplan!$I$8:$I$40,Schulungsplan!$H$8:$H$40,"&gt;="&amp;DATE(Berichtsjahr,2,1),Schulungsplan!$H$8:$H$40,"&lt;"&amp;DATE(Berichtsjahr,3,1))</f>
        <v>1</v>
      </c>
    </row>
    <row r="39" spans="2:13" ht="12.75" customHeight="1" x14ac:dyDescent="0.25">
      <c r="B39" s="20" t="s">
        <v>52</v>
      </c>
      <c r="C39" s="21">
        <f>COUNTIFS(Schulungsplan!$H$8:$H$40,"&gt;="&amp;DATE(Berichtsjahr,3,1),Schulungsplan!$H$8:$H$40,"&lt;"&amp;DATE(Berichtsjahr,4,1))</f>
        <v>1</v>
      </c>
      <c r="D39" s="46">
        <f>SUMIFS(Schulungsplan!$I$8:$I$40,Schulungsplan!$H$8:$H$40,"&gt;="&amp;DATE(Berichtsjahr,3,1),Schulungsplan!$H$8:$H$40,"&lt;"&amp;DATE(Berichtsjahr,4,1))</f>
        <v>6</v>
      </c>
    </row>
    <row r="40" spans="2:13" ht="12.75" customHeight="1" x14ac:dyDescent="0.25">
      <c r="B40" s="25" t="s">
        <v>53</v>
      </c>
      <c r="C40" s="26">
        <f>COUNTIFS(Schulungsplan!$H$8:$H$40,"&gt;="&amp;DATE(Berichtsjahr,4,1),Schulungsplan!$H$8:$H$40,"&lt;"&amp;DATE(Berichtsjahr,5,1))</f>
        <v>1</v>
      </c>
      <c r="D40" s="47">
        <f>SUMIFS(Schulungsplan!$I$8:$I$40,Schulungsplan!$H$8:$H$40,"&gt;="&amp;DATE(Berichtsjahr,4,1),Schulungsplan!$H$8:$H$40,"&lt;"&amp;DATE(Berichtsjahr,5,1))</f>
        <v>16</v>
      </c>
    </row>
    <row r="41" spans="2:13" ht="12.75" customHeight="1" x14ac:dyDescent="0.25">
      <c r="B41" s="20" t="s">
        <v>54</v>
      </c>
      <c r="C41" s="21">
        <f>COUNTIFS(Schulungsplan!$H$8:$H$40,"&gt;="&amp;DATE(Berichtsjahr,5,1),Schulungsplan!$H$8:$H$40,"&lt;"&amp;DATE(Berichtsjahr,6,1))</f>
        <v>2</v>
      </c>
      <c r="D41" s="46">
        <f>SUMIFS(Schulungsplan!$I$8:$I$40,Schulungsplan!$H$8:$H$40,"&gt;="&amp;DATE(Berichtsjahr,5,1),Schulungsplan!$H$8:$H$40,"&lt;"&amp;DATE(Berichtsjahr,6,1))</f>
        <v>19</v>
      </c>
    </row>
    <row r="42" spans="2:13" ht="12.75" customHeight="1" x14ac:dyDescent="0.25">
      <c r="B42" s="25" t="s">
        <v>55</v>
      </c>
      <c r="C42" s="26">
        <f>COUNTIFS(Schulungsplan!$H$8:$H$40,"&gt;="&amp;DATE(Berichtsjahr,6,1),Schulungsplan!$H$8:$H$40,"&lt;"&amp;DATE(Berichtsjahr,7,1))</f>
        <v>2</v>
      </c>
      <c r="D42" s="47">
        <f>SUMIFS(Schulungsplan!$I$8:$I$40,Schulungsplan!$H$8:$H$40,"&gt;="&amp;DATE(Berichtsjahr,6,1),Schulungsplan!$H$8:$H$40,"&lt;"&amp;DATE(Berichtsjahr,7,1))</f>
        <v>10</v>
      </c>
    </row>
    <row r="43" spans="2:13" ht="12.75" customHeight="1" x14ac:dyDescent="0.25">
      <c r="B43" s="20" t="s">
        <v>56</v>
      </c>
      <c r="C43" s="21">
        <f>COUNTIFS(Schulungsplan!$H$8:$H$40,"&gt;="&amp;DATE(Berichtsjahr,7,1),Schulungsplan!$H$8:$H$40,"&lt;"&amp;DATE(Berichtsjahr,8,1))</f>
        <v>1</v>
      </c>
      <c r="D43" s="46">
        <f>SUMIFS(Schulungsplan!$I$8:$I$40,Schulungsplan!$H$8:$H$40,"&gt;="&amp;DATE(Berichtsjahr,7,1),Schulungsplan!$H$8:$H$40,"&lt;"&amp;DATE(Berichtsjahr,8,1))</f>
        <v>8</v>
      </c>
    </row>
    <row r="44" spans="2:13" ht="12.75" customHeight="1" x14ac:dyDescent="0.25">
      <c r="B44" s="25" t="s">
        <v>57</v>
      </c>
      <c r="C44" s="26">
        <f>COUNTIFS(Schulungsplan!$H$8:$H$40,"&gt;="&amp;DATE(Berichtsjahr,8,1),Schulungsplan!$H$8:$H$40,"&lt;"&amp;DATE(Berichtsjahr,9,1))</f>
        <v>1</v>
      </c>
      <c r="D44" s="47">
        <f>SUMIFS(Schulungsplan!$I$8:$I$40,Schulungsplan!$H$8:$H$40,"&gt;="&amp;DATE(Berichtsjahr,8,1),Schulungsplan!$H$8:$H$40,"&lt;"&amp;DATE(Berichtsjahr,9,1))</f>
        <v>4</v>
      </c>
    </row>
    <row r="45" spans="2:13" ht="12.75" customHeight="1" x14ac:dyDescent="0.25">
      <c r="B45" s="20" t="s">
        <v>58</v>
      </c>
      <c r="C45" s="21">
        <f>COUNTIFS(Schulungsplan!$H$8:$H$40,"&gt;="&amp;DATE(Berichtsjahr,9,1),Schulungsplan!$H$8:$H$40,"&lt;"&amp;DATE(Berichtsjahr,10,1))</f>
        <v>4</v>
      </c>
      <c r="D45" s="46">
        <f>SUMIFS(Schulungsplan!$I$8:$I$40,Schulungsplan!$H$8:$H$40,"&gt;="&amp;DATE(Berichtsjahr,9,1),Schulungsplan!$H$8:$H$40,"&lt;"&amp;DATE(Berichtsjahr,10,1))</f>
        <v>13.5</v>
      </c>
    </row>
    <row r="46" spans="2:13" ht="12.75" customHeight="1" x14ac:dyDescent="0.25">
      <c r="B46" s="25" t="s">
        <v>59</v>
      </c>
      <c r="C46" s="26">
        <f>COUNTIFS(Schulungsplan!$H$8:$H$40,"&gt;="&amp;DATE(Berichtsjahr,10,1),Schulungsplan!$H$8:$H$40,"&lt;"&amp;DATE(Berichtsjahr,11,1))</f>
        <v>1</v>
      </c>
      <c r="D46" s="47">
        <f>SUMIFS(Schulungsplan!$I$8:$I$40,Schulungsplan!$H$8:$H$40,"&gt;="&amp;DATE(Berichtsjahr,10,1),Schulungsplan!$H$8:$H$40,"&lt;"&amp;DATE(Berichtsjahr,11,1))</f>
        <v>16</v>
      </c>
    </row>
    <row r="47" spans="2:13" ht="12.75" customHeight="1" x14ac:dyDescent="0.25">
      <c r="B47" s="20" t="s">
        <v>60</v>
      </c>
      <c r="C47" s="21">
        <f>COUNTIFS(Schulungsplan!$H$8:$H$40,"&gt;="&amp;DATE(Berichtsjahr,11,1),Schulungsplan!$H$8:$H$40,"&lt;"&amp;DATE(Berichtsjahr,12,1))</f>
        <v>1</v>
      </c>
      <c r="D47" s="46">
        <f>SUMIFS(Schulungsplan!$I$8:$I$40,Schulungsplan!$H$8:$H$40,"&gt;="&amp;DATE(Berichtsjahr,11,1),Schulungsplan!$H$8:$H$40,"&lt;"&amp;DATE(Berichtsjahr,12,1))</f>
        <v>8</v>
      </c>
    </row>
    <row r="48" spans="2:13" ht="12.75" customHeight="1" x14ac:dyDescent="0.25">
      <c r="B48" s="30" t="s">
        <v>61</v>
      </c>
      <c r="C48" s="32">
        <f>COUNTIFS(Schulungsplan!$H$8:$H$40,"&gt;="&amp;DATE(Berichtsjahr,12,1),Schulungsplan!$H$8:$H$40,"&lt;"&amp;DATE(Berichtsjahr,12,31)+1)</f>
        <v>0</v>
      </c>
      <c r="D48" s="48">
        <f>SUMIFS(Schulungsplan!$I$8:$I$40,Schulungsplan!$H$8:$H$40,"&gt;="&amp;DATE(Berichtsjahr,12,1),Schulungsplan!$H$8:$H$40,"&lt;"&amp;DATE(Berichtsjahr,12,31)+1)</f>
        <v>0</v>
      </c>
    </row>
  </sheetData>
  <mergeCells count="70">
    <mergeCell ref="H33:I33"/>
    <mergeCell ref="L33:M33"/>
    <mergeCell ref="C35:M35"/>
    <mergeCell ref="B31:C31"/>
    <mergeCell ref="F31:G31"/>
    <mergeCell ref="H31:I31"/>
    <mergeCell ref="L31:M31"/>
    <mergeCell ref="B32:C32"/>
    <mergeCell ref="F32:G32"/>
    <mergeCell ref="H32:I32"/>
    <mergeCell ref="L32:M32"/>
    <mergeCell ref="B29:C29"/>
    <mergeCell ref="F29:G29"/>
    <mergeCell ref="H29:I29"/>
    <mergeCell ref="L29:M29"/>
    <mergeCell ref="B30:C30"/>
    <mergeCell ref="F30:G30"/>
    <mergeCell ref="H30:I30"/>
    <mergeCell ref="L30:M30"/>
    <mergeCell ref="B26:C26"/>
    <mergeCell ref="C27:G27"/>
    <mergeCell ref="I27:M27"/>
    <mergeCell ref="B28:C28"/>
    <mergeCell ref="H28:I28"/>
    <mergeCell ref="L28:M28"/>
    <mergeCell ref="B24:C24"/>
    <mergeCell ref="H24:J24"/>
    <mergeCell ref="L24:M24"/>
    <mergeCell ref="B25:C25"/>
    <mergeCell ref="H25:M25"/>
    <mergeCell ref="B22:C22"/>
    <mergeCell ref="H22:J22"/>
    <mergeCell ref="L22:M22"/>
    <mergeCell ref="B23:C23"/>
    <mergeCell ref="H23:J23"/>
    <mergeCell ref="L23:M23"/>
    <mergeCell ref="B20:C20"/>
    <mergeCell ref="H20:J20"/>
    <mergeCell ref="L20:M20"/>
    <mergeCell ref="B21:C21"/>
    <mergeCell ref="H21:J21"/>
    <mergeCell ref="L21:M21"/>
    <mergeCell ref="B18:C18"/>
    <mergeCell ref="H18:J18"/>
    <mergeCell ref="L18:M18"/>
    <mergeCell ref="B19:C19"/>
    <mergeCell ref="H19:J19"/>
    <mergeCell ref="L19:M19"/>
    <mergeCell ref="B15:D15"/>
    <mergeCell ref="E15:G15"/>
    <mergeCell ref="H15:J15"/>
    <mergeCell ref="K15:M15"/>
    <mergeCell ref="C17:G17"/>
    <mergeCell ref="I17:M17"/>
    <mergeCell ref="B11:D11"/>
    <mergeCell ref="E11:G11"/>
    <mergeCell ref="H11:J11"/>
    <mergeCell ref="K11:M11"/>
    <mergeCell ref="B13:D14"/>
    <mergeCell ref="E13:G14"/>
    <mergeCell ref="H13:J14"/>
    <mergeCell ref="K13:M14"/>
    <mergeCell ref="B2:J4"/>
    <mergeCell ref="K2:M4"/>
    <mergeCell ref="B5:M5"/>
    <mergeCell ref="C7:M7"/>
    <mergeCell ref="B9:D10"/>
    <mergeCell ref="E9:G10"/>
    <mergeCell ref="H9:J10"/>
    <mergeCell ref="K9:M10"/>
  </mergeCells>
  <conditionalFormatting sqref="B29:C32">
    <cfRule type="cellIs" dxfId="27" priority="6" operator="equal">
      <formula>"Abgeschlossen"</formula>
    </cfRule>
    <cfRule type="cellIs" dxfId="26" priority="7" operator="equal">
      <formula>"Geplant"</formula>
    </cfRule>
    <cfRule type="cellIs" dxfId="25" priority="8" operator="equal">
      <formula>"In Planung"</formula>
    </cfRule>
    <cfRule type="cellIs" dxfId="24" priority="9" operator="equal">
      <formula>"Abgesagt"</formula>
    </cfRule>
  </conditionalFormatting>
  <conditionalFormatting sqref="D19:D26">
    <cfRule type="dataBar" priority="2">
      <dataBar>
        <cfvo type="num" val="0"/>
        <cfvo type="max"/>
        <color rgb="FFC79A2E"/>
      </dataBar>
      <extLst>
        <ext xmlns:x14="http://schemas.microsoft.com/office/spreadsheetml/2009/9/main" uri="{B025F937-C7B1-47D3-B67F-A62EFF666E3E}">
          <x14:id>{A124EFB4-E280-4DA0-BC6F-61A3AFF321E3}</x14:id>
        </ext>
      </extLst>
    </cfRule>
  </conditionalFormatting>
  <conditionalFormatting sqref="D29:D32">
    <cfRule type="dataBar" priority="5">
      <dataBar>
        <cfvo type="num" val="0"/>
        <cfvo type="max"/>
        <color rgb="FF3A6088"/>
      </dataBar>
      <extLst>
        <ext xmlns:x14="http://schemas.microsoft.com/office/spreadsheetml/2009/9/main" uri="{B025F937-C7B1-47D3-B67F-A62EFF666E3E}">
          <x14:id>{DE47638D-4B28-471F-80FB-565D8D824F32}</x14:id>
        </ext>
      </extLst>
    </cfRule>
  </conditionalFormatting>
  <conditionalFormatting sqref="H29:I33">
    <cfRule type="cellIs" dxfId="23" priority="11" operator="equal">
      <formula>"Teilgenommen"</formula>
    </cfRule>
    <cfRule type="cellIs" dxfId="22" priority="12" operator="equal">
      <formula>"Angemeldet"</formula>
    </cfRule>
    <cfRule type="cellIs" dxfId="21" priority="13" operator="equal">
      <formula>"Eingeladen"</formula>
    </cfRule>
    <cfRule type="cellIs" dxfId="20" priority="14" operator="equal">
      <formula>"Fehlend"</formula>
    </cfRule>
    <cfRule type="cellIs" dxfId="19" priority="15" operator="equal">
      <formula>"Abgesagt"</formula>
    </cfRule>
  </conditionalFormatting>
  <conditionalFormatting sqref="J29:J33">
    <cfRule type="dataBar" priority="10">
      <dataBar>
        <cfvo type="num" val="0"/>
        <cfvo type="max"/>
        <color rgb="FF3E8E5E"/>
      </dataBar>
      <extLst>
        <ext xmlns:x14="http://schemas.microsoft.com/office/spreadsheetml/2009/9/main" uri="{B025F937-C7B1-47D3-B67F-A62EFF666E3E}">
          <x14:id>{433DB8E8-EC94-478A-99C6-2843E524EC26}</x14:id>
        </ext>
      </extLst>
    </cfRule>
  </conditionalFormatting>
  <conditionalFormatting sqref="L19:M24">
    <cfRule type="cellIs" dxfId="18" priority="3" operator="equal">
      <formula>"Abgelaufen"</formula>
    </cfRule>
    <cfRule type="cellIs" dxfId="17" priority="4" operator="equal">
      <formula>"Läuft bald ab"</formula>
    </cfRule>
  </conditionalFormatting>
  <pageMargins left="0.3" right="0.3" top="0.4" bottom="0.4" header="0.511811023622047" footer="0.511811023622047"/>
  <pageSetup fitToHeight="2" orientation="landscape" horizontalDpi="300" verticalDpi="300"/>
  <rowBreaks count="1" manualBreakCount="1">
    <brk id="34" max="16383" man="1"/>
  </rowBreak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124EFB4-E280-4DA0-BC6F-61A3AFF321E3}">
            <x14:dataBar axisPosition="none">
              <x14:cfvo type="num">
                <xm:f>0</xm:f>
              </x14:cfvo>
              <x14:cfvo type="max"/>
              <x14:negativeFillColor rgb="FFC79A2E"/>
            </x14:dataBar>
          </x14:cfRule>
          <xm:sqref>D19:D26</xm:sqref>
        </x14:conditionalFormatting>
        <x14:conditionalFormatting xmlns:xm="http://schemas.microsoft.com/office/excel/2006/main">
          <x14:cfRule type="dataBar" id="{DE47638D-4B28-471F-80FB-565D8D824F32}">
            <x14:dataBar axisPosition="none">
              <x14:cfvo type="num">
                <xm:f>0</xm:f>
              </x14:cfvo>
              <x14:cfvo type="max"/>
              <x14:negativeFillColor rgb="FF3A6088"/>
            </x14:dataBar>
          </x14:cfRule>
          <xm:sqref>D29:D32</xm:sqref>
        </x14:conditionalFormatting>
        <x14:conditionalFormatting xmlns:xm="http://schemas.microsoft.com/office/excel/2006/main">
          <x14:cfRule type="dataBar" id="{433DB8E8-EC94-478A-99C6-2843E524EC26}">
            <x14:dataBar axisPosition="none">
              <x14:cfvo type="num">
                <xm:f>0</xm:f>
              </x14:cfvo>
              <x14:cfvo type="max"/>
              <x14:negativeFillColor rgb="FF3E8E5E"/>
            </x14:dataBar>
          </x14:cfRule>
          <xm:sqref>J29:J33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S40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13" customWidth="1"/>
    <col min="3" max="3" width="30" customWidth="1"/>
    <col min="4" max="4" width="20" customWidth="1"/>
    <col min="5" max="5" width="15" customWidth="1"/>
    <col min="6" max="6" width="22" customWidth="1"/>
    <col min="7" max="7" width="18" customWidth="1"/>
    <col min="8" max="8" width="11" customWidth="1"/>
    <col min="9" max="12" width="8" customWidth="1"/>
    <col min="13" max="13" width="9" customWidth="1"/>
    <col min="14" max="14" width="11" customWidth="1"/>
    <col min="15" max="15" width="13" customWidth="1"/>
    <col min="16" max="16" width="14" customWidth="1"/>
    <col min="17" max="17" width="13" customWidth="1"/>
    <col min="18" max="18" width="26" customWidth="1"/>
    <col min="19" max="19" width="13" hidden="1" customWidth="1"/>
  </cols>
  <sheetData>
    <row r="1" spans="2:19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2:19" ht="15.75" customHeight="1" x14ac:dyDescent="0.25">
      <c r="B2" s="14" t="s">
        <v>62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2:19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2:19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2:19" ht="15.75" customHeight="1" x14ac:dyDescent="0.25">
      <c r="B5" s="12" t="s">
        <v>63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7" spans="2:19" ht="27.75" customHeight="1" x14ac:dyDescent="0.25">
      <c r="B7" s="49" t="s">
        <v>64</v>
      </c>
      <c r="C7" s="50" t="s">
        <v>65</v>
      </c>
      <c r="D7" s="50" t="s">
        <v>16</v>
      </c>
      <c r="E7" s="50" t="s">
        <v>66</v>
      </c>
      <c r="F7" s="50" t="s">
        <v>67</v>
      </c>
      <c r="G7" s="50" t="s">
        <v>68</v>
      </c>
      <c r="H7" s="50" t="s">
        <v>69</v>
      </c>
      <c r="I7" s="50" t="s">
        <v>70</v>
      </c>
      <c r="J7" s="50" t="s">
        <v>71</v>
      </c>
      <c r="K7" s="50" t="s">
        <v>72</v>
      </c>
      <c r="L7" s="50" t="s">
        <v>73</v>
      </c>
      <c r="M7" s="50" t="s">
        <v>74</v>
      </c>
      <c r="N7" s="50" t="s">
        <v>75</v>
      </c>
      <c r="O7" s="50" t="s">
        <v>76</v>
      </c>
      <c r="P7" s="50" t="s">
        <v>23</v>
      </c>
      <c r="Q7" s="50" t="s">
        <v>77</v>
      </c>
      <c r="R7" s="51" t="s">
        <v>78</v>
      </c>
    </row>
    <row r="8" spans="2:19" ht="15.75" customHeight="1" x14ac:dyDescent="0.25">
      <c r="B8" s="52" t="s">
        <v>79</v>
      </c>
      <c r="C8" s="53" t="s">
        <v>80</v>
      </c>
      <c r="D8" s="53" t="s">
        <v>26</v>
      </c>
      <c r="E8" s="54" t="s">
        <v>81</v>
      </c>
      <c r="F8" s="53" t="s">
        <v>82</v>
      </c>
      <c r="G8" s="53" t="s">
        <v>83</v>
      </c>
      <c r="H8" s="55">
        <v>45916</v>
      </c>
      <c r="I8" s="56">
        <v>2</v>
      </c>
      <c r="J8" s="57">
        <v>8</v>
      </c>
      <c r="K8" s="58">
        <f>IF($B8="","",COUNTIFS(Teilnahmen!$C$6:$C$75,$B8,Teilnahmen!$J$6:$J$75,"&lt;&gt;Abgesagt"))</f>
        <v>6</v>
      </c>
      <c r="L8" s="58">
        <f>IF($B8="","",COUNTIFS(Teilnahmen!$C$6:$C$75,$B8,Teilnahmen!$J$6:$J$75,"Teilgenommen"))</f>
        <v>5</v>
      </c>
      <c r="M8" s="59">
        <f t="shared" ref="M8:M40" si="0">IF(OR($B8="",$J8=""),"",$K8/$J8)</f>
        <v>0.75</v>
      </c>
      <c r="N8" s="60">
        <v>750</v>
      </c>
      <c r="O8" s="61" t="s">
        <v>84</v>
      </c>
      <c r="P8" s="62" t="s">
        <v>41</v>
      </c>
      <c r="Q8" s="63" t="str">
        <f t="shared" ref="Q8:Q40" si="1">IF($B8="","",IF($P8="Abgesagt","Abgesagt",IF($P8="Abgeschlossen","Abgeschlossen",IF($H8="","Kein Termin",IF($H8&lt;Stichtag,"Überfällig",IF($H8-Stichtag&lt;=Warnfrist_Tage,"Steht an","Geplant"))))))</f>
        <v>Abgeschlossen</v>
      </c>
      <c r="R8" s="64" t="s">
        <v>85</v>
      </c>
      <c r="S8">
        <f t="shared" ref="S8:S40" si="2">IF($B8="","",$I8*$L8)</f>
        <v>10</v>
      </c>
    </row>
    <row r="9" spans="2:19" ht="15.75" customHeight="1" x14ac:dyDescent="0.25">
      <c r="B9" s="65" t="s">
        <v>86</v>
      </c>
      <c r="C9" s="66" t="s">
        <v>87</v>
      </c>
      <c r="D9" s="66" t="s">
        <v>25</v>
      </c>
      <c r="E9" s="67" t="s">
        <v>88</v>
      </c>
      <c r="F9" s="66" t="s">
        <v>89</v>
      </c>
      <c r="G9" s="66" t="s">
        <v>90</v>
      </c>
      <c r="H9" s="68">
        <v>45797</v>
      </c>
      <c r="I9" s="69">
        <v>4</v>
      </c>
      <c r="J9" s="70">
        <v>4</v>
      </c>
      <c r="K9" s="58">
        <f>IF($B9="","",COUNTIFS(Teilnahmen!$C$6:$C$75,$B9,Teilnahmen!$J$6:$J$75,"&lt;&gt;Abgesagt"))</f>
        <v>3</v>
      </c>
      <c r="L9" s="58">
        <f>IF($B9="","",COUNTIFS(Teilnahmen!$C$6:$C$75,$B9,Teilnahmen!$J$6:$J$75,"Teilgenommen"))</f>
        <v>3</v>
      </c>
      <c r="M9" s="59">
        <f t="shared" si="0"/>
        <v>0.75</v>
      </c>
      <c r="N9" s="71">
        <v>1200</v>
      </c>
      <c r="O9" s="72" t="s">
        <v>91</v>
      </c>
      <c r="P9" s="73" t="s">
        <v>41</v>
      </c>
      <c r="Q9" s="63" t="str">
        <f t="shared" si="1"/>
        <v>Abgeschlossen</v>
      </c>
      <c r="R9" s="74" t="s">
        <v>92</v>
      </c>
      <c r="S9">
        <f t="shared" si="2"/>
        <v>12</v>
      </c>
    </row>
    <row r="10" spans="2:19" ht="15.75" customHeight="1" x14ac:dyDescent="0.25">
      <c r="B10" s="52" t="s">
        <v>93</v>
      </c>
      <c r="C10" s="53" t="s">
        <v>94</v>
      </c>
      <c r="D10" s="53" t="s">
        <v>25</v>
      </c>
      <c r="E10" s="54" t="s">
        <v>88</v>
      </c>
      <c r="F10" s="53" t="s">
        <v>89</v>
      </c>
      <c r="G10" s="53" t="s">
        <v>90</v>
      </c>
      <c r="H10" s="55">
        <v>45454</v>
      </c>
      <c r="I10" s="56">
        <v>8</v>
      </c>
      <c r="J10" s="57">
        <v>6</v>
      </c>
      <c r="K10" s="58">
        <f>IF($B10="","",COUNTIFS(Teilnahmen!$C$6:$C$75,$B10,Teilnahmen!$J$6:$J$75,"&lt;&gt;Abgesagt"))</f>
        <v>4</v>
      </c>
      <c r="L10" s="58">
        <f>IF($B10="","",COUNTIFS(Teilnahmen!$C$6:$C$75,$B10,Teilnahmen!$J$6:$J$75,"Teilgenommen"))</f>
        <v>4</v>
      </c>
      <c r="M10" s="59">
        <f t="shared" si="0"/>
        <v>0.66666666666666663</v>
      </c>
      <c r="N10" s="60">
        <v>1500</v>
      </c>
      <c r="O10" s="61" t="s">
        <v>95</v>
      </c>
      <c r="P10" s="62" t="s">
        <v>41</v>
      </c>
      <c r="Q10" s="63" t="str">
        <f t="shared" si="1"/>
        <v>Abgeschlossen</v>
      </c>
      <c r="R10" s="64" t="s">
        <v>96</v>
      </c>
      <c r="S10">
        <f t="shared" si="2"/>
        <v>32</v>
      </c>
    </row>
    <row r="11" spans="2:19" ht="15.75" customHeight="1" x14ac:dyDescent="0.25">
      <c r="B11" s="65" t="s">
        <v>97</v>
      </c>
      <c r="C11" s="66" t="s">
        <v>98</v>
      </c>
      <c r="D11" s="66" t="s">
        <v>25</v>
      </c>
      <c r="E11" s="67" t="s">
        <v>88</v>
      </c>
      <c r="F11" s="66" t="s">
        <v>99</v>
      </c>
      <c r="G11" s="66" t="s">
        <v>90</v>
      </c>
      <c r="H11" s="68">
        <v>45965</v>
      </c>
      <c r="I11" s="69">
        <v>1.5</v>
      </c>
      <c r="J11" s="70">
        <v>6</v>
      </c>
      <c r="K11" s="58">
        <f>IF($B11="","",COUNTIFS(Teilnahmen!$C$6:$C$75,$B11,Teilnahmen!$J$6:$J$75,"&lt;&gt;Abgesagt"))</f>
        <v>4</v>
      </c>
      <c r="L11" s="58">
        <f>IF($B11="","",COUNTIFS(Teilnahmen!$C$6:$C$75,$B11,Teilnahmen!$J$6:$J$75,"Teilgenommen"))</f>
        <v>4</v>
      </c>
      <c r="M11" s="59">
        <f t="shared" si="0"/>
        <v>0.66666666666666663</v>
      </c>
      <c r="N11" s="71">
        <v>0</v>
      </c>
      <c r="O11" s="72" t="s">
        <v>84</v>
      </c>
      <c r="P11" s="73" t="s">
        <v>41</v>
      </c>
      <c r="Q11" s="63" t="str">
        <f t="shared" si="1"/>
        <v>Abgeschlossen</v>
      </c>
      <c r="R11" s="74" t="s">
        <v>100</v>
      </c>
      <c r="S11">
        <f t="shared" si="2"/>
        <v>6</v>
      </c>
    </row>
    <row r="12" spans="2:19" ht="15.75" customHeight="1" x14ac:dyDescent="0.25">
      <c r="B12" s="52" t="s">
        <v>101</v>
      </c>
      <c r="C12" s="53" t="s">
        <v>102</v>
      </c>
      <c r="D12" s="53" t="s">
        <v>27</v>
      </c>
      <c r="E12" s="54" t="s">
        <v>103</v>
      </c>
      <c r="F12" s="53" t="s">
        <v>104</v>
      </c>
      <c r="G12" s="53" t="s">
        <v>105</v>
      </c>
      <c r="H12" s="55">
        <v>46063</v>
      </c>
      <c r="I12" s="56">
        <v>1</v>
      </c>
      <c r="J12" s="57">
        <v>8</v>
      </c>
      <c r="K12" s="58">
        <f>IF($B12="","",COUNTIFS(Teilnahmen!$C$6:$C$75,$B12,Teilnahmen!$J$6:$J$75,"&lt;&gt;Abgesagt"))</f>
        <v>5</v>
      </c>
      <c r="L12" s="58">
        <f>IF($B12="","",COUNTIFS(Teilnahmen!$C$6:$C$75,$B12,Teilnahmen!$J$6:$J$75,"Teilgenommen"))</f>
        <v>4</v>
      </c>
      <c r="M12" s="59">
        <f t="shared" si="0"/>
        <v>0.625</v>
      </c>
      <c r="N12" s="60">
        <v>400</v>
      </c>
      <c r="O12" s="61" t="s">
        <v>84</v>
      </c>
      <c r="P12" s="62" t="s">
        <v>41</v>
      </c>
      <c r="Q12" s="63" t="str">
        <f t="shared" si="1"/>
        <v>Abgeschlossen</v>
      </c>
      <c r="R12" s="64" t="s">
        <v>106</v>
      </c>
      <c r="S12">
        <f t="shared" si="2"/>
        <v>4</v>
      </c>
    </row>
    <row r="13" spans="2:19" ht="15.75" customHeight="1" x14ac:dyDescent="0.25">
      <c r="B13" s="65" t="s">
        <v>107</v>
      </c>
      <c r="C13" s="66" t="s">
        <v>108</v>
      </c>
      <c r="D13" s="66" t="s">
        <v>27</v>
      </c>
      <c r="E13" s="67" t="s">
        <v>81</v>
      </c>
      <c r="F13" s="66" t="s">
        <v>104</v>
      </c>
      <c r="G13" s="66" t="s">
        <v>83</v>
      </c>
      <c r="H13" s="68">
        <v>46093</v>
      </c>
      <c r="I13" s="69">
        <v>6</v>
      </c>
      <c r="J13" s="70">
        <v>6</v>
      </c>
      <c r="K13" s="58">
        <f>IF($B13="","",COUNTIFS(Teilnahmen!$C$6:$C$75,$B13,Teilnahmen!$J$6:$J$75,"&lt;&gt;Abgesagt"))</f>
        <v>4</v>
      </c>
      <c r="L13" s="58">
        <f>IF($B13="","",COUNTIFS(Teilnahmen!$C$6:$C$75,$B13,Teilnahmen!$J$6:$J$75,"Teilgenommen"))</f>
        <v>4</v>
      </c>
      <c r="M13" s="59">
        <f t="shared" si="0"/>
        <v>0.66666666666666663</v>
      </c>
      <c r="N13" s="71">
        <v>890</v>
      </c>
      <c r="O13" s="72" t="s">
        <v>109</v>
      </c>
      <c r="P13" s="73" t="s">
        <v>41</v>
      </c>
      <c r="Q13" s="63" t="str">
        <f t="shared" si="1"/>
        <v>Abgeschlossen</v>
      </c>
      <c r="R13" s="74"/>
      <c r="S13">
        <f t="shared" si="2"/>
        <v>24</v>
      </c>
    </row>
    <row r="14" spans="2:19" ht="15.75" customHeight="1" x14ac:dyDescent="0.25">
      <c r="B14" s="52" t="s">
        <v>110</v>
      </c>
      <c r="C14" s="53" t="s">
        <v>111</v>
      </c>
      <c r="D14" s="53" t="s">
        <v>27</v>
      </c>
      <c r="E14" s="54" t="s">
        <v>81</v>
      </c>
      <c r="F14" s="53" t="s">
        <v>104</v>
      </c>
      <c r="G14" s="53" t="s">
        <v>83</v>
      </c>
      <c r="H14" s="55">
        <v>46289</v>
      </c>
      <c r="I14" s="56">
        <v>6</v>
      </c>
      <c r="J14" s="57">
        <v>6</v>
      </c>
      <c r="K14" s="58">
        <f>IF($B14="","",COUNTIFS(Teilnahmen!$C$6:$C$75,$B14,Teilnahmen!$J$6:$J$75,"&lt;&gt;Abgesagt"))</f>
        <v>3</v>
      </c>
      <c r="L14" s="58">
        <f>IF($B14="","",COUNTIFS(Teilnahmen!$C$6:$C$75,$B14,Teilnahmen!$J$6:$J$75,"Teilgenommen"))</f>
        <v>0</v>
      </c>
      <c r="M14" s="59">
        <f t="shared" si="0"/>
        <v>0.5</v>
      </c>
      <c r="N14" s="60">
        <v>890</v>
      </c>
      <c r="O14" s="61" t="s">
        <v>109</v>
      </c>
      <c r="P14" s="62" t="s">
        <v>39</v>
      </c>
      <c r="Q14" s="63" t="str">
        <f t="shared" ca="1" si="1"/>
        <v>Geplant</v>
      </c>
      <c r="R14" s="64"/>
      <c r="S14">
        <f t="shared" si="2"/>
        <v>0</v>
      </c>
    </row>
    <row r="15" spans="2:19" ht="15.75" customHeight="1" x14ac:dyDescent="0.25">
      <c r="B15" s="65" t="s">
        <v>112</v>
      </c>
      <c r="C15" s="66" t="s">
        <v>113</v>
      </c>
      <c r="D15" s="66" t="s">
        <v>28</v>
      </c>
      <c r="E15" s="67" t="s">
        <v>88</v>
      </c>
      <c r="F15" s="66" t="s">
        <v>114</v>
      </c>
      <c r="G15" s="66" t="s">
        <v>115</v>
      </c>
      <c r="H15" s="68">
        <v>46133</v>
      </c>
      <c r="I15" s="69">
        <v>16</v>
      </c>
      <c r="J15" s="70">
        <v>5</v>
      </c>
      <c r="K15" s="58">
        <f>IF($B15="","",COUNTIFS(Teilnahmen!$C$6:$C$75,$B15,Teilnahmen!$J$6:$J$75,"&lt;&gt;Abgesagt"))</f>
        <v>3</v>
      </c>
      <c r="L15" s="58">
        <f>IF($B15="","",COUNTIFS(Teilnahmen!$C$6:$C$75,$B15,Teilnahmen!$J$6:$J$75,"Teilgenommen"))</f>
        <v>3</v>
      </c>
      <c r="M15" s="59">
        <f t="shared" si="0"/>
        <v>0.6</v>
      </c>
      <c r="N15" s="71">
        <v>2400</v>
      </c>
      <c r="O15" s="72" t="s">
        <v>109</v>
      </c>
      <c r="P15" s="73" t="s">
        <v>41</v>
      </c>
      <c r="Q15" s="63" t="str">
        <f t="shared" si="1"/>
        <v>Abgeschlossen</v>
      </c>
      <c r="R15" s="74" t="s">
        <v>116</v>
      </c>
      <c r="S15">
        <f t="shared" si="2"/>
        <v>48</v>
      </c>
    </row>
    <row r="16" spans="2:19" ht="15.75" customHeight="1" x14ac:dyDescent="0.25">
      <c r="B16" s="52" t="s">
        <v>117</v>
      </c>
      <c r="C16" s="53" t="s">
        <v>118</v>
      </c>
      <c r="D16" s="53" t="s">
        <v>29</v>
      </c>
      <c r="E16" s="54" t="s">
        <v>119</v>
      </c>
      <c r="F16" s="53" t="s">
        <v>120</v>
      </c>
      <c r="G16" s="53" t="s">
        <v>115</v>
      </c>
      <c r="H16" s="55">
        <v>46176</v>
      </c>
      <c r="I16" s="56">
        <v>8</v>
      </c>
      <c r="J16" s="57">
        <v>5</v>
      </c>
      <c r="K16" s="58">
        <f>IF($B16="","",COUNTIFS(Teilnahmen!$C$6:$C$75,$B16,Teilnahmen!$J$6:$J$75,"&lt;&gt;Abgesagt"))</f>
        <v>4</v>
      </c>
      <c r="L16" s="58">
        <f>IF($B16="","",COUNTIFS(Teilnahmen!$C$6:$C$75,$B16,Teilnahmen!$J$6:$J$75,"Teilgenommen"))</f>
        <v>3</v>
      </c>
      <c r="M16" s="59">
        <f t="shared" si="0"/>
        <v>0.8</v>
      </c>
      <c r="N16" s="60">
        <v>1650</v>
      </c>
      <c r="O16" s="61" t="s">
        <v>109</v>
      </c>
      <c r="P16" s="62" t="s">
        <v>41</v>
      </c>
      <c r="Q16" s="63" t="str">
        <f t="shared" si="1"/>
        <v>Abgeschlossen</v>
      </c>
      <c r="R16" s="64"/>
      <c r="S16">
        <f t="shared" si="2"/>
        <v>24</v>
      </c>
    </row>
    <row r="17" spans="2:19" ht="15.75" customHeight="1" x14ac:dyDescent="0.25">
      <c r="B17" s="65" t="s">
        <v>121</v>
      </c>
      <c r="C17" s="66" t="s">
        <v>122</v>
      </c>
      <c r="D17" s="66" t="s">
        <v>29</v>
      </c>
      <c r="E17" s="67" t="s">
        <v>88</v>
      </c>
      <c r="F17" s="66" t="s">
        <v>120</v>
      </c>
      <c r="G17" s="66" t="s">
        <v>123</v>
      </c>
      <c r="H17" s="68">
        <v>46154</v>
      </c>
      <c r="I17" s="69">
        <v>16</v>
      </c>
      <c r="J17" s="70">
        <v>4</v>
      </c>
      <c r="K17" s="58">
        <f>IF($B17="","",COUNTIFS(Teilnahmen!$C$6:$C$75,$B17,Teilnahmen!$J$6:$J$75,"&lt;&gt;Abgesagt"))</f>
        <v>3</v>
      </c>
      <c r="L17" s="58">
        <f>IF($B17="","",COUNTIFS(Teilnahmen!$C$6:$C$75,$B17,Teilnahmen!$J$6:$J$75,"Teilgenommen"))</f>
        <v>3</v>
      </c>
      <c r="M17" s="59">
        <f t="shared" si="0"/>
        <v>0.75</v>
      </c>
      <c r="N17" s="71">
        <v>3200</v>
      </c>
      <c r="O17" s="72" t="s">
        <v>109</v>
      </c>
      <c r="P17" s="73" t="s">
        <v>41</v>
      </c>
      <c r="Q17" s="63" t="str">
        <f t="shared" si="1"/>
        <v>Abgeschlossen</v>
      </c>
      <c r="R17" s="74" t="s">
        <v>124</v>
      </c>
      <c r="S17">
        <f t="shared" si="2"/>
        <v>48</v>
      </c>
    </row>
    <row r="18" spans="2:19" ht="15.75" customHeight="1" x14ac:dyDescent="0.25">
      <c r="B18" s="52" t="s">
        <v>125</v>
      </c>
      <c r="C18" s="53" t="s">
        <v>126</v>
      </c>
      <c r="D18" s="53" t="s">
        <v>29</v>
      </c>
      <c r="E18" s="54" t="s">
        <v>88</v>
      </c>
      <c r="F18" s="53" t="s">
        <v>120</v>
      </c>
      <c r="G18" s="53" t="s">
        <v>123</v>
      </c>
      <c r="H18" s="55">
        <v>46303</v>
      </c>
      <c r="I18" s="56">
        <v>16</v>
      </c>
      <c r="J18" s="57">
        <v>4</v>
      </c>
      <c r="K18" s="58">
        <f>IF($B18="","",COUNTIFS(Teilnahmen!$C$6:$C$75,$B18,Teilnahmen!$J$6:$J$75,"&lt;&gt;Abgesagt"))</f>
        <v>3</v>
      </c>
      <c r="L18" s="58">
        <f>IF($B18="","",COUNTIFS(Teilnahmen!$C$6:$C$75,$B18,Teilnahmen!$J$6:$J$75,"Teilgenommen"))</f>
        <v>0</v>
      </c>
      <c r="M18" s="59">
        <f t="shared" si="0"/>
        <v>0.75</v>
      </c>
      <c r="N18" s="60">
        <v>3200</v>
      </c>
      <c r="O18" s="61" t="s">
        <v>109</v>
      </c>
      <c r="P18" s="62" t="s">
        <v>39</v>
      </c>
      <c r="Q18" s="63" t="str">
        <f t="shared" ca="1" si="1"/>
        <v>Geplant</v>
      </c>
      <c r="R18" s="64" t="s">
        <v>127</v>
      </c>
      <c r="S18">
        <f t="shared" si="2"/>
        <v>0</v>
      </c>
    </row>
    <row r="19" spans="2:19" ht="15.75" customHeight="1" x14ac:dyDescent="0.25">
      <c r="B19" s="65" t="s">
        <v>128</v>
      </c>
      <c r="C19" s="66" t="s">
        <v>129</v>
      </c>
      <c r="D19" s="66" t="s">
        <v>30</v>
      </c>
      <c r="E19" s="67" t="s">
        <v>130</v>
      </c>
      <c r="F19" s="66" t="s">
        <v>131</v>
      </c>
      <c r="G19" s="66" t="s">
        <v>132</v>
      </c>
      <c r="H19" s="68">
        <v>46218</v>
      </c>
      <c r="I19" s="69">
        <v>8</v>
      </c>
      <c r="J19" s="70">
        <v>3</v>
      </c>
      <c r="K19" s="58">
        <f>IF($B19="","",COUNTIFS(Teilnahmen!$C$6:$C$75,$B19,Teilnahmen!$J$6:$J$75,"&lt;&gt;Abgesagt"))</f>
        <v>2</v>
      </c>
      <c r="L19" s="58">
        <f>IF($B19="","",COUNTIFS(Teilnahmen!$C$6:$C$75,$B19,Teilnahmen!$J$6:$J$75,"Teilgenommen"))</f>
        <v>2</v>
      </c>
      <c r="M19" s="59">
        <f t="shared" si="0"/>
        <v>0.66666666666666663</v>
      </c>
      <c r="N19" s="71">
        <v>1100</v>
      </c>
      <c r="O19" s="72" t="s">
        <v>109</v>
      </c>
      <c r="P19" s="73" t="s">
        <v>41</v>
      </c>
      <c r="Q19" s="63" t="str">
        <f t="shared" si="1"/>
        <v>Abgeschlossen</v>
      </c>
      <c r="R19" s="74"/>
      <c r="S19">
        <f t="shared" si="2"/>
        <v>16</v>
      </c>
    </row>
    <row r="20" spans="2:19" ht="15.75" customHeight="1" x14ac:dyDescent="0.25">
      <c r="B20" s="52" t="s">
        <v>133</v>
      </c>
      <c r="C20" s="53" t="s">
        <v>134</v>
      </c>
      <c r="D20" s="53" t="s">
        <v>25</v>
      </c>
      <c r="E20" s="54" t="s">
        <v>88</v>
      </c>
      <c r="F20" s="53" t="s">
        <v>89</v>
      </c>
      <c r="G20" s="53" t="s">
        <v>135</v>
      </c>
      <c r="H20" s="55">
        <v>45888</v>
      </c>
      <c r="I20" s="56">
        <v>4</v>
      </c>
      <c r="J20" s="57">
        <v>4</v>
      </c>
      <c r="K20" s="58">
        <f>IF($B20="","",COUNTIFS(Teilnahmen!$C$6:$C$75,$B20,Teilnahmen!$J$6:$J$75,"&lt;&gt;Abgesagt"))</f>
        <v>3</v>
      </c>
      <c r="L20" s="58">
        <f>IF($B20="","",COUNTIFS(Teilnahmen!$C$6:$C$75,$B20,Teilnahmen!$J$6:$J$75,"Teilgenommen"))</f>
        <v>3</v>
      </c>
      <c r="M20" s="59">
        <f t="shared" si="0"/>
        <v>0.75</v>
      </c>
      <c r="N20" s="60">
        <v>700</v>
      </c>
      <c r="O20" s="61" t="s">
        <v>84</v>
      </c>
      <c r="P20" s="62" t="s">
        <v>41</v>
      </c>
      <c r="Q20" s="63" t="str">
        <f t="shared" si="1"/>
        <v>Abgeschlossen</v>
      </c>
      <c r="R20" s="64" t="s">
        <v>136</v>
      </c>
      <c r="S20">
        <f t="shared" si="2"/>
        <v>12</v>
      </c>
    </row>
    <row r="21" spans="2:19" ht="15.75" customHeight="1" x14ac:dyDescent="0.25">
      <c r="B21" s="65" t="s">
        <v>137</v>
      </c>
      <c r="C21" s="66" t="s">
        <v>138</v>
      </c>
      <c r="D21" s="66" t="s">
        <v>31</v>
      </c>
      <c r="E21" s="67" t="s">
        <v>88</v>
      </c>
      <c r="F21" s="66" t="s">
        <v>139</v>
      </c>
      <c r="G21" s="66" t="s">
        <v>90</v>
      </c>
      <c r="H21" s="68">
        <v>46238</v>
      </c>
      <c r="I21" s="69">
        <v>4</v>
      </c>
      <c r="J21" s="70">
        <v>4</v>
      </c>
      <c r="K21" s="58">
        <f>IF($B21="","",COUNTIFS(Teilnahmen!$C$6:$C$75,$B21,Teilnahmen!$J$6:$J$75,"&lt;&gt;Abgesagt"))</f>
        <v>2</v>
      </c>
      <c r="L21" s="58">
        <f>IF($B21="","",COUNTIFS(Teilnahmen!$C$6:$C$75,$B21,Teilnahmen!$J$6:$J$75,"Teilgenommen"))</f>
        <v>0</v>
      </c>
      <c r="M21" s="59">
        <f t="shared" si="0"/>
        <v>0.5</v>
      </c>
      <c r="N21" s="71">
        <v>0</v>
      </c>
      <c r="O21" s="72" t="s">
        <v>140</v>
      </c>
      <c r="P21" s="73" t="s">
        <v>39</v>
      </c>
      <c r="Q21" s="63" t="str">
        <f t="shared" ca="1" si="1"/>
        <v>Steht an</v>
      </c>
      <c r="R21" s="74" t="s">
        <v>141</v>
      </c>
      <c r="S21">
        <f t="shared" si="2"/>
        <v>0</v>
      </c>
    </row>
    <row r="22" spans="2:19" ht="15.75" customHeight="1" x14ac:dyDescent="0.25">
      <c r="B22" s="52" t="s">
        <v>142</v>
      </c>
      <c r="C22" s="53" t="s">
        <v>143</v>
      </c>
      <c r="D22" s="53" t="s">
        <v>26</v>
      </c>
      <c r="E22" s="54" t="s">
        <v>103</v>
      </c>
      <c r="F22" s="53" t="s">
        <v>82</v>
      </c>
      <c r="G22" s="53" t="s">
        <v>105</v>
      </c>
      <c r="H22" s="55">
        <v>46266</v>
      </c>
      <c r="I22" s="56">
        <v>1.5</v>
      </c>
      <c r="J22" s="57">
        <v>4</v>
      </c>
      <c r="K22" s="58">
        <f>IF($B22="","",COUNTIFS(Teilnahmen!$C$6:$C$75,$B22,Teilnahmen!$J$6:$J$75,"&lt;&gt;Abgesagt"))</f>
        <v>2</v>
      </c>
      <c r="L22" s="58">
        <f>IF($B22="","",COUNTIFS(Teilnahmen!$C$6:$C$75,$B22,Teilnahmen!$J$6:$J$75,"Teilgenommen"))</f>
        <v>0</v>
      </c>
      <c r="M22" s="59">
        <f t="shared" si="0"/>
        <v>0.5</v>
      </c>
      <c r="N22" s="60">
        <v>500</v>
      </c>
      <c r="O22" s="61" t="s">
        <v>84</v>
      </c>
      <c r="P22" s="62" t="s">
        <v>39</v>
      </c>
      <c r="Q22" s="63" t="str">
        <f t="shared" ca="1" si="1"/>
        <v>Geplant</v>
      </c>
      <c r="R22" s="64"/>
      <c r="S22">
        <f t="shared" si="2"/>
        <v>0</v>
      </c>
    </row>
    <row r="23" spans="2:19" ht="15.75" customHeight="1" x14ac:dyDescent="0.25">
      <c r="B23" s="65" t="s">
        <v>144</v>
      </c>
      <c r="C23" s="66" t="s">
        <v>145</v>
      </c>
      <c r="D23" s="66" t="s">
        <v>24</v>
      </c>
      <c r="E23" s="67" t="s">
        <v>88</v>
      </c>
      <c r="F23" s="66" t="s">
        <v>131</v>
      </c>
      <c r="G23" s="66" t="s">
        <v>90</v>
      </c>
      <c r="H23" s="68">
        <v>46197</v>
      </c>
      <c r="I23" s="69">
        <v>2</v>
      </c>
      <c r="J23" s="70">
        <v>5</v>
      </c>
      <c r="K23" s="58">
        <f>IF($B23="","",COUNTIFS(Teilnahmen!$C$6:$C$75,$B23,Teilnahmen!$J$6:$J$75,"&lt;&gt;Abgesagt"))</f>
        <v>3</v>
      </c>
      <c r="L23" s="58">
        <f>IF($B23="","",COUNTIFS(Teilnahmen!$C$6:$C$75,$B23,Teilnahmen!$J$6:$J$75,"Teilgenommen"))</f>
        <v>3</v>
      </c>
      <c r="M23" s="59">
        <f t="shared" si="0"/>
        <v>0.6</v>
      </c>
      <c r="N23" s="71">
        <v>600</v>
      </c>
      <c r="O23" s="72" t="s">
        <v>84</v>
      </c>
      <c r="P23" s="73" t="s">
        <v>41</v>
      </c>
      <c r="Q23" s="63" t="str">
        <f t="shared" si="1"/>
        <v>Abgeschlossen</v>
      </c>
      <c r="R23" s="74"/>
      <c r="S23">
        <f t="shared" si="2"/>
        <v>6</v>
      </c>
    </row>
    <row r="24" spans="2:19" ht="15.75" customHeight="1" x14ac:dyDescent="0.25">
      <c r="B24" s="52" t="s">
        <v>146</v>
      </c>
      <c r="C24" s="53" t="s">
        <v>147</v>
      </c>
      <c r="D24" s="53" t="s">
        <v>29</v>
      </c>
      <c r="E24" s="54" t="s">
        <v>119</v>
      </c>
      <c r="F24" s="53" t="s">
        <v>120</v>
      </c>
      <c r="G24" s="53" t="s">
        <v>115</v>
      </c>
      <c r="H24" s="55">
        <v>46337</v>
      </c>
      <c r="I24" s="56">
        <v>8</v>
      </c>
      <c r="J24" s="57">
        <v>6</v>
      </c>
      <c r="K24" s="58">
        <f>IF($B24="","",COUNTIFS(Teilnahmen!$C$6:$C$75,$B24,Teilnahmen!$J$6:$J$75,"&lt;&gt;Abgesagt"))</f>
        <v>0</v>
      </c>
      <c r="L24" s="58">
        <f>IF($B24="","",COUNTIFS(Teilnahmen!$C$6:$C$75,$B24,Teilnahmen!$J$6:$J$75,"Teilgenommen"))</f>
        <v>0</v>
      </c>
      <c r="M24" s="59">
        <f t="shared" si="0"/>
        <v>0</v>
      </c>
      <c r="N24" s="60">
        <v>1500</v>
      </c>
      <c r="O24" s="61" t="s">
        <v>109</v>
      </c>
      <c r="P24" s="62" t="s">
        <v>39</v>
      </c>
      <c r="Q24" s="63" t="str">
        <f t="shared" ca="1" si="1"/>
        <v>Geplant</v>
      </c>
      <c r="R24" s="64"/>
      <c r="S24">
        <f t="shared" si="2"/>
        <v>0</v>
      </c>
    </row>
    <row r="25" spans="2:19" ht="15.75" customHeight="1" x14ac:dyDescent="0.25">
      <c r="B25" s="65" t="s">
        <v>148</v>
      </c>
      <c r="C25" s="66" t="s">
        <v>149</v>
      </c>
      <c r="D25" s="66" t="s">
        <v>26</v>
      </c>
      <c r="E25" s="67" t="s">
        <v>81</v>
      </c>
      <c r="F25" s="66" t="s">
        <v>82</v>
      </c>
      <c r="G25" s="66" t="s">
        <v>83</v>
      </c>
      <c r="H25" s="68">
        <v>46280</v>
      </c>
      <c r="I25" s="69">
        <v>2</v>
      </c>
      <c r="J25" s="70">
        <v>6</v>
      </c>
      <c r="K25" s="58">
        <f>IF($B25="","",COUNTIFS(Teilnahmen!$C$6:$C$75,$B25,Teilnahmen!$J$6:$J$75,"&lt;&gt;Abgesagt"))</f>
        <v>3</v>
      </c>
      <c r="L25" s="58">
        <f>IF($B25="","",COUNTIFS(Teilnahmen!$C$6:$C$75,$B25,Teilnahmen!$J$6:$J$75,"Teilgenommen"))</f>
        <v>0</v>
      </c>
      <c r="M25" s="59">
        <f t="shared" si="0"/>
        <v>0.5</v>
      </c>
      <c r="N25" s="71">
        <v>750</v>
      </c>
      <c r="O25" s="72" t="s">
        <v>84</v>
      </c>
      <c r="P25" s="73" t="s">
        <v>39</v>
      </c>
      <c r="Q25" s="63" t="str">
        <f t="shared" ca="1" si="1"/>
        <v>Geplant</v>
      </c>
      <c r="R25" s="74" t="s">
        <v>150</v>
      </c>
      <c r="S25">
        <f t="shared" si="2"/>
        <v>0</v>
      </c>
    </row>
    <row r="26" spans="2:19" ht="15.75" customHeight="1" x14ac:dyDescent="0.25">
      <c r="B26" s="52" t="s">
        <v>151</v>
      </c>
      <c r="C26" s="53" t="s">
        <v>152</v>
      </c>
      <c r="D26" s="53" t="s">
        <v>28</v>
      </c>
      <c r="E26" s="54" t="s">
        <v>81</v>
      </c>
      <c r="F26" s="53" t="s">
        <v>114</v>
      </c>
      <c r="G26" s="53" t="s">
        <v>83</v>
      </c>
      <c r="H26" s="55"/>
      <c r="I26" s="56">
        <v>4</v>
      </c>
      <c r="J26" s="57">
        <v>6</v>
      </c>
      <c r="K26" s="58">
        <f>IF($B26="","",COUNTIFS(Teilnahmen!$C$6:$C$75,$B26,Teilnahmen!$J$6:$J$75,"&lt;&gt;Abgesagt"))</f>
        <v>0</v>
      </c>
      <c r="L26" s="58">
        <f>IF($B26="","",COUNTIFS(Teilnahmen!$C$6:$C$75,$B26,Teilnahmen!$J$6:$J$75,"Teilgenommen"))</f>
        <v>0</v>
      </c>
      <c r="M26" s="59">
        <f t="shared" si="0"/>
        <v>0</v>
      </c>
      <c r="N26" s="60">
        <v>950</v>
      </c>
      <c r="O26" s="61" t="s">
        <v>109</v>
      </c>
      <c r="P26" s="62" t="s">
        <v>37</v>
      </c>
      <c r="Q26" s="63" t="str">
        <f t="shared" si="1"/>
        <v>Kein Termin</v>
      </c>
      <c r="R26" s="64" t="s">
        <v>153</v>
      </c>
      <c r="S26">
        <f t="shared" si="2"/>
        <v>0</v>
      </c>
    </row>
    <row r="27" spans="2:19" ht="15.75" customHeight="1" x14ac:dyDescent="0.25">
      <c r="B27" s="65" t="s">
        <v>154</v>
      </c>
      <c r="C27" s="66" t="s">
        <v>155</v>
      </c>
      <c r="D27" s="66" t="s">
        <v>25</v>
      </c>
      <c r="E27" s="67" t="s">
        <v>88</v>
      </c>
      <c r="F27" s="66" t="s">
        <v>89</v>
      </c>
      <c r="G27" s="66" t="s">
        <v>90</v>
      </c>
      <c r="H27" s="68">
        <v>46274</v>
      </c>
      <c r="I27" s="69">
        <v>4</v>
      </c>
      <c r="J27" s="70">
        <v>5</v>
      </c>
      <c r="K27" s="58">
        <f>IF($B27="","",COUNTIFS(Teilnahmen!$C$6:$C$75,$B27,Teilnahmen!$J$6:$J$75,"&lt;&gt;Abgesagt"))</f>
        <v>2</v>
      </c>
      <c r="L27" s="58">
        <f>IF($B27="","",COUNTIFS(Teilnahmen!$C$6:$C$75,$B27,Teilnahmen!$J$6:$J$75,"Teilgenommen"))</f>
        <v>0</v>
      </c>
      <c r="M27" s="59">
        <f t="shared" si="0"/>
        <v>0.4</v>
      </c>
      <c r="N27" s="71">
        <v>900</v>
      </c>
      <c r="O27" s="72" t="s">
        <v>95</v>
      </c>
      <c r="P27" s="73" t="s">
        <v>39</v>
      </c>
      <c r="Q27" s="63" t="str">
        <f t="shared" ca="1" si="1"/>
        <v>Geplant</v>
      </c>
      <c r="R27" s="74" t="s">
        <v>156</v>
      </c>
      <c r="S27">
        <f t="shared" si="2"/>
        <v>0</v>
      </c>
    </row>
    <row r="28" spans="2:19" ht="15.75" customHeight="1" x14ac:dyDescent="0.25">
      <c r="B28" s="52" t="s">
        <v>157</v>
      </c>
      <c r="C28" s="53" t="s">
        <v>158</v>
      </c>
      <c r="D28" s="53" t="s">
        <v>29</v>
      </c>
      <c r="E28" s="54" t="s">
        <v>159</v>
      </c>
      <c r="F28" s="53" t="s">
        <v>114</v>
      </c>
      <c r="G28" s="53" t="s">
        <v>83</v>
      </c>
      <c r="H28" s="55">
        <v>46169</v>
      </c>
      <c r="I28" s="56">
        <v>3</v>
      </c>
      <c r="J28" s="57">
        <v>5</v>
      </c>
      <c r="K28" s="58">
        <f>IF($B28="","",COUNTIFS(Teilnahmen!$C$6:$C$75,$B28,Teilnahmen!$J$6:$J$75,"&lt;&gt;Abgesagt"))</f>
        <v>0</v>
      </c>
      <c r="L28" s="58">
        <f>IF($B28="","",COUNTIFS(Teilnahmen!$C$6:$C$75,$B28,Teilnahmen!$J$6:$J$75,"Teilgenommen"))</f>
        <v>0</v>
      </c>
      <c r="M28" s="59">
        <f t="shared" si="0"/>
        <v>0</v>
      </c>
      <c r="N28" s="60">
        <v>450</v>
      </c>
      <c r="O28" s="61" t="s">
        <v>109</v>
      </c>
      <c r="P28" s="62" t="s">
        <v>43</v>
      </c>
      <c r="Q28" s="63" t="str">
        <f t="shared" si="1"/>
        <v>Abgesagt</v>
      </c>
      <c r="R28" s="64" t="s">
        <v>160</v>
      </c>
      <c r="S28">
        <f t="shared" si="2"/>
        <v>0</v>
      </c>
    </row>
    <row r="29" spans="2:19" ht="15.75" customHeight="1" x14ac:dyDescent="0.25">
      <c r="B29" s="75"/>
      <c r="C29" s="76"/>
      <c r="D29" s="76"/>
      <c r="E29" s="76"/>
      <c r="F29" s="76"/>
      <c r="G29" s="76"/>
      <c r="H29" s="76"/>
      <c r="I29" s="76"/>
      <c r="J29" s="76"/>
      <c r="K29" s="58" t="str">
        <f>IF($B29="","",COUNTIFS(Teilnahmen!$C$6:$C$75,$B29,Teilnahmen!$J$6:$J$75,"&lt;&gt;Abgesagt"))</f>
        <v/>
      </c>
      <c r="L29" s="58" t="str">
        <f>IF($B29="","",COUNTIFS(Teilnahmen!$C$6:$C$75,$B29,Teilnahmen!$J$6:$J$75,"Teilgenommen"))</f>
        <v/>
      </c>
      <c r="M29" s="59" t="str">
        <f t="shared" si="0"/>
        <v/>
      </c>
      <c r="N29" s="76"/>
      <c r="O29" s="76"/>
      <c r="P29" s="76"/>
      <c r="Q29" s="63" t="str">
        <f t="shared" si="1"/>
        <v/>
      </c>
      <c r="R29" s="40"/>
      <c r="S29" t="str">
        <f t="shared" si="2"/>
        <v/>
      </c>
    </row>
    <row r="30" spans="2:19" ht="15.75" customHeight="1" x14ac:dyDescent="0.25">
      <c r="B30" s="77"/>
      <c r="C30" s="78"/>
      <c r="D30" s="78"/>
      <c r="E30" s="78"/>
      <c r="F30" s="78"/>
      <c r="G30" s="78"/>
      <c r="H30" s="78"/>
      <c r="I30" s="78"/>
      <c r="J30" s="78"/>
      <c r="K30" s="58" t="str">
        <f>IF($B30="","",COUNTIFS(Teilnahmen!$C$6:$C$75,$B30,Teilnahmen!$J$6:$J$75,"&lt;&gt;Abgesagt"))</f>
        <v/>
      </c>
      <c r="L30" s="58" t="str">
        <f>IF($B30="","",COUNTIFS(Teilnahmen!$C$6:$C$75,$B30,Teilnahmen!$J$6:$J$75,"Teilgenommen"))</f>
        <v/>
      </c>
      <c r="M30" s="59" t="str">
        <f t="shared" si="0"/>
        <v/>
      </c>
      <c r="N30" s="78"/>
      <c r="O30" s="78"/>
      <c r="P30" s="78"/>
      <c r="Q30" s="63" t="str">
        <f t="shared" si="1"/>
        <v/>
      </c>
      <c r="R30" s="38"/>
      <c r="S30" t="str">
        <f t="shared" si="2"/>
        <v/>
      </c>
    </row>
    <row r="31" spans="2:19" ht="15.75" customHeight="1" x14ac:dyDescent="0.25">
      <c r="B31" s="75"/>
      <c r="C31" s="76"/>
      <c r="D31" s="76"/>
      <c r="E31" s="76"/>
      <c r="F31" s="76"/>
      <c r="G31" s="76"/>
      <c r="H31" s="76"/>
      <c r="I31" s="76"/>
      <c r="J31" s="76"/>
      <c r="K31" s="58" t="str">
        <f>IF($B31="","",COUNTIFS(Teilnahmen!$C$6:$C$75,$B31,Teilnahmen!$J$6:$J$75,"&lt;&gt;Abgesagt"))</f>
        <v/>
      </c>
      <c r="L31" s="58" t="str">
        <f>IF($B31="","",COUNTIFS(Teilnahmen!$C$6:$C$75,$B31,Teilnahmen!$J$6:$J$75,"Teilgenommen"))</f>
        <v/>
      </c>
      <c r="M31" s="59" t="str">
        <f t="shared" si="0"/>
        <v/>
      </c>
      <c r="N31" s="76"/>
      <c r="O31" s="76"/>
      <c r="P31" s="76"/>
      <c r="Q31" s="63" t="str">
        <f t="shared" si="1"/>
        <v/>
      </c>
      <c r="R31" s="40"/>
      <c r="S31" t="str">
        <f t="shared" si="2"/>
        <v/>
      </c>
    </row>
    <row r="32" spans="2:19" ht="15.75" customHeight="1" x14ac:dyDescent="0.25">
      <c r="B32" s="77"/>
      <c r="C32" s="78"/>
      <c r="D32" s="78"/>
      <c r="E32" s="78"/>
      <c r="F32" s="78"/>
      <c r="G32" s="78"/>
      <c r="H32" s="78"/>
      <c r="I32" s="78"/>
      <c r="J32" s="78"/>
      <c r="K32" s="58" t="str">
        <f>IF($B32="","",COUNTIFS(Teilnahmen!$C$6:$C$75,$B32,Teilnahmen!$J$6:$J$75,"&lt;&gt;Abgesagt"))</f>
        <v/>
      </c>
      <c r="L32" s="58" t="str">
        <f>IF($B32="","",COUNTIFS(Teilnahmen!$C$6:$C$75,$B32,Teilnahmen!$J$6:$J$75,"Teilgenommen"))</f>
        <v/>
      </c>
      <c r="M32" s="59" t="str">
        <f t="shared" si="0"/>
        <v/>
      </c>
      <c r="N32" s="78"/>
      <c r="O32" s="78"/>
      <c r="P32" s="78"/>
      <c r="Q32" s="63" t="str">
        <f t="shared" si="1"/>
        <v/>
      </c>
      <c r="R32" s="38"/>
      <c r="S32" t="str">
        <f t="shared" si="2"/>
        <v/>
      </c>
    </row>
    <row r="33" spans="2:19" ht="15.75" customHeight="1" x14ac:dyDescent="0.25">
      <c r="B33" s="75"/>
      <c r="C33" s="76"/>
      <c r="D33" s="76"/>
      <c r="E33" s="76"/>
      <c r="F33" s="76"/>
      <c r="G33" s="76"/>
      <c r="H33" s="76"/>
      <c r="I33" s="76"/>
      <c r="J33" s="76"/>
      <c r="K33" s="58" t="str">
        <f>IF($B33="","",COUNTIFS(Teilnahmen!$C$6:$C$75,$B33,Teilnahmen!$J$6:$J$75,"&lt;&gt;Abgesagt"))</f>
        <v/>
      </c>
      <c r="L33" s="58" t="str">
        <f>IF($B33="","",COUNTIFS(Teilnahmen!$C$6:$C$75,$B33,Teilnahmen!$J$6:$J$75,"Teilgenommen"))</f>
        <v/>
      </c>
      <c r="M33" s="59" t="str">
        <f t="shared" si="0"/>
        <v/>
      </c>
      <c r="N33" s="76"/>
      <c r="O33" s="76"/>
      <c r="P33" s="76"/>
      <c r="Q33" s="63" t="str">
        <f t="shared" si="1"/>
        <v/>
      </c>
      <c r="R33" s="40"/>
      <c r="S33" t="str">
        <f t="shared" si="2"/>
        <v/>
      </c>
    </row>
    <row r="34" spans="2:19" ht="15.75" customHeight="1" x14ac:dyDescent="0.25">
      <c r="B34" s="77"/>
      <c r="C34" s="78"/>
      <c r="D34" s="78"/>
      <c r="E34" s="78"/>
      <c r="F34" s="78"/>
      <c r="G34" s="78"/>
      <c r="H34" s="78"/>
      <c r="I34" s="78"/>
      <c r="J34" s="78"/>
      <c r="K34" s="58" t="str">
        <f>IF($B34="","",COUNTIFS(Teilnahmen!$C$6:$C$75,$B34,Teilnahmen!$J$6:$J$75,"&lt;&gt;Abgesagt"))</f>
        <v/>
      </c>
      <c r="L34" s="58" t="str">
        <f>IF($B34="","",COUNTIFS(Teilnahmen!$C$6:$C$75,$B34,Teilnahmen!$J$6:$J$75,"Teilgenommen"))</f>
        <v/>
      </c>
      <c r="M34" s="59" t="str">
        <f t="shared" si="0"/>
        <v/>
      </c>
      <c r="N34" s="78"/>
      <c r="O34" s="78"/>
      <c r="P34" s="78"/>
      <c r="Q34" s="63" t="str">
        <f t="shared" si="1"/>
        <v/>
      </c>
      <c r="R34" s="38"/>
      <c r="S34" t="str">
        <f t="shared" si="2"/>
        <v/>
      </c>
    </row>
    <row r="35" spans="2:19" ht="15.75" customHeight="1" x14ac:dyDescent="0.25">
      <c r="B35" s="75"/>
      <c r="C35" s="76"/>
      <c r="D35" s="76"/>
      <c r="E35" s="76"/>
      <c r="F35" s="76"/>
      <c r="G35" s="76"/>
      <c r="H35" s="76"/>
      <c r="I35" s="76"/>
      <c r="J35" s="76"/>
      <c r="K35" s="58" t="str">
        <f>IF($B35="","",COUNTIFS(Teilnahmen!$C$6:$C$75,$B35,Teilnahmen!$J$6:$J$75,"&lt;&gt;Abgesagt"))</f>
        <v/>
      </c>
      <c r="L35" s="58" t="str">
        <f>IF($B35="","",COUNTIFS(Teilnahmen!$C$6:$C$75,$B35,Teilnahmen!$J$6:$J$75,"Teilgenommen"))</f>
        <v/>
      </c>
      <c r="M35" s="59" t="str">
        <f t="shared" si="0"/>
        <v/>
      </c>
      <c r="N35" s="76"/>
      <c r="O35" s="76"/>
      <c r="P35" s="76"/>
      <c r="Q35" s="63" t="str">
        <f t="shared" si="1"/>
        <v/>
      </c>
      <c r="R35" s="40"/>
      <c r="S35" t="str">
        <f t="shared" si="2"/>
        <v/>
      </c>
    </row>
    <row r="36" spans="2:19" ht="15.75" customHeight="1" x14ac:dyDescent="0.25">
      <c r="B36" s="77"/>
      <c r="C36" s="78"/>
      <c r="D36" s="78"/>
      <c r="E36" s="78"/>
      <c r="F36" s="78"/>
      <c r="G36" s="78"/>
      <c r="H36" s="78"/>
      <c r="I36" s="78"/>
      <c r="J36" s="78"/>
      <c r="K36" s="58" t="str">
        <f>IF($B36="","",COUNTIFS(Teilnahmen!$C$6:$C$75,$B36,Teilnahmen!$J$6:$J$75,"&lt;&gt;Abgesagt"))</f>
        <v/>
      </c>
      <c r="L36" s="58" t="str">
        <f>IF($B36="","",COUNTIFS(Teilnahmen!$C$6:$C$75,$B36,Teilnahmen!$J$6:$J$75,"Teilgenommen"))</f>
        <v/>
      </c>
      <c r="M36" s="59" t="str">
        <f t="shared" si="0"/>
        <v/>
      </c>
      <c r="N36" s="78"/>
      <c r="O36" s="78"/>
      <c r="P36" s="78"/>
      <c r="Q36" s="63" t="str">
        <f t="shared" si="1"/>
        <v/>
      </c>
      <c r="R36" s="38"/>
      <c r="S36" t="str">
        <f t="shared" si="2"/>
        <v/>
      </c>
    </row>
    <row r="37" spans="2:19" ht="15.75" customHeight="1" x14ac:dyDescent="0.25">
      <c r="B37" s="75"/>
      <c r="C37" s="76"/>
      <c r="D37" s="76"/>
      <c r="E37" s="76"/>
      <c r="F37" s="76"/>
      <c r="G37" s="76"/>
      <c r="H37" s="76"/>
      <c r="I37" s="76"/>
      <c r="J37" s="76"/>
      <c r="K37" s="58" t="str">
        <f>IF($B37="","",COUNTIFS(Teilnahmen!$C$6:$C$75,$B37,Teilnahmen!$J$6:$J$75,"&lt;&gt;Abgesagt"))</f>
        <v/>
      </c>
      <c r="L37" s="58" t="str">
        <f>IF($B37="","",COUNTIFS(Teilnahmen!$C$6:$C$75,$B37,Teilnahmen!$J$6:$J$75,"Teilgenommen"))</f>
        <v/>
      </c>
      <c r="M37" s="59" t="str">
        <f t="shared" si="0"/>
        <v/>
      </c>
      <c r="N37" s="76"/>
      <c r="O37" s="76"/>
      <c r="P37" s="76"/>
      <c r="Q37" s="63" t="str">
        <f t="shared" si="1"/>
        <v/>
      </c>
      <c r="R37" s="40"/>
      <c r="S37" t="str">
        <f t="shared" si="2"/>
        <v/>
      </c>
    </row>
    <row r="38" spans="2:19" ht="15.75" customHeight="1" x14ac:dyDescent="0.25">
      <c r="B38" s="77"/>
      <c r="C38" s="78"/>
      <c r="D38" s="78"/>
      <c r="E38" s="78"/>
      <c r="F38" s="78"/>
      <c r="G38" s="78"/>
      <c r="H38" s="78"/>
      <c r="I38" s="78"/>
      <c r="J38" s="78"/>
      <c r="K38" s="58" t="str">
        <f>IF($B38="","",COUNTIFS(Teilnahmen!$C$6:$C$75,$B38,Teilnahmen!$J$6:$J$75,"&lt;&gt;Abgesagt"))</f>
        <v/>
      </c>
      <c r="L38" s="58" t="str">
        <f>IF($B38="","",COUNTIFS(Teilnahmen!$C$6:$C$75,$B38,Teilnahmen!$J$6:$J$75,"Teilgenommen"))</f>
        <v/>
      </c>
      <c r="M38" s="59" t="str">
        <f t="shared" si="0"/>
        <v/>
      </c>
      <c r="N38" s="78"/>
      <c r="O38" s="78"/>
      <c r="P38" s="78"/>
      <c r="Q38" s="63" t="str">
        <f t="shared" si="1"/>
        <v/>
      </c>
      <c r="R38" s="38"/>
      <c r="S38" t="str">
        <f t="shared" si="2"/>
        <v/>
      </c>
    </row>
    <row r="39" spans="2:19" ht="15.75" customHeight="1" x14ac:dyDescent="0.25">
      <c r="B39" s="75"/>
      <c r="C39" s="76"/>
      <c r="D39" s="76"/>
      <c r="E39" s="76"/>
      <c r="F39" s="76"/>
      <c r="G39" s="76"/>
      <c r="H39" s="76"/>
      <c r="I39" s="76"/>
      <c r="J39" s="76"/>
      <c r="K39" s="58" t="str">
        <f>IF($B39="","",COUNTIFS(Teilnahmen!$C$6:$C$75,$B39,Teilnahmen!$J$6:$J$75,"&lt;&gt;Abgesagt"))</f>
        <v/>
      </c>
      <c r="L39" s="58" t="str">
        <f>IF($B39="","",COUNTIFS(Teilnahmen!$C$6:$C$75,$B39,Teilnahmen!$J$6:$J$75,"Teilgenommen"))</f>
        <v/>
      </c>
      <c r="M39" s="59" t="str">
        <f t="shared" si="0"/>
        <v/>
      </c>
      <c r="N39" s="76"/>
      <c r="O39" s="76"/>
      <c r="P39" s="76"/>
      <c r="Q39" s="63" t="str">
        <f t="shared" si="1"/>
        <v/>
      </c>
      <c r="R39" s="40"/>
      <c r="S39" t="str">
        <f t="shared" si="2"/>
        <v/>
      </c>
    </row>
    <row r="40" spans="2:19" ht="15.75" customHeight="1" x14ac:dyDescent="0.25">
      <c r="B40" s="79"/>
      <c r="C40" s="80"/>
      <c r="D40" s="80"/>
      <c r="E40" s="80"/>
      <c r="F40" s="80"/>
      <c r="G40" s="80"/>
      <c r="H40" s="80"/>
      <c r="I40" s="80"/>
      <c r="J40" s="80"/>
      <c r="K40" s="81" t="str">
        <f>IF($B40="","",COUNTIFS(Teilnahmen!$C$6:$C$75,$B40,Teilnahmen!$J$6:$J$75,"&lt;&gt;Abgesagt"))</f>
        <v/>
      </c>
      <c r="L40" s="81" t="str">
        <f>IF($B40="","",COUNTIFS(Teilnahmen!$C$6:$C$75,$B40,Teilnahmen!$J$6:$J$75,"Teilgenommen"))</f>
        <v/>
      </c>
      <c r="M40" s="82" t="str">
        <f t="shared" si="0"/>
        <v/>
      </c>
      <c r="N40" s="80"/>
      <c r="O40" s="80"/>
      <c r="P40" s="80"/>
      <c r="Q40" s="83" t="str">
        <f t="shared" si="1"/>
        <v/>
      </c>
      <c r="R40" s="45"/>
      <c r="S40" t="str">
        <f t="shared" si="2"/>
        <v/>
      </c>
    </row>
  </sheetData>
  <autoFilter ref="B7:R40" xr:uid="{00000000-0009-0000-0000-000001000000}"/>
  <mergeCells count="2">
    <mergeCell ref="B2:R4"/>
    <mergeCell ref="B5:R5"/>
  </mergeCells>
  <conditionalFormatting sqref="H8:H40">
    <cfRule type="expression" dxfId="16" priority="13">
      <formula>AND($H8&lt;&gt;"",$H8&lt;Stichtag,$P8&lt;&gt;"Abgeschlossen",$P8&lt;&gt;"Abgesagt")</formula>
    </cfRule>
  </conditionalFormatting>
  <conditionalFormatting sqref="M8:M40">
    <cfRule type="dataBar" priority="12">
      <dataBar>
        <cfvo type="num" val="0"/>
        <cfvo type="num" val="1"/>
        <color rgb="FFC79A2E"/>
      </dataBar>
      <extLst>
        <ext xmlns:x14="http://schemas.microsoft.com/office/spreadsheetml/2009/9/main" uri="{B025F937-C7B1-47D3-B67F-A62EFF666E3E}">
          <x14:id>{3D5F9F58-CBE8-4680-BE86-3C37BB2AEF12}</x14:id>
        </ext>
      </extLst>
    </cfRule>
  </conditionalFormatting>
  <conditionalFormatting sqref="P8:P40">
    <cfRule type="cellIs" dxfId="15" priority="4" operator="equal">
      <formula>"In Planung"</formula>
    </cfRule>
  </conditionalFormatting>
  <conditionalFormatting sqref="P8:Q40">
    <cfRule type="cellIs" dxfId="14" priority="2" operator="equal">
      <formula>"Abgeschlossen"</formula>
    </cfRule>
    <cfRule type="cellIs" dxfId="13" priority="3" operator="equal">
      <formula>"Geplant"</formula>
    </cfRule>
    <cfRule type="cellIs" dxfId="12" priority="5" operator="equal">
      <formula>"Abgesagt"</formula>
    </cfRule>
  </conditionalFormatting>
  <conditionalFormatting sqref="Q8:Q40">
    <cfRule type="cellIs" dxfId="11" priority="8" operator="equal">
      <formula>"Steht an"</formula>
    </cfRule>
    <cfRule type="cellIs" dxfId="10" priority="9" operator="equal">
      <formula>"Überfällig"</formula>
    </cfRule>
    <cfRule type="cellIs" dxfId="9" priority="11" operator="equal">
      <formula>"Kein Termin"</formula>
    </cfRule>
  </conditionalFormatting>
  <dataValidations count="5">
    <dataValidation type="list" allowBlank="1" sqref="D8:D40" xr:uid="{00000000-0002-0000-0100-000000000000}">
      <formula1>Kategorien</formula1>
      <formula2>0</formula2>
    </dataValidation>
    <dataValidation type="list" allowBlank="1" sqref="E8:E40" xr:uid="{00000000-0002-0000-0100-000001000000}">
      <formula1>Schulungsarten</formula1>
      <formula2>0</formula2>
    </dataValidation>
    <dataValidation type="list" allowBlank="1" sqref="F8:F40" xr:uid="{00000000-0002-0000-0100-000002000000}">
      <formula1>Trainer</formula1>
      <formula2>0</formula2>
    </dataValidation>
    <dataValidation type="list" allowBlank="1" sqref="O8:O40" xr:uid="{00000000-0002-0000-0100-000003000000}">
      <formula1>Turnus_Liste</formula1>
      <formula2>0</formula2>
    </dataValidation>
    <dataValidation type="list" allowBlank="1" sqref="P8:P40" xr:uid="{00000000-0002-0000-0100-000004000000}">
      <formula1>StatusSchulung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D5F9F58-CBE8-4680-BE86-3C37BB2AEF12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C79A2E"/>
            </x14:dataBar>
          </x14:cfRule>
          <xm:sqref>M8:M40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Q75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6" customWidth="1"/>
    <col min="3" max="3" width="13" customWidth="1"/>
    <col min="4" max="4" width="28" customWidth="1"/>
    <col min="5" max="5" width="11" customWidth="1"/>
    <col min="6" max="6" width="19" customWidth="1"/>
    <col min="7" max="7" width="12" customWidth="1"/>
    <col min="8" max="8" width="20" customWidth="1"/>
    <col min="9" max="9" width="16" customWidth="1"/>
    <col min="10" max="10" width="14" customWidth="1"/>
    <col min="11" max="11" width="11" customWidth="1"/>
    <col min="12" max="12" width="14" customWidth="1"/>
    <col min="13" max="13" width="8" customWidth="1"/>
    <col min="14" max="14" width="26" customWidth="1"/>
    <col min="16" max="17" width="6" hidden="1" customWidth="1"/>
  </cols>
  <sheetData>
    <row r="1" spans="2:17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7" ht="15.75" customHeight="1" x14ac:dyDescent="0.25">
      <c r="B2" s="14" t="s">
        <v>161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7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2:17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7" ht="15.75" customHeight="1" x14ac:dyDescent="0.25">
      <c r="B5" s="12" t="s">
        <v>162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7" ht="15.75" customHeight="1" x14ac:dyDescent="0.25">
      <c r="B6" s="84">
        <f>IF($C6="","",1)</f>
        <v>1</v>
      </c>
      <c r="C6" s="85" t="s">
        <v>79</v>
      </c>
      <c r="D6" s="86" t="str">
        <f>IF($C6="","",IFERROR(IF(INDEX(Schulungsplan!$C$8:$C$40,MATCH($C6,Schulungsplan!$B$8:$B$40,0))=0,"",INDEX(Schulungsplan!$C$8:$C$40,MATCH($C6,Schulungsplan!$B$8:$B$40,0))),""))</f>
        <v>Datenschutz-Grundlagen (DSGVO)</v>
      </c>
      <c r="E6" s="87">
        <f>IF($C6="","",IFERROR(IF(INDEX(Schulungsplan!$H$8:$H$40,MATCH($C6,Schulungsplan!$B$8:$B$40,0))=0,"",INDEX(Schulungsplan!$H$8:$H$40,MATCH($C6,Schulungsplan!$B$8:$B$40,0))),""))</f>
        <v>45916</v>
      </c>
      <c r="F6" s="86" t="str">
        <f>IF($C6="","",IFERROR(IF(INDEX(Schulungsplan!$D$8:$D$40,MATCH($C6,Schulungsplan!$B$8:$B$40,0))=0,"",INDEX(Schulungsplan!$D$8:$D$40,MATCH($C6,Schulungsplan!$B$8:$B$40,0))),""))</f>
        <v>Datenschutz &amp; Compliance</v>
      </c>
      <c r="G6" s="88" t="str">
        <f>IF($C6="","",IFERROR(IF(INDEX(Schulungsplan!$O$8:$O$40,MATCH($C6,Schulungsplan!$B$8:$B$40,0))=0,"",INDEX(Schulungsplan!$O$8:$O$40,MATCH($C6,Schulungsplan!$B$8:$B$40,0))),""))</f>
        <v>Jährlich</v>
      </c>
      <c r="H6" s="53" t="s">
        <v>163</v>
      </c>
      <c r="I6" s="61" t="s">
        <v>164</v>
      </c>
      <c r="J6" s="62" t="s">
        <v>42</v>
      </c>
      <c r="K6" s="87">
        <f t="shared" ref="K6:K37" si="0">IF($C6="","",IF($J6&lt;&gt;"Teilgenommen","",IF($E6="","",IF(IFERROR(INDEX(Turnus_Monate,MATCH($G6,Turnus_Liste,0)),0)=0,"",EDATE($E6,INDEX(Turnus_Monate,MATCH($G6,Turnus_Liste,0)))))))</f>
        <v>46281</v>
      </c>
      <c r="L6" s="63" t="str">
        <f t="shared" ref="L6:L37" ca="1" si="1">IF($C6="","",IF($K6="","–",IF($K6&lt;Stichtag,"Abgelaufen",IF($K6&lt;=Stichtag+Warnfrist_Gueltigkeit,"Läuft bald ab","Gültig"))))</f>
        <v>Läuft bald ab</v>
      </c>
      <c r="M6" s="89">
        <v>2</v>
      </c>
      <c r="N6" s="90"/>
      <c r="P6">
        <f t="shared" ref="P6:P37" ca="1" si="2">IF($C6="",0,IF(OR($L6="Abgelaufen",$L6="Läuft bald ab"),1,0))</f>
        <v>1</v>
      </c>
      <c r="Q6">
        <f t="shared" ref="Q6:Q37" ca="1" si="3">IF($P6=1,SUMPRODUCT(($P$6:$P$75=1)*($K$6:$K$75&lt;$K6))+SUMPRODUCT(($P$6:$P$75=1)*($K$6:$K$75=$K6)*(ROW($K$6:$K$75)&lt;ROW($K6)))+1,"")</f>
        <v>8</v>
      </c>
    </row>
    <row r="7" spans="2:17" ht="15.75" customHeight="1" x14ac:dyDescent="0.25">
      <c r="B7" s="91">
        <f>IF($C7="","",COUNT($B$6:$B6)+1)</f>
        <v>2</v>
      </c>
      <c r="C7" s="92" t="s">
        <v>79</v>
      </c>
      <c r="D7" s="93" t="str">
        <f>IF($C7="","",IFERROR(IF(INDEX(Schulungsplan!$C$8:$C$40,MATCH($C7,Schulungsplan!$B$8:$B$40,0))=0,"",INDEX(Schulungsplan!$C$8:$C$40,MATCH($C7,Schulungsplan!$B$8:$B$40,0))),""))</f>
        <v>Datenschutz-Grundlagen (DSGVO)</v>
      </c>
      <c r="E7" s="94">
        <f>IF($C7="","",IFERROR(IF(INDEX(Schulungsplan!$H$8:$H$40,MATCH($C7,Schulungsplan!$B$8:$B$40,0))=0,"",INDEX(Schulungsplan!$H$8:$H$40,MATCH($C7,Schulungsplan!$B$8:$B$40,0))),""))</f>
        <v>45916</v>
      </c>
      <c r="F7" s="93" t="str">
        <f>IF($C7="","",IFERROR(IF(INDEX(Schulungsplan!$D$8:$D$40,MATCH($C7,Schulungsplan!$B$8:$B$40,0))=0,"",INDEX(Schulungsplan!$D$8:$D$40,MATCH($C7,Schulungsplan!$B$8:$B$40,0))),""))</f>
        <v>Datenschutz &amp; Compliance</v>
      </c>
      <c r="G7" s="95" t="str">
        <f>IF($C7="","",IFERROR(IF(INDEX(Schulungsplan!$O$8:$O$40,MATCH($C7,Schulungsplan!$B$8:$B$40,0))=0,"",INDEX(Schulungsplan!$O$8:$O$40,MATCH($C7,Schulungsplan!$B$8:$B$40,0))),""))</f>
        <v>Jährlich</v>
      </c>
      <c r="H7" s="96" t="s">
        <v>165</v>
      </c>
      <c r="I7" s="97" t="s">
        <v>166</v>
      </c>
      <c r="J7" s="98" t="s">
        <v>42</v>
      </c>
      <c r="K7" s="94">
        <f t="shared" si="0"/>
        <v>46281</v>
      </c>
      <c r="L7" s="99" t="str">
        <f t="shared" ca="1" si="1"/>
        <v>Läuft bald ab</v>
      </c>
      <c r="M7" s="100">
        <v>3</v>
      </c>
      <c r="N7" s="101"/>
      <c r="P7">
        <f t="shared" ca="1" si="2"/>
        <v>1</v>
      </c>
      <c r="Q7">
        <f t="shared" ca="1" si="3"/>
        <v>9</v>
      </c>
    </row>
    <row r="8" spans="2:17" ht="15.75" customHeight="1" x14ac:dyDescent="0.25">
      <c r="B8" s="102">
        <f>IF($C8="","",COUNT($B$6:$B7)+1)</f>
        <v>3</v>
      </c>
      <c r="C8" s="85" t="s">
        <v>79</v>
      </c>
      <c r="D8" s="86" t="str">
        <f>IF($C8="","",IFERROR(IF(INDEX(Schulungsplan!$C$8:$C$40,MATCH($C8,Schulungsplan!$B$8:$B$40,0))=0,"",INDEX(Schulungsplan!$C$8:$C$40,MATCH($C8,Schulungsplan!$B$8:$B$40,0))),""))</f>
        <v>Datenschutz-Grundlagen (DSGVO)</v>
      </c>
      <c r="E8" s="87">
        <f>IF($C8="","",IFERROR(IF(INDEX(Schulungsplan!$H$8:$H$40,MATCH($C8,Schulungsplan!$B$8:$B$40,0))=0,"",INDEX(Schulungsplan!$H$8:$H$40,MATCH($C8,Schulungsplan!$B$8:$B$40,0))),""))</f>
        <v>45916</v>
      </c>
      <c r="F8" s="86" t="str">
        <f>IF($C8="","",IFERROR(IF(INDEX(Schulungsplan!$D$8:$D$40,MATCH($C8,Schulungsplan!$B$8:$B$40,0))=0,"",INDEX(Schulungsplan!$D$8:$D$40,MATCH($C8,Schulungsplan!$B$8:$B$40,0))),""))</f>
        <v>Datenschutz &amp; Compliance</v>
      </c>
      <c r="G8" s="88" t="str">
        <f>IF($C8="","",IFERROR(IF(INDEX(Schulungsplan!$O$8:$O$40,MATCH($C8,Schulungsplan!$B$8:$B$40,0))=0,"",INDEX(Schulungsplan!$O$8:$O$40,MATCH($C8,Schulungsplan!$B$8:$B$40,0))),""))</f>
        <v>Jährlich</v>
      </c>
      <c r="H8" s="53" t="s">
        <v>167</v>
      </c>
      <c r="I8" s="61" t="s">
        <v>168</v>
      </c>
      <c r="J8" s="62" t="s">
        <v>42</v>
      </c>
      <c r="K8" s="87">
        <f t="shared" si="0"/>
        <v>46281</v>
      </c>
      <c r="L8" s="63" t="str">
        <f t="shared" ca="1" si="1"/>
        <v>Läuft bald ab</v>
      </c>
      <c r="M8" s="89">
        <v>1</v>
      </c>
      <c r="N8" s="64"/>
      <c r="P8">
        <f t="shared" ca="1" si="2"/>
        <v>1</v>
      </c>
      <c r="Q8">
        <f t="shared" ca="1" si="3"/>
        <v>10</v>
      </c>
    </row>
    <row r="9" spans="2:17" ht="15.75" customHeight="1" x14ac:dyDescent="0.25">
      <c r="B9" s="102">
        <f>IF($C9="","",COUNT($B$6:$B8)+1)</f>
        <v>4</v>
      </c>
      <c r="C9" s="103" t="s">
        <v>79</v>
      </c>
      <c r="D9" s="86" t="str">
        <f>IF($C9="","",IFERROR(IF(INDEX(Schulungsplan!$C$8:$C$40,MATCH($C9,Schulungsplan!$B$8:$B$40,0))=0,"",INDEX(Schulungsplan!$C$8:$C$40,MATCH($C9,Schulungsplan!$B$8:$B$40,0))),""))</f>
        <v>Datenschutz-Grundlagen (DSGVO)</v>
      </c>
      <c r="E9" s="87">
        <f>IF($C9="","",IFERROR(IF(INDEX(Schulungsplan!$H$8:$H$40,MATCH($C9,Schulungsplan!$B$8:$B$40,0))=0,"",INDEX(Schulungsplan!$H$8:$H$40,MATCH($C9,Schulungsplan!$B$8:$B$40,0))),""))</f>
        <v>45916</v>
      </c>
      <c r="F9" s="86" t="str">
        <f>IF($C9="","",IFERROR(IF(INDEX(Schulungsplan!$D$8:$D$40,MATCH($C9,Schulungsplan!$B$8:$B$40,0))=0,"",INDEX(Schulungsplan!$D$8:$D$40,MATCH($C9,Schulungsplan!$B$8:$B$40,0))),""))</f>
        <v>Datenschutz &amp; Compliance</v>
      </c>
      <c r="G9" s="88" t="str">
        <f>IF($C9="","",IFERROR(IF(INDEX(Schulungsplan!$O$8:$O$40,MATCH($C9,Schulungsplan!$B$8:$B$40,0))=0,"",INDEX(Schulungsplan!$O$8:$O$40,MATCH($C9,Schulungsplan!$B$8:$B$40,0))),""))</f>
        <v>Jährlich</v>
      </c>
      <c r="H9" s="66" t="s">
        <v>169</v>
      </c>
      <c r="I9" s="72" t="s">
        <v>170</v>
      </c>
      <c r="J9" s="73" t="s">
        <v>42</v>
      </c>
      <c r="K9" s="87">
        <f t="shared" si="0"/>
        <v>46281</v>
      </c>
      <c r="L9" s="63" t="str">
        <f t="shared" ca="1" si="1"/>
        <v>Läuft bald ab</v>
      </c>
      <c r="M9" s="104">
        <v>2</v>
      </c>
      <c r="N9" s="74"/>
      <c r="P9">
        <f t="shared" ca="1" si="2"/>
        <v>1</v>
      </c>
      <c r="Q9">
        <f t="shared" ca="1" si="3"/>
        <v>11</v>
      </c>
    </row>
    <row r="10" spans="2:17" ht="15.75" customHeight="1" x14ac:dyDescent="0.25">
      <c r="B10" s="102">
        <f>IF($C10="","",COUNT($B$6:$B9)+1)</f>
        <v>5</v>
      </c>
      <c r="C10" s="85" t="s">
        <v>79</v>
      </c>
      <c r="D10" s="86" t="str">
        <f>IF($C10="","",IFERROR(IF(INDEX(Schulungsplan!$C$8:$C$40,MATCH($C10,Schulungsplan!$B$8:$B$40,0))=0,"",INDEX(Schulungsplan!$C$8:$C$40,MATCH($C10,Schulungsplan!$B$8:$B$40,0))),""))</f>
        <v>Datenschutz-Grundlagen (DSGVO)</v>
      </c>
      <c r="E10" s="87">
        <f>IF($C10="","",IFERROR(IF(INDEX(Schulungsplan!$H$8:$H$40,MATCH($C10,Schulungsplan!$B$8:$B$40,0))=0,"",INDEX(Schulungsplan!$H$8:$H$40,MATCH($C10,Schulungsplan!$B$8:$B$40,0))),""))</f>
        <v>45916</v>
      </c>
      <c r="F10" s="86" t="str">
        <f>IF($C10="","",IFERROR(IF(INDEX(Schulungsplan!$D$8:$D$40,MATCH($C10,Schulungsplan!$B$8:$B$40,0))=0,"",INDEX(Schulungsplan!$D$8:$D$40,MATCH($C10,Schulungsplan!$B$8:$B$40,0))),""))</f>
        <v>Datenschutz &amp; Compliance</v>
      </c>
      <c r="G10" s="88" t="str">
        <f>IF($C10="","",IFERROR(IF(INDEX(Schulungsplan!$O$8:$O$40,MATCH($C10,Schulungsplan!$B$8:$B$40,0))=0,"",INDEX(Schulungsplan!$O$8:$O$40,MATCH($C10,Schulungsplan!$B$8:$B$40,0))),""))</f>
        <v>Jährlich</v>
      </c>
      <c r="H10" s="53" t="s">
        <v>171</v>
      </c>
      <c r="I10" s="61" t="s">
        <v>172</v>
      </c>
      <c r="J10" s="62" t="s">
        <v>42</v>
      </c>
      <c r="K10" s="87">
        <f t="shared" si="0"/>
        <v>46281</v>
      </c>
      <c r="L10" s="63" t="str">
        <f t="shared" ca="1" si="1"/>
        <v>Läuft bald ab</v>
      </c>
      <c r="M10" s="89">
        <v>2</v>
      </c>
      <c r="N10" s="64"/>
      <c r="P10">
        <f t="shared" ca="1" si="2"/>
        <v>1</v>
      </c>
      <c r="Q10">
        <f t="shared" ca="1" si="3"/>
        <v>12</v>
      </c>
    </row>
    <row r="11" spans="2:17" ht="15.75" customHeight="1" x14ac:dyDescent="0.25">
      <c r="B11" s="102">
        <f>IF($C11="","",COUNT($B$6:$B10)+1)</f>
        <v>6</v>
      </c>
      <c r="C11" s="103" t="s">
        <v>79</v>
      </c>
      <c r="D11" s="86" t="str">
        <f>IF($C11="","",IFERROR(IF(INDEX(Schulungsplan!$C$8:$C$40,MATCH($C11,Schulungsplan!$B$8:$B$40,0))=0,"",INDEX(Schulungsplan!$C$8:$C$40,MATCH($C11,Schulungsplan!$B$8:$B$40,0))),""))</f>
        <v>Datenschutz-Grundlagen (DSGVO)</v>
      </c>
      <c r="E11" s="87">
        <f>IF($C11="","",IFERROR(IF(INDEX(Schulungsplan!$H$8:$H$40,MATCH($C11,Schulungsplan!$B$8:$B$40,0))=0,"",INDEX(Schulungsplan!$H$8:$H$40,MATCH($C11,Schulungsplan!$B$8:$B$40,0))),""))</f>
        <v>45916</v>
      </c>
      <c r="F11" s="86" t="str">
        <f>IF($C11="","",IFERROR(IF(INDEX(Schulungsplan!$D$8:$D$40,MATCH($C11,Schulungsplan!$B$8:$B$40,0))=0,"",INDEX(Schulungsplan!$D$8:$D$40,MATCH($C11,Schulungsplan!$B$8:$B$40,0))),""))</f>
        <v>Datenschutz &amp; Compliance</v>
      </c>
      <c r="G11" s="88" t="str">
        <f>IF($C11="","",IFERROR(IF(INDEX(Schulungsplan!$O$8:$O$40,MATCH($C11,Schulungsplan!$B$8:$B$40,0))=0,"",INDEX(Schulungsplan!$O$8:$O$40,MATCH($C11,Schulungsplan!$B$8:$B$40,0))),""))</f>
        <v>Jährlich</v>
      </c>
      <c r="H11" s="66" t="s">
        <v>173</v>
      </c>
      <c r="I11" s="72" t="s">
        <v>174</v>
      </c>
      <c r="J11" s="73" t="s">
        <v>44</v>
      </c>
      <c r="K11" s="87" t="str">
        <f t="shared" si="0"/>
        <v/>
      </c>
      <c r="L11" s="63" t="str">
        <f t="shared" si="1"/>
        <v>–</v>
      </c>
      <c r="M11" s="104"/>
      <c r="N11" s="74" t="s">
        <v>175</v>
      </c>
      <c r="P11">
        <f t="shared" si="2"/>
        <v>0</v>
      </c>
      <c r="Q11" t="str">
        <f t="shared" si="3"/>
        <v/>
      </c>
    </row>
    <row r="12" spans="2:17" ht="15.75" customHeight="1" x14ac:dyDescent="0.25">
      <c r="B12" s="102">
        <f>IF($C12="","",COUNT($B$6:$B11)+1)</f>
        <v>7</v>
      </c>
      <c r="C12" s="85" t="s">
        <v>86</v>
      </c>
      <c r="D12" s="86" t="str">
        <f>IF($C12="","",IFERROR(IF(INDEX(Schulungsplan!$C$8:$C$40,MATCH($C12,Schulungsplan!$B$8:$B$40,0))=0,"",INDEX(Schulungsplan!$C$8:$C$40,MATCH($C12,Schulungsplan!$B$8:$B$40,0))),""))</f>
        <v>Brandschutzhelfer-Ausbildung</v>
      </c>
      <c r="E12" s="87">
        <f>IF($C12="","",IFERROR(IF(INDEX(Schulungsplan!$H$8:$H$40,MATCH($C12,Schulungsplan!$B$8:$B$40,0))=0,"",INDEX(Schulungsplan!$H$8:$H$40,MATCH($C12,Schulungsplan!$B$8:$B$40,0))),""))</f>
        <v>45797</v>
      </c>
      <c r="F12" s="86" t="str">
        <f>IF($C12="","",IFERROR(IF(INDEX(Schulungsplan!$D$8:$D$40,MATCH($C12,Schulungsplan!$B$8:$B$40,0))=0,"",INDEX(Schulungsplan!$D$8:$D$40,MATCH($C12,Schulungsplan!$B$8:$B$40,0))),""))</f>
        <v>Arbeitssicherheit</v>
      </c>
      <c r="G12" s="88" t="str">
        <f>IF($C12="","",IFERROR(IF(INDEX(Schulungsplan!$O$8:$O$40,MATCH($C12,Schulungsplan!$B$8:$B$40,0))=0,"",INDEX(Schulungsplan!$O$8:$O$40,MATCH($C12,Schulungsplan!$B$8:$B$40,0))),""))</f>
        <v>Alle 3 Jahre</v>
      </c>
      <c r="H12" s="53" t="s">
        <v>176</v>
      </c>
      <c r="I12" s="61" t="s">
        <v>177</v>
      </c>
      <c r="J12" s="62" t="s">
        <v>42</v>
      </c>
      <c r="K12" s="87">
        <f t="shared" si="0"/>
        <v>46893</v>
      </c>
      <c r="L12" s="63" t="str">
        <f t="shared" ca="1" si="1"/>
        <v>Gültig</v>
      </c>
      <c r="M12" s="89">
        <v>2</v>
      </c>
      <c r="N12" s="64"/>
      <c r="P12">
        <f t="shared" ca="1" si="2"/>
        <v>0</v>
      </c>
      <c r="Q12" t="str">
        <f t="shared" ca="1" si="3"/>
        <v/>
      </c>
    </row>
    <row r="13" spans="2:17" ht="15.75" customHeight="1" x14ac:dyDescent="0.25">
      <c r="B13" s="102">
        <f>IF($C13="","",COUNT($B$6:$B12)+1)</f>
        <v>8</v>
      </c>
      <c r="C13" s="103" t="s">
        <v>86</v>
      </c>
      <c r="D13" s="86" t="str">
        <f>IF($C13="","",IFERROR(IF(INDEX(Schulungsplan!$C$8:$C$40,MATCH($C13,Schulungsplan!$B$8:$B$40,0))=0,"",INDEX(Schulungsplan!$C$8:$C$40,MATCH($C13,Schulungsplan!$B$8:$B$40,0))),""))</f>
        <v>Brandschutzhelfer-Ausbildung</v>
      </c>
      <c r="E13" s="87">
        <f>IF($C13="","",IFERROR(IF(INDEX(Schulungsplan!$H$8:$H$40,MATCH($C13,Schulungsplan!$B$8:$B$40,0))=0,"",INDEX(Schulungsplan!$H$8:$H$40,MATCH($C13,Schulungsplan!$B$8:$B$40,0))),""))</f>
        <v>45797</v>
      </c>
      <c r="F13" s="86" t="str">
        <f>IF($C13="","",IFERROR(IF(INDEX(Schulungsplan!$D$8:$D$40,MATCH($C13,Schulungsplan!$B$8:$B$40,0))=0,"",INDEX(Schulungsplan!$D$8:$D$40,MATCH($C13,Schulungsplan!$B$8:$B$40,0))),""))</f>
        <v>Arbeitssicherheit</v>
      </c>
      <c r="G13" s="88" t="str">
        <f>IF($C13="","",IFERROR(IF(INDEX(Schulungsplan!$O$8:$O$40,MATCH($C13,Schulungsplan!$B$8:$B$40,0))=0,"",INDEX(Schulungsplan!$O$8:$O$40,MATCH($C13,Schulungsplan!$B$8:$B$40,0))),""))</f>
        <v>Alle 3 Jahre</v>
      </c>
      <c r="H13" s="66" t="s">
        <v>178</v>
      </c>
      <c r="I13" s="72" t="s">
        <v>166</v>
      </c>
      <c r="J13" s="73" t="s">
        <v>42</v>
      </c>
      <c r="K13" s="87">
        <f t="shared" si="0"/>
        <v>46893</v>
      </c>
      <c r="L13" s="63" t="str">
        <f t="shared" ca="1" si="1"/>
        <v>Gültig</v>
      </c>
      <c r="M13" s="104">
        <v>2</v>
      </c>
      <c r="N13" s="74"/>
      <c r="P13">
        <f t="shared" ca="1" si="2"/>
        <v>0</v>
      </c>
      <c r="Q13" t="str">
        <f t="shared" ca="1" si="3"/>
        <v/>
      </c>
    </row>
    <row r="14" spans="2:17" ht="15.75" customHeight="1" x14ac:dyDescent="0.25">
      <c r="B14" s="102">
        <f>IF($C14="","",COUNT($B$6:$B13)+1)</f>
        <v>9</v>
      </c>
      <c r="C14" s="85" t="s">
        <v>86</v>
      </c>
      <c r="D14" s="86" t="str">
        <f>IF($C14="","",IFERROR(IF(INDEX(Schulungsplan!$C$8:$C$40,MATCH($C14,Schulungsplan!$B$8:$B$40,0))=0,"",INDEX(Schulungsplan!$C$8:$C$40,MATCH($C14,Schulungsplan!$B$8:$B$40,0))),""))</f>
        <v>Brandschutzhelfer-Ausbildung</v>
      </c>
      <c r="E14" s="87">
        <f>IF($C14="","",IFERROR(IF(INDEX(Schulungsplan!$H$8:$H$40,MATCH($C14,Schulungsplan!$B$8:$B$40,0))=0,"",INDEX(Schulungsplan!$H$8:$H$40,MATCH($C14,Schulungsplan!$B$8:$B$40,0))),""))</f>
        <v>45797</v>
      </c>
      <c r="F14" s="86" t="str">
        <f>IF($C14="","",IFERROR(IF(INDEX(Schulungsplan!$D$8:$D$40,MATCH($C14,Schulungsplan!$B$8:$B$40,0))=0,"",INDEX(Schulungsplan!$D$8:$D$40,MATCH($C14,Schulungsplan!$B$8:$B$40,0))),""))</f>
        <v>Arbeitssicherheit</v>
      </c>
      <c r="G14" s="88" t="str">
        <f>IF($C14="","",IFERROR(IF(INDEX(Schulungsplan!$O$8:$O$40,MATCH($C14,Schulungsplan!$B$8:$B$40,0))=0,"",INDEX(Schulungsplan!$O$8:$O$40,MATCH($C14,Schulungsplan!$B$8:$B$40,0))),""))</f>
        <v>Alle 3 Jahre</v>
      </c>
      <c r="H14" s="53" t="s">
        <v>165</v>
      </c>
      <c r="I14" s="61" t="s">
        <v>166</v>
      </c>
      <c r="J14" s="62" t="s">
        <v>42</v>
      </c>
      <c r="K14" s="87">
        <f t="shared" si="0"/>
        <v>46893</v>
      </c>
      <c r="L14" s="63" t="str">
        <f t="shared" ca="1" si="1"/>
        <v>Gültig</v>
      </c>
      <c r="M14" s="89">
        <v>1</v>
      </c>
      <c r="N14" s="64"/>
      <c r="P14">
        <f t="shared" ca="1" si="2"/>
        <v>0</v>
      </c>
      <c r="Q14" t="str">
        <f t="shared" ca="1" si="3"/>
        <v/>
      </c>
    </row>
    <row r="15" spans="2:17" ht="15.75" customHeight="1" x14ac:dyDescent="0.25">
      <c r="B15" s="102">
        <f>IF($C15="","",COUNT($B$6:$B14)+1)</f>
        <v>10</v>
      </c>
      <c r="C15" s="103" t="s">
        <v>93</v>
      </c>
      <c r="D15" s="86" t="str">
        <f>IF($C15="","",IFERROR(IF(INDEX(Schulungsplan!$C$8:$C$40,MATCH($C15,Schulungsplan!$B$8:$B$40,0))=0,"",INDEX(Schulungsplan!$C$8:$C$40,MATCH($C15,Schulungsplan!$B$8:$B$40,0))),""))</f>
        <v>Erste-Hilfe-Grundkurs</v>
      </c>
      <c r="E15" s="87">
        <f>IF($C15="","",IFERROR(IF(INDEX(Schulungsplan!$H$8:$H$40,MATCH($C15,Schulungsplan!$B$8:$B$40,0))=0,"",INDEX(Schulungsplan!$H$8:$H$40,MATCH($C15,Schulungsplan!$B$8:$B$40,0))),""))</f>
        <v>45454</v>
      </c>
      <c r="F15" s="86" t="str">
        <f>IF($C15="","",IFERROR(IF(INDEX(Schulungsplan!$D$8:$D$40,MATCH($C15,Schulungsplan!$B$8:$B$40,0))=0,"",INDEX(Schulungsplan!$D$8:$D$40,MATCH($C15,Schulungsplan!$B$8:$B$40,0))),""))</f>
        <v>Arbeitssicherheit</v>
      </c>
      <c r="G15" s="88" t="str">
        <f>IF($C15="","",IFERROR(IF(INDEX(Schulungsplan!$O$8:$O$40,MATCH($C15,Schulungsplan!$B$8:$B$40,0))=0,"",INDEX(Schulungsplan!$O$8:$O$40,MATCH($C15,Schulungsplan!$B$8:$B$40,0))),""))</f>
        <v>Alle 2 Jahre</v>
      </c>
      <c r="H15" s="66" t="s">
        <v>167</v>
      </c>
      <c r="I15" s="72" t="s">
        <v>168</v>
      </c>
      <c r="J15" s="73" t="s">
        <v>42</v>
      </c>
      <c r="K15" s="87">
        <f t="shared" si="0"/>
        <v>46184</v>
      </c>
      <c r="L15" s="63" t="str">
        <f t="shared" ca="1" si="1"/>
        <v>Abgelaufen</v>
      </c>
      <c r="M15" s="104">
        <v>1</v>
      </c>
      <c r="N15" s="74"/>
      <c r="P15">
        <f t="shared" ca="1" si="2"/>
        <v>1</v>
      </c>
      <c r="Q15">
        <f t="shared" ca="1" si="3"/>
        <v>1</v>
      </c>
    </row>
    <row r="16" spans="2:17" ht="15.75" customHeight="1" x14ac:dyDescent="0.25">
      <c r="B16" s="102">
        <f>IF($C16="","",COUNT($B$6:$B15)+1)</f>
        <v>11</v>
      </c>
      <c r="C16" s="85" t="s">
        <v>93</v>
      </c>
      <c r="D16" s="86" t="str">
        <f>IF($C16="","",IFERROR(IF(INDEX(Schulungsplan!$C$8:$C$40,MATCH($C16,Schulungsplan!$B$8:$B$40,0))=0,"",INDEX(Schulungsplan!$C$8:$C$40,MATCH($C16,Schulungsplan!$B$8:$B$40,0))),""))</f>
        <v>Erste-Hilfe-Grundkurs</v>
      </c>
      <c r="E16" s="87">
        <f>IF($C16="","",IFERROR(IF(INDEX(Schulungsplan!$H$8:$H$40,MATCH($C16,Schulungsplan!$B$8:$B$40,0))=0,"",INDEX(Schulungsplan!$H$8:$H$40,MATCH($C16,Schulungsplan!$B$8:$B$40,0))),""))</f>
        <v>45454</v>
      </c>
      <c r="F16" s="86" t="str">
        <f>IF($C16="","",IFERROR(IF(INDEX(Schulungsplan!$D$8:$D$40,MATCH($C16,Schulungsplan!$B$8:$B$40,0))=0,"",INDEX(Schulungsplan!$D$8:$D$40,MATCH($C16,Schulungsplan!$B$8:$B$40,0))),""))</f>
        <v>Arbeitssicherheit</v>
      </c>
      <c r="G16" s="88" t="str">
        <f>IF($C16="","",IFERROR(IF(INDEX(Schulungsplan!$O$8:$O$40,MATCH($C16,Schulungsplan!$B$8:$B$40,0))=0,"",INDEX(Schulungsplan!$O$8:$O$40,MATCH($C16,Schulungsplan!$B$8:$B$40,0))),""))</f>
        <v>Alle 2 Jahre</v>
      </c>
      <c r="H16" s="53" t="s">
        <v>179</v>
      </c>
      <c r="I16" s="61" t="s">
        <v>180</v>
      </c>
      <c r="J16" s="62" t="s">
        <v>42</v>
      </c>
      <c r="K16" s="87">
        <f t="shared" si="0"/>
        <v>46184</v>
      </c>
      <c r="L16" s="63" t="str">
        <f t="shared" ca="1" si="1"/>
        <v>Abgelaufen</v>
      </c>
      <c r="M16" s="89">
        <v>2</v>
      </c>
      <c r="N16" s="64"/>
      <c r="P16">
        <f t="shared" ca="1" si="2"/>
        <v>1</v>
      </c>
      <c r="Q16">
        <f t="shared" ca="1" si="3"/>
        <v>2</v>
      </c>
    </row>
    <row r="17" spans="2:17" ht="15.75" customHeight="1" x14ac:dyDescent="0.25">
      <c r="B17" s="102">
        <f>IF($C17="","",COUNT($B$6:$B16)+1)</f>
        <v>12</v>
      </c>
      <c r="C17" s="103" t="s">
        <v>93</v>
      </c>
      <c r="D17" s="86" t="str">
        <f>IF($C17="","",IFERROR(IF(INDEX(Schulungsplan!$C$8:$C$40,MATCH($C17,Schulungsplan!$B$8:$B$40,0))=0,"",INDEX(Schulungsplan!$C$8:$C$40,MATCH($C17,Schulungsplan!$B$8:$B$40,0))),""))</f>
        <v>Erste-Hilfe-Grundkurs</v>
      </c>
      <c r="E17" s="87">
        <f>IF($C17="","",IFERROR(IF(INDEX(Schulungsplan!$H$8:$H$40,MATCH($C17,Schulungsplan!$B$8:$B$40,0))=0,"",INDEX(Schulungsplan!$H$8:$H$40,MATCH($C17,Schulungsplan!$B$8:$B$40,0))),""))</f>
        <v>45454</v>
      </c>
      <c r="F17" s="86" t="str">
        <f>IF($C17="","",IFERROR(IF(INDEX(Schulungsplan!$D$8:$D$40,MATCH($C17,Schulungsplan!$B$8:$B$40,0))=0,"",INDEX(Schulungsplan!$D$8:$D$40,MATCH($C17,Schulungsplan!$B$8:$B$40,0))),""))</f>
        <v>Arbeitssicherheit</v>
      </c>
      <c r="G17" s="88" t="str">
        <f>IF($C17="","",IFERROR(IF(INDEX(Schulungsplan!$O$8:$O$40,MATCH($C17,Schulungsplan!$B$8:$B$40,0))=0,"",INDEX(Schulungsplan!$O$8:$O$40,MATCH($C17,Schulungsplan!$B$8:$B$40,0))),""))</f>
        <v>Alle 2 Jahre</v>
      </c>
      <c r="H17" s="66" t="s">
        <v>181</v>
      </c>
      <c r="I17" s="72" t="s">
        <v>182</v>
      </c>
      <c r="J17" s="73" t="s">
        <v>42</v>
      </c>
      <c r="K17" s="87">
        <f t="shared" si="0"/>
        <v>46184</v>
      </c>
      <c r="L17" s="63" t="str">
        <f t="shared" ca="1" si="1"/>
        <v>Abgelaufen</v>
      </c>
      <c r="M17" s="104">
        <v>2</v>
      </c>
      <c r="N17" s="74"/>
      <c r="P17">
        <f t="shared" ca="1" si="2"/>
        <v>1</v>
      </c>
      <c r="Q17">
        <f t="shared" ca="1" si="3"/>
        <v>3</v>
      </c>
    </row>
    <row r="18" spans="2:17" ht="15.75" customHeight="1" x14ac:dyDescent="0.25">
      <c r="B18" s="102">
        <f>IF($C18="","",COUNT($B$6:$B17)+1)</f>
        <v>13</v>
      </c>
      <c r="C18" s="85" t="s">
        <v>93</v>
      </c>
      <c r="D18" s="86" t="str">
        <f>IF($C18="","",IFERROR(IF(INDEX(Schulungsplan!$C$8:$C$40,MATCH($C18,Schulungsplan!$B$8:$B$40,0))=0,"",INDEX(Schulungsplan!$C$8:$C$40,MATCH($C18,Schulungsplan!$B$8:$B$40,0))),""))</f>
        <v>Erste-Hilfe-Grundkurs</v>
      </c>
      <c r="E18" s="87">
        <f>IF($C18="","",IFERROR(IF(INDEX(Schulungsplan!$H$8:$H$40,MATCH($C18,Schulungsplan!$B$8:$B$40,0))=0,"",INDEX(Schulungsplan!$H$8:$H$40,MATCH($C18,Schulungsplan!$B$8:$B$40,0))),""))</f>
        <v>45454</v>
      </c>
      <c r="F18" s="86" t="str">
        <f>IF($C18="","",IFERROR(IF(INDEX(Schulungsplan!$D$8:$D$40,MATCH($C18,Schulungsplan!$B$8:$B$40,0))=0,"",INDEX(Schulungsplan!$D$8:$D$40,MATCH($C18,Schulungsplan!$B$8:$B$40,0))),""))</f>
        <v>Arbeitssicherheit</v>
      </c>
      <c r="G18" s="88" t="str">
        <f>IF($C18="","",IFERROR(IF(INDEX(Schulungsplan!$O$8:$O$40,MATCH($C18,Schulungsplan!$B$8:$B$40,0))=0,"",INDEX(Schulungsplan!$O$8:$O$40,MATCH($C18,Schulungsplan!$B$8:$B$40,0))),""))</f>
        <v>Alle 2 Jahre</v>
      </c>
      <c r="H18" s="53" t="s">
        <v>178</v>
      </c>
      <c r="I18" s="61" t="s">
        <v>166</v>
      </c>
      <c r="J18" s="62" t="s">
        <v>42</v>
      </c>
      <c r="K18" s="87">
        <f t="shared" si="0"/>
        <v>46184</v>
      </c>
      <c r="L18" s="63" t="str">
        <f t="shared" ca="1" si="1"/>
        <v>Abgelaufen</v>
      </c>
      <c r="M18" s="89">
        <v>3</v>
      </c>
      <c r="N18" s="64"/>
      <c r="P18">
        <f t="shared" ca="1" si="2"/>
        <v>1</v>
      </c>
      <c r="Q18">
        <f t="shared" ca="1" si="3"/>
        <v>4</v>
      </c>
    </row>
    <row r="19" spans="2:17" ht="15.75" customHeight="1" x14ac:dyDescent="0.25">
      <c r="B19" s="102">
        <f>IF($C19="","",COUNT($B$6:$B18)+1)</f>
        <v>14</v>
      </c>
      <c r="C19" s="103" t="s">
        <v>97</v>
      </c>
      <c r="D19" s="86" t="str">
        <f>IF($C19="","",IFERROR(IF(INDEX(Schulungsplan!$C$8:$C$40,MATCH($C19,Schulungsplan!$B$8:$B$40,0))=0,"",INDEX(Schulungsplan!$C$8:$C$40,MATCH($C19,Schulungsplan!$B$8:$B$40,0))),""))</f>
        <v>Unterweisung Arbeitssicherheit</v>
      </c>
      <c r="E19" s="87">
        <f>IF($C19="","",IFERROR(IF(INDEX(Schulungsplan!$H$8:$H$40,MATCH($C19,Schulungsplan!$B$8:$B$40,0))=0,"",INDEX(Schulungsplan!$H$8:$H$40,MATCH($C19,Schulungsplan!$B$8:$B$40,0))),""))</f>
        <v>45965</v>
      </c>
      <c r="F19" s="86" t="str">
        <f>IF($C19="","",IFERROR(IF(INDEX(Schulungsplan!$D$8:$D$40,MATCH($C19,Schulungsplan!$B$8:$B$40,0))=0,"",INDEX(Schulungsplan!$D$8:$D$40,MATCH($C19,Schulungsplan!$B$8:$B$40,0))),""))</f>
        <v>Arbeitssicherheit</v>
      </c>
      <c r="G19" s="88" t="str">
        <f>IF($C19="","",IFERROR(IF(INDEX(Schulungsplan!$O$8:$O$40,MATCH($C19,Schulungsplan!$B$8:$B$40,0))=0,"",INDEX(Schulungsplan!$O$8:$O$40,MATCH($C19,Schulungsplan!$B$8:$B$40,0))),""))</f>
        <v>Jährlich</v>
      </c>
      <c r="H19" s="66" t="s">
        <v>163</v>
      </c>
      <c r="I19" s="72" t="s">
        <v>164</v>
      </c>
      <c r="J19" s="73" t="s">
        <v>42</v>
      </c>
      <c r="K19" s="87">
        <f t="shared" si="0"/>
        <v>46330</v>
      </c>
      <c r="L19" s="63" t="str">
        <f t="shared" ca="1" si="1"/>
        <v>Gültig</v>
      </c>
      <c r="M19" s="104"/>
      <c r="N19" s="74"/>
      <c r="P19">
        <f t="shared" ca="1" si="2"/>
        <v>0</v>
      </c>
      <c r="Q19" t="str">
        <f t="shared" ca="1" si="3"/>
        <v/>
      </c>
    </row>
    <row r="20" spans="2:17" ht="15.75" customHeight="1" x14ac:dyDescent="0.25">
      <c r="B20" s="102">
        <f>IF($C20="","",COUNT($B$6:$B19)+1)</f>
        <v>15</v>
      </c>
      <c r="C20" s="85" t="s">
        <v>97</v>
      </c>
      <c r="D20" s="86" t="str">
        <f>IF($C20="","",IFERROR(IF(INDEX(Schulungsplan!$C$8:$C$40,MATCH($C20,Schulungsplan!$B$8:$B$40,0))=0,"",INDEX(Schulungsplan!$C$8:$C$40,MATCH($C20,Schulungsplan!$B$8:$B$40,0))),""))</f>
        <v>Unterweisung Arbeitssicherheit</v>
      </c>
      <c r="E20" s="87">
        <f>IF($C20="","",IFERROR(IF(INDEX(Schulungsplan!$H$8:$H$40,MATCH($C20,Schulungsplan!$B$8:$B$40,0))=0,"",INDEX(Schulungsplan!$H$8:$H$40,MATCH($C20,Schulungsplan!$B$8:$B$40,0))),""))</f>
        <v>45965</v>
      </c>
      <c r="F20" s="86" t="str">
        <f>IF($C20="","",IFERROR(IF(INDEX(Schulungsplan!$D$8:$D$40,MATCH($C20,Schulungsplan!$B$8:$B$40,0))=0,"",INDEX(Schulungsplan!$D$8:$D$40,MATCH($C20,Schulungsplan!$B$8:$B$40,0))),""))</f>
        <v>Arbeitssicherheit</v>
      </c>
      <c r="G20" s="88" t="str">
        <f>IF($C20="","",IFERROR(IF(INDEX(Schulungsplan!$O$8:$O$40,MATCH($C20,Schulungsplan!$B$8:$B$40,0))=0,"",INDEX(Schulungsplan!$O$8:$O$40,MATCH($C20,Schulungsplan!$B$8:$B$40,0))),""))</f>
        <v>Jährlich</v>
      </c>
      <c r="H20" s="53" t="s">
        <v>165</v>
      </c>
      <c r="I20" s="61" t="s">
        <v>166</v>
      </c>
      <c r="J20" s="62" t="s">
        <v>42</v>
      </c>
      <c r="K20" s="87">
        <f t="shared" si="0"/>
        <v>46330</v>
      </c>
      <c r="L20" s="63" t="str">
        <f t="shared" ca="1" si="1"/>
        <v>Gültig</v>
      </c>
      <c r="M20" s="89"/>
      <c r="N20" s="64"/>
      <c r="P20">
        <f t="shared" ca="1" si="2"/>
        <v>0</v>
      </c>
      <c r="Q20" t="str">
        <f t="shared" ca="1" si="3"/>
        <v/>
      </c>
    </row>
    <row r="21" spans="2:17" ht="15.75" customHeight="1" x14ac:dyDescent="0.25">
      <c r="B21" s="102">
        <f>IF($C21="","",COUNT($B$6:$B20)+1)</f>
        <v>16</v>
      </c>
      <c r="C21" s="103" t="s">
        <v>97</v>
      </c>
      <c r="D21" s="86" t="str">
        <f>IF($C21="","",IFERROR(IF(INDEX(Schulungsplan!$C$8:$C$40,MATCH($C21,Schulungsplan!$B$8:$B$40,0))=0,"",INDEX(Schulungsplan!$C$8:$C$40,MATCH($C21,Schulungsplan!$B$8:$B$40,0))),""))</f>
        <v>Unterweisung Arbeitssicherheit</v>
      </c>
      <c r="E21" s="87">
        <f>IF($C21="","",IFERROR(IF(INDEX(Schulungsplan!$H$8:$H$40,MATCH($C21,Schulungsplan!$B$8:$B$40,0))=0,"",INDEX(Schulungsplan!$H$8:$H$40,MATCH($C21,Schulungsplan!$B$8:$B$40,0))),""))</f>
        <v>45965</v>
      </c>
      <c r="F21" s="86" t="str">
        <f>IF($C21="","",IFERROR(IF(INDEX(Schulungsplan!$D$8:$D$40,MATCH($C21,Schulungsplan!$B$8:$B$40,0))=0,"",INDEX(Schulungsplan!$D$8:$D$40,MATCH($C21,Schulungsplan!$B$8:$B$40,0))),""))</f>
        <v>Arbeitssicherheit</v>
      </c>
      <c r="G21" s="88" t="str">
        <f>IF($C21="","",IFERROR(IF(INDEX(Schulungsplan!$O$8:$O$40,MATCH($C21,Schulungsplan!$B$8:$B$40,0))=0,"",INDEX(Schulungsplan!$O$8:$O$40,MATCH($C21,Schulungsplan!$B$8:$B$40,0))),""))</f>
        <v>Jährlich</v>
      </c>
      <c r="H21" s="66" t="s">
        <v>178</v>
      </c>
      <c r="I21" s="72" t="s">
        <v>166</v>
      </c>
      <c r="J21" s="73" t="s">
        <v>42</v>
      </c>
      <c r="K21" s="87">
        <f t="shared" si="0"/>
        <v>46330</v>
      </c>
      <c r="L21" s="63" t="str">
        <f t="shared" ca="1" si="1"/>
        <v>Gültig</v>
      </c>
      <c r="M21" s="104"/>
      <c r="N21" s="74"/>
      <c r="P21">
        <f t="shared" ca="1" si="2"/>
        <v>0</v>
      </c>
      <c r="Q21" t="str">
        <f t="shared" ca="1" si="3"/>
        <v/>
      </c>
    </row>
    <row r="22" spans="2:17" ht="15.75" customHeight="1" x14ac:dyDescent="0.25">
      <c r="B22" s="102">
        <f>IF($C22="","",COUNT($B$6:$B21)+1)</f>
        <v>17</v>
      </c>
      <c r="C22" s="85" t="s">
        <v>97</v>
      </c>
      <c r="D22" s="86" t="str">
        <f>IF($C22="","",IFERROR(IF(INDEX(Schulungsplan!$C$8:$C$40,MATCH($C22,Schulungsplan!$B$8:$B$40,0))=0,"",INDEX(Schulungsplan!$C$8:$C$40,MATCH($C22,Schulungsplan!$B$8:$B$40,0))),""))</f>
        <v>Unterweisung Arbeitssicherheit</v>
      </c>
      <c r="E22" s="87">
        <f>IF($C22="","",IFERROR(IF(INDEX(Schulungsplan!$H$8:$H$40,MATCH($C22,Schulungsplan!$B$8:$B$40,0))=0,"",INDEX(Schulungsplan!$H$8:$H$40,MATCH($C22,Schulungsplan!$B$8:$B$40,0))),""))</f>
        <v>45965</v>
      </c>
      <c r="F22" s="86" t="str">
        <f>IF($C22="","",IFERROR(IF(INDEX(Schulungsplan!$D$8:$D$40,MATCH($C22,Schulungsplan!$B$8:$B$40,0))=0,"",INDEX(Schulungsplan!$D$8:$D$40,MATCH($C22,Schulungsplan!$B$8:$B$40,0))),""))</f>
        <v>Arbeitssicherheit</v>
      </c>
      <c r="G22" s="88" t="str">
        <f>IF($C22="","",IFERROR(IF(INDEX(Schulungsplan!$O$8:$O$40,MATCH($C22,Schulungsplan!$B$8:$B$40,0))=0,"",INDEX(Schulungsplan!$O$8:$O$40,MATCH($C22,Schulungsplan!$B$8:$B$40,0))),""))</f>
        <v>Jährlich</v>
      </c>
      <c r="H22" s="53" t="s">
        <v>176</v>
      </c>
      <c r="I22" s="61" t="s">
        <v>177</v>
      </c>
      <c r="J22" s="62" t="s">
        <v>42</v>
      </c>
      <c r="K22" s="87">
        <f t="shared" si="0"/>
        <v>46330</v>
      </c>
      <c r="L22" s="63" t="str">
        <f t="shared" ca="1" si="1"/>
        <v>Gültig</v>
      </c>
      <c r="M22" s="89"/>
      <c r="N22" s="64"/>
      <c r="P22">
        <f t="shared" ca="1" si="2"/>
        <v>0</v>
      </c>
      <c r="Q22" t="str">
        <f t="shared" ca="1" si="3"/>
        <v/>
      </c>
    </row>
    <row r="23" spans="2:17" ht="15.75" customHeight="1" x14ac:dyDescent="0.25">
      <c r="B23" s="102">
        <f>IF($C23="","",COUNT($B$6:$B22)+1)</f>
        <v>18</v>
      </c>
      <c r="C23" s="103" t="s">
        <v>101</v>
      </c>
      <c r="D23" s="86" t="str">
        <f>IF($C23="","",IFERROR(IF(INDEX(Schulungsplan!$C$8:$C$40,MATCH($C23,Schulungsplan!$B$8:$B$40,0))=0,"",INDEX(Schulungsplan!$C$8:$C$40,MATCH($C23,Schulungsplan!$B$8:$B$40,0))),""))</f>
        <v>IT-Security Awareness</v>
      </c>
      <c r="E23" s="87">
        <f>IF($C23="","",IFERROR(IF(INDEX(Schulungsplan!$H$8:$H$40,MATCH($C23,Schulungsplan!$B$8:$B$40,0))=0,"",INDEX(Schulungsplan!$H$8:$H$40,MATCH($C23,Schulungsplan!$B$8:$B$40,0))),""))</f>
        <v>46063</v>
      </c>
      <c r="F23" s="86" t="str">
        <f>IF($C23="","",IFERROR(IF(INDEX(Schulungsplan!$D$8:$D$40,MATCH($C23,Schulungsplan!$B$8:$B$40,0))=0,"",INDEX(Schulungsplan!$D$8:$D$40,MATCH($C23,Schulungsplan!$B$8:$B$40,0))),""))</f>
        <v>IT &amp; Software</v>
      </c>
      <c r="G23" s="88" t="str">
        <f>IF($C23="","",IFERROR(IF(INDEX(Schulungsplan!$O$8:$O$40,MATCH($C23,Schulungsplan!$B$8:$B$40,0))=0,"",INDEX(Schulungsplan!$O$8:$O$40,MATCH($C23,Schulungsplan!$B$8:$B$40,0))),""))</f>
        <v>Jährlich</v>
      </c>
      <c r="H23" s="66" t="s">
        <v>169</v>
      </c>
      <c r="I23" s="72" t="s">
        <v>170</v>
      </c>
      <c r="J23" s="73" t="s">
        <v>42</v>
      </c>
      <c r="K23" s="87">
        <f t="shared" si="0"/>
        <v>46428</v>
      </c>
      <c r="L23" s="63" t="str">
        <f t="shared" ca="1" si="1"/>
        <v>Gültig</v>
      </c>
      <c r="M23" s="104">
        <v>1</v>
      </c>
      <c r="N23" s="74"/>
      <c r="P23">
        <f t="shared" ca="1" si="2"/>
        <v>0</v>
      </c>
      <c r="Q23" t="str">
        <f t="shared" ca="1" si="3"/>
        <v/>
      </c>
    </row>
    <row r="24" spans="2:17" ht="15.75" customHeight="1" x14ac:dyDescent="0.25">
      <c r="B24" s="102">
        <f>IF($C24="","",COUNT($B$6:$B23)+1)</f>
        <v>19</v>
      </c>
      <c r="C24" s="85" t="s">
        <v>101</v>
      </c>
      <c r="D24" s="86" t="str">
        <f>IF($C24="","",IFERROR(IF(INDEX(Schulungsplan!$C$8:$C$40,MATCH($C24,Schulungsplan!$B$8:$B$40,0))=0,"",INDEX(Schulungsplan!$C$8:$C$40,MATCH($C24,Schulungsplan!$B$8:$B$40,0))),""))</f>
        <v>IT-Security Awareness</v>
      </c>
      <c r="E24" s="87">
        <f>IF($C24="","",IFERROR(IF(INDEX(Schulungsplan!$H$8:$H$40,MATCH($C24,Schulungsplan!$B$8:$B$40,0))=0,"",INDEX(Schulungsplan!$H$8:$H$40,MATCH($C24,Schulungsplan!$B$8:$B$40,0))),""))</f>
        <v>46063</v>
      </c>
      <c r="F24" s="86" t="str">
        <f>IF($C24="","",IFERROR(IF(INDEX(Schulungsplan!$D$8:$D$40,MATCH($C24,Schulungsplan!$B$8:$B$40,0))=0,"",INDEX(Schulungsplan!$D$8:$D$40,MATCH($C24,Schulungsplan!$B$8:$B$40,0))),""))</f>
        <v>IT &amp; Software</v>
      </c>
      <c r="G24" s="88" t="str">
        <f>IF($C24="","",IFERROR(IF(INDEX(Schulungsplan!$O$8:$O$40,MATCH($C24,Schulungsplan!$B$8:$B$40,0))=0,"",INDEX(Schulungsplan!$O$8:$O$40,MATCH($C24,Schulungsplan!$B$8:$B$40,0))),""))</f>
        <v>Jährlich</v>
      </c>
      <c r="H24" s="53" t="s">
        <v>183</v>
      </c>
      <c r="I24" s="61" t="s">
        <v>170</v>
      </c>
      <c r="J24" s="62" t="s">
        <v>42</v>
      </c>
      <c r="K24" s="87">
        <f t="shared" si="0"/>
        <v>46428</v>
      </c>
      <c r="L24" s="63" t="str">
        <f t="shared" ca="1" si="1"/>
        <v>Gültig</v>
      </c>
      <c r="M24" s="89">
        <v>1</v>
      </c>
      <c r="N24" s="64"/>
      <c r="P24">
        <f t="shared" ca="1" si="2"/>
        <v>0</v>
      </c>
      <c r="Q24" t="str">
        <f t="shared" ca="1" si="3"/>
        <v/>
      </c>
    </row>
    <row r="25" spans="2:17" ht="15.75" customHeight="1" x14ac:dyDescent="0.25">
      <c r="B25" s="102">
        <f>IF($C25="","",COUNT($B$6:$B24)+1)</f>
        <v>20</v>
      </c>
      <c r="C25" s="103" t="s">
        <v>101</v>
      </c>
      <c r="D25" s="86" t="str">
        <f>IF($C25="","",IFERROR(IF(INDEX(Schulungsplan!$C$8:$C$40,MATCH($C25,Schulungsplan!$B$8:$B$40,0))=0,"",INDEX(Schulungsplan!$C$8:$C$40,MATCH($C25,Schulungsplan!$B$8:$B$40,0))),""))</f>
        <v>IT-Security Awareness</v>
      </c>
      <c r="E25" s="87">
        <f>IF($C25="","",IFERROR(IF(INDEX(Schulungsplan!$H$8:$H$40,MATCH($C25,Schulungsplan!$B$8:$B$40,0))=0,"",INDEX(Schulungsplan!$H$8:$H$40,MATCH($C25,Schulungsplan!$B$8:$B$40,0))),""))</f>
        <v>46063</v>
      </c>
      <c r="F25" s="86" t="str">
        <f>IF($C25="","",IFERROR(IF(INDEX(Schulungsplan!$D$8:$D$40,MATCH($C25,Schulungsplan!$B$8:$B$40,0))=0,"",INDEX(Schulungsplan!$D$8:$D$40,MATCH($C25,Schulungsplan!$B$8:$B$40,0))),""))</f>
        <v>IT &amp; Software</v>
      </c>
      <c r="G25" s="88" t="str">
        <f>IF($C25="","",IFERROR(IF(INDEX(Schulungsplan!$O$8:$O$40,MATCH($C25,Schulungsplan!$B$8:$B$40,0))=0,"",INDEX(Schulungsplan!$O$8:$O$40,MATCH($C25,Schulungsplan!$B$8:$B$40,0))),""))</f>
        <v>Jährlich</v>
      </c>
      <c r="H25" s="66" t="s">
        <v>171</v>
      </c>
      <c r="I25" s="72" t="s">
        <v>172</v>
      </c>
      <c r="J25" s="73" t="s">
        <v>42</v>
      </c>
      <c r="K25" s="87">
        <f t="shared" si="0"/>
        <v>46428</v>
      </c>
      <c r="L25" s="63" t="str">
        <f t="shared" ca="1" si="1"/>
        <v>Gültig</v>
      </c>
      <c r="M25" s="104">
        <v>2</v>
      </c>
      <c r="N25" s="74"/>
      <c r="P25">
        <f t="shared" ca="1" si="2"/>
        <v>0</v>
      </c>
      <c r="Q25" t="str">
        <f t="shared" ca="1" si="3"/>
        <v/>
      </c>
    </row>
    <row r="26" spans="2:17" ht="15.75" customHeight="1" x14ac:dyDescent="0.25">
      <c r="B26" s="102">
        <f>IF($C26="","",COUNT($B$6:$B25)+1)</f>
        <v>21</v>
      </c>
      <c r="C26" s="85" t="s">
        <v>101</v>
      </c>
      <c r="D26" s="86" t="str">
        <f>IF($C26="","",IFERROR(IF(INDEX(Schulungsplan!$C$8:$C$40,MATCH($C26,Schulungsplan!$B$8:$B$40,0))=0,"",INDEX(Schulungsplan!$C$8:$C$40,MATCH($C26,Schulungsplan!$B$8:$B$40,0))),""))</f>
        <v>IT-Security Awareness</v>
      </c>
      <c r="E26" s="87">
        <f>IF($C26="","",IFERROR(IF(INDEX(Schulungsplan!$H$8:$H$40,MATCH($C26,Schulungsplan!$B$8:$B$40,0))=0,"",INDEX(Schulungsplan!$H$8:$H$40,MATCH($C26,Schulungsplan!$B$8:$B$40,0))),""))</f>
        <v>46063</v>
      </c>
      <c r="F26" s="86" t="str">
        <f>IF($C26="","",IFERROR(IF(INDEX(Schulungsplan!$D$8:$D$40,MATCH($C26,Schulungsplan!$B$8:$B$40,0))=0,"",INDEX(Schulungsplan!$D$8:$D$40,MATCH($C26,Schulungsplan!$B$8:$B$40,0))),""))</f>
        <v>IT &amp; Software</v>
      </c>
      <c r="G26" s="88" t="str">
        <f>IF($C26="","",IFERROR(IF(INDEX(Schulungsplan!$O$8:$O$40,MATCH($C26,Schulungsplan!$B$8:$B$40,0))=0,"",INDEX(Schulungsplan!$O$8:$O$40,MATCH($C26,Schulungsplan!$B$8:$B$40,0))),""))</f>
        <v>Jährlich</v>
      </c>
      <c r="H26" s="53" t="s">
        <v>184</v>
      </c>
      <c r="I26" s="61" t="s">
        <v>185</v>
      </c>
      <c r="J26" s="62" t="s">
        <v>42</v>
      </c>
      <c r="K26" s="87">
        <f t="shared" si="0"/>
        <v>46428</v>
      </c>
      <c r="L26" s="63" t="str">
        <f t="shared" ca="1" si="1"/>
        <v>Gültig</v>
      </c>
      <c r="M26" s="89">
        <v>2</v>
      </c>
      <c r="N26" s="64"/>
      <c r="P26">
        <f t="shared" ca="1" si="2"/>
        <v>0</v>
      </c>
      <c r="Q26" t="str">
        <f t="shared" ca="1" si="3"/>
        <v/>
      </c>
    </row>
    <row r="27" spans="2:17" ht="15.75" customHeight="1" x14ac:dyDescent="0.25">
      <c r="B27" s="102">
        <f>IF($C27="","",COUNT($B$6:$B26)+1)</f>
        <v>22</v>
      </c>
      <c r="C27" s="103" t="s">
        <v>101</v>
      </c>
      <c r="D27" s="86" t="str">
        <f>IF($C27="","",IFERROR(IF(INDEX(Schulungsplan!$C$8:$C$40,MATCH($C27,Schulungsplan!$B$8:$B$40,0))=0,"",INDEX(Schulungsplan!$C$8:$C$40,MATCH($C27,Schulungsplan!$B$8:$B$40,0))),""))</f>
        <v>IT-Security Awareness</v>
      </c>
      <c r="E27" s="87">
        <f>IF($C27="","",IFERROR(IF(INDEX(Schulungsplan!$H$8:$H$40,MATCH($C27,Schulungsplan!$B$8:$B$40,0))=0,"",INDEX(Schulungsplan!$H$8:$H$40,MATCH($C27,Schulungsplan!$B$8:$B$40,0))),""))</f>
        <v>46063</v>
      </c>
      <c r="F27" s="86" t="str">
        <f>IF($C27="","",IFERROR(IF(INDEX(Schulungsplan!$D$8:$D$40,MATCH($C27,Schulungsplan!$B$8:$B$40,0))=0,"",INDEX(Schulungsplan!$D$8:$D$40,MATCH($C27,Schulungsplan!$B$8:$B$40,0))),""))</f>
        <v>IT &amp; Software</v>
      </c>
      <c r="G27" s="88" t="str">
        <f>IF($C27="","",IFERROR(IF(INDEX(Schulungsplan!$O$8:$O$40,MATCH($C27,Schulungsplan!$B$8:$B$40,0))=0,"",INDEX(Schulungsplan!$O$8:$O$40,MATCH($C27,Schulungsplan!$B$8:$B$40,0))),""))</f>
        <v>Jährlich</v>
      </c>
      <c r="H27" s="66" t="s">
        <v>181</v>
      </c>
      <c r="I27" s="72" t="s">
        <v>182</v>
      </c>
      <c r="J27" s="73" t="s">
        <v>44</v>
      </c>
      <c r="K27" s="87" t="str">
        <f t="shared" si="0"/>
        <v/>
      </c>
      <c r="L27" s="63" t="str">
        <f t="shared" si="1"/>
        <v>–</v>
      </c>
      <c r="M27" s="104"/>
      <c r="N27" s="74"/>
      <c r="P27">
        <f t="shared" si="2"/>
        <v>0</v>
      </c>
      <c r="Q27" t="str">
        <f t="shared" si="3"/>
        <v/>
      </c>
    </row>
    <row r="28" spans="2:17" ht="15.75" customHeight="1" x14ac:dyDescent="0.25">
      <c r="B28" s="102">
        <f>IF($C28="","",COUNT($B$6:$B27)+1)</f>
        <v>23</v>
      </c>
      <c r="C28" s="85" t="s">
        <v>107</v>
      </c>
      <c r="D28" s="86" t="str">
        <f>IF($C28="","",IFERROR(IF(INDEX(Schulungsplan!$C$8:$C$40,MATCH($C28,Schulungsplan!$B$8:$B$40,0))=0,"",INDEX(Schulungsplan!$C$8:$C$40,MATCH($C28,Schulungsplan!$B$8:$B$40,0))),""))</f>
        <v>Excel Grundlagen</v>
      </c>
      <c r="E28" s="87">
        <f>IF($C28="","",IFERROR(IF(INDEX(Schulungsplan!$H$8:$H$40,MATCH($C28,Schulungsplan!$B$8:$B$40,0))=0,"",INDEX(Schulungsplan!$H$8:$H$40,MATCH($C28,Schulungsplan!$B$8:$B$40,0))),""))</f>
        <v>46093</v>
      </c>
      <c r="F28" s="86" t="str">
        <f>IF($C28="","",IFERROR(IF(INDEX(Schulungsplan!$D$8:$D$40,MATCH($C28,Schulungsplan!$B$8:$B$40,0))=0,"",INDEX(Schulungsplan!$D$8:$D$40,MATCH($C28,Schulungsplan!$B$8:$B$40,0))),""))</f>
        <v>IT &amp; Software</v>
      </c>
      <c r="G28" s="88" t="str">
        <f>IF($C28="","",IFERROR(IF(INDEX(Schulungsplan!$O$8:$O$40,MATCH($C28,Schulungsplan!$B$8:$B$40,0))=0,"",INDEX(Schulungsplan!$O$8:$O$40,MATCH($C28,Schulungsplan!$B$8:$B$40,0))),""))</f>
        <v>Einmalig</v>
      </c>
      <c r="H28" s="53" t="s">
        <v>184</v>
      </c>
      <c r="I28" s="61" t="s">
        <v>185</v>
      </c>
      <c r="J28" s="62" t="s">
        <v>42</v>
      </c>
      <c r="K28" s="87" t="str">
        <f t="shared" si="0"/>
        <v/>
      </c>
      <c r="L28" s="63" t="str">
        <f t="shared" si="1"/>
        <v>–</v>
      </c>
      <c r="M28" s="89">
        <v>2</v>
      </c>
      <c r="N28" s="64"/>
      <c r="P28">
        <f t="shared" si="2"/>
        <v>0</v>
      </c>
      <c r="Q28" t="str">
        <f t="shared" si="3"/>
        <v/>
      </c>
    </row>
    <row r="29" spans="2:17" ht="15.75" customHeight="1" x14ac:dyDescent="0.25">
      <c r="B29" s="102">
        <f>IF($C29="","",COUNT($B$6:$B28)+1)</f>
        <v>24</v>
      </c>
      <c r="C29" s="103" t="s">
        <v>107</v>
      </c>
      <c r="D29" s="86" t="str">
        <f>IF($C29="","",IFERROR(IF(INDEX(Schulungsplan!$C$8:$C$40,MATCH($C29,Schulungsplan!$B$8:$B$40,0))=0,"",INDEX(Schulungsplan!$C$8:$C$40,MATCH($C29,Schulungsplan!$B$8:$B$40,0))),""))</f>
        <v>Excel Grundlagen</v>
      </c>
      <c r="E29" s="87">
        <f>IF($C29="","",IFERROR(IF(INDEX(Schulungsplan!$H$8:$H$40,MATCH($C29,Schulungsplan!$B$8:$B$40,0))=0,"",INDEX(Schulungsplan!$H$8:$H$40,MATCH($C29,Schulungsplan!$B$8:$B$40,0))),""))</f>
        <v>46093</v>
      </c>
      <c r="F29" s="86" t="str">
        <f>IF($C29="","",IFERROR(IF(INDEX(Schulungsplan!$D$8:$D$40,MATCH($C29,Schulungsplan!$B$8:$B$40,0))=0,"",INDEX(Schulungsplan!$D$8:$D$40,MATCH($C29,Schulungsplan!$B$8:$B$40,0))),""))</f>
        <v>IT &amp; Software</v>
      </c>
      <c r="G29" s="88" t="str">
        <f>IF($C29="","",IFERROR(IF(INDEX(Schulungsplan!$O$8:$O$40,MATCH($C29,Schulungsplan!$B$8:$B$40,0))=0,"",INDEX(Schulungsplan!$O$8:$O$40,MATCH($C29,Schulungsplan!$B$8:$B$40,0))),""))</f>
        <v>Einmalig</v>
      </c>
      <c r="H29" s="66" t="s">
        <v>181</v>
      </c>
      <c r="I29" s="72" t="s">
        <v>182</v>
      </c>
      <c r="J29" s="73" t="s">
        <v>42</v>
      </c>
      <c r="K29" s="87" t="str">
        <f t="shared" si="0"/>
        <v/>
      </c>
      <c r="L29" s="63" t="str">
        <f t="shared" si="1"/>
        <v>–</v>
      </c>
      <c r="M29" s="104">
        <v>3</v>
      </c>
      <c r="N29" s="74"/>
      <c r="P29">
        <f t="shared" si="2"/>
        <v>0</v>
      </c>
      <c r="Q29" t="str">
        <f t="shared" si="3"/>
        <v/>
      </c>
    </row>
    <row r="30" spans="2:17" ht="15.75" customHeight="1" x14ac:dyDescent="0.25">
      <c r="B30" s="102">
        <f>IF($C30="","",COUNT($B$6:$B29)+1)</f>
        <v>25</v>
      </c>
      <c r="C30" s="85" t="s">
        <v>107</v>
      </c>
      <c r="D30" s="86" t="str">
        <f>IF($C30="","",IFERROR(IF(INDEX(Schulungsplan!$C$8:$C$40,MATCH($C30,Schulungsplan!$B$8:$B$40,0))=0,"",INDEX(Schulungsplan!$C$8:$C$40,MATCH($C30,Schulungsplan!$B$8:$B$40,0))),""))</f>
        <v>Excel Grundlagen</v>
      </c>
      <c r="E30" s="87">
        <f>IF($C30="","",IFERROR(IF(INDEX(Schulungsplan!$H$8:$H$40,MATCH($C30,Schulungsplan!$B$8:$B$40,0))=0,"",INDEX(Schulungsplan!$H$8:$H$40,MATCH($C30,Schulungsplan!$B$8:$B$40,0))),""))</f>
        <v>46093</v>
      </c>
      <c r="F30" s="86" t="str">
        <f>IF($C30="","",IFERROR(IF(INDEX(Schulungsplan!$D$8:$D$40,MATCH($C30,Schulungsplan!$B$8:$B$40,0))=0,"",INDEX(Schulungsplan!$D$8:$D$40,MATCH($C30,Schulungsplan!$B$8:$B$40,0))),""))</f>
        <v>IT &amp; Software</v>
      </c>
      <c r="G30" s="88" t="str">
        <f>IF($C30="","",IFERROR(IF(INDEX(Schulungsplan!$O$8:$O$40,MATCH($C30,Schulungsplan!$B$8:$B$40,0))=0,"",INDEX(Schulungsplan!$O$8:$O$40,MATCH($C30,Schulungsplan!$B$8:$B$40,0))),""))</f>
        <v>Einmalig</v>
      </c>
      <c r="H30" s="53" t="s">
        <v>173</v>
      </c>
      <c r="I30" s="61" t="s">
        <v>174</v>
      </c>
      <c r="J30" s="62" t="s">
        <v>42</v>
      </c>
      <c r="K30" s="87" t="str">
        <f t="shared" si="0"/>
        <v/>
      </c>
      <c r="L30" s="63" t="str">
        <f t="shared" si="1"/>
        <v>–</v>
      </c>
      <c r="M30" s="89">
        <v>2</v>
      </c>
      <c r="N30" s="64"/>
      <c r="P30">
        <f t="shared" si="2"/>
        <v>0</v>
      </c>
      <c r="Q30" t="str">
        <f t="shared" si="3"/>
        <v/>
      </c>
    </row>
    <row r="31" spans="2:17" ht="15.75" customHeight="1" x14ac:dyDescent="0.25">
      <c r="B31" s="102">
        <f>IF($C31="","",COUNT($B$6:$B30)+1)</f>
        <v>26</v>
      </c>
      <c r="C31" s="103" t="s">
        <v>107</v>
      </c>
      <c r="D31" s="86" t="str">
        <f>IF($C31="","",IFERROR(IF(INDEX(Schulungsplan!$C$8:$C$40,MATCH($C31,Schulungsplan!$B$8:$B$40,0))=0,"",INDEX(Schulungsplan!$C$8:$C$40,MATCH($C31,Schulungsplan!$B$8:$B$40,0))),""))</f>
        <v>Excel Grundlagen</v>
      </c>
      <c r="E31" s="87">
        <f>IF($C31="","",IFERROR(IF(INDEX(Schulungsplan!$H$8:$H$40,MATCH($C31,Schulungsplan!$B$8:$B$40,0))=0,"",INDEX(Schulungsplan!$H$8:$H$40,MATCH($C31,Schulungsplan!$B$8:$B$40,0))),""))</f>
        <v>46093</v>
      </c>
      <c r="F31" s="86" t="str">
        <f>IF($C31="","",IFERROR(IF(INDEX(Schulungsplan!$D$8:$D$40,MATCH($C31,Schulungsplan!$B$8:$B$40,0))=0,"",INDEX(Schulungsplan!$D$8:$D$40,MATCH($C31,Schulungsplan!$B$8:$B$40,0))),""))</f>
        <v>IT &amp; Software</v>
      </c>
      <c r="G31" s="88" t="str">
        <f>IF($C31="","",IFERROR(IF(INDEX(Schulungsplan!$O$8:$O$40,MATCH($C31,Schulungsplan!$B$8:$B$40,0))=0,"",INDEX(Schulungsplan!$O$8:$O$40,MATCH($C31,Schulungsplan!$B$8:$B$40,0))),""))</f>
        <v>Einmalig</v>
      </c>
      <c r="H31" s="66" t="s">
        <v>186</v>
      </c>
      <c r="I31" s="72" t="s">
        <v>164</v>
      </c>
      <c r="J31" s="73" t="s">
        <v>42</v>
      </c>
      <c r="K31" s="87" t="str">
        <f t="shared" si="0"/>
        <v/>
      </c>
      <c r="L31" s="63" t="str">
        <f t="shared" si="1"/>
        <v>–</v>
      </c>
      <c r="M31" s="104">
        <v>2</v>
      </c>
      <c r="N31" s="74"/>
      <c r="P31">
        <f t="shared" si="2"/>
        <v>0</v>
      </c>
      <c r="Q31" t="str">
        <f t="shared" si="3"/>
        <v/>
      </c>
    </row>
    <row r="32" spans="2:17" ht="15.75" customHeight="1" x14ac:dyDescent="0.25">
      <c r="B32" s="102">
        <f>IF($C32="","",COUNT($B$6:$B31)+1)</f>
        <v>27</v>
      </c>
      <c r="C32" s="85" t="s">
        <v>110</v>
      </c>
      <c r="D32" s="86" t="str">
        <f>IF($C32="","",IFERROR(IF(INDEX(Schulungsplan!$C$8:$C$40,MATCH($C32,Schulungsplan!$B$8:$B$40,0))=0,"",INDEX(Schulungsplan!$C$8:$C$40,MATCH($C32,Schulungsplan!$B$8:$B$40,0))),""))</f>
        <v>Excel Aufbau (Pivot &amp; Funktionen)</v>
      </c>
      <c r="E32" s="87">
        <f>IF($C32="","",IFERROR(IF(INDEX(Schulungsplan!$H$8:$H$40,MATCH($C32,Schulungsplan!$B$8:$B$40,0))=0,"",INDEX(Schulungsplan!$H$8:$H$40,MATCH($C32,Schulungsplan!$B$8:$B$40,0))),""))</f>
        <v>46289</v>
      </c>
      <c r="F32" s="86" t="str">
        <f>IF($C32="","",IFERROR(IF(INDEX(Schulungsplan!$D$8:$D$40,MATCH($C32,Schulungsplan!$B$8:$B$40,0))=0,"",INDEX(Schulungsplan!$D$8:$D$40,MATCH($C32,Schulungsplan!$B$8:$B$40,0))),""))</f>
        <v>IT &amp; Software</v>
      </c>
      <c r="G32" s="88" t="str">
        <f>IF($C32="","",IFERROR(IF(INDEX(Schulungsplan!$O$8:$O$40,MATCH($C32,Schulungsplan!$B$8:$B$40,0))=0,"",INDEX(Schulungsplan!$O$8:$O$40,MATCH($C32,Schulungsplan!$B$8:$B$40,0))),""))</f>
        <v>Einmalig</v>
      </c>
      <c r="H32" s="53" t="s">
        <v>184</v>
      </c>
      <c r="I32" s="61" t="s">
        <v>185</v>
      </c>
      <c r="J32" s="62" t="s">
        <v>40</v>
      </c>
      <c r="K32" s="87" t="str">
        <f t="shared" si="0"/>
        <v/>
      </c>
      <c r="L32" s="63" t="str">
        <f t="shared" si="1"/>
        <v>–</v>
      </c>
      <c r="M32" s="89"/>
      <c r="N32" s="64"/>
      <c r="P32">
        <f t="shared" si="2"/>
        <v>0</v>
      </c>
      <c r="Q32" t="str">
        <f t="shared" si="3"/>
        <v/>
      </c>
    </row>
    <row r="33" spans="2:17" ht="15.75" customHeight="1" x14ac:dyDescent="0.25">
      <c r="B33" s="102">
        <f>IF($C33="","",COUNT($B$6:$B32)+1)</f>
        <v>28</v>
      </c>
      <c r="C33" s="103" t="s">
        <v>110</v>
      </c>
      <c r="D33" s="86" t="str">
        <f>IF($C33="","",IFERROR(IF(INDEX(Schulungsplan!$C$8:$C$40,MATCH($C33,Schulungsplan!$B$8:$B$40,0))=0,"",INDEX(Schulungsplan!$C$8:$C$40,MATCH($C33,Schulungsplan!$B$8:$B$40,0))),""))</f>
        <v>Excel Aufbau (Pivot &amp; Funktionen)</v>
      </c>
      <c r="E33" s="87">
        <f>IF($C33="","",IFERROR(IF(INDEX(Schulungsplan!$H$8:$H$40,MATCH($C33,Schulungsplan!$B$8:$B$40,0))=0,"",INDEX(Schulungsplan!$H$8:$H$40,MATCH($C33,Schulungsplan!$B$8:$B$40,0))),""))</f>
        <v>46289</v>
      </c>
      <c r="F33" s="86" t="str">
        <f>IF($C33="","",IFERROR(IF(INDEX(Schulungsplan!$D$8:$D$40,MATCH($C33,Schulungsplan!$B$8:$B$40,0))=0,"",INDEX(Schulungsplan!$D$8:$D$40,MATCH($C33,Schulungsplan!$B$8:$B$40,0))),""))</f>
        <v>IT &amp; Software</v>
      </c>
      <c r="G33" s="88" t="str">
        <f>IF($C33="","",IFERROR(IF(INDEX(Schulungsplan!$O$8:$O$40,MATCH($C33,Schulungsplan!$B$8:$B$40,0))=0,"",INDEX(Schulungsplan!$O$8:$O$40,MATCH($C33,Schulungsplan!$B$8:$B$40,0))),""))</f>
        <v>Einmalig</v>
      </c>
      <c r="H33" s="66" t="s">
        <v>186</v>
      </c>
      <c r="I33" s="72" t="s">
        <v>164</v>
      </c>
      <c r="J33" s="73" t="s">
        <v>40</v>
      </c>
      <c r="K33" s="87" t="str">
        <f t="shared" si="0"/>
        <v/>
      </c>
      <c r="L33" s="63" t="str">
        <f t="shared" si="1"/>
        <v>–</v>
      </c>
      <c r="M33" s="104"/>
      <c r="N33" s="74"/>
      <c r="P33">
        <f t="shared" si="2"/>
        <v>0</v>
      </c>
      <c r="Q33" t="str">
        <f t="shared" si="3"/>
        <v/>
      </c>
    </row>
    <row r="34" spans="2:17" ht="15.75" customHeight="1" x14ac:dyDescent="0.25">
      <c r="B34" s="102">
        <f>IF($C34="","",COUNT($B$6:$B33)+1)</f>
        <v>29</v>
      </c>
      <c r="C34" s="85" t="s">
        <v>110</v>
      </c>
      <c r="D34" s="86" t="str">
        <f>IF($C34="","",IFERROR(IF(INDEX(Schulungsplan!$C$8:$C$40,MATCH($C34,Schulungsplan!$B$8:$B$40,0))=0,"",INDEX(Schulungsplan!$C$8:$C$40,MATCH($C34,Schulungsplan!$B$8:$B$40,0))),""))</f>
        <v>Excel Aufbau (Pivot &amp; Funktionen)</v>
      </c>
      <c r="E34" s="87">
        <f>IF($C34="","",IFERROR(IF(INDEX(Schulungsplan!$H$8:$H$40,MATCH($C34,Schulungsplan!$B$8:$B$40,0))=0,"",INDEX(Schulungsplan!$H$8:$H$40,MATCH($C34,Schulungsplan!$B$8:$B$40,0))),""))</f>
        <v>46289</v>
      </c>
      <c r="F34" s="86" t="str">
        <f>IF($C34="","",IFERROR(IF(INDEX(Schulungsplan!$D$8:$D$40,MATCH($C34,Schulungsplan!$B$8:$B$40,0))=0,"",INDEX(Schulungsplan!$D$8:$D$40,MATCH($C34,Schulungsplan!$B$8:$B$40,0))),""))</f>
        <v>IT &amp; Software</v>
      </c>
      <c r="G34" s="88" t="str">
        <f>IF($C34="","",IFERROR(IF(INDEX(Schulungsplan!$O$8:$O$40,MATCH($C34,Schulungsplan!$B$8:$B$40,0))=0,"",INDEX(Schulungsplan!$O$8:$O$40,MATCH($C34,Schulungsplan!$B$8:$B$40,0))),""))</f>
        <v>Einmalig</v>
      </c>
      <c r="H34" s="53" t="s">
        <v>173</v>
      </c>
      <c r="I34" s="61" t="s">
        <v>174</v>
      </c>
      <c r="J34" s="62" t="s">
        <v>38</v>
      </c>
      <c r="K34" s="87" t="str">
        <f t="shared" si="0"/>
        <v/>
      </c>
      <c r="L34" s="63" t="str">
        <f t="shared" si="1"/>
        <v>–</v>
      </c>
      <c r="M34" s="89"/>
      <c r="N34" s="64"/>
      <c r="P34">
        <f t="shared" si="2"/>
        <v>0</v>
      </c>
      <c r="Q34" t="str">
        <f t="shared" si="3"/>
        <v/>
      </c>
    </row>
    <row r="35" spans="2:17" ht="15.75" customHeight="1" x14ac:dyDescent="0.25">
      <c r="B35" s="102">
        <f>IF($C35="","",COUNT($B$6:$B34)+1)</f>
        <v>30</v>
      </c>
      <c r="C35" s="103" t="s">
        <v>112</v>
      </c>
      <c r="D35" s="86" t="str">
        <f>IF($C35="","",IFERROR(IF(INDEX(Schulungsplan!$C$8:$C$40,MATCH($C35,Schulungsplan!$B$8:$B$40,0))=0,"",INDEX(Schulungsplan!$C$8:$C$40,MATCH($C35,Schulungsplan!$B$8:$B$40,0))),""))</f>
        <v>Projektmanagement Grundlagen</v>
      </c>
      <c r="E35" s="87">
        <f>IF($C35="","",IFERROR(IF(INDEX(Schulungsplan!$H$8:$H$40,MATCH($C35,Schulungsplan!$B$8:$B$40,0))=0,"",INDEX(Schulungsplan!$H$8:$H$40,MATCH($C35,Schulungsplan!$B$8:$B$40,0))),""))</f>
        <v>46133</v>
      </c>
      <c r="F35" s="86" t="str">
        <f>IF($C35="","",IFERROR(IF(INDEX(Schulungsplan!$D$8:$D$40,MATCH($C35,Schulungsplan!$B$8:$B$40,0))=0,"",INDEX(Schulungsplan!$D$8:$D$40,MATCH($C35,Schulungsplan!$B$8:$B$40,0))),""))</f>
        <v>Fachschulung</v>
      </c>
      <c r="G35" s="88" t="str">
        <f>IF($C35="","",IFERROR(IF(INDEX(Schulungsplan!$O$8:$O$40,MATCH($C35,Schulungsplan!$B$8:$B$40,0))=0,"",INDEX(Schulungsplan!$O$8:$O$40,MATCH($C35,Schulungsplan!$B$8:$B$40,0))),""))</f>
        <v>Einmalig</v>
      </c>
      <c r="H35" s="66" t="s">
        <v>179</v>
      </c>
      <c r="I35" s="72" t="s">
        <v>180</v>
      </c>
      <c r="J35" s="73" t="s">
        <v>42</v>
      </c>
      <c r="K35" s="87" t="str">
        <f t="shared" si="0"/>
        <v/>
      </c>
      <c r="L35" s="63" t="str">
        <f t="shared" si="1"/>
        <v>–</v>
      </c>
      <c r="M35" s="104">
        <v>1</v>
      </c>
      <c r="N35" s="74"/>
      <c r="P35">
        <f t="shared" si="2"/>
        <v>0</v>
      </c>
      <c r="Q35" t="str">
        <f t="shared" si="3"/>
        <v/>
      </c>
    </row>
    <row r="36" spans="2:17" ht="15.75" customHeight="1" x14ac:dyDescent="0.25">
      <c r="B36" s="102">
        <f>IF($C36="","",COUNT($B$6:$B35)+1)</f>
        <v>31</v>
      </c>
      <c r="C36" s="85" t="s">
        <v>112</v>
      </c>
      <c r="D36" s="86" t="str">
        <f>IF($C36="","",IFERROR(IF(INDEX(Schulungsplan!$C$8:$C$40,MATCH($C36,Schulungsplan!$B$8:$B$40,0))=0,"",INDEX(Schulungsplan!$C$8:$C$40,MATCH($C36,Schulungsplan!$B$8:$B$40,0))),""))</f>
        <v>Projektmanagement Grundlagen</v>
      </c>
      <c r="E36" s="87">
        <f>IF($C36="","",IFERROR(IF(INDEX(Schulungsplan!$H$8:$H$40,MATCH($C36,Schulungsplan!$B$8:$B$40,0))=0,"",INDEX(Schulungsplan!$H$8:$H$40,MATCH($C36,Schulungsplan!$B$8:$B$40,0))),""))</f>
        <v>46133</v>
      </c>
      <c r="F36" s="86" t="str">
        <f>IF($C36="","",IFERROR(IF(INDEX(Schulungsplan!$D$8:$D$40,MATCH($C36,Schulungsplan!$B$8:$B$40,0))=0,"",INDEX(Schulungsplan!$D$8:$D$40,MATCH($C36,Schulungsplan!$B$8:$B$40,0))),""))</f>
        <v>Fachschulung</v>
      </c>
      <c r="G36" s="88" t="str">
        <f>IF($C36="","",IFERROR(IF(INDEX(Schulungsplan!$O$8:$O$40,MATCH($C36,Schulungsplan!$B$8:$B$40,0))=0,"",INDEX(Schulungsplan!$O$8:$O$40,MATCH($C36,Schulungsplan!$B$8:$B$40,0))),""))</f>
        <v>Einmalig</v>
      </c>
      <c r="H36" s="53" t="s">
        <v>167</v>
      </c>
      <c r="I36" s="61" t="s">
        <v>168</v>
      </c>
      <c r="J36" s="62" t="s">
        <v>42</v>
      </c>
      <c r="K36" s="87" t="str">
        <f t="shared" si="0"/>
        <v/>
      </c>
      <c r="L36" s="63" t="str">
        <f t="shared" si="1"/>
        <v>–</v>
      </c>
      <c r="M36" s="89">
        <v>2</v>
      </c>
      <c r="N36" s="64"/>
      <c r="P36">
        <f t="shared" si="2"/>
        <v>0</v>
      </c>
      <c r="Q36" t="str">
        <f t="shared" si="3"/>
        <v/>
      </c>
    </row>
    <row r="37" spans="2:17" ht="15.75" customHeight="1" x14ac:dyDescent="0.25">
      <c r="B37" s="102">
        <f>IF($C37="","",COUNT($B$6:$B36)+1)</f>
        <v>32</v>
      </c>
      <c r="C37" s="103" t="s">
        <v>112</v>
      </c>
      <c r="D37" s="86" t="str">
        <f>IF($C37="","",IFERROR(IF(INDEX(Schulungsplan!$C$8:$C$40,MATCH($C37,Schulungsplan!$B$8:$B$40,0))=0,"",INDEX(Schulungsplan!$C$8:$C$40,MATCH($C37,Schulungsplan!$B$8:$B$40,0))),""))</f>
        <v>Projektmanagement Grundlagen</v>
      </c>
      <c r="E37" s="87">
        <f>IF($C37="","",IFERROR(IF(INDEX(Schulungsplan!$H$8:$H$40,MATCH($C37,Schulungsplan!$B$8:$B$40,0))=0,"",INDEX(Schulungsplan!$H$8:$H$40,MATCH($C37,Schulungsplan!$B$8:$B$40,0))),""))</f>
        <v>46133</v>
      </c>
      <c r="F37" s="86" t="str">
        <f>IF($C37="","",IFERROR(IF(INDEX(Schulungsplan!$D$8:$D$40,MATCH($C37,Schulungsplan!$B$8:$B$40,0))=0,"",INDEX(Schulungsplan!$D$8:$D$40,MATCH($C37,Schulungsplan!$B$8:$B$40,0))),""))</f>
        <v>Fachschulung</v>
      </c>
      <c r="G37" s="88" t="str">
        <f>IF($C37="","",IFERROR(IF(INDEX(Schulungsplan!$O$8:$O$40,MATCH($C37,Schulungsplan!$B$8:$B$40,0))=0,"",INDEX(Schulungsplan!$O$8:$O$40,MATCH($C37,Schulungsplan!$B$8:$B$40,0))),""))</f>
        <v>Einmalig</v>
      </c>
      <c r="H37" s="66" t="s">
        <v>169</v>
      </c>
      <c r="I37" s="72" t="s">
        <v>170</v>
      </c>
      <c r="J37" s="73" t="s">
        <v>42</v>
      </c>
      <c r="K37" s="87" t="str">
        <f t="shared" si="0"/>
        <v/>
      </c>
      <c r="L37" s="63" t="str">
        <f t="shared" si="1"/>
        <v>–</v>
      </c>
      <c r="M37" s="104">
        <v>2</v>
      </c>
      <c r="N37" s="74"/>
      <c r="P37">
        <f t="shared" si="2"/>
        <v>0</v>
      </c>
      <c r="Q37" t="str">
        <f t="shared" si="3"/>
        <v/>
      </c>
    </row>
    <row r="38" spans="2:17" ht="15.75" customHeight="1" x14ac:dyDescent="0.25">
      <c r="B38" s="102">
        <f>IF($C38="","",COUNT($B$6:$B37)+1)</f>
        <v>33</v>
      </c>
      <c r="C38" s="85" t="s">
        <v>117</v>
      </c>
      <c r="D38" s="86" t="str">
        <f>IF($C38="","",IFERROR(IF(INDEX(Schulungsplan!$C$8:$C$40,MATCH($C38,Schulungsplan!$B$8:$B$40,0))=0,"",INDEX(Schulungsplan!$C$8:$C$40,MATCH($C38,Schulungsplan!$B$8:$B$40,0))),""))</f>
        <v>Kommunikation &amp; Konfliktmanagement</v>
      </c>
      <c r="E38" s="87">
        <f>IF($C38="","",IFERROR(IF(INDEX(Schulungsplan!$H$8:$H$40,MATCH($C38,Schulungsplan!$B$8:$B$40,0))=0,"",INDEX(Schulungsplan!$H$8:$H$40,MATCH($C38,Schulungsplan!$B$8:$B$40,0))),""))</f>
        <v>46176</v>
      </c>
      <c r="F38" s="86" t="str">
        <f>IF($C38="","",IFERROR(IF(INDEX(Schulungsplan!$D$8:$D$40,MATCH($C38,Schulungsplan!$B$8:$B$40,0))=0,"",INDEX(Schulungsplan!$D$8:$D$40,MATCH($C38,Schulungsplan!$B$8:$B$40,0))),""))</f>
        <v>Soft Skills &amp; Führung</v>
      </c>
      <c r="G38" s="88" t="str">
        <f>IF($C38="","",IFERROR(IF(INDEX(Schulungsplan!$O$8:$O$40,MATCH($C38,Schulungsplan!$B$8:$B$40,0))=0,"",INDEX(Schulungsplan!$O$8:$O$40,MATCH($C38,Schulungsplan!$B$8:$B$40,0))),""))</f>
        <v>Einmalig</v>
      </c>
      <c r="H38" s="53" t="s">
        <v>163</v>
      </c>
      <c r="I38" s="61" t="s">
        <v>164</v>
      </c>
      <c r="J38" s="62" t="s">
        <v>42</v>
      </c>
      <c r="K38" s="87" t="str">
        <f t="shared" ref="K38:K69" si="4">IF($C38="","",IF($J38&lt;&gt;"Teilgenommen","",IF($E38="","",IF(IFERROR(INDEX(Turnus_Monate,MATCH($G38,Turnus_Liste,0)),0)=0,"",EDATE($E38,INDEX(Turnus_Monate,MATCH($G38,Turnus_Liste,0)))))))</f>
        <v/>
      </c>
      <c r="L38" s="63" t="str">
        <f t="shared" ref="L38:L69" si="5">IF($C38="","",IF($K38="","–",IF($K38&lt;Stichtag,"Abgelaufen",IF($K38&lt;=Stichtag+Warnfrist_Gueltigkeit,"Läuft bald ab","Gültig"))))</f>
        <v>–</v>
      </c>
      <c r="M38" s="89">
        <v>2</v>
      </c>
      <c r="N38" s="64"/>
      <c r="P38">
        <f t="shared" ref="P38:P69" si="6">IF($C38="",0,IF(OR($L38="Abgelaufen",$L38="Läuft bald ab"),1,0))</f>
        <v>0</v>
      </c>
      <c r="Q38" t="str">
        <f t="shared" ref="Q38:Q69" si="7">IF($P38=1,SUMPRODUCT(($P$6:$P$75=1)*($K$6:$K$75&lt;$K38))+SUMPRODUCT(($P$6:$P$75=1)*($K$6:$K$75=$K38)*(ROW($K$6:$K$75)&lt;ROW($K38)))+1,"")</f>
        <v/>
      </c>
    </row>
    <row r="39" spans="2:17" ht="15.75" customHeight="1" x14ac:dyDescent="0.25">
      <c r="B39" s="102">
        <f>IF($C39="","",COUNT($B$6:$B38)+1)</f>
        <v>34</v>
      </c>
      <c r="C39" s="103" t="s">
        <v>117</v>
      </c>
      <c r="D39" s="86" t="str">
        <f>IF($C39="","",IFERROR(IF(INDEX(Schulungsplan!$C$8:$C$40,MATCH($C39,Schulungsplan!$B$8:$B$40,0))=0,"",INDEX(Schulungsplan!$C$8:$C$40,MATCH($C39,Schulungsplan!$B$8:$B$40,0))),""))</f>
        <v>Kommunikation &amp; Konfliktmanagement</v>
      </c>
      <c r="E39" s="87">
        <f>IF($C39="","",IFERROR(IF(INDEX(Schulungsplan!$H$8:$H$40,MATCH($C39,Schulungsplan!$B$8:$B$40,0))=0,"",INDEX(Schulungsplan!$H$8:$H$40,MATCH($C39,Schulungsplan!$B$8:$B$40,0))),""))</f>
        <v>46176</v>
      </c>
      <c r="F39" s="86" t="str">
        <f>IF($C39="","",IFERROR(IF(INDEX(Schulungsplan!$D$8:$D$40,MATCH($C39,Schulungsplan!$B$8:$B$40,0))=0,"",INDEX(Schulungsplan!$D$8:$D$40,MATCH($C39,Schulungsplan!$B$8:$B$40,0))),""))</f>
        <v>Soft Skills &amp; Führung</v>
      </c>
      <c r="G39" s="88" t="str">
        <f>IF($C39="","",IFERROR(IF(INDEX(Schulungsplan!$O$8:$O$40,MATCH($C39,Schulungsplan!$B$8:$B$40,0))=0,"",INDEX(Schulungsplan!$O$8:$O$40,MATCH($C39,Schulungsplan!$B$8:$B$40,0))),""))</f>
        <v>Einmalig</v>
      </c>
      <c r="H39" s="66" t="s">
        <v>181</v>
      </c>
      <c r="I39" s="72" t="s">
        <v>182</v>
      </c>
      <c r="J39" s="73" t="s">
        <v>42</v>
      </c>
      <c r="K39" s="87" t="str">
        <f t="shared" si="4"/>
        <v/>
      </c>
      <c r="L39" s="63" t="str">
        <f t="shared" si="5"/>
        <v>–</v>
      </c>
      <c r="M39" s="104">
        <v>1</v>
      </c>
      <c r="N39" s="74"/>
      <c r="P39">
        <f t="shared" si="6"/>
        <v>0</v>
      </c>
      <c r="Q39" t="str">
        <f t="shared" si="7"/>
        <v/>
      </c>
    </row>
    <row r="40" spans="2:17" ht="15.75" customHeight="1" x14ac:dyDescent="0.25">
      <c r="B40" s="102">
        <f>IF($C40="","",COUNT($B$6:$B39)+1)</f>
        <v>35</v>
      </c>
      <c r="C40" s="85" t="s">
        <v>117</v>
      </c>
      <c r="D40" s="86" t="str">
        <f>IF($C40="","",IFERROR(IF(INDEX(Schulungsplan!$C$8:$C$40,MATCH($C40,Schulungsplan!$B$8:$B$40,0))=0,"",INDEX(Schulungsplan!$C$8:$C$40,MATCH($C40,Schulungsplan!$B$8:$B$40,0))),""))</f>
        <v>Kommunikation &amp; Konfliktmanagement</v>
      </c>
      <c r="E40" s="87">
        <f>IF($C40="","",IFERROR(IF(INDEX(Schulungsplan!$H$8:$H$40,MATCH($C40,Schulungsplan!$B$8:$B$40,0))=0,"",INDEX(Schulungsplan!$H$8:$H$40,MATCH($C40,Schulungsplan!$B$8:$B$40,0))),""))</f>
        <v>46176</v>
      </c>
      <c r="F40" s="86" t="str">
        <f>IF($C40="","",IFERROR(IF(INDEX(Schulungsplan!$D$8:$D$40,MATCH($C40,Schulungsplan!$B$8:$B$40,0))=0,"",INDEX(Schulungsplan!$D$8:$D$40,MATCH($C40,Schulungsplan!$B$8:$B$40,0))),""))</f>
        <v>Soft Skills &amp; Führung</v>
      </c>
      <c r="G40" s="88" t="str">
        <f>IF($C40="","",IFERROR(IF(INDEX(Schulungsplan!$O$8:$O$40,MATCH($C40,Schulungsplan!$B$8:$B$40,0))=0,"",INDEX(Schulungsplan!$O$8:$O$40,MATCH($C40,Schulungsplan!$B$8:$B$40,0))),""))</f>
        <v>Einmalig</v>
      </c>
      <c r="H40" s="53" t="s">
        <v>186</v>
      </c>
      <c r="I40" s="61" t="s">
        <v>164</v>
      </c>
      <c r="J40" s="62" t="s">
        <v>42</v>
      </c>
      <c r="K40" s="87" t="str">
        <f t="shared" si="4"/>
        <v/>
      </c>
      <c r="L40" s="63" t="str">
        <f t="shared" si="5"/>
        <v>–</v>
      </c>
      <c r="M40" s="89">
        <v>2</v>
      </c>
      <c r="N40" s="64"/>
      <c r="P40">
        <f t="shared" si="6"/>
        <v>0</v>
      </c>
      <c r="Q40" t="str">
        <f t="shared" si="7"/>
        <v/>
      </c>
    </row>
    <row r="41" spans="2:17" ht="15.75" customHeight="1" x14ac:dyDescent="0.25">
      <c r="B41" s="102">
        <f>IF($C41="","",COUNT($B$6:$B40)+1)</f>
        <v>36</v>
      </c>
      <c r="C41" s="103" t="s">
        <v>117</v>
      </c>
      <c r="D41" s="86" t="str">
        <f>IF($C41="","",IFERROR(IF(INDEX(Schulungsplan!$C$8:$C$40,MATCH($C41,Schulungsplan!$B$8:$B$40,0))=0,"",INDEX(Schulungsplan!$C$8:$C$40,MATCH($C41,Schulungsplan!$B$8:$B$40,0))),""))</f>
        <v>Kommunikation &amp; Konfliktmanagement</v>
      </c>
      <c r="E41" s="87">
        <f>IF($C41="","",IFERROR(IF(INDEX(Schulungsplan!$H$8:$H$40,MATCH($C41,Schulungsplan!$B$8:$B$40,0))=0,"",INDEX(Schulungsplan!$H$8:$H$40,MATCH($C41,Schulungsplan!$B$8:$B$40,0))),""))</f>
        <v>46176</v>
      </c>
      <c r="F41" s="86" t="str">
        <f>IF($C41="","",IFERROR(IF(INDEX(Schulungsplan!$D$8:$D$40,MATCH($C41,Schulungsplan!$B$8:$B$40,0))=0,"",INDEX(Schulungsplan!$D$8:$D$40,MATCH($C41,Schulungsplan!$B$8:$B$40,0))),""))</f>
        <v>Soft Skills &amp; Führung</v>
      </c>
      <c r="G41" s="88" t="str">
        <f>IF($C41="","",IFERROR(IF(INDEX(Schulungsplan!$O$8:$O$40,MATCH($C41,Schulungsplan!$B$8:$B$40,0))=0,"",INDEX(Schulungsplan!$O$8:$O$40,MATCH($C41,Schulungsplan!$B$8:$B$40,0))),""))</f>
        <v>Einmalig</v>
      </c>
      <c r="H41" s="66" t="s">
        <v>184</v>
      </c>
      <c r="I41" s="72" t="s">
        <v>185</v>
      </c>
      <c r="J41" s="73" t="s">
        <v>44</v>
      </c>
      <c r="K41" s="87" t="str">
        <f t="shared" si="4"/>
        <v/>
      </c>
      <c r="L41" s="63" t="str">
        <f t="shared" si="5"/>
        <v>–</v>
      </c>
      <c r="M41" s="104"/>
      <c r="N41" s="74"/>
      <c r="P41">
        <f t="shared" si="6"/>
        <v>0</v>
      </c>
      <c r="Q41" t="str">
        <f t="shared" si="7"/>
        <v/>
      </c>
    </row>
    <row r="42" spans="2:17" ht="15.75" customHeight="1" x14ac:dyDescent="0.25">
      <c r="B42" s="102">
        <f>IF($C42="","",COUNT($B$6:$B41)+1)</f>
        <v>37</v>
      </c>
      <c r="C42" s="85" t="s">
        <v>121</v>
      </c>
      <c r="D42" s="86" t="str">
        <f>IF($C42="","",IFERROR(IF(INDEX(Schulungsplan!$C$8:$C$40,MATCH($C42,Schulungsplan!$B$8:$B$40,0))=0,"",INDEX(Schulungsplan!$C$8:$C$40,MATCH($C42,Schulungsplan!$B$8:$B$40,0))),""))</f>
        <v>Führungskräfte-Training Modul 1</v>
      </c>
      <c r="E42" s="87">
        <f>IF($C42="","",IFERROR(IF(INDEX(Schulungsplan!$H$8:$H$40,MATCH($C42,Schulungsplan!$B$8:$B$40,0))=0,"",INDEX(Schulungsplan!$H$8:$H$40,MATCH($C42,Schulungsplan!$B$8:$B$40,0))),""))</f>
        <v>46154</v>
      </c>
      <c r="F42" s="86" t="str">
        <f>IF($C42="","",IFERROR(IF(INDEX(Schulungsplan!$D$8:$D$40,MATCH($C42,Schulungsplan!$B$8:$B$40,0))=0,"",INDEX(Schulungsplan!$D$8:$D$40,MATCH($C42,Schulungsplan!$B$8:$B$40,0))),""))</f>
        <v>Soft Skills &amp; Führung</v>
      </c>
      <c r="G42" s="88" t="str">
        <f>IF($C42="","",IFERROR(IF(INDEX(Schulungsplan!$O$8:$O$40,MATCH($C42,Schulungsplan!$B$8:$B$40,0))=0,"",INDEX(Schulungsplan!$O$8:$O$40,MATCH($C42,Schulungsplan!$B$8:$B$40,0))),""))</f>
        <v>Einmalig</v>
      </c>
      <c r="H42" s="53" t="s">
        <v>179</v>
      </c>
      <c r="I42" s="61" t="s">
        <v>180</v>
      </c>
      <c r="J42" s="62" t="s">
        <v>42</v>
      </c>
      <c r="K42" s="87" t="str">
        <f t="shared" si="4"/>
        <v/>
      </c>
      <c r="L42" s="63" t="str">
        <f t="shared" si="5"/>
        <v>–</v>
      </c>
      <c r="M42" s="89">
        <v>1</v>
      </c>
      <c r="N42" s="64"/>
      <c r="P42">
        <f t="shared" si="6"/>
        <v>0</v>
      </c>
      <c r="Q42" t="str">
        <f t="shared" si="7"/>
        <v/>
      </c>
    </row>
    <row r="43" spans="2:17" ht="15.75" customHeight="1" x14ac:dyDescent="0.25">
      <c r="B43" s="102">
        <f>IF($C43="","",COUNT($B$6:$B42)+1)</f>
        <v>38</v>
      </c>
      <c r="C43" s="103" t="s">
        <v>121</v>
      </c>
      <c r="D43" s="86" t="str">
        <f>IF($C43="","",IFERROR(IF(INDEX(Schulungsplan!$C$8:$C$40,MATCH($C43,Schulungsplan!$B$8:$B$40,0))=0,"",INDEX(Schulungsplan!$C$8:$C$40,MATCH($C43,Schulungsplan!$B$8:$B$40,0))),""))</f>
        <v>Führungskräfte-Training Modul 1</v>
      </c>
      <c r="E43" s="87">
        <f>IF($C43="","",IFERROR(IF(INDEX(Schulungsplan!$H$8:$H$40,MATCH($C43,Schulungsplan!$B$8:$B$40,0))=0,"",INDEX(Schulungsplan!$H$8:$H$40,MATCH($C43,Schulungsplan!$B$8:$B$40,0))),""))</f>
        <v>46154</v>
      </c>
      <c r="F43" s="86" t="str">
        <f>IF($C43="","",IFERROR(IF(INDEX(Schulungsplan!$D$8:$D$40,MATCH($C43,Schulungsplan!$B$8:$B$40,0))=0,"",INDEX(Schulungsplan!$D$8:$D$40,MATCH($C43,Schulungsplan!$B$8:$B$40,0))),""))</f>
        <v>Soft Skills &amp; Führung</v>
      </c>
      <c r="G43" s="88" t="str">
        <f>IF($C43="","",IFERROR(IF(INDEX(Schulungsplan!$O$8:$O$40,MATCH($C43,Schulungsplan!$B$8:$B$40,0))=0,"",INDEX(Schulungsplan!$O$8:$O$40,MATCH($C43,Schulungsplan!$B$8:$B$40,0))),""))</f>
        <v>Einmalig</v>
      </c>
      <c r="H43" s="66" t="s">
        <v>167</v>
      </c>
      <c r="I43" s="72" t="s">
        <v>168</v>
      </c>
      <c r="J43" s="73" t="s">
        <v>42</v>
      </c>
      <c r="K43" s="87" t="str">
        <f t="shared" si="4"/>
        <v/>
      </c>
      <c r="L43" s="63" t="str">
        <f t="shared" si="5"/>
        <v>–</v>
      </c>
      <c r="M43" s="104">
        <v>2</v>
      </c>
      <c r="N43" s="74"/>
      <c r="P43">
        <f t="shared" si="6"/>
        <v>0</v>
      </c>
      <c r="Q43" t="str">
        <f t="shared" si="7"/>
        <v/>
      </c>
    </row>
    <row r="44" spans="2:17" ht="15.75" customHeight="1" x14ac:dyDescent="0.25">
      <c r="B44" s="102">
        <f>IF($C44="","",COUNT($B$6:$B43)+1)</f>
        <v>39</v>
      </c>
      <c r="C44" s="85" t="s">
        <v>121</v>
      </c>
      <c r="D44" s="86" t="str">
        <f>IF($C44="","",IFERROR(IF(INDEX(Schulungsplan!$C$8:$C$40,MATCH($C44,Schulungsplan!$B$8:$B$40,0))=0,"",INDEX(Schulungsplan!$C$8:$C$40,MATCH($C44,Schulungsplan!$B$8:$B$40,0))),""))</f>
        <v>Führungskräfte-Training Modul 1</v>
      </c>
      <c r="E44" s="87">
        <f>IF($C44="","",IFERROR(IF(INDEX(Schulungsplan!$H$8:$H$40,MATCH($C44,Schulungsplan!$B$8:$B$40,0))=0,"",INDEX(Schulungsplan!$H$8:$H$40,MATCH($C44,Schulungsplan!$B$8:$B$40,0))),""))</f>
        <v>46154</v>
      </c>
      <c r="F44" s="86" t="str">
        <f>IF($C44="","",IFERROR(IF(INDEX(Schulungsplan!$D$8:$D$40,MATCH($C44,Schulungsplan!$B$8:$B$40,0))=0,"",INDEX(Schulungsplan!$D$8:$D$40,MATCH($C44,Schulungsplan!$B$8:$B$40,0))),""))</f>
        <v>Soft Skills &amp; Führung</v>
      </c>
      <c r="G44" s="88" t="str">
        <f>IF($C44="","",IFERROR(IF(INDEX(Schulungsplan!$O$8:$O$40,MATCH($C44,Schulungsplan!$B$8:$B$40,0))=0,"",INDEX(Schulungsplan!$O$8:$O$40,MATCH($C44,Schulungsplan!$B$8:$B$40,0))),""))</f>
        <v>Einmalig</v>
      </c>
      <c r="H44" s="53" t="s">
        <v>173</v>
      </c>
      <c r="I44" s="61" t="s">
        <v>174</v>
      </c>
      <c r="J44" s="62" t="s">
        <v>42</v>
      </c>
      <c r="K44" s="87" t="str">
        <f t="shared" si="4"/>
        <v/>
      </c>
      <c r="L44" s="63" t="str">
        <f t="shared" si="5"/>
        <v>–</v>
      </c>
      <c r="M44" s="89">
        <v>2</v>
      </c>
      <c r="N44" s="64"/>
      <c r="P44">
        <f t="shared" si="6"/>
        <v>0</v>
      </c>
      <c r="Q44" t="str">
        <f t="shared" si="7"/>
        <v/>
      </c>
    </row>
    <row r="45" spans="2:17" ht="15.75" customHeight="1" x14ac:dyDescent="0.25">
      <c r="B45" s="102">
        <f>IF($C45="","",COUNT($B$6:$B44)+1)</f>
        <v>40</v>
      </c>
      <c r="C45" s="103" t="s">
        <v>125</v>
      </c>
      <c r="D45" s="86" t="str">
        <f>IF($C45="","",IFERROR(IF(INDEX(Schulungsplan!$C$8:$C$40,MATCH($C45,Schulungsplan!$B$8:$B$40,0))=0,"",INDEX(Schulungsplan!$C$8:$C$40,MATCH($C45,Schulungsplan!$B$8:$B$40,0))),""))</f>
        <v>Führungskräfte-Training Modul 2</v>
      </c>
      <c r="E45" s="87">
        <f>IF($C45="","",IFERROR(IF(INDEX(Schulungsplan!$H$8:$H$40,MATCH($C45,Schulungsplan!$B$8:$B$40,0))=0,"",INDEX(Schulungsplan!$H$8:$H$40,MATCH($C45,Schulungsplan!$B$8:$B$40,0))),""))</f>
        <v>46303</v>
      </c>
      <c r="F45" s="86" t="str">
        <f>IF($C45="","",IFERROR(IF(INDEX(Schulungsplan!$D$8:$D$40,MATCH($C45,Schulungsplan!$B$8:$B$40,0))=0,"",INDEX(Schulungsplan!$D$8:$D$40,MATCH($C45,Schulungsplan!$B$8:$B$40,0))),""))</f>
        <v>Soft Skills &amp; Führung</v>
      </c>
      <c r="G45" s="88" t="str">
        <f>IF($C45="","",IFERROR(IF(INDEX(Schulungsplan!$O$8:$O$40,MATCH($C45,Schulungsplan!$B$8:$B$40,0))=0,"",INDEX(Schulungsplan!$O$8:$O$40,MATCH($C45,Schulungsplan!$B$8:$B$40,0))),""))</f>
        <v>Einmalig</v>
      </c>
      <c r="H45" s="66" t="s">
        <v>179</v>
      </c>
      <c r="I45" s="72" t="s">
        <v>180</v>
      </c>
      <c r="J45" s="73" t="s">
        <v>40</v>
      </c>
      <c r="K45" s="87" t="str">
        <f t="shared" si="4"/>
        <v/>
      </c>
      <c r="L45" s="63" t="str">
        <f t="shared" si="5"/>
        <v>–</v>
      </c>
      <c r="M45" s="104"/>
      <c r="N45" s="74"/>
      <c r="P45">
        <f t="shared" si="6"/>
        <v>0</v>
      </c>
      <c r="Q45" t="str">
        <f t="shared" si="7"/>
        <v/>
      </c>
    </row>
    <row r="46" spans="2:17" ht="15.75" customHeight="1" x14ac:dyDescent="0.25">
      <c r="B46" s="102">
        <f>IF($C46="","",COUNT($B$6:$B45)+1)</f>
        <v>41</v>
      </c>
      <c r="C46" s="85" t="s">
        <v>125</v>
      </c>
      <c r="D46" s="86" t="str">
        <f>IF($C46="","",IFERROR(IF(INDEX(Schulungsplan!$C$8:$C$40,MATCH($C46,Schulungsplan!$B$8:$B$40,0))=0,"",INDEX(Schulungsplan!$C$8:$C$40,MATCH($C46,Schulungsplan!$B$8:$B$40,0))),""))</f>
        <v>Führungskräfte-Training Modul 2</v>
      </c>
      <c r="E46" s="87">
        <f>IF($C46="","",IFERROR(IF(INDEX(Schulungsplan!$H$8:$H$40,MATCH($C46,Schulungsplan!$B$8:$B$40,0))=0,"",INDEX(Schulungsplan!$H$8:$H$40,MATCH($C46,Schulungsplan!$B$8:$B$40,0))),""))</f>
        <v>46303</v>
      </c>
      <c r="F46" s="86" t="str">
        <f>IF($C46="","",IFERROR(IF(INDEX(Schulungsplan!$D$8:$D$40,MATCH($C46,Schulungsplan!$B$8:$B$40,0))=0,"",INDEX(Schulungsplan!$D$8:$D$40,MATCH($C46,Schulungsplan!$B$8:$B$40,0))),""))</f>
        <v>Soft Skills &amp; Führung</v>
      </c>
      <c r="G46" s="88" t="str">
        <f>IF($C46="","",IFERROR(IF(INDEX(Schulungsplan!$O$8:$O$40,MATCH($C46,Schulungsplan!$B$8:$B$40,0))=0,"",INDEX(Schulungsplan!$O$8:$O$40,MATCH($C46,Schulungsplan!$B$8:$B$40,0))),""))</f>
        <v>Einmalig</v>
      </c>
      <c r="H46" s="53" t="s">
        <v>167</v>
      </c>
      <c r="I46" s="61" t="s">
        <v>168</v>
      </c>
      <c r="J46" s="62" t="s">
        <v>40</v>
      </c>
      <c r="K46" s="87" t="str">
        <f t="shared" si="4"/>
        <v/>
      </c>
      <c r="L46" s="63" t="str">
        <f t="shared" si="5"/>
        <v>–</v>
      </c>
      <c r="M46" s="89"/>
      <c r="N46" s="64"/>
      <c r="P46">
        <f t="shared" si="6"/>
        <v>0</v>
      </c>
      <c r="Q46" t="str">
        <f t="shared" si="7"/>
        <v/>
      </c>
    </row>
    <row r="47" spans="2:17" ht="15.75" customHeight="1" x14ac:dyDescent="0.25">
      <c r="B47" s="102">
        <f>IF($C47="","",COUNT($B$6:$B46)+1)</f>
        <v>42</v>
      </c>
      <c r="C47" s="103" t="s">
        <v>125</v>
      </c>
      <c r="D47" s="86" t="str">
        <f>IF($C47="","",IFERROR(IF(INDEX(Schulungsplan!$C$8:$C$40,MATCH($C47,Schulungsplan!$B$8:$B$40,0))=0,"",INDEX(Schulungsplan!$C$8:$C$40,MATCH($C47,Schulungsplan!$B$8:$B$40,0))),""))</f>
        <v>Führungskräfte-Training Modul 2</v>
      </c>
      <c r="E47" s="87">
        <f>IF($C47="","",IFERROR(IF(INDEX(Schulungsplan!$H$8:$H$40,MATCH($C47,Schulungsplan!$B$8:$B$40,0))=0,"",INDEX(Schulungsplan!$H$8:$H$40,MATCH($C47,Schulungsplan!$B$8:$B$40,0))),""))</f>
        <v>46303</v>
      </c>
      <c r="F47" s="86" t="str">
        <f>IF($C47="","",IFERROR(IF(INDEX(Schulungsplan!$D$8:$D$40,MATCH($C47,Schulungsplan!$B$8:$B$40,0))=0,"",INDEX(Schulungsplan!$D$8:$D$40,MATCH($C47,Schulungsplan!$B$8:$B$40,0))),""))</f>
        <v>Soft Skills &amp; Führung</v>
      </c>
      <c r="G47" s="88" t="str">
        <f>IF($C47="","",IFERROR(IF(INDEX(Schulungsplan!$O$8:$O$40,MATCH($C47,Schulungsplan!$B$8:$B$40,0))=0,"",INDEX(Schulungsplan!$O$8:$O$40,MATCH($C47,Schulungsplan!$B$8:$B$40,0))),""))</f>
        <v>Einmalig</v>
      </c>
      <c r="H47" s="66" t="s">
        <v>173</v>
      </c>
      <c r="I47" s="72" t="s">
        <v>174</v>
      </c>
      <c r="J47" s="73" t="s">
        <v>38</v>
      </c>
      <c r="K47" s="87" t="str">
        <f t="shared" si="4"/>
        <v/>
      </c>
      <c r="L47" s="63" t="str">
        <f t="shared" si="5"/>
        <v>–</v>
      </c>
      <c r="M47" s="104"/>
      <c r="N47" s="74"/>
      <c r="P47">
        <f t="shared" si="6"/>
        <v>0</v>
      </c>
      <c r="Q47" t="str">
        <f t="shared" si="7"/>
        <v/>
      </c>
    </row>
    <row r="48" spans="2:17" ht="15.75" customHeight="1" x14ac:dyDescent="0.25">
      <c r="B48" s="102">
        <f>IF($C48="","",COUNT($B$6:$B47)+1)</f>
        <v>43</v>
      </c>
      <c r="C48" s="85" t="s">
        <v>128</v>
      </c>
      <c r="D48" s="86" t="str">
        <f>IF($C48="","",IFERROR(IF(INDEX(Schulungsplan!$C$8:$C$40,MATCH($C48,Schulungsplan!$B$8:$B$40,0))=0,"",INDEX(Schulungsplan!$C$8:$C$40,MATCH($C48,Schulungsplan!$B$8:$B$40,0))),""))</f>
        <v>Qualitätsmanagement ISO 9001</v>
      </c>
      <c r="E48" s="87">
        <f>IF($C48="","",IFERROR(IF(INDEX(Schulungsplan!$H$8:$H$40,MATCH($C48,Schulungsplan!$B$8:$B$40,0))=0,"",INDEX(Schulungsplan!$H$8:$H$40,MATCH($C48,Schulungsplan!$B$8:$B$40,0))),""))</f>
        <v>46218</v>
      </c>
      <c r="F48" s="86" t="str">
        <f>IF($C48="","",IFERROR(IF(INDEX(Schulungsplan!$D$8:$D$40,MATCH($C48,Schulungsplan!$B$8:$B$40,0))=0,"",INDEX(Schulungsplan!$D$8:$D$40,MATCH($C48,Schulungsplan!$B$8:$B$40,0))),""))</f>
        <v>Qualität &amp; Prozesse</v>
      </c>
      <c r="G48" s="88" t="str">
        <f>IF($C48="","",IFERROR(IF(INDEX(Schulungsplan!$O$8:$O$40,MATCH($C48,Schulungsplan!$B$8:$B$40,0))=0,"",INDEX(Schulungsplan!$O$8:$O$40,MATCH($C48,Schulungsplan!$B$8:$B$40,0))),""))</f>
        <v>Einmalig</v>
      </c>
      <c r="H48" s="53" t="s">
        <v>171</v>
      </c>
      <c r="I48" s="61" t="s">
        <v>172</v>
      </c>
      <c r="J48" s="62" t="s">
        <v>42</v>
      </c>
      <c r="K48" s="87" t="str">
        <f t="shared" si="4"/>
        <v/>
      </c>
      <c r="L48" s="63" t="str">
        <f t="shared" si="5"/>
        <v>–</v>
      </c>
      <c r="M48" s="89">
        <v>2</v>
      </c>
      <c r="N48" s="64"/>
      <c r="P48">
        <f t="shared" si="6"/>
        <v>0</v>
      </c>
      <c r="Q48" t="str">
        <f t="shared" si="7"/>
        <v/>
      </c>
    </row>
    <row r="49" spans="2:17" ht="15.75" customHeight="1" x14ac:dyDescent="0.25">
      <c r="B49" s="102">
        <f>IF($C49="","",COUNT($B$6:$B48)+1)</f>
        <v>44</v>
      </c>
      <c r="C49" s="103" t="s">
        <v>128</v>
      </c>
      <c r="D49" s="86" t="str">
        <f>IF($C49="","",IFERROR(IF(INDEX(Schulungsplan!$C$8:$C$40,MATCH($C49,Schulungsplan!$B$8:$B$40,0))=0,"",INDEX(Schulungsplan!$C$8:$C$40,MATCH($C49,Schulungsplan!$B$8:$B$40,0))),""))</f>
        <v>Qualitätsmanagement ISO 9001</v>
      </c>
      <c r="E49" s="87">
        <f>IF($C49="","",IFERROR(IF(INDEX(Schulungsplan!$H$8:$H$40,MATCH($C49,Schulungsplan!$B$8:$B$40,0))=0,"",INDEX(Schulungsplan!$H$8:$H$40,MATCH($C49,Schulungsplan!$B$8:$B$40,0))),""))</f>
        <v>46218</v>
      </c>
      <c r="F49" s="86" t="str">
        <f>IF($C49="","",IFERROR(IF(INDEX(Schulungsplan!$D$8:$D$40,MATCH($C49,Schulungsplan!$B$8:$B$40,0))=0,"",INDEX(Schulungsplan!$D$8:$D$40,MATCH($C49,Schulungsplan!$B$8:$B$40,0))),""))</f>
        <v>Qualität &amp; Prozesse</v>
      </c>
      <c r="G49" s="88" t="str">
        <f>IF($C49="","",IFERROR(IF(INDEX(Schulungsplan!$O$8:$O$40,MATCH($C49,Schulungsplan!$B$8:$B$40,0))=0,"",INDEX(Schulungsplan!$O$8:$O$40,MATCH($C49,Schulungsplan!$B$8:$B$40,0))),""))</f>
        <v>Einmalig</v>
      </c>
      <c r="H49" s="66" t="s">
        <v>178</v>
      </c>
      <c r="I49" s="72" t="s">
        <v>166</v>
      </c>
      <c r="J49" s="73" t="s">
        <v>42</v>
      </c>
      <c r="K49" s="87" t="str">
        <f t="shared" si="4"/>
        <v/>
      </c>
      <c r="L49" s="63" t="str">
        <f t="shared" si="5"/>
        <v>–</v>
      </c>
      <c r="M49" s="104">
        <v>3</v>
      </c>
      <c r="N49" s="74"/>
      <c r="P49">
        <f t="shared" si="6"/>
        <v>0</v>
      </c>
      <c r="Q49" t="str">
        <f t="shared" si="7"/>
        <v/>
      </c>
    </row>
    <row r="50" spans="2:17" ht="15.75" customHeight="1" x14ac:dyDescent="0.25">
      <c r="B50" s="102">
        <f>IF($C50="","",COUNT($B$6:$B49)+1)</f>
        <v>45</v>
      </c>
      <c r="C50" s="85" t="s">
        <v>133</v>
      </c>
      <c r="D50" s="86" t="str">
        <f>IF($C50="","",IFERROR(IF(INDEX(Schulungsplan!$C$8:$C$40,MATCH($C50,Schulungsplan!$B$8:$B$40,0))=0,"",INDEX(Schulungsplan!$C$8:$C$40,MATCH($C50,Schulungsplan!$B$8:$B$40,0))),""))</f>
        <v>Gabelstapler-Fahrerunterweisung</v>
      </c>
      <c r="E50" s="87">
        <f>IF($C50="","",IFERROR(IF(INDEX(Schulungsplan!$H$8:$H$40,MATCH($C50,Schulungsplan!$B$8:$B$40,0))=0,"",INDEX(Schulungsplan!$H$8:$H$40,MATCH($C50,Schulungsplan!$B$8:$B$40,0))),""))</f>
        <v>45888</v>
      </c>
      <c r="F50" s="86" t="str">
        <f>IF($C50="","",IFERROR(IF(INDEX(Schulungsplan!$D$8:$D$40,MATCH($C50,Schulungsplan!$B$8:$B$40,0))=0,"",INDEX(Schulungsplan!$D$8:$D$40,MATCH($C50,Schulungsplan!$B$8:$B$40,0))),""))</f>
        <v>Arbeitssicherheit</v>
      </c>
      <c r="G50" s="88" t="str">
        <f>IF($C50="","",IFERROR(IF(INDEX(Schulungsplan!$O$8:$O$40,MATCH($C50,Schulungsplan!$B$8:$B$40,0))=0,"",INDEX(Schulungsplan!$O$8:$O$40,MATCH($C50,Schulungsplan!$B$8:$B$40,0))),""))</f>
        <v>Jährlich</v>
      </c>
      <c r="H50" s="53" t="s">
        <v>176</v>
      </c>
      <c r="I50" s="61" t="s">
        <v>177</v>
      </c>
      <c r="J50" s="62" t="s">
        <v>42</v>
      </c>
      <c r="K50" s="87">
        <f t="shared" si="4"/>
        <v>46253</v>
      </c>
      <c r="L50" s="63" t="str">
        <f t="shared" ca="1" si="5"/>
        <v>Läuft bald ab</v>
      </c>
      <c r="M50" s="89">
        <v>1</v>
      </c>
      <c r="N50" s="64"/>
      <c r="P50">
        <f t="shared" ca="1" si="6"/>
        <v>1</v>
      </c>
      <c r="Q50">
        <f t="shared" ca="1" si="7"/>
        <v>5</v>
      </c>
    </row>
    <row r="51" spans="2:17" ht="15.75" customHeight="1" x14ac:dyDescent="0.25">
      <c r="B51" s="102">
        <f>IF($C51="","",COUNT($B$6:$B50)+1)</f>
        <v>46</v>
      </c>
      <c r="C51" s="103" t="s">
        <v>133</v>
      </c>
      <c r="D51" s="86" t="str">
        <f>IF($C51="","",IFERROR(IF(INDEX(Schulungsplan!$C$8:$C$40,MATCH($C51,Schulungsplan!$B$8:$B$40,0))=0,"",INDEX(Schulungsplan!$C$8:$C$40,MATCH($C51,Schulungsplan!$B$8:$B$40,0))),""))</f>
        <v>Gabelstapler-Fahrerunterweisung</v>
      </c>
      <c r="E51" s="87">
        <f>IF($C51="","",IFERROR(IF(INDEX(Schulungsplan!$H$8:$H$40,MATCH($C51,Schulungsplan!$B$8:$B$40,0))=0,"",INDEX(Schulungsplan!$H$8:$H$40,MATCH($C51,Schulungsplan!$B$8:$B$40,0))),""))</f>
        <v>45888</v>
      </c>
      <c r="F51" s="86" t="str">
        <f>IF($C51="","",IFERROR(IF(INDEX(Schulungsplan!$D$8:$D$40,MATCH($C51,Schulungsplan!$B$8:$B$40,0))=0,"",INDEX(Schulungsplan!$D$8:$D$40,MATCH($C51,Schulungsplan!$B$8:$B$40,0))),""))</f>
        <v>Arbeitssicherheit</v>
      </c>
      <c r="G51" s="88" t="str">
        <f>IF($C51="","",IFERROR(IF(INDEX(Schulungsplan!$O$8:$O$40,MATCH($C51,Schulungsplan!$B$8:$B$40,0))=0,"",INDEX(Schulungsplan!$O$8:$O$40,MATCH($C51,Schulungsplan!$B$8:$B$40,0))),""))</f>
        <v>Jährlich</v>
      </c>
      <c r="H51" s="66" t="s">
        <v>178</v>
      </c>
      <c r="I51" s="72" t="s">
        <v>166</v>
      </c>
      <c r="J51" s="73" t="s">
        <v>42</v>
      </c>
      <c r="K51" s="87">
        <f t="shared" si="4"/>
        <v>46253</v>
      </c>
      <c r="L51" s="63" t="str">
        <f t="shared" ca="1" si="5"/>
        <v>Läuft bald ab</v>
      </c>
      <c r="M51" s="104">
        <v>2</v>
      </c>
      <c r="N51" s="74"/>
      <c r="P51">
        <f t="shared" ca="1" si="6"/>
        <v>1</v>
      </c>
      <c r="Q51">
        <f t="shared" ca="1" si="7"/>
        <v>6</v>
      </c>
    </row>
    <row r="52" spans="2:17" ht="15.75" customHeight="1" x14ac:dyDescent="0.25">
      <c r="B52" s="102">
        <f>IF($C52="","",COUNT($B$6:$B51)+1)</f>
        <v>47</v>
      </c>
      <c r="C52" s="85" t="s">
        <v>133</v>
      </c>
      <c r="D52" s="86" t="str">
        <f>IF($C52="","",IFERROR(IF(INDEX(Schulungsplan!$C$8:$C$40,MATCH($C52,Schulungsplan!$B$8:$B$40,0))=0,"",INDEX(Schulungsplan!$C$8:$C$40,MATCH($C52,Schulungsplan!$B$8:$B$40,0))),""))</f>
        <v>Gabelstapler-Fahrerunterweisung</v>
      </c>
      <c r="E52" s="87">
        <f>IF($C52="","",IFERROR(IF(INDEX(Schulungsplan!$H$8:$H$40,MATCH($C52,Schulungsplan!$B$8:$B$40,0))=0,"",INDEX(Schulungsplan!$H$8:$H$40,MATCH($C52,Schulungsplan!$B$8:$B$40,0))),""))</f>
        <v>45888</v>
      </c>
      <c r="F52" s="86" t="str">
        <f>IF($C52="","",IFERROR(IF(INDEX(Schulungsplan!$D$8:$D$40,MATCH($C52,Schulungsplan!$B$8:$B$40,0))=0,"",INDEX(Schulungsplan!$D$8:$D$40,MATCH($C52,Schulungsplan!$B$8:$B$40,0))),""))</f>
        <v>Arbeitssicherheit</v>
      </c>
      <c r="G52" s="88" t="str">
        <f>IF($C52="","",IFERROR(IF(INDEX(Schulungsplan!$O$8:$O$40,MATCH($C52,Schulungsplan!$B$8:$B$40,0))=0,"",INDEX(Schulungsplan!$O$8:$O$40,MATCH($C52,Schulungsplan!$B$8:$B$40,0))),""))</f>
        <v>Jährlich</v>
      </c>
      <c r="H52" s="53" t="s">
        <v>165</v>
      </c>
      <c r="I52" s="61" t="s">
        <v>166</v>
      </c>
      <c r="J52" s="62" t="s">
        <v>42</v>
      </c>
      <c r="K52" s="87">
        <f t="shared" si="4"/>
        <v>46253</v>
      </c>
      <c r="L52" s="63" t="str">
        <f t="shared" ca="1" si="5"/>
        <v>Läuft bald ab</v>
      </c>
      <c r="M52" s="89">
        <v>2</v>
      </c>
      <c r="N52" s="64"/>
      <c r="P52">
        <f t="shared" ca="1" si="6"/>
        <v>1</v>
      </c>
      <c r="Q52">
        <f t="shared" ca="1" si="7"/>
        <v>7</v>
      </c>
    </row>
    <row r="53" spans="2:17" ht="15.75" customHeight="1" x14ac:dyDescent="0.25">
      <c r="B53" s="102">
        <f>IF($C53="","",COUNT($B$6:$B52)+1)</f>
        <v>48</v>
      </c>
      <c r="C53" s="103" t="s">
        <v>137</v>
      </c>
      <c r="D53" s="86" t="str">
        <f>IF($C53="","",IFERROR(IF(INDEX(Schulungsplan!$C$8:$C$40,MATCH($C53,Schulungsplan!$B$8:$B$40,0))=0,"",INDEX(Schulungsplan!$C$8:$C$40,MATCH($C53,Schulungsplan!$B$8:$B$40,0))),""))</f>
        <v>Onboarding neue Mitarbeitende</v>
      </c>
      <c r="E53" s="87">
        <f>IF($C53="","",IFERROR(IF(INDEX(Schulungsplan!$H$8:$H$40,MATCH($C53,Schulungsplan!$B$8:$B$40,0))=0,"",INDEX(Schulungsplan!$H$8:$H$40,MATCH($C53,Schulungsplan!$B$8:$B$40,0))),""))</f>
        <v>46238</v>
      </c>
      <c r="F53" s="86" t="str">
        <f>IF($C53="","",IFERROR(IF(INDEX(Schulungsplan!$D$8:$D$40,MATCH($C53,Schulungsplan!$B$8:$B$40,0))=0,"",INDEX(Schulungsplan!$D$8:$D$40,MATCH($C53,Schulungsplan!$B$8:$B$40,0))),""))</f>
        <v>Onboarding</v>
      </c>
      <c r="G53" s="88" t="str">
        <f>IF($C53="","",IFERROR(IF(INDEX(Schulungsplan!$O$8:$O$40,MATCH($C53,Schulungsplan!$B$8:$B$40,0))=0,"",INDEX(Schulungsplan!$O$8:$O$40,MATCH($C53,Schulungsplan!$B$8:$B$40,0))),""))</f>
        <v>Halbjährlich</v>
      </c>
      <c r="H53" s="66" t="s">
        <v>187</v>
      </c>
      <c r="I53" s="72" t="s">
        <v>168</v>
      </c>
      <c r="J53" s="73" t="s">
        <v>40</v>
      </c>
      <c r="K53" s="87" t="str">
        <f t="shared" si="4"/>
        <v/>
      </c>
      <c r="L53" s="63" t="str">
        <f t="shared" si="5"/>
        <v>–</v>
      </c>
      <c r="M53" s="104"/>
      <c r="N53" s="74"/>
      <c r="P53">
        <f t="shared" si="6"/>
        <v>0</v>
      </c>
      <c r="Q53" t="str">
        <f t="shared" si="7"/>
        <v/>
      </c>
    </row>
    <row r="54" spans="2:17" ht="15.75" customHeight="1" x14ac:dyDescent="0.25">
      <c r="B54" s="102">
        <f>IF($C54="","",COUNT($B$6:$B53)+1)</f>
        <v>49</v>
      </c>
      <c r="C54" s="85" t="s">
        <v>137</v>
      </c>
      <c r="D54" s="86" t="str">
        <f>IF($C54="","",IFERROR(IF(INDEX(Schulungsplan!$C$8:$C$40,MATCH($C54,Schulungsplan!$B$8:$B$40,0))=0,"",INDEX(Schulungsplan!$C$8:$C$40,MATCH($C54,Schulungsplan!$B$8:$B$40,0))),""))</f>
        <v>Onboarding neue Mitarbeitende</v>
      </c>
      <c r="E54" s="87">
        <f>IF($C54="","",IFERROR(IF(INDEX(Schulungsplan!$H$8:$H$40,MATCH($C54,Schulungsplan!$B$8:$B$40,0))=0,"",INDEX(Schulungsplan!$H$8:$H$40,MATCH($C54,Schulungsplan!$B$8:$B$40,0))),""))</f>
        <v>46238</v>
      </c>
      <c r="F54" s="86" t="str">
        <f>IF($C54="","",IFERROR(IF(INDEX(Schulungsplan!$D$8:$D$40,MATCH($C54,Schulungsplan!$B$8:$B$40,0))=0,"",INDEX(Schulungsplan!$D$8:$D$40,MATCH($C54,Schulungsplan!$B$8:$B$40,0))),""))</f>
        <v>Onboarding</v>
      </c>
      <c r="G54" s="88" t="str">
        <f>IF($C54="","",IFERROR(IF(INDEX(Schulungsplan!$O$8:$O$40,MATCH($C54,Schulungsplan!$B$8:$B$40,0))=0,"",INDEX(Schulungsplan!$O$8:$O$40,MATCH($C54,Schulungsplan!$B$8:$B$40,0))),""))</f>
        <v>Halbjährlich</v>
      </c>
      <c r="H54" s="53" t="s">
        <v>183</v>
      </c>
      <c r="I54" s="61" t="s">
        <v>170</v>
      </c>
      <c r="J54" s="62" t="s">
        <v>38</v>
      </c>
      <c r="K54" s="87" t="str">
        <f t="shared" si="4"/>
        <v/>
      </c>
      <c r="L54" s="63" t="str">
        <f t="shared" si="5"/>
        <v>–</v>
      </c>
      <c r="M54" s="89"/>
      <c r="N54" s="64"/>
      <c r="P54">
        <f t="shared" si="6"/>
        <v>0</v>
      </c>
      <c r="Q54" t="str">
        <f t="shared" si="7"/>
        <v/>
      </c>
    </row>
    <row r="55" spans="2:17" ht="15.75" customHeight="1" x14ac:dyDescent="0.25">
      <c r="B55" s="102">
        <f>IF($C55="","",COUNT($B$6:$B54)+1)</f>
        <v>50</v>
      </c>
      <c r="C55" s="103" t="s">
        <v>142</v>
      </c>
      <c r="D55" s="86" t="str">
        <f>IF($C55="","",IFERROR(IF(INDEX(Schulungsplan!$C$8:$C$40,MATCH($C55,Schulungsplan!$B$8:$B$40,0))=0,"",INDEX(Schulungsplan!$C$8:$C$40,MATCH($C55,Schulungsplan!$B$8:$B$40,0))),""))</f>
        <v>Compliance &amp; Antikorruption</v>
      </c>
      <c r="E55" s="87">
        <f>IF($C55="","",IFERROR(IF(INDEX(Schulungsplan!$H$8:$H$40,MATCH($C55,Schulungsplan!$B$8:$B$40,0))=0,"",INDEX(Schulungsplan!$H$8:$H$40,MATCH($C55,Schulungsplan!$B$8:$B$40,0))),""))</f>
        <v>46266</v>
      </c>
      <c r="F55" s="86" t="str">
        <f>IF($C55="","",IFERROR(IF(INDEX(Schulungsplan!$D$8:$D$40,MATCH($C55,Schulungsplan!$B$8:$B$40,0))=0,"",INDEX(Schulungsplan!$D$8:$D$40,MATCH($C55,Schulungsplan!$B$8:$B$40,0))),""))</f>
        <v>Datenschutz &amp; Compliance</v>
      </c>
      <c r="G55" s="88" t="str">
        <f>IF($C55="","",IFERROR(IF(INDEX(Schulungsplan!$O$8:$O$40,MATCH($C55,Schulungsplan!$B$8:$B$40,0))=0,"",INDEX(Schulungsplan!$O$8:$O$40,MATCH($C55,Schulungsplan!$B$8:$B$40,0))),""))</f>
        <v>Jährlich</v>
      </c>
      <c r="H55" s="66" t="s">
        <v>163</v>
      </c>
      <c r="I55" s="72" t="s">
        <v>164</v>
      </c>
      <c r="J55" s="73" t="s">
        <v>38</v>
      </c>
      <c r="K55" s="87" t="str">
        <f t="shared" si="4"/>
        <v/>
      </c>
      <c r="L55" s="63" t="str">
        <f t="shared" si="5"/>
        <v>–</v>
      </c>
      <c r="M55" s="104"/>
      <c r="N55" s="74"/>
      <c r="P55">
        <f t="shared" si="6"/>
        <v>0</v>
      </c>
      <c r="Q55" t="str">
        <f t="shared" si="7"/>
        <v/>
      </c>
    </row>
    <row r="56" spans="2:17" ht="15.75" customHeight="1" x14ac:dyDescent="0.25">
      <c r="B56" s="102">
        <f>IF($C56="","",COUNT($B$6:$B55)+1)</f>
        <v>51</v>
      </c>
      <c r="C56" s="85" t="s">
        <v>142</v>
      </c>
      <c r="D56" s="86" t="str">
        <f>IF($C56="","",IFERROR(IF(INDEX(Schulungsplan!$C$8:$C$40,MATCH($C56,Schulungsplan!$B$8:$B$40,0))=0,"",INDEX(Schulungsplan!$C$8:$C$40,MATCH($C56,Schulungsplan!$B$8:$B$40,0))),""))</f>
        <v>Compliance &amp; Antikorruption</v>
      </c>
      <c r="E56" s="87">
        <f>IF($C56="","",IFERROR(IF(INDEX(Schulungsplan!$H$8:$H$40,MATCH($C56,Schulungsplan!$B$8:$B$40,0))=0,"",INDEX(Schulungsplan!$H$8:$H$40,MATCH($C56,Schulungsplan!$B$8:$B$40,0))),""))</f>
        <v>46266</v>
      </c>
      <c r="F56" s="86" t="str">
        <f>IF($C56="","",IFERROR(IF(INDEX(Schulungsplan!$D$8:$D$40,MATCH($C56,Schulungsplan!$B$8:$B$40,0))=0,"",INDEX(Schulungsplan!$D$8:$D$40,MATCH($C56,Schulungsplan!$B$8:$B$40,0))),""))</f>
        <v>Datenschutz &amp; Compliance</v>
      </c>
      <c r="G56" s="88" t="str">
        <f>IF($C56="","",IFERROR(IF(INDEX(Schulungsplan!$O$8:$O$40,MATCH($C56,Schulungsplan!$B$8:$B$40,0))=0,"",INDEX(Schulungsplan!$O$8:$O$40,MATCH($C56,Schulungsplan!$B$8:$B$40,0))),""))</f>
        <v>Jährlich</v>
      </c>
      <c r="H56" s="53" t="s">
        <v>179</v>
      </c>
      <c r="I56" s="61" t="s">
        <v>180</v>
      </c>
      <c r="J56" s="62" t="s">
        <v>40</v>
      </c>
      <c r="K56" s="87" t="str">
        <f t="shared" si="4"/>
        <v/>
      </c>
      <c r="L56" s="63" t="str">
        <f t="shared" si="5"/>
        <v>–</v>
      </c>
      <c r="M56" s="89"/>
      <c r="N56" s="64"/>
      <c r="P56">
        <f t="shared" si="6"/>
        <v>0</v>
      </c>
      <c r="Q56" t="str">
        <f t="shared" si="7"/>
        <v/>
      </c>
    </row>
    <row r="57" spans="2:17" ht="15.75" customHeight="1" x14ac:dyDescent="0.25">
      <c r="B57" s="102">
        <f>IF($C57="","",COUNT($B$6:$B56)+1)</f>
        <v>52</v>
      </c>
      <c r="C57" s="103" t="s">
        <v>144</v>
      </c>
      <c r="D57" s="86" t="str">
        <f>IF($C57="","",IFERROR(IF(INDEX(Schulungsplan!$C$8:$C$40,MATCH($C57,Schulungsplan!$B$8:$B$40,0))=0,"",INDEX(Schulungsplan!$C$8:$C$40,MATCH($C57,Schulungsplan!$B$8:$B$40,0))),""))</f>
        <v>Hygieneschulung</v>
      </c>
      <c r="E57" s="87">
        <f>IF($C57="","",IFERROR(IF(INDEX(Schulungsplan!$H$8:$H$40,MATCH($C57,Schulungsplan!$B$8:$B$40,0))=0,"",INDEX(Schulungsplan!$H$8:$H$40,MATCH($C57,Schulungsplan!$B$8:$B$40,0))),""))</f>
        <v>46197</v>
      </c>
      <c r="F57" s="86" t="str">
        <f>IF($C57="","",IFERROR(IF(INDEX(Schulungsplan!$D$8:$D$40,MATCH($C57,Schulungsplan!$B$8:$B$40,0))=0,"",INDEX(Schulungsplan!$D$8:$D$40,MATCH($C57,Schulungsplan!$B$8:$B$40,0))),""))</f>
        <v>Pflichtschulung</v>
      </c>
      <c r="G57" s="88" t="str">
        <f>IF($C57="","",IFERROR(IF(INDEX(Schulungsplan!$O$8:$O$40,MATCH($C57,Schulungsplan!$B$8:$B$40,0))=0,"",INDEX(Schulungsplan!$O$8:$O$40,MATCH($C57,Schulungsplan!$B$8:$B$40,0))),""))</f>
        <v>Jährlich</v>
      </c>
      <c r="H57" s="66" t="s">
        <v>165</v>
      </c>
      <c r="I57" s="72" t="s">
        <v>166</v>
      </c>
      <c r="J57" s="73" t="s">
        <v>42</v>
      </c>
      <c r="K57" s="87">
        <f t="shared" si="4"/>
        <v>46562</v>
      </c>
      <c r="L57" s="63" t="str">
        <f t="shared" ca="1" si="5"/>
        <v>Gültig</v>
      </c>
      <c r="M57" s="104">
        <v>2</v>
      </c>
      <c r="N57" s="74"/>
      <c r="P57">
        <f t="shared" ca="1" si="6"/>
        <v>0</v>
      </c>
      <c r="Q57" t="str">
        <f t="shared" ca="1" si="7"/>
        <v/>
      </c>
    </row>
    <row r="58" spans="2:17" ht="15.75" customHeight="1" x14ac:dyDescent="0.25">
      <c r="B58" s="102">
        <f>IF($C58="","",COUNT($B$6:$B57)+1)</f>
        <v>53</v>
      </c>
      <c r="C58" s="85" t="s">
        <v>144</v>
      </c>
      <c r="D58" s="86" t="str">
        <f>IF($C58="","",IFERROR(IF(INDEX(Schulungsplan!$C$8:$C$40,MATCH($C58,Schulungsplan!$B$8:$B$40,0))=0,"",INDEX(Schulungsplan!$C$8:$C$40,MATCH($C58,Schulungsplan!$B$8:$B$40,0))),""))</f>
        <v>Hygieneschulung</v>
      </c>
      <c r="E58" s="87">
        <f>IF($C58="","",IFERROR(IF(INDEX(Schulungsplan!$H$8:$H$40,MATCH($C58,Schulungsplan!$B$8:$B$40,0))=0,"",INDEX(Schulungsplan!$H$8:$H$40,MATCH($C58,Schulungsplan!$B$8:$B$40,0))),""))</f>
        <v>46197</v>
      </c>
      <c r="F58" s="86" t="str">
        <f>IF($C58="","",IFERROR(IF(INDEX(Schulungsplan!$D$8:$D$40,MATCH($C58,Schulungsplan!$B$8:$B$40,0))=0,"",INDEX(Schulungsplan!$D$8:$D$40,MATCH($C58,Schulungsplan!$B$8:$B$40,0))),""))</f>
        <v>Pflichtschulung</v>
      </c>
      <c r="G58" s="88" t="str">
        <f>IF($C58="","",IFERROR(IF(INDEX(Schulungsplan!$O$8:$O$40,MATCH($C58,Schulungsplan!$B$8:$B$40,0))=0,"",INDEX(Schulungsplan!$O$8:$O$40,MATCH($C58,Schulungsplan!$B$8:$B$40,0))),""))</f>
        <v>Jährlich</v>
      </c>
      <c r="H58" s="53" t="s">
        <v>178</v>
      </c>
      <c r="I58" s="61" t="s">
        <v>166</v>
      </c>
      <c r="J58" s="62" t="s">
        <v>42</v>
      </c>
      <c r="K58" s="87">
        <f t="shared" si="4"/>
        <v>46562</v>
      </c>
      <c r="L58" s="63" t="str">
        <f t="shared" ca="1" si="5"/>
        <v>Gültig</v>
      </c>
      <c r="M58" s="89">
        <v>2</v>
      </c>
      <c r="N58" s="64"/>
      <c r="P58">
        <f t="shared" ca="1" si="6"/>
        <v>0</v>
      </c>
      <c r="Q58" t="str">
        <f t="shared" ca="1" si="7"/>
        <v/>
      </c>
    </row>
    <row r="59" spans="2:17" ht="15.75" customHeight="1" x14ac:dyDescent="0.25">
      <c r="B59" s="102">
        <f>IF($C59="","",COUNT($B$6:$B58)+1)</f>
        <v>54</v>
      </c>
      <c r="C59" s="103" t="s">
        <v>144</v>
      </c>
      <c r="D59" s="86" t="str">
        <f>IF($C59="","",IFERROR(IF(INDEX(Schulungsplan!$C$8:$C$40,MATCH($C59,Schulungsplan!$B$8:$B$40,0))=0,"",INDEX(Schulungsplan!$C$8:$C$40,MATCH($C59,Schulungsplan!$B$8:$B$40,0))),""))</f>
        <v>Hygieneschulung</v>
      </c>
      <c r="E59" s="87">
        <f>IF($C59="","",IFERROR(IF(INDEX(Schulungsplan!$H$8:$H$40,MATCH($C59,Schulungsplan!$B$8:$B$40,0))=0,"",INDEX(Schulungsplan!$H$8:$H$40,MATCH($C59,Schulungsplan!$B$8:$B$40,0))),""))</f>
        <v>46197</v>
      </c>
      <c r="F59" s="86" t="str">
        <f>IF($C59="","",IFERROR(IF(INDEX(Schulungsplan!$D$8:$D$40,MATCH($C59,Schulungsplan!$B$8:$B$40,0))=0,"",INDEX(Schulungsplan!$D$8:$D$40,MATCH($C59,Schulungsplan!$B$8:$B$40,0))),""))</f>
        <v>Pflichtschulung</v>
      </c>
      <c r="G59" s="88" t="str">
        <f>IF($C59="","",IFERROR(IF(INDEX(Schulungsplan!$O$8:$O$40,MATCH($C59,Schulungsplan!$B$8:$B$40,0))=0,"",INDEX(Schulungsplan!$O$8:$O$40,MATCH($C59,Schulungsplan!$B$8:$B$40,0))),""))</f>
        <v>Jährlich</v>
      </c>
      <c r="H59" s="66" t="s">
        <v>181</v>
      </c>
      <c r="I59" s="72" t="s">
        <v>182</v>
      </c>
      <c r="J59" s="73" t="s">
        <v>42</v>
      </c>
      <c r="K59" s="87">
        <f t="shared" si="4"/>
        <v>46562</v>
      </c>
      <c r="L59" s="63" t="str">
        <f t="shared" ca="1" si="5"/>
        <v>Gültig</v>
      </c>
      <c r="M59" s="104">
        <v>1</v>
      </c>
      <c r="N59" s="74"/>
      <c r="P59">
        <f t="shared" ca="1" si="6"/>
        <v>0</v>
      </c>
      <c r="Q59" t="str">
        <f t="shared" ca="1" si="7"/>
        <v/>
      </c>
    </row>
    <row r="60" spans="2:17" ht="15.75" customHeight="1" x14ac:dyDescent="0.25">
      <c r="B60" s="102">
        <f>IF($C60="","",COUNT($B$6:$B59)+1)</f>
        <v>55</v>
      </c>
      <c r="C60" s="85" t="s">
        <v>148</v>
      </c>
      <c r="D60" s="86" t="str">
        <f>IF($C60="","",IFERROR(IF(INDEX(Schulungsplan!$C$8:$C$40,MATCH($C60,Schulungsplan!$B$8:$B$40,0))=0,"",INDEX(Schulungsplan!$C$8:$C$40,MATCH($C60,Schulungsplan!$B$8:$B$40,0))),""))</f>
        <v>Datenschutz-Auffrischung (DSGVO)</v>
      </c>
      <c r="E60" s="87">
        <f>IF($C60="","",IFERROR(IF(INDEX(Schulungsplan!$H$8:$H$40,MATCH($C60,Schulungsplan!$B$8:$B$40,0))=0,"",INDEX(Schulungsplan!$H$8:$H$40,MATCH($C60,Schulungsplan!$B$8:$B$40,0))),""))</f>
        <v>46280</v>
      </c>
      <c r="F60" s="86" t="str">
        <f>IF($C60="","",IFERROR(IF(INDEX(Schulungsplan!$D$8:$D$40,MATCH($C60,Schulungsplan!$B$8:$B$40,0))=0,"",INDEX(Schulungsplan!$D$8:$D$40,MATCH($C60,Schulungsplan!$B$8:$B$40,0))),""))</f>
        <v>Datenschutz &amp; Compliance</v>
      </c>
      <c r="G60" s="88" t="str">
        <f>IF($C60="","",IFERROR(IF(INDEX(Schulungsplan!$O$8:$O$40,MATCH($C60,Schulungsplan!$B$8:$B$40,0))=0,"",INDEX(Schulungsplan!$O$8:$O$40,MATCH($C60,Schulungsplan!$B$8:$B$40,0))),""))</f>
        <v>Jährlich</v>
      </c>
      <c r="H60" s="53" t="s">
        <v>163</v>
      </c>
      <c r="I60" s="61" t="s">
        <v>164</v>
      </c>
      <c r="J60" s="62" t="s">
        <v>40</v>
      </c>
      <c r="K60" s="87" t="str">
        <f t="shared" si="4"/>
        <v/>
      </c>
      <c r="L60" s="63" t="str">
        <f t="shared" si="5"/>
        <v>–</v>
      </c>
      <c r="M60" s="89"/>
      <c r="N60" s="64"/>
      <c r="P60">
        <f t="shared" si="6"/>
        <v>0</v>
      </c>
      <c r="Q60" t="str">
        <f t="shared" si="7"/>
        <v/>
      </c>
    </row>
    <row r="61" spans="2:17" ht="15.75" customHeight="1" x14ac:dyDescent="0.25">
      <c r="B61" s="102">
        <f>IF($C61="","",COUNT($B$6:$B60)+1)</f>
        <v>56</v>
      </c>
      <c r="C61" s="103" t="s">
        <v>148</v>
      </c>
      <c r="D61" s="86" t="str">
        <f>IF($C61="","",IFERROR(IF(INDEX(Schulungsplan!$C$8:$C$40,MATCH($C61,Schulungsplan!$B$8:$B$40,0))=0,"",INDEX(Schulungsplan!$C$8:$C$40,MATCH($C61,Schulungsplan!$B$8:$B$40,0))),""))</f>
        <v>Datenschutz-Auffrischung (DSGVO)</v>
      </c>
      <c r="E61" s="87">
        <f>IF($C61="","",IFERROR(IF(INDEX(Schulungsplan!$H$8:$H$40,MATCH($C61,Schulungsplan!$B$8:$B$40,0))=0,"",INDEX(Schulungsplan!$H$8:$H$40,MATCH($C61,Schulungsplan!$B$8:$B$40,0))),""))</f>
        <v>46280</v>
      </c>
      <c r="F61" s="86" t="str">
        <f>IF($C61="","",IFERROR(IF(INDEX(Schulungsplan!$D$8:$D$40,MATCH($C61,Schulungsplan!$B$8:$B$40,0))=0,"",INDEX(Schulungsplan!$D$8:$D$40,MATCH($C61,Schulungsplan!$B$8:$B$40,0))),""))</f>
        <v>Datenschutz &amp; Compliance</v>
      </c>
      <c r="G61" s="88" t="str">
        <f>IF($C61="","",IFERROR(IF(INDEX(Schulungsplan!$O$8:$O$40,MATCH($C61,Schulungsplan!$B$8:$B$40,0))=0,"",INDEX(Schulungsplan!$O$8:$O$40,MATCH($C61,Schulungsplan!$B$8:$B$40,0))),""))</f>
        <v>Jährlich</v>
      </c>
      <c r="H61" s="66" t="s">
        <v>171</v>
      </c>
      <c r="I61" s="72" t="s">
        <v>172</v>
      </c>
      <c r="J61" s="73" t="s">
        <v>40</v>
      </c>
      <c r="K61" s="87" t="str">
        <f t="shared" si="4"/>
        <v/>
      </c>
      <c r="L61" s="63" t="str">
        <f t="shared" si="5"/>
        <v>–</v>
      </c>
      <c r="M61" s="104"/>
      <c r="N61" s="74"/>
      <c r="P61">
        <f t="shared" si="6"/>
        <v>0</v>
      </c>
      <c r="Q61" t="str">
        <f t="shared" si="7"/>
        <v/>
      </c>
    </row>
    <row r="62" spans="2:17" ht="15.75" customHeight="1" x14ac:dyDescent="0.25">
      <c r="B62" s="102">
        <f>IF($C62="","",COUNT($B$6:$B61)+1)</f>
        <v>57</v>
      </c>
      <c r="C62" s="85" t="s">
        <v>148</v>
      </c>
      <c r="D62" s="86" t="str">
        <f>IF($C62="","",IFERROR(IF(INDEX(Schulungsplan!$C$8:$C$40,MATCH($C62,Schulungsplan!$B$8:$B$40,0))=0,"",INDEX(Schulungsplan!$C$8:$C$40,MATCH($C62,Schulungsplan!$B$8:$B$40,0))),""))</f>
        <v>Datenschutz-Auffrischung (DSGVO)</v>
      </c>
      <c r="E62" s="87">
        <f>IF($C62="","",IFERROR(IF(INDEX(Schulungsplan!$H$8:$H$40,MATCH($C62,Schulungsplan!$B$8:$B$40,0))=0,"",INDEX(Schulungsplan!$H$8:$H$40,MATCH($C62,Schulungsplan!$B$8:$B$40,0))),""))</f>
        <v>46280</v>
      </c>
      <c r="F62" s="86" t="str">
        <f>IF($C62="","",IFERROR(IF(INDEX(Schulungsplan!$D$8:$D$40,MATCH($C62,Schulungsplan!$B$8:$B$40,0))=0,"",INDEX(Schulungsplan!$D$8:$D$40,MATCH($C62,Schulungsplan!$B$8:$B$40,0))),""))</f>
        <v>Datenschutz &amp; Compliance</v>
      </c>
      <c r="G62" s="88" t="str">
        <f>IF($C62="","",IFERROR(IF(INDEX(Schulungsplan!$O$8:$O$40,MATCH($C62,Schulungsplan!$B$8:$B$40,0))=0,"",INDEX(Schulungsplan!$O$8:$O$40,MATCH($C62,Schulungsplan!$B$8:$B$40,0))),""))</f>
        <v>Jährlich</v>
      </c>
      <c r="H62" s="53" t="s">
        <v>169</v>
      </c>
      <c r="I62" s="61" t="s">
        <v>170</v>
      </c>
      <c r="J62" s="62" t="s">
        <v>38</v>
      </c>
      <c r="K62" s="87" t="str">
        <f t="shared" si="4"/>
        <v/>
      </c>
      <c r="L62" s="63" t="str">
        <f t="shared" si="5"/>
        <v>–</v>
      </c>
      <c r="M62" s="89"/>
      <c r="N62" s="64"/>
      <c r="P62">
        <f t="shared" si="6"/>
        <v>0</v>
      </c>
      <c r="Q62" t="str">
        <f t="shared" si="7"/>
        <v/>
      </c>
    </row>
    <row r="63" spans="2:17" ht="15.75" customHeight="1" x14ac:dyDescent="0.25">
      <c r="B63" s="102">
        <f>IF($C63="","",COUNT($B$6:$B62)+1)</f>
        <v>58</v>
      </c>
      <c r="C63" s="103" t="s">
        <v>154</v>
      </c>
      <c r="D63" s="86" t="str">
        <f>IF($C63="","",IFERROR(IF(INDEX(Schulungsplan!$C$8:$C$40,MATCH($C63,Schulungsplan!$B$8:$B$40,0))=0,"",INDEX(Schulungsplan!$C$8:$C$40,MATCH($C63,Schulungsplan!$B$8:$B$40,0))),""))</f>
        <v>Erste-Hilfe-Auffrischung</v>
      </c>
      <c r="E63" s="87">
        <f>IF($C63="","",IFERROR(IF(INDEX(Schulungsplan!$H$8:$H$40,MATCH($C63,Schulungsplan!$B$8:$B$40,0))=0,"",INDEX(Schulungsplan!$H$8:$H$40,MATCH($C63,Schulungsplan!$B$8:$B$40,0))),""))</f>
        <v>46274</v>
      </c>
      <c r="F63" s="86" t="str">
        <f>IF($C63="","",IFERROR(IF(INDEX(Schulungsplan!$D$8:$D$40,MATCH($C63,Schulungsplan!$B$8:$B$40,0))=0,"",INDEX(Schulungsplan!$D$8:$D$40,MATCH($C63,Schulungsplan!$B$8:$B$40,0))),""))</f>
        <v>Arbeitssicherheit</v>
      </c>
      <c r="G63" s="88" t="str">
        <f>IF($C63="","",IFERROR(IF(INDEX(Schulungsplan!$O$8:$O$40,MATCH($C63,Schulungsplan!$B$8:$B$40,0))=0,"",INDEX(Schulungsplan!$O$8:$O$40,MATCH($C63,Schulungsplan!$B$8:$B$40,0))),""))</f>
        <v>Alle 2 Jahre</v>
      </c>
      <c r="H63" s="66" t="s">
        <v>167</v>
      </c>
      <c r="I63" s="72" t="s">
        <v>168</v>
      </c>
      <c r="J63" s="73" t="s">
        <v>40</v>
      </c>
      <c r="K63" s="87" t="str">
        <f t="shared" si="4"/>
        <v/>
      </c>
      <c r="L63" s="63" t="str">
        <f t="shared" si="5"/>
        <v>–</v>
      </c>
      <c r="M63" s="104"/>
      <c r="N63" s="74"/>
      <c r="P63">
        <f t="shared" si="6"/>
        <v>0</v>
      </c>
      <c r="Q63" t="str">
        <f t="shared" si="7"/>
        <v/>
      </c>
    </row>
    <row r="64" spans="2:17" ht="15.75" customHeight="1" x14ac:dyDescent="0.25">
      <c r="B64" s="102">
        <f>IF($C64="","",COUNT($B$6:$B63)+1)</f>
        <v>59</v>
      </c>
      <c r="C64" s="85" t="s">
        <v>154</v>
      </c>
      <c r="D64" s="86" t="str">
        <f>IF($C64="","",IFERROR(IF(INDEX(Schulungsplan!$C$8:$C$40,MATCH($C64,Schulungsplan!$B$8:$B$40,0))=0,"",INDEX(Schulungsplan!$C$8:$C$40,MATCH($C64,Schulungsplan!$B$8:$B$40,0))),""))</f>
        <v>Erste-Hilfe-Auffrischung</v>
      </c>
      <c r="E64" s="87">
        <f>IF($C64="","",IFERROR(IF(INDEX(Schulungsplan!$H$8:$H$40,MATCH($C64,Schulungsplan!$B$8:$B$40,0))=0,"",INDEX(Schulungsplan!$H$8:$H$40,MATCH($C64,Schulungsplan!$B$8:$B$40,0))),""))</f>
        <v>46274</v>
      </c>
      <c r="F64" s="86" t="str">
        <f>IF($C64="","",IFERROR(IF(INDEX(Schulungsplan!$D$8:$D$40,MATCH($C64,Schulungsplan!$B$8:$B$40,0))=0,"",INDEX(Schulungsplan!$D$8:$D$40,MATCH($C64,Schulungsplan!$B$8:$B$40,0))),""))</f>
        <v>Arbeitssicherheit</v>
      </c>
      <c r="G64" s="88" t="str">
        <f>IF($C64="","",IFERROR(IF(INDEX(Schulungsplan!$O$8:$O$40,MATCH($C64,Schulungsplan!$B$8:$B$40,0))=0,"",INDEX(Schulungsplan!$O$8:$O$40,MATCH($C64,Schulungsplan!$B$8:$B$40,0))),""))</f>
        <v>Alle 2 Jahre</v>
      </c>
      <c r="H64" s="53" t="s">
        <v>179</v>
      </c>
      <c r="I64" s="61" t="s">
        <v>180</v>
      </c>
      <c r="J64" s="62" t="s">
        <v>38</v>
      </c>
      <c r="K64" s="87" t="str">
        <f t="shared" si="4"/>
        <v/>
      </c>
      <c r="L64" s="63" t="str">
        <f t="shared" si="5"/>
        <v>–</v>
      </c>
      <c r="M64" s="89"/>
      <c r="N64" s="64"/>
      <c r="P64">
        <f t="shared" si="6"/>
        <v>0</v>
      </c>
      <c r="Q64" t="str">
        <f t="shared" si="7"/>
        <v/>
      </c>
    </row>
    <row r="65" spans="2:17" ht="15.75" customHeight="1" x14ac:dyDescent="0.25">
      <c r="B65" s="102">
        <f>IF($C65="","",COUNT($B$6:$B64)+1)</f>
        <v>60</v>
      </c>
      <c r="C65" s="103" t="s">
        <v>157</v>
      </c>
      <c r="D65" s="86" t="str">
        <f>IF($C65="","",IFERROR(IF(INDEX(Schulungsplan!$C$8:$C$40,MATCH($C65,Schulungsplan!$B$8:$B$40,0))=0,"",INDEX(Schulungsplan!$C$8:$C$40,MATCH($C65,Schulungsplan!$B$8:$B$40,0))),""))</f>
        <v>Zeitmanagement &amp; Selbstorganisation</v>
      </c>
      <c r="E65" s="87">
        <f>IF($C65="","",IFERROR(IF(INDEX(Schulungsplan!$H$8:$H$40,MATCH($C65,Schulungsplan!$B$8:$B$40,0))=0,"",INDEX(Schulungsplan!$H$8:$H$40,MATCH($C65,Schulungsplan!$B$8:$B$40,0))),""))</f>
        <v>46169</v>
      </c>
      <c r="F65" s="86" t="str">
        <f>IF($C65="","",IFERROR(IF(INDEX(Schulungsplan!$D$8:$D$40,MATCH($C65,Schulungsplan!$B$8:$B$40,0))=0,"",INDEX(Schulungsplan!$D$8:$D$40,MATCH($C65,Schulungsplan!$B$8:$B$40,0))),""))</f>
        <v>Soft Skills &amp; Führung</v>
      </c>
      <c r="G65" s="88" t="str">
        <f>IF($C65="","",IFERROR(IF(INDEX(Schulungsplan!$O$8:$O$40,MATCH($C65,Schulungsplan!$B$8:$B$40,0))=0,"",INDEX(Schulungsplan!$O$8:$O$40,MATCH($C65,Schulungsplan!$B$8:$B$40,0))),""))</f>
        <v>Einmalig</v>
      </c>
      <c r="H65" s="66" t="s">
        <v>186</v>
      </c>
      <c r="I65" s="72" t="s">
        <v>164</v>
      </c>
      <c r="J65" s="73" t="s">
        <v>43</v>
      </c>
      <c r="K65" s="87" t="str">
        <f t="shared" si="4"/>
        <v/>
      </c>
      <c r="L65" s="63" t="str">
        <f t="shared" si="5"/>
        <v>–</v>
      </c>
      <c r="M65" s="104"/>
      <c r="N65" s="74"/>
      <c r="P65">
        <f t="shared" si="6"/>
        <v>0</v>
      </c>
      <c r="Q65" t="str">
        <f t="shared" si="7"/>
        <v/>
      </c>
    </row>
    <row r="66" spans="2:17" ht="15.75" customHeight="1" x14ac:dyDescent="0.25">
      <c r="B66" s="102">
        <f>IF($C66="","",COUNT($B$6:$B65)+1)</f>
        <v>61</v>
      </c>
      <c r="C66" s="85" t="s">
        <v>157</v>
      </c>
      <c r="D66" s="86" t="str">
        <f>IF($C66="","",IFERROR(IF(INDEX(Schulungsplan!$C$8:$C$40,MATCH($C66,Schulungsplan!$B$8:$B$40,0))=0,"",INDEX(Schulungsplan!$C$8:$C$40,MATCH($C66,Schulungsplan!$B$8:$B$40,0))),""))</f>
        <v>Zeitmanagement &amp; Selbstorganisation</v>
      </c>
      <c r="E66" s="87">
        <f>IF($C66="","",IFERROR(IF(INDEX(Schulungsplan!$H$8:$H$40,MATCH($C66,Schulungsplan!$B$8:$B$40,0))=0,"",INDEX(Schulungsplan!$H$8:$H$40,MATCH($C66,Schulungsplan!$B$8:$B$40,0))),""))</f>
        <v>46169</v>
      </c>
      <c r="F66" s="86" t="str">
        <f>IF($C66="","",IFERROR(IF(INDEX(Schulungsplan!$D$8:$D$40,MATCH($C66,Schulungsplan!$B$8:$B$40,0))=0,"",INDEX(Schulungsplan!$D$8:$D$40,MATCH($C66,Schulungsplan!$B$8:$B$40,0))),""))</f>
        <v>Soft Skills &amp; Führung</v>
      </c>
      <c r="G66" s="88" t="str">
        <f>IF($C66="","",IFERROR(IF(INDEX(Schulungsplan!$O$8:$O$40,MATCH($C66,Schulungsplan!$B$8:$B$40,0))=0,"",INDEX(Schulungsplan!$O$8:$O$40,MATCH($C66,Schulungsplan!$B$8:$B$40,0))),""))</f>
        <v>Einmalig</v>
      </c>
      <c r="H66" s="53" t="s">
        <v>184</v>
      </c>
      <c r="I66" s="61" t="s">
        <v>185</v>
      </c>
      <c r="J66" s="62" t="s">
        <v>43</v>
      </c>
      <c r="K66" s="87" t="str">
        <f t="shared" si="4"/>
        <v/>
      </c>
      <c r="L66" s="63" t="str">
        <f t="shared" si="5"/>
        <v>–</v>
      </c>
      <c r="M66" s="89"/>
      <c r="N66" s="64"/>
      <c r="P66">
        <f t="shared" si="6"/>
        <v>0</v>
      </c>
      <c r="Q66" t="str">
        <f t="shared" si="7"/>
        <v/>
      </c>
    </row>
    <row r="67" spans="2:17" ht="15.75" customHeight="1" x14ac:dyDescent="0.25">
      <c r="B67" s="102" t="str">
        <f>IF($C67="","",COUNT($B$6:$B66)+1)</f>
        <v/>
      </c>
      <c r="C67" s="76"/>
      <c r="D67" s="105" t="str">
        <f>IF($C67="","",IFERROR(IF(INDEX(Schulungsplan!$C$8:$C$40,MATCH($C67,Schulungsplan!$B$8:$B$40,0))=0,"",INDEX(Schulungsplan!$C$8:$C$40,MATCH($C67,Schulungsplan!$B$8:$B$40,0))),""))</f>
        <v/>
      </c>
      <c r="E67" s="87" t="str">
        <f>IF($C67="","",IFERROR(IF(INDEX(Schulungsplan!$H$8:$H$40,MATCH($C67,Schulungsplan!$B$8:$B$40,0))=0,"",INDEX(Schulungsplan!$H$8:$H$40,MATCH($C67,Schulungsplan!$B$8:$B$40,0))),""))</f>
        <v/>
      </c>
      <c r="F67" s="105" t="str">
        <f>IF($C67="","",IFERROR(IF(INDEX(Schulungsplan!$D$8:$D$40,MATCH($C67,Schulungsplan!$B$8:$B$40,0))=0,"",INDEX(Schulungsplan!$D$8:$D$40,MATCH($C67,Schulungsplan!$B$8:$B$40,0))),""))</f>
        <v/>
      </c>
      <c r="G67" s="88" t="str">
        <f>IF($C67="","",IFERROR(IF(INDEX(Schulungsplan!$O$8:$O$40,MATCH($C67,Schulungsplan!$B$8:$B$40,0))=0,"",INDEX(Schulungsplan!$O$8:$O$40,MATCH($C67,Schulungsplan!$B$8:$B$40,0))),""))</f>
        <v/>
      </c>
      <c r="H67" s="76"/>
      <c r="I67" s="76"/>
      <c r="J67" s="76"/>
      <c r="K67" s="87" t="str">
        <f t="shared" si="4"/>
        <v/>
      </c>
      <c r="L67" s="63" t="str">
        <f t="shared" si="5"/>
        <v/>
      </c>
      <c r="M67" s="76"/>
      <c r="N67" s="40"/>
      <c r="P67">
        <f t="shared" si="6"/>
        <v>0</v>
      </c>
      <c r="Q67" t="str">
        <f t="shared" si="7"/>
        <v/>
      </c>
    </row>
    <row r="68" spans="2:17" ht="15.75" customHeight="1" x14ac:dyDescent="0.25">
      <c r="B68" s="102" t="str">
        <f>IF($C68="","",COUNT($B$6:$B67)+1)</f>
        <v/>
      </c>
      <c r="C68" s="78"/>
      <c r="D68" s="105" t="str">
        <f>IF($C68="","",IFERROR(IF(INDEX(Schulungsplan!$C$8:$C$40,MATCH($C68,Schulungsplan!$B$8:$B$40,0))=0,"",INDEX(Schulungsplan!$C$8:$C$40,MATCH($C68,Schulungsplan!$B$8:$B$40,0))),""))</f>
        <v/>
      </c>
      <c r="E68" s="87" t="str">
        <f>IF($C68="","",IFERROR(IF(INDEX(Schulungsplan!$H$8:$H$40,MATCH($C68,Schulungsplan!$B$8:$B$40,0))=0,"",INDEX(Schulungsplan!$H$8:$H$40,MATCH($C68,Schulungsplan!$B$8:$B$40,0))),""))</f>
        <v/>
      </c>
      <c r="F68" s="105" t="str">
        <f>IF($C68="","",IFERROR(IF(INDEX(Schulungsplan!$D$8:$D$40,MATCH($C68,Schulungsplan!$B$8:$B$40,0))=0,"",INDEX(Schulungsplan!$D$8:$D$40,MATCH($C68,Schulungsplan!$B$8:$B$40,0))),""))</f>
        <v/>
      </c>
      <c r="G68" s="88" t="str">
        <f>IF($C68="","",IFERROR(IF(INDEX(Schulungsplan!$O$8:$O$40,MATCH($C68,Schulungsplan!$B$8:$B$40,0))=0,"",INDEX(Schulungsplan!$O$8:$O$40,MATCH($C68,Schulungsplan!$B$8:$B$40,0))),""))</f>
        <v/>
      </c>
      <c r="H68" s="78"/>
      <c r="I68" s="78"/>
      <c r="J68" s="78"/>
      <c r="K68" s="87" t="str">
        <f t="shared" si="4"/>
        <v/>
      </c>
      <c r="L68" s="63" t="str">
        <f t="shared" si="5"/>
        <v/>
      </c>
      <c r="M68" s="78"/>
      <c r="N68" s="38"/>
      <c r="P68">
        <f t="shared" si="6"/>
        <v>0</v>
      </c>
      <c r="Q68" t="str">
        <f t="shared" si="7"/>
        <v/>
      </c>
    </row>
    <row r="69" spans="2:17" ht="15.75" customHeight="1" x14ac:dyDescent="0.25">
      <c r="B69" s="102" t="str">
        <f>IF($C69="","",COUNT($B$6:$B68)+1)</f>
        <v/>
      </c>
      <c r="C69" s="76"/>
      <c r="D69" s="105" t="str">
        <f>IF($C69="","",IFERROR(IF(INDEX(Schulungsplan!$C$8:$C$40,MATCH($C69,Schulungsplan!$B$8:$B$40,0))=0,"",INDEX(Schulungsplan!$C$8:$C$40,MATCH($C69,Schulungsplan!$B$8:$B$40,0))),""))</f>
        <v/>
      </c>
      <c r="E69" s="87" t="str">
        <f>IF($C69="","",IFERROR(IF(INDEX(Schulungsplan!$H$8:$H$40,MATCH($C69,Schulungsplan!$B$8:$B$40,0))=0,"",INDEX(Schulungsplan!$H$8:$H$40,MATCH($C69,Schulungsplan!$B$8:$B$40,0))),""))</f>
        <v/>
      </c>
      <c r="F69" s="105" t="str">
        <f>IF($C69="","",IFERROR(IF(INDEX(Schulungsplan!$D$8:$D$40,MATCH($C69,Schulungsplan!$B$8:$B$40,0))=0,"",INDEX(Schulungsplan!$D$8:$D$40,MATCH($C69,Schulungsplan!$B$8:$B$40,0))),""))</f>
        <v/>
      </c>
      <c r="G69" s="88" t="str">
        <f>IF($C69="","",IFERROR(IF(INDEX(Schulungsplan!$O$8:$O$40,MATCH($C69,Schulungsplan!$B$8:$B$40,0))=0,"",INDEX(Schulungsplan!$O$8:$O$40,MATCH($C69,Schulungsplan!$B$8:$B$40,0))),""))</f>
        <v/>
      </c>
      <c r="H69" s="76"/>
      <c r="I69" s="76"/>
      <c r="J69" s="76"/>
      <c r="K69" s="87" t="str">
        <f t="shared" si="4"/>
        <v/>
      </c>
      <c r="L69" s="63" t="str">
        <f t="shared" si="5"/>
        <v/>
      </c>
      <c r="M69" s="76"/>
      <c r="N69" s="40"/>
      <c r="P69">
        <f t="shared" si="6"/>
        <v>0</v>
      </c>
      <c r="Q69" t="str">
        <f t="shared" si="7"/>
        <v/>
      </c>
    </row>
    <row r="70" spans="2:17" ht="15.75" customHeight="1" x14ac:dyDescent="0.25">
      <c r="B70" s="102" t="str">
        <f>IF($C70="","",COUNT($B$6:$B69)+1)</f>
        <v/>
      </c>
      <c r="C70" s="78"/>
      <c r="D70" s="105" t="str">
        <f>IF($C70="","",IFERROR(IF(INDEX(Schulungsplan!$C$8:$C$40,MATCH($C70,Schulungsplan!$B$8:$B$40,0))=0,"",INDEX(Schulungsplan!$C$8:$C$40,MATCH($C70,Schulungsplan!$B$8:$B$40,0))),""))</f>
        <v/>
      </c>
      <c r="E70" s="87" t="str">
        <f>IF($C70="","",IFERROR(IF(INDEX(Schulungsplan!$H$8:$H$40,MATCH($C70,Schulungsplan!$B$8:$B$40,0))=0,"",INDEX(Schulungsplan!$H$8:$H$40,MATCH($C70,Schulungsplan!$B$8:$B$40,0))),""))</f>
        <v/>
      </c>
      <c r="F70" s="105" t="str">
        <f>IF($C70="","",IFERROR(IF(INDEX(Schulungsplan!$D$8:$D$40,MATCH($C70,Schulungsplan!$B$8:$B$40,0))=0,"",INDEX(Schulungsplan!$D$8:$D$40,MATCH($C70,Schulungsplan!$B$8:$B$40,0))),""))</f>
        <v/>
      </c>
      <c r="G70" s="88" t="str">
        <f>IF($C70="","",IFERROR(IF(INDEX(Schulungsplan!$O$8:$O$40,MATCH($C70,Schulungsplan!$B$8:$B$40,0))=0,"",INDEX(Schulungsplan!$O$8:$O$40,MATCH($C70,Schulungsplan!$B$8:$B$40,0))),""))</f>
        <v/>
      </c>
      <c r="H70" s="78"/>
      <c r="I70" s="78"/>
      <c r="J70" s="78"/>
      <c r="K70" s="87" t="str">
        <f t="shared" ref="K70:K75" si="8">IF($C70="","",IF($J70&lt;&gt;"Teilgenommen","",IF($E70="","",IF(IFERROR(INDEX(Turnus_Monate,MATCH($G70,Turnus_Liste,0)),0)=0,"",EDATE($E70,INDEX(Turnus_Monate,MATCH($G70,Turnus_Liste,0)))))))</f>
        <v/>
      </c>
      <c r="L70" s="63" t="str">
        <f t="shared" ref="L70:L75" si="9">IF($C70="","",IF($K70="","–",IF($K70&lt;Stichtag,"Abgelaufen",IF($K70&lt;=Stichtag+Warnfrist_Gueltigkeit,"Läuft bald ab","Gültig"))))</f>
        <v/>
      </c>
      <c r="M70" s="78"/>
      <c r="N70" s="38"/>
      <c r="P70">
        <f t="shared" ref="P70:P75" si="10">IF($C70="",0,IF(OR($L70="Abgelaufen",$L70="Läuft bald ab"),1,0))</f>
        <v>0</v>
      </c>
      <c r="Q70" t="str">
        <f t="shared" ref="Q70:Q75" si="11">IF($P70=1,SUMPRODUCT(($P$6:$P$75=1)*($K$6:$K$75&lt;$K70))+SUMPRODUCT(($P$6:$P$75=1)*($K$6:$K$75=$K70)*(ROW($K$6:$K$75)&lt;ROW($K70)))+1,"")</f>
        <v/>
      </c>
    </row>
    <row r="71" spans="2:17" ht="15.75" customHeight="1" x14ac:dyDescent="0.25">
      <c r="B71" s="102" t="str">
        <f>IF($C71="","",COUNT($B$6:$B70)+1)</f>
        <v/>
      </c>
      <c r="C71" s="76"/>
      <c r="D71" s="105" t="str">
        <f>IF($C71="","",IFERROR(IF(INDEX(Schulungsplan!$C$8:$C$40,MATCH($C71,Schulungsplan!$B$8:$B$40,0))=0,"",INDEX(Schulungsplan!$C$8:$C$40,MATCH($C71,Schulungsplan!$B$8:$B$40,0))),""))</f>
        <v/>
      </c>
      <c r="E71" s="87" t="str">
        <f>IF($C71="","",IFERROR(IF(INDEX(Schulungsplan!$H$8:$H$40,MATCH($C71,Schulungsplan!$B$8:$B$40,0))=0,"",INDEX(Schulungsplan!$H$8:$H$40,MATCH($C71,Schulungsplan!$B$8:$B$40,0))),""))</f>
        <v/>
      </c>
      <c r="F71" s="105" t="str">
        <f>IF($C71="","",IFERROR(IF(INDEX(Schulungsplan!$D$8:$D$40,MATCH($C71,Schulungsplan!$B$8:$B$40,0))=0,"",INDEX(Schulungsplan!$D$8:$D$40,MATCH($C71,Schulungsplan!$B$8:$B$40,0))),""))</f>
        <v/>
      </c>
      <c r="G71" s="88" t="str">
        <f>IF($C71="","",IFERROR(IF(INDEX(Schulungsplan!$O$8:$O$40,MATCH($C71,Schulungsplan!$B$8:$B$40,0))=0,"",INDEX(Schulungsplan!$O$8:$O$40,MATCH($C71,Schulungsplan!$B$8:$B$40,0))),""))</f>
        <v/>
      </c>
      <c r="H71" s="76"/>
      <c r="I71" s="76"/>
      <c r="J71" s="76"/>
      <c r="K71" s="87" t="str">
        <f t="shared" si="8"/>
        <v/>
      </c>
      <c r="L71" s="63" t="str">
        <f t="shared" si="9"/>
        <v/>
      </c>
      <c r="M71" s="76"/>
      <c r="N71" s="40"/>
      <c r="P71">
        <f t="shared" si="10"/>
        <v>0</v>
      </c>
      <c r="Q71" t="str">
        <f t="shared" si="11"/>
        <v/>
      </c>
    </row>
    <row r="72" spans="2:17" ht="15.75" customHeight="1" x14ac:dyDescent="0.25">
      <c r="B72" s="102" t="str">
        <f>IF($C72="","",COUNT($B$6:$B71)+1)</f>
        <v/>
      </c>
      <c r="C72" s="78"/>
      <c r="D72" s="105" t="str">
        <f>IF($C72="","",IFERROR(IF(INDEX(Schulungsplan!$C$8:$C$40,MATCH($C72,Schulungsplan!$B$8:$B$40,0))=0,"",INDEX(Schulungsplan!$C$8:$C$40,MATCH($C72,Schulungsplan!$B$8:$B$40,0))),""))</f>
        <v/>
      </c>
      <c r="E72" s="87" t="str">
        <f>IF($C72="","",IFERROR(IF(INDEX(Schulungsplan!$H$8:$H$40,MATCH($C72,Schulungsplan!$B$8:$B$40,0))=0,"",INDEX(Schulungsplan!$H$8:$H$40,MATCH($C72,Schulungsplan!$B$8:$B$40,0))),""))</f>
        <v/>
      </c>
      <c r="F72" s="105" t="str">
        <f>IF($C72="","",IFERROR(IF(INDEX(Schulungsplan!$D$8:$D$40,MATCH($C72,Schulungsplan!$B$8:$B$40,0))=0,"",INDEX(Schulungsplan!$D$8:$D$40,MATCH($C72,Schulungsplan!$B$8:$B$40,0))),""))</f>
        <v/>
      </c>
      <c r="G72" s="88" t="str">
        <f>IF($C72="","",IFERROR(IF(INDEX(Schulungsplan!$O$8:$O$40,MATCH($C72,Schulungsplan!$B$8:$B$40,0))=0,"",INDEX(Schulungsplan!$O$8:$O$40,MATCH($C72,Schulungsplan!$B$8:$B$40,0))),""))</f>
        <v/>
      </c>
      <c r="H72" s="78"/>
      <c r="I72" s="78"/>
      <c r="J72" s="78"/>
      <c r="K72" s="87" t="str">
        <f t="shared" si="8"/>
        <v/>
      </c>
      <c r="L72" s="63" t="str">
        <f t="shared" si="9"/>
        <v/>
      </c>
      <c r="M72" s="78"/>
      <c r="N72" s="38"/>
      <c r="P72">
        <f t="shared" si="10"/>
        <v>0</v>
      </c>
      <c r="Q72" t="str">
        <f t="shared" si="11"/>
        <v/>
      </c>
    </row>
    <row r="73" spans="2:17" ht="15.75" customHeight="1" x14ac:dyDescent="0.25">
      <c r="B73" s="102" t="str">
        <f>IF($C73="","",COUNT($B$6:$B72)+1)</f>
        <v/>
      </c>
      <c r="C73" s="76"/>
      <c r="D73" s="105" t="str">
        <f>IF($C73="","",IFERROR(IF(INDEX(Schulungsplan!$C$8:$C$40,MATCH($C73,Schulungsplan!$B$8:$B$40,0))=0,"",INDEX(Schulungsplan!$C$8:$C$40,MATCH($C73,Schulungsplan!$B$8:$B$40,0))),""))</f>
        <v/>
      </c>
      <c r="E73" s="87" t="str">
        <f>IF($C73="","",IFERROR(IF(INDEX(Schulungsplan!$H$8:$H$40,MATCH($C73,Schulungsplan!$B$8:$B$40,0))=0,"",INDEX(Schulungsplan!$H$8:$H$40,MATCH($C73,Schulungsplan!$B$8:$B$40,0))),""))</f>
        <v/>
      </c>
      <c r="F73" s="105" t="str">
        <f>IF($C73="","",IFERROR(IF(INDEX(Schulungsplan!$D$8:$D$40,MATCH($C73,Schulungsplan!$B$8:$B$40,0))=0,"",INDEX(Schulungsplan!$D$8:$D$40,MATCH($C73,Schulungsplan!$B$8:$B$40,0))),""))</f>
        <v/>
      </c>
      <c r="G73" s="88" t="str">
        <f>IF($C73="","",IFERROR(IF(INDEX(Schulungsplan!$O$8:$O$40,MATCH($C73,Schulungsplan!$B$8:$B$40,0))=0,"",INDEX(Schulungsplan!$O$8:$O$40,MATCH($C73,Schulungsplan!$B$8:$B$40,0))),""))</f>
        <v/>
      </c>
      <c r="H73" s="76"/>
      <c r="I73" s="76"/>
      <c r="J73" s="76"/>
      <c r="K73" s="87" t="str">
        <f t="shared" si="8"/>
        <v/>
      </c>
      <c r="L73" s="63" t="str">
        <f t="shared" si="9"/>
        <v/>
      </c>
      <c r="M73" s="76"/>
      <c r="N73" s="40"/>
      <c r="P73">
        <f t="shared" si="10"/>
        <v>0</v>
      </c>
      <c r="Q73" t="str">
        <f t="shared" si="11"/>
        <v/>
      </c>
    </row>
    <row r="74" spans="2:17" ht="15.75" customHeight="1" x14ac:dyDescent="0.25">
      <c r="B74" s="102" t="str">
        <f>IF($C74="","",COUNT($B$6:$B73)+1)</f>
        <v/>
      </c>
      <c r="C74" s="78"/>
      <c r="D74" s="105" t="str">
        <f>IF($C74="","",IFERROR(IF(INDEX(Schulungsplan!$C$8:$C$40,MATCH($C74,Schulungsplan!$B$8:$B$40,0))=0,"",INDEX(Schulungsplan!$C$8:$C$40,MATCH($C74,Schulungsplan!$B$8:$B$40,0))),""))</f>
        <v/>
      </c>
      <c r="E74" s="87" t="str">
        <f>IF($C74="","",IFERROR(IF(INDEX(Schulungsplan!$H$8:$H$40,MATCH($C74,Schulungsplan!$B$8:$B$40,0))=0,"",INDEX(Schulungsplan!$H$8:$H$40,MATCH($C74,Schulungsplan!$B$8:$B$40,0))),""))</f>
        <v/>
      </c>
      <c r="F74" s="105" t="str">
        <f>IF($C74="","",IFERROR(IF(INDEX(Schulungsplan!$D$8:$D$40,MATCH($C74,Schulungsplan!$B$8:$B$40,0))=0,"",INDEX(Schulungsplan!$D$8:$D$40,MATCH($C74,Schulungsplan!$B$8:$B$40,0))),""))</f>
        <v/>
      </c>
      <c r="G74" s="88" t="str">
        <f>IF($C74="","",IFERROR(IF(INDEX(Schulungsplan!$O$8:$O$40,MATCH($C74,Schulungsplan!$B$8:$B$40,0))=0,"",INDEX(Schulungsplan!$O$8:$O$40,MATCH($C74,Schulungsplan!$B$8:$B$40,0))),""))</f>
        <v/>
      </c>
      <c r="H74" s="78"/>
      <c r="I74" s="78"/>
      <c r="J74" s="78"/>
      <c r="K74" s="87" t="str">
        <f t="shared" si="8"/>
        <v/>
      </c>
      <c r="L74" s="63" t="str">
        <f t="shared" si="9"/>
        <v/>
      </c>
      <c r="M74" s="78"/>
      <c r="N74" s="38"/>
      <c r="P74">
        <f t="shared" si="10"/>
        <v>0</v>
      </c>
      <c r="Q74" t="str">
        <f t="shared" si="11"/>
        <v/>
      </c>
    </row>
    <row r="75" spans="2:17" ht="15.75" customHeight="1" x14ac:dyDescent="0.25">
      <c r="B75" s="106" t="str">
        <f>IF($C75="","",COUNT($B$6:$B74)+1)</f>
        <v/>
      </c>
      <c r="C75" s="107"/>
      <c r="D75" s="108" t="str">
        <f>IF($C75="","",IFERROR(IF(INDEX(Schulungsplan!$C$8:$C$40,MATCH($C75,Schulungsplan!$B$8:$B$40,0))=0,"",INDEX(Schulungsplan!$C$8:$C$40,MATCH($C75,Schulungsplan!$B$8:$B$40,0))),""))</f>
        <v/>
      </c>
      <c r="E75" s="109" t="str">
        <f>IF($C75="","",IFERROR(IF(INDEX(Schulungsplan!$H$8:$H$40,MATCH($C75,Schulungsplan!$B$8:$B$40,0))=0,"",INDEX(Schulungsplan!$H$8:$H$40,MATCH($C75,Schulungsplan!$B$8:$B$40,0))),""))</f>
        <v/>
      </c>
      <c r="F75" s="108" t="str">
        <f>IF($C75="","",IFERROR(IF(INDEX(Schulungsplan!$D$8:$D$40,MATCH($C75,Schulungsplan!$B$8:$B$40,0))=0,"",INDEX(Schulungsplan!$D$8:$D$40,MATCH($C75,Schulungsplan!$B$8:$B$40,0))),""))</f>
        <v/>
      </c>
      <c r="G75" s="110" t="str">
        <f>IF($C75="","",IFERROR(IF(INDEX(Schulungsplan!$O$8:$O$40,MATCH($C75,Schulungsplan!$B$8:$B$40,0))=0,"",INDEX(Schulungsplan!$O$8:$O$40,MATCH($C75,Schulungsplan!$B$8:$B$40,0))),""))</f>
        <v/>
      </c>
      <c r="H75" s="107"/>
      <c r="I75" s="107"/>
      <c r="J75" s="107"/>
      <c r="K75" s="109" t="str">
        <f t="shared" si="8"/>
        <v/>
      </c>
      <c r="L75" s="83" t="str">
        <f t="shared" si="9"/>
        <v/>
      </c>
      <c r="M75" s="107"/>
      <c r="N75" s="42"/>
      <c r="P75">
        <f t="shared" si="10"/>
        <v>0</v>
      </c>
      <c r="Q75" t="str">
        <f t="shared" si="11"/>
        <v/>
      </c>
    </row>
  </sheetData>
  <autoFilter ref="B7:N75" xr:uid="{00000000-0009-0000-0000-000002000000}"/>
  <mergeCells count="2">
    <mergeCell ref="B2:N4"/>
    <mergeCell ref="B5:N5"/>
  </mergeCells>
  <conditionalFormatting sqref="J6:J75">
    <cfRule type="cellIs" dxfId="8" priority="2" operator="equal">
      <formula>"Teilgenommen"</formula>
    </cfRule>
    <cfRule type="cellIs" dxfId="7" priority="3" operator="equal">
      <formula>"Angemeldet"</formula>
    </cfRule>
    <cfRule type="cellIs" dxfId="6" priority="4" operator="equal">
      <formula>"Eingeladen"</formula>
    </cfRule>
    <cfRule type="cellIs" dxfId="5" priority="5" operator="equal">
      <formula>"Fehlend"</formula>
    </cfRule>
    <cfRule type="cellIs" dxfId="4" priority="6" operator="equal">
      <formula>"Abgesagt"</formula>
    </cfRule>
  </conditionalFormatting>
  <conditionalFormatting sqref="K6:K75">
    <cfRule type="expression" dxfId="3" priority="10">
      <formula>AND($K6&lt;&gt;"",$K6&lt;Stichtag)</formula>
    </cfRule>
  </conditionalFormatting>
  <conditionalFormatting sqref="L6:L75">
    <cfRule type="cellIs" dxfId="2" priority="7" operator="equal">
      <formula>"Gültig"</formula>
    </cfRule>
    <cfRule type="cellIs" dxfId="1" priority="8" operator="equal">
      <formula>"Läuft bald ab"</formula>
    </cfRule>
    <cfRule type="cellIs" dxfId="0" priority="9" operator="equal">
      <formula>"Abgelaufen"</formula>
    </cfRule>
  </conditionalFormatting>
  <dataValidations count="2">
    <dataValidation type="list" allowBlank="1" sqref="I6:I75" xr:uid="{00000000-0002-0000-0200-000001000000}">
      <formula1>Abteilungen</formula1>
      <formula2>0</formula2>
    </dataValidation>
    <dataValidation type="list" allowBlank="1" sqref="J6:J75" xr:uid="{00000000-0002-0000-0200-000002000000}">
      <formula1>StatusTeilnahme</formula1>
      <formula2>0</formula2>
    </dataValidation>
  </dataValidations>
  <pageMargins left="0.3" right="0.3" top="0.4" bottom="0.4" header="0.511811023622047" footer="0.511811023622047"/>
  <pageSetup fitToHeight="0" orientation="landscape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00000000-0002-0000-0200-000000000000}">
          <x14:formula1>
            <xm:f>Schulungsplan!$B$8:$B$40</xm:f>
          </x14:formula1>
          <x14:formula2>
            <xm:f>0</xm:f>
          </x14:formula2>
          <xm:sqref>C6:C75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54"/>
  <sheetViews>
    <sheetView showGridLines="0" zoomScaleNormal="100" workbookViewId="0"/>
  </sheetViews>
  <sheetFormatPr baseColWidth="10" defaultColWidth="8.7109375" defaultRowHeight="15" x14ac:dyDescent="0.25"/>
  <cols>
    <col min="1" max="1" width="2.42578125" customWidth="1"/>
    <col min="2" max="3" width="22" customWidth="1"/>
    <col min="4" max="4" width="3" customWidth="1"/>
    <col min="5" max="5" width="20" customWidth="1"/>
    <col min="6" max="6" width="8" customWidth="1"/>
    <col min="7" max="7" width="3" customWidth="1"/>
    <col min="8" max="8" width="20" customWidth="1"/>
    <col min="9" max="9" width="8" customWidth="1"/>
    <col min="10" max="10" width="3" customWidth="1"/>
    <col min="11" max="11" width="20" customWidth="1"/>
  </cols>
  <sheetData>
    <row r="1" spans="2:11" ht="6" customHeigh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2:11" ht="15.75" customHeight="1" x14ac:dyDescent="0.25">
      <c r="B2" s="14" t="s">
        <v>188</v>
      </c>
      <c r="C2" s="14"/>
      <c r="D2" s="14"/>
      <c r="E2" s="14"/>
      <c r="F2" s="14"/>
      <c r="G2" s="14"/>
      <c r="H2" s="14"/>
      <c r="I2" s="14"/>
      <c r="J2" s="14"/>
      <c r="K2" s="14"/>
    </row>
    <row r="3" spans="2:11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2:11" ht="12" customHeight="1" x14ac:dyDescent="0.25"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2:11" ht="15.75" customHeight="1" x14ac:dyDescent="0.25">
      <c r="B5" s="12" t="s">
        <v>189</v>
      </c>
      <c r="C5" s="12"/>
      <c r="D5" s="12"/>
      <c r="E5" s="12"/>
      <c r="F5" s="12"/>
      <c r="G5" s="12"/>
      <c r="H5" s="12"/>
      <c r="I5" s="12"/>
      <c r="J5" s="12"/>
      <c r="K5" s="12"/>
    </row>
    <row r="7" spans="2:11" ht="19.5" customHeight="1" x14ac:dyDescent="0.25">
      <c r="B7" s="16" t="s">
        <v>2</v>
      </c>
      <c r="C7" s="11" t="s">
        <v>190</v>
      </c>
      <c r="D7" s="11"/>
      <c r="E7" s="11"/>
      <c r="F7" s="11"/>
      <c r="G7" s="11"/>
      <c r="H7" s="11"/>
      <c r="I7" s="11"/>
      <c r="J7" s="11"/>
      <c r="K7" s="11"/>
    </row>
    <row r="8" spans="2:11" ht="16.5" customHeight="1" x14ac:dyDescent="0.25">
      <c r="B8" s="111" t="s">
        <v>190</v>
      </c>
      <c r="C8" s="139" t="s">
        <v>191</v>
      </c>
      <c r="D8" s="139"/>
      <c r="E8" s="139"/>
      <c r="F8" s="139"/>
    </row>
    <row r="9" spans="2:11" ht="16.5" customHeight="1" x14ac:dyDescent="0.25">
      <c r="B9" s="111" t="s">
        <v>192</v>
      </c>
      <c r="C9" s="139" t="s">
        <v>193</v>
      </c>
      <c r="D9" s="139"/>
      <c r="E9" s="139"/>
      <c r="F9" s="139"/>
    </row>
    <row r="10" spans="2:11" ht="16.5" customHeight="1" x14ac:dyDescent="0.25">
      <c r="B10" s="111" t="s">
        <v>194</v>
      </c>
      <c r="C10" s="139" t="s">
        <v>195</v>
      </c>
      <c r="D10" s="139"/>
      <c r="E10" s="139"/>
      <c r="F10" s="139"/>
    </row>
    <row r="11" spans="2:11" ht="16.5" customHeight="1" x14ac:dyDescent="0.25">
      <c r="B11" s="111" t="s">
        <v>196</v>
      </c>
      <c r="C11" s="139" t="s">
        <v>197</v>
      </c>
      <c r="D11" s="139"/>
      <c r="E11" s="139"/>
      <c r="F11" s="139"/>
    </row>
    <row r="12" spans="2:11" ht="16.5" customHeight="1" x14ac:dyDescent="0.25">
      <c r="B12" s="111" t="s">
        <v>198</v>
      </c>
      <c r="C12" s="139" t="s">
        <v>199</v>
      </c>
      <c r="D12" s="139"/>
      <c r="E12" s="139"/>
      <c r="F12" s="139"/>
    </row>
    <row r="14" spans="2:11" ht="19.5" customHeight="1" x14ac:dyDescent="0.25">
      <c r="B14" s="16" t="s">
        <v>12</v>
      </c>
      <c r="C14" s="11" t="s">
        <v>200</v>
      </c>
      <c r="D14" s="11"/>
      <c r="E14" s="11"/>
      <c r="F14" s="11"/>
      <c r="G14" s="11"/>
      <c r="H14" s="11"/>
      <c r="I14" s="11"/>
      <c r="J14" s="11"/>
      <c r="K14" s="11"/>
    </row>
    <row r="15" spans="2:11" ht="16.5" customHeight="1" x14ac:dyDescent="0.25">
      <c r="B15" s="111" t="s">
        <v>201</v>
      </c>
      <c r="C15" s="112">
        <v>2026</v>
      </c>
      <c r="D15" s="78"/>
    </row>
    <row r="16" spans="2:11" ht="16.5" customHeight="1" x14ac:dyDescent="0.25">
      <c r="B16" s="111" t="s">
        <v>202</v>
      </c>
      <c r="C16" s="113">
        <f ca="1">TODAY()</f>
        <v>46231</v>
      </c>
      <c r="D16" s="78"/>
    </row>
    <row r="17" spans="2:11" ht="16.5" customHeight="1" x14ac:dyDescent="0.25">
      <c r="B17" s="111" t="s">
        <v>203</v>
      </c>
      <c r="C17" s="112">
        <v>30</v>
      </c>
      <c r="D17" s="78"/>
    </row>
    <row r="18" spans="2:11" ht="16.5" customHeight="1" x14ac:dyDescent="0.25">
      <c r="B18" s="111" t="s">
        <v>204</v>
      </c>
      <c r="C18" s="112">
        <v>60</v>
      </c>
      <c r="D18" s="78"/>
    </row>
    <row r="19" spans="2:11" ht="16.5" customHeight="1" x14ac:dyDescent="0.25">
      <c r="B19" s="111" t="s">
        <v>205</v>
      </c>
      <c r="C19" s="114">
        <v>0.9</v>
      </c>
      <c r="D19" s="78"/>
    </row>
    <row r="20" spans="2:11" ht="16.5" customHeight="1" x14ac:dyDescent="0.25">
      <c r="B20" s="111" t="s">
        <v>206</v>
      </c>
      <c r="C20" s="114">
        <v>0.8</v>
      </c>
      <c r="D20" s="78"/>
    </row>
    <row r="22" spans="2:11" ht="19.5" customHeight="1" x14ac:dyDescent="0.25">
      <c r="B22" s="16" t="s">
        <v>14</v>
      </c>
      <c r="C22" s="11" t="s">
        <v>207</v>
      </c>
      <c r="D22" s="11"/>
      <c r="E22" s="11"/>
      <c r="F22" s="11"/>
      <c r="G22" s="11"/>
      <c r="H22" s="11"/>
      <c r="I22" s="11"/>
      <c r="J22" s="11"/>
      <c r="K22" s="11"/>
    </row>
    <row r="23" spans="2:11" ht="15.75" customHeight="1" x14ac:dyDescent="0.25">
      <c r="B23" s="115" t="s">
        <v>208</v>
      </c>
      <c r="E23" s="115" t="s">
        <v>209</v>
      </c>
      <c r="H23" s="115" t="s">
        <v>210</v>
      </c>
      <c r="K23" s="115" t="s">
        <v>67</v>
      </c>
    </row>
    <row r="24" spans="2:11" x14ac:dyDescent="0.25">
      <c r="B24" s="116" t="s">
        <v>24</v>
      </c>
      <c r="E24" s="116" t="s">
        <v>88</v>
      </c>
      <c r="H24" s="116" t="s">
        <v>180</v>
      </c>
      <c r="K24" s="116" t="s">
        <v>99</v>
      </c>
    </row>
    <row r="25" spans="2:11" x14ac:dyDescent="0.25">
      <c r="B25" s="117" t="s">
        <v>25</v>
      </c>
      <c r="E25" s="117" t="s">
        <v>81</v>
      </c>
      <c r="H25" s="117" t="s">
        <v>164</v>
      </c>
      <c r="K25" s="117" t="s">
        <v>139</v>
      </c>
    </row>
    <row r="26" spans="2:11" ht="25.5" x14ac:dyDescent="0.25">
      <c r="B26" s="116" t="s">
        <v>26</v>
      </c>
      <c r="E26" s="116" t="s">
        <v>103</v>
      </c>
      <c r="H26" s="116" t="s">
        <v>174</v>
      </c>
      <c r="K26" s="116" t="s">
        <v>211</v>
      </c>
    </row>
    <row r="27" spans="2:11" x14ac:dyDescent="0.25">
      <c r="B27" s="117" t="s">
        <v>27</v>
      </c>
      <c r="E27" s="117" t="s">
        <v>119</v>
      </c>
      <c r="H27" s="117" t="s">
        <v>166</v>
      </c>
      <c r="K27" s="117" t="s">
        <v>131</v>
      </c>
    </row>
    <row r="28" spans="2:11" ht="25.5" x14ac:dyDescent="0.25">
      <c r="B28" s="116" t="s">
        <v>28</v>
      </c>
      <c r="E28" s="116" t="s">
        <v>130</v>
      </c>
      <c r="H28" s="116" t="s">
        <v>177</v>
      </c>
      <c r="K28" s="116" t="s">
        <v>114</v>
      </c>
    </row>
    <row r="29" spans="2:11" x14ac:dyDescent="0.25">
      <c r="B29" s="117" t="s">
        <v>29</v>
      </c>
      <c r="E29" s="117" t="s">
        <v>159</v>
      </c>
      <c r="H29" s="117" t="s">
        <v>170</v>
      </c>
      <c r="K29" s="117" t="s">
        <v>89</v>
      </c>
    </row>
    <row r="30" spans="2:11" x14ac:dyDescent="0.25">
      <c r="B30" s="116" t="s">
        <v>30</v>
      </c>
      <c r="H30" s="116" t="s">
        <v>168</v>
      </c>
      <c r="K30" s="116" t="s">
        <v>82</v>
      </c>
    </row>
    <row r="31" spans="2:11" x14ac:dyDescent="0.25">
      <c r="B31" s="117" t="s">
        <v>31</v>
      </c>
      <c r="H31" s="117" t="s">
        <v>172</v>
      </c>
      <c r="K31" s="117" t="s">
        <v>104</v>
      </c>
    </row>
    <row r="32" spans="2:11" x14ac:dyDescent="0.25">
      <c r="H32" s="116" t="s">
        <v>185</v>
      </c>
      <c r="K32" s="116" t="s">
        <v>120</v>
      </c>
    </row>
    <row r="33" spans="2:11" x14ac:dyDescent="0.25">
      <c r="H33" s="117" t="s">
        <v>182</v>
      </c>
    </row>
    <row r="35" spans="2:11" ht="19.5" customHeight="1" x14ac:dyDescent="0.25">
      <c r="B35" s="16" t="s">
        <v>32</v>
      </c>
      <c r="C35" s="11" t="s">
        <v>212</v>
      </c>
      <c r="D35" s="11"/>
      <c r="E35" s="11"/>
      <c r="F35" s="11"/>
      <c r="G35" s="11"/>
      <c r="H35" s="11"/>
      <c r="I35" s="11"/>
      <c r="J35" s="11"/>
      <c r="K35" s="11"/>
    </row>
    <row r="36" spans="2:11" ht="15.75" customHeight="1" x14ac:dyDescent="0.25">
      <c r="B36" s="115" t="s">
        <v>213</v>
      </c>
      <c r="E36" s="115" t="s">
        <v>214</v>
      </c>
      <c r="H36" s="115" t="s">
        <v>76</v>
      </c>
      <c r="I36" s="115" t="s">
        <v>215</v>
      </c>
    </row>
    <row r="37" spans="2:11" x14ac:dyDescent="0.25">
      <c r="B37" s="116" t="s">
        <v>37</v>
      </c>
      <c r="E37" s="116" t="s">
        <v>38</v>
      </c>
      <c r="H37" s="116" t="s">
        <v>109</v>
      </c>
      <c r="I37" s="118">
        <v>0</v>
      </c>
    </row>
    <row r="38" spans="2:11" x14ac:dyDescent="0.25">
      <c r="B38" s="117" t="s">
        <v>39</v>
      </c>
      <c r="E38" s="117" t="s">
        <v>40</v>
      </c>
      <c r="H38" s="117" t="s">
        <v>140</v>
      </c>
      <c r="I38" s="119">
        <v>6</v>
      </c>
    </row>
    <row r="39" spans="2:11" x14ac:dyDescent="0.25">
      <c r="B39" s="116" t="s">
        <v>41</v>
      </c>
      <c r="E39" s="116" t="s">
        <v>42</v>
      </c>
      <c r="H39" s="116" t="s">
        <v>84</v>
      </c>
      <c r="I39" s="118">
        <v>12</v>
      </c>
    </row>
    <row r="40" spans="2:11" x14ac:dyDescent="0.25">
      <c r="B40" s="117" t="s">
        <v>43</v>
      </c>
      <c r="E40" s="117" t="s">
        <v>44</v>
      </c>
      <c r="H40" s="117" t="s">
        <v>95</v>
      </c>
      <c r="I40" s="119">
        <v>24</v>
      </c>
    </row>
    <row r="41" spans="2:11" x14ac:dyDescent="0.25">
      <c r="E41" s="116" t="s">
        <v>43</v>
      </c>
      <c r="H41" s="116" t="s">
        <v>91</v>
      </c>
      <c r="I41" s="118">
        <v>36</v>
      </c>
    </row>
    <row r="43" spans="2:11" ht="19.5" customHeight="1" x14ac:dyDescent="0.25">
      <c r="B43" s="16" t="s">
        <v>34</v>
      </c>
      <c r="C43" s="11" t="s">
        <v>216</v>
      </c>
      <c r="D43" s="11"/>
      <c r="E43" s="11"/>
      <c r="F43" s="11"/>
      <c r="G43" s="11"/>
      <c r="H43" s="11"/>
      <c r="I43" s="11"/>
      <c r="J43" s="11"/>
      <c r="K43" s="11"/>
    </row>
    <row r="44" spans="2:11" ht="30" customHeight="1" x14ac:dyDescent="0.25">
      <c r="B44" s="140" t="s">
        <v>217</v>
      </c>
      <c r="C44" s="140"/>
      <c r="D44" s="140"/>
      <c r="E44" s="140"/>
      <c r="F44" s="140"/>
      <c r="G44" s="140"/>
      <c r="H44" s="140"/>
      <c r="I44" s="140"/>
      <c r="J44" s="140"/>
      <c r="K44" s="140"/>
    </row>
    <row r="45" spans="2:11" ht="30" customHeight="1" x14ac:dyDescent="0.25">
      <c r="B45" s="140" t="s">
        <v>218</v>
      </c>
      <c r="C45" s="140"/>
      <c r="D45" s="140"/>
      <c r="E45" s="140"/>
      <c r="F45" s="140"/>
      <c r="G45" s="140"/>
      <c r="H45" s="140"/>
      <c r="I45" s="140"/>
      <c r="J45" s="140"/>
      <c r="K45" s="140"/>
    </row>
    <row r="46" spans="2:11" ht="30" customHeight="1" x14ac:dyDescent="0.25">
      <c r="B46" s="140" t="s">
        <v>219</v>
      </c>
      <c r="C46" s="140"/>
      <c r="D46" s="140"/>
      <c r="E46" s="140"/>
      <c r="F46" s="140"/>
      <c r="G46" s="140"/>
      <c r="H46" s="140"/>
      <c r="I46" s="140"/>
      <c r="J46" s="140"/>
      <c r="K46" s="140"/>
    </row>
    <row r="47" spans="2:11" ht="30" customHeight="1" x14ac:dyDescent="0.25">
      <c r="B47" s="140" t="s">
        <v>220</v>
      </c>
      <c r="C47" s="140"/>
      <c r="D47" s="140"/>
      <c r="E47" s="140"/>
      <c r="F47" s="140"/>
      <c r="G47" s="140"/>
      <c r="H47" s="140"/>
      <c r="I47" s="140"/>
      <c r="J47" s="140"/>
      <c r="K47" s="140"/>
    </row>
    <row r="48" spans="2:11" ht="30" customHeight="1" x14ac:dyDescent="0.25">
      <c r="B48" s="140" t="s">
        <v>221</v>
      </c>
      <c r="C48" s="140"/>
      <c r="D48" s="140"/>
      <c r="E48" s="140"/>
      <c r="F48" s="140"/>
      <c r="G48" s="140"/>
      <c r="H48" s="140"/>
      <c r="I48" s="140"/>
      <c r="J48" s="140"/>
      <c r="K48" s="140"/>
    </row>
    <row r="49" spans="2:11" ht="30" customHeight="1" x14ac:dyDescent="0.25">
      <c r="B49" s="140" t="s">
        <v>222</v>
      </c>
      <c r="C49" s="140"/>
      <c r="D49" s="140"/>
      <c r="E49" s="140"/>
      <c r="F49" s="140"/>
      <c r="G49" s="140"/>
      <c r="H49" s="140"/>
      <c r="I49" s="140"/>
      <c r="J49" s="140"/>
      <c r="K49" s="140"/>
    </row>
    <row r="51" spans="2:11" ht="19.5" customHeight="1" x14ac:dyDescent="0.25">
      <c r="B51" s="16" t="s">
        <v>45</v>
      </c>
      <c r="C51" s="11" t="s">
        <v>223</v>
      </c>
      <c r="D51" s="11"/>
      <c r="E51" s="11"/>
      <c r="F51" s="11"/>
      <c r="G51" s="11"/>
      <c r="H51" s="11"/>
      <c r="I51" s="11"/>
      <c r="J51" s="11"/>
      <c r="K51" s="11"/>
    </row>
    <row r="52" spans="2:11" ht="16.5" customHeight="1" x14ac:dyDescent="0.25">
      <c r="B52" s="141" t="s">
        <v>224</v>
      </c>
      <c r="C52" s="141"/>
      <c r="D52" s="141"/>
      <c r="E52" s="142" t="s">
        <v>225</v>
      </c>
      <c r="F52" s="142"/>
      <c r="G52" s="142"/>
      <c r="H52" s="143" t="s">
        <v>226</v>
      </c>
      <c r="I52" s="143"/>
      <c r="J52" s="143"/>
    </row>
    <row r="53" spans="2:11" ht="16.5" customHeight="1" x14ac:dyDescent="0.25">
      <c r="B53" s="144" t="s">
        <v>227</v>
      </c>
      <c r="C53" s="144"/>
      <c r="D53" s="144"/>
      <c r="E53" s="145" t="s">
        <v>228</v>
      </c>
      <c r="F53" s="145"/>
      <c r="G53" s="145"/>
      <c r="H53" s="146" t="s">
        <v>229</v>
      </c>
      <c r="I53" s="146"/>
      <c r="J53" s="146"/>
    </row>
    <row r="54" spans="2:11" ht="27.75" customHeight="1" x14ac:dyDescent="0.25">
      <c r="B54" s="147" t="s">
        <v>230</v>
      </c>
      <c r="C54" s="147"/>
      <c r="D54" s="147"/>
      <c r="E54" s="147"/>
      <c r="F54" s="147"/>
      <c r="G54" s="147"/>
      <c r="H54" s="147"/>
      <c r="I54" s="147"/>
      <c r="J54" s="147"/>
      <c r="K54" s="147"/>
    </row>
  </sheetData>
  <mergeCells count="26">
    <mergeCell ref="B53:D53"/>
    <mergeCell ref="E53:G53"/>
    <mergeCell ref="H53:J53"/>
    <mergeCell ref="B54:K54"/>
    <mergeCell ref="B47:K47"/>
    <mergeCell ref="B48:K48"/>
    <mergeCell ref="B49:K49"/>
    <mergeCell ref="C51:K51"/>
    <mergeCell ref="B52:D52"/>
    <mergeCell ref="E52:G52"/>
    <mergeCell ref="H52:J52"/>
    <mergeCell ref="C35:K35"/>
    <mergeCell ref="C43:K43"/>
    <mergeCell ref="B44:K44"/>
    <mergeCell ref="B45:K45"/>
    <mergeCell ref="B46:K46"/>
    <mergeCell ref="C10:F10"/>
    <mergeCell ref="C11:F11"/>
    <mergeCell ref="C12:F12"/>
    <mergeCell ref="C14:K14"/>
    <mergeCell ref="C22:K22"/>
    <mergeCell ref="B2:K4"/>
    <mergeCell ref="B5:K5"/>
    <mergeCell ref="C7:K7"/>
    <mergeCell ref="C8:F8"/>
    <mergeCell ref="C9:F9"/>
  </mergeCells>
  <pageMargins left="0.4" right="0.4" top="0.5" bottom="0.5" header="0.511811023622047" footer="0.511811023622047"/>
  <pageSetup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16</vt:i4>
      </vt:variant>
    </vt:vector>
  </HeadingPairs>
  <TitlesOfParts>
    <vt:vector size="20" baseType="lpstr">
      <vt:lpstr>Cockpit</vt:lpstr>
      <vt:lpstr>Schulungsplan</vt:lpstr>
      <vt:lpstr>Teilnahmen</vt:lpstr>
      <vt:lpstr>Stammdaten</vt:lpstr>
      <vt:lpstr>Abteilungen</vt:lpstr>
      <vt:lpstr>Berichtsjahr</vt:lpstr>
      <vt:lpstr>Schulungsplan!Drucktitel</vt:lpstr>
      <vt:lpstr>Teilnahmen!Drucktitel</vt:lpstr>
      <vt:lpstr>Kategorien</vt:lpstr>
      <vt:lpstr>Schulungsarten</vt:lpstr>
      <vt:lpstr>StatusSchulung</vt:lpstr>
      <vt:lpstr>StatusTeilnahme</vt:lpstr>
      <vt:lpstr>Stichtag</vt:lpstr>
      <vt:lpstr>Trainer</vt:lpstr>
      <vt:lpstr>Turnus_Liste</vt:lpstr>
      <vt:lpstr>Turnus_Monate</vt:lpstr>
      <vt:lpstr>Warnfrist_Gueltigkeit</vt:lpstr>
      <vt:lpstr>Warnfrist_Tage</vt:lpstr>
      <vt:lpstr>Ziel_Auslastung</vt:lpstr>
      <vt:lpstr>Ziel_Teilnahmequote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2026-07-28T08:10:06Z</dcterms:created>
  <dcterms:modified xsi:type="dcterms:W3CDTF">2026-07-28T08:29:16Z</dcterms:modified>
  <dc:language>en-US</dc:language>
</cp:coreProperties>
</file>