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tzplan" sheetId="1" state="visible" r:id="rId3"/>
    <sheet name="Gästeliste" sheetId="2" state="visible" r:id="rId4"/>
    <sheet name="Übersicht &amp; Stammdaten" sheetId="3" state="visible" r:id="rId5"/>
  </sheets>
  <definedNames>
    <definedName function="false" hidden="true" localSheetId="1" name="_xlnm._FilterDatabase" vbProcedure="false">Gästeliste!$B$10:$K$70</definedName>
    <definedName function="false" hidden="false" localSheetId="0" name="_xlnm.Print_Area" vbProcedure="false">Sitzplan!$A$1:$P$51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<sst xmlns="http://schemas.openxmlformats.org/spreadsheetml/2006/main" count="597" uniqueCount="208">
  <si>
    <t xml:space="preserve">SITZPLAN</t>
  </si>
  <si>
    <t xml:space="preserve">Tisch- und Platzzuweisung │ Veranstaltung 2026</t>
  </si>
  <si>
    <t xml:space="preserve">01 │ VERANSTALTUNG</t>
  </si>
  <si>
    <t xml:space="preserve">Veranstaltung</t>
  </si>
  <si>
    <t xml:space="preserve">Jahresempfang 2026</t>
  </si>
  <si>
    <t xml:space="preserve">Datum</t>
  </si>
  <si>
    <t xml:space="preserve">17.10.2026</t>
  </si>
  <si>
    <t xml:space="preserve">Ort</t>
  </si>
  <si>
    <t xml:space="preserve">Musterhalle Nordlicht</t>
  </si>
  <si>
    <t xml:space="preserve">Uhrzeit</t>
  </si>
  <si>
    <t xml:space="preserve">18:30 – 23:30</t>
  </si>
  <si>
    <t xml:space="preserve">Anlass</t>
  </si>
  <si>
    <t xml:space="preserve">Firmenveranstaltung</t>
  </si>
  <si>
    <t xml:space="preserve">Tische</t>
  </si>
  <si>
    <t xml:space="preserve">12 (à 8 Plätze)</t>
  </si>
  <si>
    <t xml:space="preserve">Ansprechpartner</t>
  </si>
  <si>
    <t xml:space="preserve">Ines Beck, Eventleitung</t>
  </si>
  <si>
    <t xml:space="preserve">Ansprechperson Catering</t>
  </si>
  <si>
    <t xml:space="preserve">K. Voß</t>
  </si>
  <si>
    <t xml:space="preserve">02 │ KENNZAHLEN</t>
  </si>
  <si>
    <t xml:space="preserve">Gäste</t>
  </si>
  <si>
    <t xml:space="preserve">Zusagen</t>
  </si>
  <si>
    <t xml:space="preserve">Ausstehend</t>
  </si>
  <si>
    <t xml:space="preserve">Absagen</t>
  </si>
  <si>
    <t xml:space="preserve">Zugewiesen</t>
  </si>
  <si>
    <t xml:space="preserve">Freie Plätze</t>
  </si>
  <si>
    <t xml:space="preserve">03 │ SUCHE &amp; LEGENDE</t>
  </si>
  <si>
    <t xml:space="preserve">Wer sitzt wo? — Name eingeben:</t>
  </si>
  <si>
    <t xml:space="preserve">Legende Menü:</t>
  </si>
  <si>
    <t xml:space="preserve">Anna Bauer</t>
  </si>
  <si>
    <t xml:space="preserve">Standard</t>
  </si>
  <si>
    <t xml:space="preserve">Vegetarisch</t>
  </si>
  <si>
    <t xml:space="preserve">Vegan</t>
  </si>
  <si>
    <t xml:space="preserve">Glutenfrei</t>
  </si>
  <si>
    <t xml:space="preserve">Halal</t>
  </si>
  <si>
    <t xml:space="preserve">Kind</t>
  </si>
  <si>
    <t xml:space="preserve">04 │ SITZPLAN — TISCHÜBERSICHT</t>
  </si>
  <si>
    <t xml:space="preserve">TISCH T-01</t>
  </si>
  <si>
    <t xml:space="preserve">TISCH T-02</t>
  </si>
  <si>
    <t xml:space="preserve">TISCH T-03</t>
  </si>
  <si>
    <t xml:space="preserve">P1</t>
  </si>
  <si>
    <t xml:space="preserve">P2</t>
  </si>
  <si>
    <t xml:space="preserve">P3</t>
  </si>
  <si>
    <t xml:space="preserve">P4</t>
  </si>
  <si>
    <t xml:space="preserve">P5</t>
  </si>
  <si>
    <t xml:space="preserve">P6</t>
  </si>
  <si>
    <t xml:space="preserve">P7</t>
  </si>
  <si>
    <t xml:space="preserve">P8</t>
  </si>
  <si>
    <t xml:space="preserve">TISCH T-04</t>
  </si>
  <si>
    <t xml:space="preserve">TISCH T-05</t>
  </si>
  <si>
    <t xml:space="preserve">TISCH T-06</t>
  </si>
  <si>
    <t xml:space="preserve">TISCH T-07</t>
  </si>
  <si>
    <t xml:space="preserve">TISCH T-08</t>
  </si>
  <si>
    <t xml:space="preserve">TISCH T-09</t>
  </si>
  <si>
    <t xml:space="preserve">TISCH T-10</t>
  </si>
  <si>
    <t xml:space="preserve">TISCH T-11</t>
  </si>
  <si>
    <t xml:space="preserve">TISCH T-12</t>
  </si>
  <si>
    <t xml:space="preserve">GÄSTELISTE</t>
  </si>
  <si>
    <t xml:space="preserve">Zuweisung, Menü und Zusagen</t>
  </si>
  <si>
    <t xml:space="preserve">Gäste erfasst</t>
  </si>
  <si>
    <t xml:space="preserve">GÄSTE</t>
  </si>
  <si>
    <t xml:space="preserve">Nr</t>
  </si>
  <si>
    <t xml:space="preserve">Name</t>
  </si>
  <si>
    <t xml:space="preserve">Firma / Gruppe</t>
  </si>
  <si>
    <t xml:space="preserve">Kategorie</t>
  </si>
  <si>
    <t xml:space="preserve">Menü</t>
  </si>
  <si>
    <t xml:space="preserve">Tisch</t>
  </si>
  <si>
    <t xml:space="preserve">Platz</t>
  </si>
  <si>
    <t xml:space="preserve">Zusage</t>
  </si>
  <si>
    <t xml:space="preserve">Bemerkung</t>
  </si>
  <si>
    <t xml:space="preserve">Key</t>
  </si>
  <si>
    <t xml:space="preserve">Musterfirma AG</t>
  </si>
  <si>
    <t xml:space="preserve">Gast</t>
  </si>
  <si>
    <t xml:space="preserve">T-01</t>
  </si>
  <si>
    <t xml:space="preserve">Zugesagt</t>
  </si>
  <si>
    <t xml:space="preserve">Ben Wagner</t>
  </si>
  <si>
    <t xml:space="preserve">Clara Fischer</t>
  </si>
  <si>
    <t xml:space="preserve">David Krüger</t>
  </si>
  <si>
    <t xml:space="preserve">Eva Müller</t>
  </si>
  <si>
    <t xml:space="preserve">Felix Neumann</t>
  </si>
  <si>
    <t xml:space="preserve">Greta Schäfer</t>
  </si>
  <si>
    <t xml:space="preserve">Hannes Vogt</t>
  </si>
  <si>
    <t xml:space="preserve">Dr. Ina Berger</t>
  </si>
  <si>
    <t xml:space="preserve">Vorstand</t>
  </si>
  <si>
    <t xml:space="preserve">VIP</t>
  </si>
  <si>
    <t xml:space="preserve">T-02</t>
  </si>
  <si>
    <t xml:space="preserve">Empfang mit Rede</t>
  </si>
  <si>
    <t xml:space="preserve">Prof. Jonas Kraft</t>
  </si>
  <si>
    <t xml:space="preserve">Ehrengast</t>
  </si>
  <si>
    <t xml:space="preserve">Katrin Voß</t>
  </si>
  <si>
    <t xml:space="preserve">Leon Hoffmann</t>
  </si>
  <si>
    <t xml:space="preserve">Aufsichtsrat</t>
  </si>
  <si>
    <t xml:space="preserve">Mia Zimmermann</t>
  </si>
  <si>
    <t xml:space="preserve">Glutenfrei streng</t>
  </si>
  <si>
    <t xml:space="preserve">Nils Braun</t>
  </si>
  <si>
    <t xml:space="preserve">Olivia Schmidt</t>
  </si>
  <si>
    <t xml:space="preserve">Paul Weiss</t>
  </si>
  <si>
    <t xml:space="preserve">Quirin Lang</t>
  </si>
  <si>
    <t xml:space="preserve">Team Nord</t>
  </si>
  <si>
    <t xml:space="preserve">T-03</t>
  </si>
  <si>
    <t xml:space="preserve">Rosa Frei</t>
  </si>
  <si>
    <t xml:space="preserve">Simon Bach</t>
  </si>
  <si>
    <t xml:space="preserve">Tanja Reuter</t>
  </si>
  <si>
    <t xml:space="preserve">Uwe Kern</t>
  </si>
  <si>
    <t xml:space="preserve">Vera Adam</t>
  </si>
  <si>
    <t xml:space="preserve">Wilhelm Fuchs</t>
  </si>
  <si>
    <t xml:space="preserve">Partnerunternehmen</t>
  </si>
  <si>
    <t xml:space="preserve">Redner</t>
  </si>
  <si>
    <t xml:space="preserve">T-04</t>
  </si>
  <si>
    <t xml:space="preserve">Impulsvortrag</t>
  </si>
  <si>
    <t xml:space="preserve">Xenia Roth</t>
  </si>
  <si>
    <t xml:space="preserve">Yannick Peters</t>
  </si>
  <si>
    <t xml:space="preserve">Zoe Lindner</t>
  </si>
  <si>
    <t xml:space="preserve">Amir Hassan</t>
  </si>
  <si>
    <t xml:space="preserve">Beate Kramer</t>
  </si>
  <si>
    <t xml:space="preserve">Christoph Neu</t>
  </si>
  <si>
    <t xml:space="preserve">Kunden</t>
  </si>
  <si>
    <t xml:space="preserve">T-05</t>
  </si>
  <si>
    <t xml:space="preserve">Doris Berg</t>
  </si>
  <si>
    <t xml:space="preserve">Emil Winter</t>
  </si>
  <si>
    <t xml:space="preserve">Fabian Groß</t>
  </si>
  <si>
    <t xml:space="preserve">Gudrun Sommer</t>
  </si>
  <si>
    <t xml:space="preserve">Abgesagt</t>
  </si>
  <si>
    <t xml:space="preserve">Erkrankt</t>
  </si>
  <si>
    <t xml:space="preserve">Heiko Frank</t>
  </si>
  <si>
    <t xml:space="preserve">Marketing</t>
  </si>
  <si>
    <t xml:space="preserve">Personal</t>
  </si>
  <si>
    <t xml:space="preserve">T-06</t>
  </si>
  <si>
    <t xml:space="preserve">Ines Beck</t>
  </si>
  <si>
    <t xml:space="preserve">Jens Meyer</t>
  </si>
  <si>
    <t xml:space="preserve">Kim Lindenberg</t>
  </si>
  <si>
    <t xml:space="preserve">Lars Petersen</t>
  </si>
  <si>
    <t xml:space="preserve">Nachbarn</t>
  </si>
  <si>
    <t xml:space="preserve">T-07</t>
  </si>
  <si>
    <t xml:space="preserve">Meike Sander</t>
  </si>
  <si>
    <t xml:space="preserve">Noah Kirsch</t>
  </si>
  <si>
    <t xml:space="preserve">Kindermenü</t>
  </si>
  <si>
    <t xml:space="preserve">8 Jahre</t>
  </si>
  <si>
    <t xml:space="preserve">Ophelia Haas</t>
  </si>
  <si>
    <t xml:space="preserve">6 Jahre</t>
  </si>
  <si>
    <t xml:space="preserve">Piero Rossi</t>
  </si>
  <si>
    <t xml:space="preserve">Internationale Partner</t>
  </si>
  <si>
    <t xml:space="preserve">T-08</t>
  </si>
  <si>
    <t xml:space="preserve">Quim Torres</t>
  </si>
  <si>
    <t xml:space="preserve">Ruth Anders</t>
  </si>
  <si>
    <t xml:space="preserve">Zöliakie</t>
  </si>
  <si>
    <t xml:space="preserve">Selim Aydin</t>
  </si>
  <si>
    <t xml:space="preserve">Tobias Merz</t>
  </si>
  <si>
    <t xml:space="preserve">Verwaltung</t>
  </si>
  <si>
    <t xml:space="preserve">T-09</t>
  </si>
  <si>
    <t xml:space="preserve">Ulla Sanders</t>
  </si>
  <si>
    <t xml:space="preserve">Viktor Diehl</t>
  </si>
  <si>
    <t xml:space="preserve">Wanda Ehlers</t>
  </si>
  <si>
    <t xml:space="preserve">Freie Mitarbeiter</t>
  </si>
  <si>
    <t xml:space="preserve">Tischwunsch offen</t>
  </si>
  <si>
    <t xml:space="preserve">Xaver Rott</t>
  </si>
  <si>
    <t xml:space="preserve">Yasmin Kohl</t>
  </si>
  <si>
    <t xml:space="preserve">Noch nicht zugewiesen</t>
  </si>
  <si>
    <t xml:space="preserve">ÜBERSICHT &amp; STAMMDATEN</t>
  </si>
  <si>
    <t xml:space="preserve">Auswertung │ Parameter │ Anleitung</t>
  </si>
  <si>
    <t xml:space="preserve">01 │ KENNZAHLEN</t>
  </si>
  <si>
    <t xml:space="preserve">Ausstehend / Abs.</t>
  </si>
  <si>
    <t xml:space="preserve">Belegungsquote</t>
  </si>
  <si>
    <t xml:space="preserve">02 │ TISCHBELEGUNG</t>
  </si>
  <si>
    <t xml:space="preserve">Kapazität</t>
  </si>
  <si>
    <t xml:space="preserve">Belegt</t>
  </si>
  <si>
    <t xml:space="preserve">Frei</t>
  </si>
  <si>
    <t xml:space="preserve">Belegung</t>
  </si>
  <si>
    <t xml:space="preserve">T-10</t>
  </si>
  <si>
    <t xml:space="preserve">T-11</t>
  </si>
  <si>
    <t xml:space="preserve">T-12</t>
  </si>
  <si>
    <t xml:space="preserve">SUMME</t>
  </si>
  <si>
    <t xml:space="preserve">03 │ MENÜ- &amp; KATEGORIE-AUSWERTUNG</t>
  </si>
  <si>
    <t xml:space="preserve">Gesamt</t>
  </si>
  <si>
    <t xml:space="preserve">Summe</t>
  </si>
  <si>
    <t xml:space="preserve">04 │ PRÜFHINWEISE</t>
  </si>
  <si>
    <t xml:space="preserve">Feststellung</t>
  </si>
  <si>
    <t xml:space="preserve">Status</t>
  </si>
  <si>
    <t xml:space="preserve">Hinweis</t>
  </si>
  <si>
    <t xml:space="preserve">Alle Zusagen haben Tisch &amp; Platz</t>
  </si>
  <si>
    <t xml:space="preserve">Zugesagte Gäste ohne Tisch/Platz zuweisen.</t>
  </si>
  <si>
    <t xml:space="preserve">Keine doppelten Platzbelegungen</t>
  </si>
  <si>
    <t xml:space="preserve">Jeder Tisch/Platz darf nur einmal vergeben sein.</t>
  </si>
  <si>
    <t xml:space="preserve">Tischkapazität eingehalten (≤ 8)</t>
  </si>
  <si>
    <t xml:space="preserve">Kein Tisch darf mehr als 8 Personen haben.</t>
  </si>
  <si>
    <t xml:space="preserve">Menü für alle Zusagen erfasst</t>
  </si>
  <si>
    <t xml:space="preserve">Zugesagte Gäste brauchen eine Menüangabe.</t>
  </si>
  <si>
    <t xml:space="preserve">VIP-Gäste sitzen (nicht offen)</t>
  </si>
  <si>
    <t xml:space="preserve">VIP-Gäste sollten fest zugewiesen sein.</t>
  </si>
  <si>
    <t xml:space="preserve">Keine offenen Zusagen mehr</t>
  </si>
  <si>
    <t xml:space="preserve">Für endgültige Planung sollten alle Zusagen final sein.</t>
  </si>
  <si>
    <t xml:space="preserve">05 │ GRAFISCHE AUSWERTUNG</t>
  </si>
  <si>
    <t xml:space="preserve">06 │ STAMMDATEN &amp; ANLEITUNG</t>
  </si>
  <si>
    <t xml:space="preserve">Kategorien</t>
  </si>
  <si>
    <t xml:space="preserve">Menüs</t>
  </si>
  <si>
    <t xml:space="preserve">Zusage-Status</t>
  </si>
  <si>
    <t xml:space="preserve">Anleitung</t>
  </si>
  <si>
    <t xml:space="preserve">1. Veranstaltungsdaten und Tischanzahl auf dem Sitzplan festlegen.</t>
  </si>
  <si>
    <t xml:space="preserve">2. Gäste in der Gästeliste mit Kategorie, Menü und Zusage erfassen.</t>
  </si>
  <si>
    <t xml:space="preserve">3. Jedem Gast einen Tisch (T-01 bis T-12) und einen Platz (1–8) zuweisen.</t>
  </si>
  <si>
    <t xml:space="preserve">4. Sitzplan visuell prüfen und Belegung pro Tisch kontrollieren.</t>
  </si>
  <si>
    <t xml:space="preserve">5. Über "Wer sitzt wo?" einzelne Gäste schnell wiederfinden.</t>
  </si>
  <si>
    <t xml:space="preserve">6. Prüfhinweise durchgehen und bei Bedarf nachpflegen.</t>
  </si>
  <si>
    <t xml:space="preserve">Kein Menü</t>
  </si>
  <si>
    <t xml:space="preserve">7. Ausdruck an Location &amp; Catering weitergeben (Landscape-Druck).</t>
  </si>
  <si>
    <t xml:space="preserve">Farblegende</t>
  </si>
  <si>
    <t xml:space="preserve">Eingabezelle</t>
  </si>
  <si>
    <t xml:space="preserve">Berechnung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</si>
</sst>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General"/>
    <numFmt numFmtId="167" formatCode="@"/>
    <numFmt numFmtId="168" formatCode="0%"/>
  </numFmts>
  <fonts count="4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E0BE7A"/>
      <name val="Calibri"/>
      <family val="0"/>
      <charset val="1"/>
    </font>
    <font>
      <b val="true"/>
      <sz val="11"/>
      <color rgb="FF2A3138"/>
      <name val="Calibri"/>
      <family val="0"/>
      <charset val="1"/>
    </font>
    <font>
      <b val="true"/>
      <sz val="9"/>
      <color rgb="FF2A3138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8"/>
      <color rgb="FF6B6B6B"/>
      <name val="Calibri"/>
      <family val="0"/>
      <charset val="1"/>
    </font>
    <font>
      <b val="true"/>
      <sz val="20"/>
      <color rgb="FF2A3138"/>
      <name val="Calibri"/>
      <family val="0"/>
      <charset val="1"/>
    </font>
    <font>
      <b val="true"/>
      <sz val="20"/>
      <color rgb="FF1E7A3D"/>
      <name val="Calibri"/>
      <family val="0"/>
      <charset val="1"/>
    </font>
    <font>
      <b val="true"/>
      <sz val="20"/>
      <color rgb="FFC69024"/>
      <name val="Calibri"/>
      <family val="0"/>
      <charset val="1"/>
    </font>
    <font>
      <b val="true"/>
      <sz val="20"/>
      <color rgb="FFB03A28"/>
      <name val="Calibri"/>
      <family val="0"/>
      <charset val="1"/>
    </font>
    <font>
      <b val="true"/>
      <sz val="20"/>
      <color rgb="FF106A52"/>
      <name val="Calibri"/>
      <family val="0"/>
      <charset val="1"/>
    </font>
    <font>
      <b val="true"/>
      <sz val="20"/>
      <color rgb="FFC29A4A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1"/>
      <color rgb="FF106A52"/>
      <name val="Calibri"/>
      <family val="0"/>
      <charset val="1"/>
    </font>
    <font>
      <b val="true"/>
      <sz val="9"/>
      <color rgb="FF3D6B2E"/>
      <name val="Calibri"/>
      <family val="0"/>
      <charset val="1"/>
    </font>
    <font>
      <b val="true"/>
      <sz val="9"/>
      <color rgb="FF1E5122"/>
      <name val="Calibri"/>
      <family val="0"/>
      <charset val="1"/>
    </font>
    <font>
      <b val="true"/>
      <sz val="9"/>
      <color rgb="FF8A5A0C"/>
      <name val="Calibri"/>
      <family val="0"/>
      <charset val="1"/>
    </font>
    <font>
      <b val="true"/>
      <sz val="9"/>
      <color rgb="FF4A3070"/>
      <name val="Calibri"/>
      <family val="0"/>
      <charset val="1"/>
    </font>
    <font>
      <b val="true"/>
      <sz val="9"/>
      <color rgb="FFB03A28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8"/>
      <color rgb="FF6B6B6B"/>
      <name val="Calibri"/>
      <family val="0"/>
      <charset val="1"/>
    </font>
    <font>
      <sz val="9"/>
      <color rgb="FF000000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i val="true"/>
      <sz val="10"/>
      <color rgb="FFE0BE7A"/>
      <name val="Calibri"/>
      <family val="0"/>
      <charset val="1"/>
    </font>
    <font>
      <b val="true"/>
      <sz val="18"/>
      <color rgb="FF106A52"/>
      <name val="Calibri"/>
      <family val="0"/>
      <charset val="1"/>
    </font>
    <font>
      <b val="true"/>
      <sz val="10"/>
      <color rgb="FF2A3138"/>
      <name val="Calibri"/>
      <family val="0"/>
      <charset val="1"/>
    </font>
    <font>
      <sz val="9"/>
      <color rgb="FF6B6B6B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i val="true"/>
      <sz val="9"/>
      <color rgb="FF6B6B6B"/>
      <name val="Calibri"/>
      <family val="0"/>
      <charset val="1"/>
    </font>
    <font>
      <b val="true"/>
      <sz val="20"/>
      <color rgb="FF2E9375"/>
      <name val="Calibri"/>
      <family val="0"/>
      <charset val="1"/>
    </font>
    <font>
      <b val="true"/>
      <sz val="9"/>
      <color rgb="FF00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9"/>
      <color rgb="FF000000"/>
      <name val="Calibri"/>
      <family val="0"/>
      <charset val="1"/>
    </font>
    <font>
      <b val="true"/>
      <sz val="9"/>
      <color rgb="FF6B6B6B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2A3138"/>
        <bgColor rgb="FF3E464F"/>
      </patternFill>
    </fill>
    <fill>
      <patternFill patternType="solid">
        <fgColor rgb="FFC29A4A"/>
        <bgColor rgb="FFC69024"/>
      </patternFill>
    </fill>
    <fill>
      <patternFill patternType="solid">
        <fgColor rgb="FFFFF6D6"/>
        <bgColor rgb="FFFBF0D9"/>
      </patternFill>
    </fill>
    <fill>
      <patternFill patternType="solid">
        <fgColor rgb="FFFBF7EC"/>
        <bgColor rgb="FFF9F5EA"/>
      </patternFill>
    </fill>
    <fill>
      <patternFill patternType="solid">
        <fgColor rgb="FFEFECE3"/>
        <bgColor rgb="FFF1EFE7"/>
      </patternFill>
    </fill>
    <fill>
      <patternFill patternType="solid">
        <fgColor rgb="FFE8ECEF"/>
        <bgColor rgb="FFEFECE3"/>
      </patternFill>
    </fill>
    <fill>
      <patternFill patternType="solid">
        <fgColor rgb="FFD5E8D0"/>
        <bgColor rgb="FFDAEDD9"/>
      </patternFill>
    </fill>
    <fill>
      <patternFill patternType="solid">
        <fgColor rgb="FFBEE0B5"/>
        <bgColor rgb="FFD5E8D0"/>
      </patternFill>
    </fill>
    <fill>
      <patternFill patternType="solid">
        <fgColor rgb="FFF3E2B7"/>
        <bgColor rgb="FFFBEBC8"/>
      </patternFill>
    </fill>
    <fill>
      <patternFill patternType="solid">
        <fgColor rgb="FFE0D7EC"/>
        <bgColor rgb="FFD9D9D9"/>
      </patternFill>
    </fill>
    <fill>
      <patternFill patternType="solid">
        <fgColor rgb="FFF9DAD0"/>
        <bgColor rgb="FFF4DAD3"/>
      </patternFill>
    </fill>
    <fill>
      <patternFill patternType="solid">
        <fgColor rgb="FFFFFFFF"/>
        <bgColor rgb="FFFBF7EC"/>
      </patternFill>
    </fill>
    <fill>
      <patternFill patternType="solid">
        <fgColor rgb="FF106A52"/>
        <bgColor rgb="FF1E7A3D"/>
      </patternFill>
    </fill>
    <fill>
      <patternFill patternType="solid">
        <fgColor rgb="FFF9F5EA"/>
        <bgColor rgb="FFFBF7EC"/>
      </patternFill>
    </fill>
    <fill>
      <patternFill patternType="solid">
        <fgColor rgb="FFF1EFE7"/>
        <bgColor rgb="FFEFECE3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2A3138"/>
      </bottom>
      <diagonal/>
    </border>
    <border diagonalUp="false" diagonalDown="false">
      <left/>
      <right/>
      <top/>
      <bottom style="thin">
        <color rgb="FFD8D2C4"/>
      </bottom>
      <diagonal/>
    </border>
    <border diagonalUp="false" diagonalDown="false">
      <left style="thin">
        <color rgb="FFD8D2C4"/>
      </left>
      <right/>
      <top style="medium">
        <color rgb="FFC29A4A"/>
      </top>
      <bottom/>
      <diagonal/>
    </border>
    <border diagonalUp="false" diagonalDown="false">
      <left style="thin">
        <color rgb="FFD8D2C4"/>
      </left>
      <right/>
      <top/>
      <bottom style="thin">
        <color rgb="FFD8D2C4"/>
      </bottom>
      <diagonal/>
    </border>
    <border diagonalUp="false" diagonalDown="false">
      <left style="thin">
        <color rgb="FFD8D2C4"/>
      </left>
      <right/>
      <top style="thin">
        <color rgb="FFD8D2C4"/>
      </top>
      <bottom style="thin">
        <color rgb="FFD8D2C4"/>
      </bottom>
      <diagonal/>
    </border>
    <border diagonalUp="false" diagonalDown="false">
      <left style="thin">
        <color rgb="FFD8D2C4"/>
      </left>
      <right style="thin">
        <color rgb="FFD8D2C4"/>
      </right>
      <top style="thin">
        <color rgb="FFD8D2C4"/>
      </top>
      <bottom style="thin">
        <color rgb="FFD8D2C4"/>
      </bottom>
      <diagonal/>
    </border>
    <border diagonalUp="false" diagonalDown="false">
      <left style="thin">
        <color rgb="FFD8D2C4"/>
      </left>
      <right style="thin">
        <color rgb="FFD8D2C4"/>
      </right>
      <top style="thin">
        <color rgb="FFD8D2C4"/>
      </top>
      <bottom/>
      <diagonal/>
    </border>
    <border diagonalUp="false" diagonalDown="false">
      <left style="thin">
        <color rgb="FFD8D2C4"/>
      </left>
      <right style="thin">
        <color rgb="FFD8D2C4"/>
      </right>
      <top/>
      <bottom style="thin">
        <color rgb="FFD8D2C4"/>
      </bottom>
      <diagonal/>
    </border>
    <border diagonalUp="false" diagonalDown="false">
      <left style="thin">
        <color rgb="FFD8D2C4"/>
      </left>
      <right style="thin">
        <color rgb="FFD8D2C4"/>
      </right>
      <top style="medium">
        <color rgb="FFC29A4A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4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11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1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1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8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9" fillId="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9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9" fillId="5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2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34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5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5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3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5" fillId="1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1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1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11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1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5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8" fillId="1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8">
    <dxf>
      <fill>
        <patternFill>
          <bgColor rgb="FFE8ECEF"/>
        </patternFill>
      </fill>
    </dxf>
    <dxf>
      <fill>
        <patternFill>
          <bgColor rgb="FFD5E8D0"/>
        </patternFill>
      </fill>
    </dxf>
    <dxf>
      <fill>
        <patternFill>
          <bgColor rgb="FFBEE0B5"/>
        </patternFill>
      </fill>
    </dxf>
    <dxf>
      <fill>
        <patternFill>
          <bgColor rgb="FFF3E2B7"/>
        </patternFill>
      </fill>
    </dxf>
    <dxf>
      <fill>
        <patternFill>
          <bgColor rgb="FFE0D7EC"/>
        </patternFill>
      </fill>
    </dxf>
    <dxf>
      <fill>
        <patternFill>
          <bgColor rgb="FFF9DAD0"/>
        </patternFill>
      </fill>
    </dxf>
    <dxf>
      <font>
        <name val="Calibri"/>
        <charset val="1"/>
        <family val="0"/>
        <i val="1"/>
        <color rgb="FF6B6B6B"/>
        <sz val="9"/>
      </font>
      <fill>
        <patternFill>
          <bgColor rgb="FFEFECE3"/>
        </patternFill>
      </fill>
    </dxf>
    <dxf>
      <font>
        <name val="Calibri"/>
        <charset val="1"/>
        <family val="0"/>
        <b val="1"/>
        <color rgb="FFC29A4A"/>
        <sz val="9"/>
      </font>
    </dxf>
    <dxf>
      <fill>
        <patternFill patternType="solid">
          <fgColor rgb="FF2A3138"/>
          <bgColor rgb="FF000000"/>
        </patternFill>
      </fill>
    </dxf>
    <dxf>
      <fill>
        <patternFill patternType="solid">
          <fgColor rgb="FFF9F5E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B6B6B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BF0D9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2E9375"/>
          <bgColor rgb="FF000000"/>
        </patternFill>
      </fill>
    </dxf>
    <dxf>
      <fill>
        <patternFill patternType="solid">
          <fgColor rgb="FF3E464F"/>
          <bgColor rgb="FF000000"/>
        </patternFill>
      </fill>
    </dxf>
    <dxf>
      <fill>
        <patternFill patternType="solid">
          <fgColor rgb="FFC29A4A"/>
          <bgColor rgb="FF000000"/>
        </patternFill>
      </fill>
    </dxf>
    <dxf>
      <fill>
        <patternFill patternType="solid">
          <fgColor rgb="FFF9DAD0"/>
          <bgColor rgb="FF000000"/>
        </patternFill>
      </fill>
    </dxf>
    <dxf>
      <fill>
        <patternFill patternType="solid">
          <fgColor rgb="FFB03A28"/>
          <bgColor rgb="FF000000"/>
        </patternFill>
      </fill>
    </dxf>
    <dxf>
      <fill>
        <patternFill patternType="solid">
          <fgColor rgb="FFBEE0B5"/>
          <bgColor rgb="FF000000"/>
        </patternFill>
      </fill>
    </dxf>
    <dxf>
      <fill>
        <patternFill patternType="solid">
          <fgColor rgb="FFD5E8D0"/>
          <bgColor rgb="FF000000"/>
        </patternFill>
      </fill>
    </dxf>
    <dxf>
      <fill>
        <patternFill patternType="solid">
          <fgColor rgb="FFE0D7EC"/>
          <bgColor rgb="FF000000"/>
        </patternFill>
      </fill>
    </dxf>
    <dxf>
      <fill>
        <patternFill patternType="solid">
          <fgColor rgb="FFE8ECEF"/>
          <bgColor rgb="FF000000"/>
        </patternFill>
      </fill>
    </dxf>
    <dxf>
      <fill>
        <patternFill patternType="solid">
          <fgColor rgb="FFF3E2B7"/>
          <bgColor rgb="FF000000"/>
        </patternFill>
      </fill>
    </dxf>
    <dxf>
      <fill>
        <patternFill patternType="solid">
          <fgColor rgb="FF1E5122"/>
          <bgColor rgb="FF000000"/>
        </patternFill>
      </fill>
    </dxf>
    <dxf>
      <fill>
        <patternFill patternType="solid">
          <fgColor rgb="FF3D6B2E"/>
          <bgColor rgb="FF000000"/>
        </patternFill>
      </fill>
    </dxf>
    <dxf>
      <fill>
        <patternFill patternType="solid">
          <fgColor rgb="FF4A3070"/>
          <bgColor rgb="FF000000"/>
        </patternFill>
      </fill>
    </dxf>
    <dxf>
      <fill>
        <patternFill patternType="solid">
          <fgColor rgb="FF8A5A0C"/>
          <bgColor rgb="FF000000"/>
        </patternFill>
      </fill>
    </dxf>
    <dxf>
      <fill>
        <patternFill patternType="solid">
          <fgColor rgb="FFDAEDD9"/>
          <bgColor rgb="FF000000"/>
        </patternFill>
      </fill>
    </dxf>
    <dxf>
      <fill>
        <patternFill patternType="solid">
          <fgColor rgb="FFF4DAD3"/>
          <bgColor rgb="FF000000"/>
        </patternFill>
      </fill>
    </dxf>
    <dxf>
      <fill>
        <patternFill patternType="solid">
          <fgColor rgb="FFFBEBC8"/>
          <bgColor rgb="FF000000"/>
        </patternFill>
      </fill>
    </dxf>
    <dxf>
      <fill>
        <patternFill patternType="solid">
          <fgColor rgb="FF1E7A3D"/>
          <bgColor rgb="FF000000"/>
        </patternFill>
      </fill>
    </dxf>
    <dxf>
      <fill>
        <patternFill patternType="solid">
          <fgColor rgb="FFC69024"/>
          <bgColor rgb="FF000000"/>
        </patternFill>
      </fill>
    </dxf>
    <dxf>
      <font>
        <name val="Calibri"/>
        <charset val="1"/>
        <family val="0"/>
        <b val="1"/>
        <color rgb="FFFFFFFF"/>
        <sz val="9"/>
      </font>
      <fill>
        <patternFill>
          <bgColor rgb="FFC29A4A"/>
        </patternFill>
      </fill>
    </dxf>
    <dxf>
      <font>
        <name val="Calibri"/>
        <charset val="1"/>
        <family val="0"/>
        <b val="1"/>
        <color rgb="FFFFFFFF"/>
        <sz val="9"/>
      </font>
      <fill>
        <patternFill>
          <bgColor rgb="FF2E9375"/>
        </patternFill>
      </fill>
    </dxf>
    <dxf>
      <font>
        <name val="Calibri"/>
        <charset val="1"/>
        <family val="0"/>
        <b val="1"/>
        <color rgb="FFFFFFFF"/>
        <sz val="9"/>
      </font>
      <fill>
        <patternFill>
          <bgColor rgb="FF3E464F"/>
        </patternFill>
      </fill>
    </dxf>
    <dxf>
      <font>
        <name val="Calibri"/>
        <charset val="1"/>
        <family val="0"/>
        <b val="1"/>
        <color rgb="FFB03A28"/>
        <sz val="9"/>
      </font>
      <fill>
        <patternFill>
          <bgColor rgb="FFF9DAD0"/>
        </patternFill>
      </fill>
    </dxf>
    <dxf>
      <font>
        <name val="Calibri"/>
        <charset val="1"/>
        <family val="0"/>
        <b val="1"/>
        <color rgb="FF2A3138"/>
        <sz val="9"/>
      </font>
      <fill>
        <patternFill>
          <bgColor rgb="FFE8ECEF"/>
        </patternFill>
      </fill>
    </dxf>
    <dxf>
      <font>
        <name val="Calibri"/>
        <charset val="1"/>
        <family val="0"/>
        <b val="1"/>
        <color rgb="FF3D6B2E"/>
        <sz val="9"/>
      </font>
      <fill>
        <patternFill>
          <bgColor rgb="FFD5E8D0"/>
        </patternFill>
      </fill>
    </dxf>
    <dxf>
      <font>
        <name val="Calibri"/>
        <charset val="1"/>
        <family val="0"/>
        <b val="1"/>
        <color rgb="FF1E5122"/>
        <sz val="9"/>
      </font>
      <fill>
        <patternFill>
          <bgColor rgb="FFBEE0B5"/>
        </patternFill>
      </fill>
    </dxf>
    <dxf>
      <font>
        <name val="Calibri"/>
        <charset val="1"/>
        <family val="0"/>
        <b val="1"/>
        <color rgb="FF8A5A0C"/>
        <sz val="9"/>
      </font>
      <fill>
        <patternFill>
          <bgColor rgb="FFF3E2B7"/>
        </patternFill>
      </fill>
    </dxf>
    <dxf>
      <font>
        <name val="Calibri"/>
        <charset val="1"/>
        <family val="0"/>
        <b val="1"/>
        <color rgb="FF4A3070"/>
        <sz val="9"/>
      </font>
      <fill>
        <patternFill>
          <bgColor rgb="FFE0D7EC"/>
        </patternFill>
      </fill>
    </dxf>
    <dxf>
      <font>
        <name val="Calibri"/>
        <charset val="1"/>
        <family val="0"/>
        <b val="1"/>
        <color rgb="FF1E7A3D"/>
        <sz val="9"/>
      </font>
      <fill>
        <patternFill>
          <bgColor rgb="FFDAEDD9"/>
        </patternFill>
      </fill>
    </dxf>
    <dxf>
      <font>
        <name val="Calibri"/>
        <charset val="1"/>
        <family val="0"/>
        <b val="1"/>
        <color rgb="FFB03A28"/>
        <sz val="9"/>
      </font>
      <fill>
        <patternFill>
          <bgColor rgb="FFF4DAD3"/>
        </patternFill>
      </fill>
    </dxf>
    <dxf>
      <font>
        <name val="Calibri"/>
        <charset val="1"/>
        <family val="0"/>
        <b val="1"/>
        <color rgb="FFC69024"/>
        <sz val="9"/>
      </font>
      <fill>
        <patternFill>
          <bgColor rgb="FFFBEBC8"/>
        </patternFill>
      </fill>
    </dxf>
    <dxf>
      <fill>
        <patternFill>
          <bgColor rgb="FFFBF0D9"/>
        </patternFill>
      </fill>
    </dxf>
    <dxf>
      <fill>
        <patternFill>
          <bgColor rgb="FFF9F5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BF0D9"/>
      <rgbColor rgb="FFFF00FF"/>
      <rgbColor rgb="FFF1EFE7"/>
      <rgbColor rgb="FF800000"/>
      <rgbColor rgb="FF1E7A3D"/>
      <rgbColor rgb="FF000080"/>
      <rgbColor rgb="FF8A5A0C"/>
      <rgbColor rgb="FF800080"/>
      <rgbColor rgb="FF106A52"/>
      <rgbColor rgb="FFD8D2C4"/>
      <rgbColor rgb="FF878787"/>
      <rgbColor rgb="FF8877A8"/>
      <rgbColor rgb="FF993366"/>
      <rgbColor rgb="FFFFF6D6"/>
      <rgbColor rgb="FFE8ECEF"/>
      <rgbColor rgb="FF660066"/>
      <rgbColor rgb="FFC29A4A"/>
      <rgbColor rgb="FF0066CC"/>
      <rgbColor rgb="FFE0D7EC"/>
      <rgbColor rgb="FF000080"/>
      <rgbColor rgb="FFFF00FF"/>
      <rgbColor rgb="FFF9DAD0"/>
      <rgbColor rgb="FFF9F5EA"/>
      <rgbColor rgb="FF800080"/>
      <rgbColor rgb="FF800000"/>
      <rgbColor rgb="FF3D7A46"/>
      <rgbColor rgb="FF0000FF"/>
      <rgbColor rgb="FFFBF7EC"/>
      <rgbColor rgb="FFD5E8D0"/>
      <rgbColor rgb="FFDAEDD9"/>
      <rgbColor rgb="FFFBEBC8"/>
      <rgbColor rgb="FFBEE0B5"/>
      <rgbColor rgb="FFE0BE7A"/>
      <rgbColor rgb="FFD9D9D9"/>
      <rgbColor rgb="FFF3E2B7"/>
      <rgbColor rgb="FF4F81BD"/>
      <rgbColor rgb="FFEFECE3"/>
      <rgbColor rgb="FF6A9E58"/>
      <rgbColor rgb="FFD6B25E"/>
      <rgbColor rgb="FFC69024"/>
      <rgbColor rgb="FFF4DAD3"/>
      <rgbColor rgb="FF6B6B6B"/>
      <rgbColor rgb="FFA0A6AB"/>
      <rgbColor rgb="FF3E464F"/>
      <rgbColor rgb="FF2E9375"/>
      <rgbColor rgb="FF3D6B2E"/>
      <rgbColor rgb="FF1E5122"/>
      <rgbColor rgb="FFB03A28"/>
      <rgbColor rgb="FF993366"/>
      <rgbColor rgb="FF4A3070"/>
      <rgbColor rgb="FF2A31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Tischbelegung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'Übersicht &amp; Stammdaten'!D13</c:f>
              <c:strCache>
                <c:ptCount val="1"/>
                <c:pt idx="0">
                  <c:v>Belegt</c:v>
                </c:pt>
              </c:strCache>
            </c:strRef>
          </c:tx>
          <c:spPr>
            <a:solidFill>
              <a:srgbClr val="106a52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'Übersicht &amp; Stammdaten'!$B$14:$B$25</c:f>
              <c:strCache>
                <c:ptCount val="12"/>
                <c:pt idx="0">
                  <c:v>T-01</c:v>
                </c:pt>
                <c:pt idx="1">
                  <c:v>T-02</c:v>
                </c:pt>
                <c:pt idx="2">
                  <c:v>T-03</c:v>
                </c:pt>
                <c:pt idx="3">
                  <c:v>T-04</c:v>
                </c:pt>
                <c:pt idx="4">
                  <c:v>T-05</c:v>
                </c:pt>
                <c:pt idx="5">
                  <c:v>T-06</c:v>
                </c:pt>
                <c:pt idx="6">
                  <c:v>T-07</c:v>
                </c:pt>
                <c:pt idx="7">
                  <c:v>T-08</c:v>
                </c:pt>
                <c:pt idx="8">
                  <c:v>T-09</c:v>
                </c:pt>
                <c:pt idx="9">
                  <c:v>T-10</c:v>
                </c:pt>
                <c:pt idx="10">
                  <c:v>T-11</c:v>
                </c:pt>
                <c:pt idx="11">
                  <c:v>T-12</c:v>
                </c:pt>
              </c:strCache>
            </c:strRef>
          </c:cat>
          <c:val>
            <c:numRef>
              <c:f>'Übersicht &amp; Stammdaten'!$D$14:$D$25</c:f>
              <c:numCache>
                <c:formatCode>General</c:formatCode>
                <c:ptCount val="12"/>
                <c:pt idx="0">
                  <c:v>8</c:v>
                </c:pt>
                <c:pt idx="1">
                  <c:v>8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gapWidth val="150"/>
        <c:overlap val="0"/>
        <c:axId val="2921496"/>
        <c:axId val="29046503"/>
      </c:barChart>
      <c:catAx>
        <c:axId val="292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046503"/>
        <c:crosses val="autoZero"/>
        <c:auto val="1"/>
        <c:lblAlgn val="ctr"/>
        <c:lblOffset val="100"/>
        <c:noMultiLvlLbl val="0"/>
      </c:catAx>
      <c:valAx>
        <c:axId val="2904650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2149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Menüverteilung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'Übersicht &amp; Stammdaten'!E29</c:f>
              <c:strCache>
                <c:ptCount val="1"/>
                <c:pt idx="0">
                  <c:v>Gesamt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a0a6ab"/>
              </a:solidFill>
              <a:ln w="0">
                <a:noFill/>
              </a:ln>
            </c:spPr>
          </c:dPt>
          <c:dPt>
            <c:idx val="1"/>
            <c:spPr>
              <a:solidFill>
                <a:srgbClr val="6a9e58"/>
              </a:solidFill>
              <a:ln w="0">
                <a:noFill/>
              </a:ln>
            </c:spPr>
          </c:dPt>
          <c:dPt>
            <c:idx val="2"/>
            <c:spPr>
              <a:solidFill>
                <a:srgbClr val="3d7a46"/>
              </a:solidFill>
              <a:ln w="0">
                <a:noFill/>
              </a:ln>
            </c:spPr>
          </c:dPt>
          <c:dPt>
            <c:idx val="3"/>
            <c:spPr>
              <a:solidFill>
                <a:srgbClr val="d6b25e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877a8"/>
              </a:solidFill>
              <a:ln w="0">
                <a:noFill/>
              </a:ln>
            </c:spPr>
          </c:dPt>
          <c:dPt>
            <c:idx val="5"/>
            <c:spPr>
              <a:solidFill>
                <a:srgbClr val="b03a28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'Übersicht &amp; Stammdaten'!$B$30:$B$35</c:f>
              <c:strCache>
                <c:ptCount val="6"/>
                <c:pt idx="0">
                  <c:v>Standard</c:v>
                </c:pt>
                <c:pt idx="1">
                  <c:v>Vegetarisch</c:v>
                </c:pt>
                <c:pt idx="2">
                  <c:v>Vegan</c:v>
                </c:pt>
                <c:pt idx="3">
                  <c:v>Glutenfrei</c:v>
                </c:pt>
                <c:pt idx="4">
                  <c:v>Halal</c:v>
                </c:pt>
                <c:pt idx="5">
                  <c:v>Kindermenü</c:v>
                </c:pt>
              </c:strCache>
            </c:strRef>
          </c:cat>
          <c:val>
            <c:numRef>
              <c:f>'Übersicht &amp; Stammdaten'!$E$30:$E$35</c:f>
              <c:numCache>
                <c:formatCode>General</c:formatCode>
                <c:ptCount val="6"/>
                <c:pt idx="0">
                  <c:v>30</c:v>
                </c:pt>
                <c:pt idx="1">
                  <c:v>10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48</xdr:row>
      <xdr:rowOff>0</xdr:rowOff>
    </xdr:from>
    <xdr:to>
      <xdr:col>7</xdr:col>
      <xdr:colOff>669600</xdr:colOff>
      <xdr:row>65</xdr:row>
      <xdr:rowOff>1080</xdr:rowOff>
    </xdr:to>
    <xdr:graphicFrame>
      <xdr:nvGraphicFramePr>
        <xdr:cNvPr id="0" name="Chart 1"/>
        <xdr:cNvGraphicFramePr/>
      </xdr:nvGraphicFramePr>
      <xdr:xfrm>
        <a:off x="211320" y="11391840"/>
        <a:ext cx="503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48</xdr:row>
      <xdr:rowOff>0</xdr:rowOff>
    </xdr:from>
    <xdr:to>
      <xdr:col>11</xdr:col>
      <xdr:colOff>286560</xdr:colOff>
      <xdr:row>65</xdr:row>
      <xdr:rowOff>1080</xdr:rowOff>
    </xdr:to>
    <xdr:graphicFrame>
      <xdr:nvGraphicFramePr>
        <xdr:cNvPr id="1" name="Chart 2"/>
        <xdr:cNvGraphicFramePr/>
      </xdr:nvGraphicFramePr>
      <xdr:xfrm>
        <a:off x="4581360" y="11391840"/>
        <a:ext cx="359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49"/>
  <sheetViews>
    <sheetView showFormulas="false" showGridLines="fals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5" min="2" style="0" width="13"/>
    <col collapsed="false" customWidth="true" hidden="false" outlineLevel="0" max="6" min="6" style="0" width="2"/>
    <col collapsed="false" customWidth="true" hidden="false" outlineLevel="0" max="10" min="7" style="0" width="13"/>
    <col collapsed="false" customWidth="true" hidden="false" outlineLevel="0" max="11" min="11" style="0" width="2"/>
    <col collapsed="false" customWidth="true" hidden="false" outlineLevel="0" max="15" min="12" style="0" width="13"/>
    <col collapsed="false" customWidth="true" hidden="false" outlineLevel="0" max="16" min="16" style="0" width="3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33.75" hidden="false" customHeight="true" outlineLevel="0" collapsed="false">
      <c r="A2" s="1"/>
      <c r="B2" s="2" t="s">
        <v>0</v>
      </c>
      <c r="C2" s="2"/>
      <c r="D2" s="2"/>
      <c r="E2" s="2"/>
      <c r="F2" s="2"/>
      <c r="G2" s="2"/>
      <c r="H2" s="2"/>
      <c r="I2" s="3" t="s">
        <v>1</v>
      </c>
      <c r="J2" s="3"/>
      <c r="K2" s="3"/>
      <c r="L2" s="3"/>
      <c r="M2" s="3"/>
      <c r="N2" s="3"/>
      <c r="O2" s="3"/>
      <c r="P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customFormat="false" ht="3.7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customFormat="false" ht="7.5" hidden="false" customHeight="true" outlineLevel="0" collapsed="false"/>
    <row r="6" customFormat="false" ht="21.75" hidden="false" customHeight="true" outlineLevel="0" collapsed="false">
      <c r="B6" s="5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8" customFormat="false" ht="18" hidden="false" customHeight="true" outlineLevel="0" collapsed="false">
      <c r="B8" s="6" t="s">
        <v>3</v>
      </c>
      <c r="C8" s="7" t="s">
        <v>4</v>
      </c>
      <c r="D8" s="7"/>
      <c r="E8" s="7"/>
      <c r="F8" s="7"/>
      <c r="H8" s="6" t="s">
        <v>5</v>
      </c>
      <c r="I8" s="7" t="s">
        <v>6</v>
      </c>
      <c r="J8" s="7"/>
      <c r="K8" s="7"/>
      <c r="L8" s="7"/>
      <c r="M8" s="7"/>
      <c r="N8" s="7"/>
      <c r="O8" s="7"/>
    </row>
    <row r="9" customFormat="false" ht="18" hidden="false" customHeight="true" outlineLevel="0" collapsed="false">
      <c r="B9" s="6" t="s">
        <v>7</v>
      </c>
      <c r="C9" s="7" t="s">
        <v>8</v>
      </c>
      <c r="D9" s="7"/>
      <c r="E9" s="7"/>
      <c r="F9" s="7"/>
      <c r="H9" s="6" t="s">
        <v>9</v>
      </c>
      <c r="I9" s="7" t="s">
        <v>10</v>
      </c>
      <c r="J9" s="7"/>
      <c r="K9" s="7"/>
      <c r="L9" s="7"/>
      <c r="M9" s="7"/>
      <c r="N9" s="7"/>
      <c r="O9" s="7"/>
    </row>
    <row r="10" customFormat="false" ht="18" hidden="false" customHeight="true" outlineLevel="0" collapsed="false">
      <c r="B10" s="6" t="s">
        <v>11</v>
      </c>
      <c r="C10" s="7" t="s">
        <v>12</v>
      </c>
      <c r="D10" s="7"/>
      <c r="E10" s="7"/>
      <c r="F10" s="7"/>
      <c r="H10" s="6" t="s">
        <v>13</v>
      </c>
      <c r="I10" s="7" t="s">
        <v>14</v>
      </c>
      <c r="J10" s="7"/>
      <c r="K10" s="7"/>
      <c r="L10" s="7"/>
      <c r="M10" s="7"/>
      <c r="N10" s="7"/>
      <c r="O10" s="7"/>
    </row>
    <row r="11" customFormat="false" ht="18" hidden="false" customHeight="true" outlineLevel="0" collapsed="false">
      <c r="B11" s="6" t="s">
        <v>15</v>
      </c>
      <c r="C11" s="7" t="s">
        <v>16</v>
      </c>
      <c r="D11" s="7"/>
      <c r="E11" s="7"/>
      <c r="F11" s="7"/>
      <c r="H11" s="6" t="s">
        <v>17</v>
      </c>
      <c r="I11" s="7" t="s">
        <v>18</v>
      </c>
      <c r="J11" s="7"/>
      <c r="K11" s="7"/>
      <c r="L11" s="7"/>
      <c r="M11" s="7"/>
      <c r="N11" s="7"/>
      <c r="O11" s="7"/>
    </row>
    <row r="12" customFormat="false" ht="7.5" hidden="false" customHeight="true" outlineLevel="0" collapsed="false"/>
    <row r="13" customFormat="false" ht="21.75" hidden="false" customHeight="true" outlineLevel="0" collapsed="false">
      <c r="B13" s="5" t="s">
        <v>19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customFormat="false" ht="18" hidden="false" customHeight="true" outlineLevel="0" collapsed="false">
      <c r="B14" s="8" t="s">
        <v>20</v>
      </c>
      <c r="C14" s="8"/>
      <c r="D14" s="8" t="s">
        <v>21</v>
      </c>
      <c r="E14" s="8"/>
      <c r="G14" s="8" t="s">
        <v>22</v>
      </c>
      <c r="H14" s="8"/>
      <c r="I14" s="8" t="s">
        <v>23</v>
      </c>
      <c r="J14" s="8"/>
      <c r="L14" s="8" t="s">
        <v>24</v>
      </c>
      <c r="M14" s="8"/>
      <c r="N14" s="8" t="s">
        <v>25</v>
      </c>
      <c r="O14" s="8"/>
    </row>
    <row r="15" customFormat="false" ht="31.5" hidden="false" customHeight="true" outlineLevel="0" collapsed="false">
      <c r="B15" s="9" t="n">
        <f aca="false">COUNTA(Gästeliste!C11:C70)</f>
        <v>51</v>
      </c>
      <c r="C15" s="9"/>
      <c r="D15" s="10" t="n">
        <f aca="false">COUNTIF(Gästeliste!I11:I70,"Zugesagt")</f>
        <v>42</v>
      </c>
      <c r="E15" s="10"/>
      <c r="G15" s="11" t="n">
        <f aca="false">COUNTIF(Gästeliste!I11:I70,"Ausstehend")</f>
        <v>8</v>
      </c>
      <c r="H15" s="11"/>
      <c r="I15" s="12" t="n">
        <f aca="false">COUNTIF(Gästeliste!I11:I70,"Abgesagt")</f>
        <v>1</v>
      </c>
      <c r="J15" s="12"/>
      <c r="L15" s="13" t="n">
        <f aca="false">COUNTIFS(Gästeliste!G11:G70,"&lt;&gt;",Gästeliste!H11:H70,"&lt;&gt;")</f>
        <v>48</v>
      </c>
      <c r="M15" s="13"/>
      <c r="N15" s="14" t="n">
        <f aca="false">96-COUNTIFS(Gästeliste!G11:G70,"&lt;&gt;",Gästeliste!H11:H70,"&lt;&gt;")</f>
        <v>48</v>
      </c>
      <c r="O15" s="14"/>
    </row>
    <row r="16" customFormat="false" ht="7.5" hidden="false" customHeight="true" outlineLevel="0" collapsed="false"/>
    <row r="17" customFormat="false" ht="21.75" hidden="false" customHeight="true" outlineLevel="0" collapsed="false">
      <c r="B17" s="5" t="s">
        <v>26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customFormat="false" ht="18" hidden="false" customHeight="true" outlineLevel="0" collapsed="false">
      <c r="B18" s="15" t="s">
        <v>27</v>
      </c>
      <c r="C18" s="15"/>
      <c r="D18" s="15"/>
      <c r="E18" s="15"/>
      <c r="G18" s="15" t="s">
        <v>28</v>
      </c>
      <c r="H18" s="15"/>
      <c r="I18" s="15"/>
      <c r="J18" s="15"/>
      <c r="K18" s="15"/>
      <c r="L18" s="15"/>
      <c r="M18" s="15"/>
      <c r="N18" s="15"/>
      <c r="O18" s="15"/>
    </row>
    <row r="19" customFormat="false" ht="30" hidden="false" customHeight="true" outlineLevel="0" collapsed="false">
      <c r="B19" s="16" t="s">
        <v>29</v>
      </c>
      <c r="C19" s="16"/>
      <c r="D19" s="17" t="str">
        <f aca="false">IFERROR("Tisch "&amp;VLOOKUP($B$19,Gästeliste!$C$11:$K$70,5,FALSE()),"—")</f>
        <v>Tisch T-01</v>
      </c>
      <c r="E19" s="17" t="str">
        <f aca="false">IFERROR("Platz "&amp;VLOOKUP($B$19,Gästeliste!$C$11:$K$70,6,FALSE()),"—")</f>
        <v>Platz 1</v>
      </c>
      <c r="G19" s="18" t="s">
        <v>30</v>
      </c>
      <c r="H19" s="19" t="s">
        <v>31</v>
      </c>
      <c r="I19" s="20" t="s">
        <v>32</v>
      </c>
      <c r="J19" s="21" t="s">
        <v>33</v>
      </c>
      <c r="L19" s="22" t="s">
        <v>34</v>
      </c>
      <c r="M19" s="23" t="s">
        <v>35</v>
      </c>
    </row>
    <row r="20" customFormat="false" ht="7.5" hidden="false" customHeight="true" outlineLevel="0" collapsed="false"/>
    <row r="21" customFormat="false" ht="21.75" hidden="false" customHeight="true" outlineLevel="0" collapsed="false">
      <c r="B21" s="5" t="s">
        <v>36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3" customFormat="false" ht="21.75" hidden="false" customHeight="true" outlineLevel="0" collapsed="false">
      <c r="B23" s="24" t="s">
        <v>37</v>
      </c>
      <c r="C23" s="24"/>
      <c r="D23" s="24"/>
      <c r="E23" s="24"/>
      <c r="G23" s="24" t="s">
        <v>38</v>
      </c>
      <c r="H23" s="24"/>
      <c r="I23" s="24"/>
      <c r="J23" s="24"/>
      <c r="L23" s="24" t="s">
        <v>39</v>
      </c>
      <c r="M23" s="24"/>
      <c r="N23" s="24"/>
      <c r="O23" s="24"/>
    </row>
    <row r="24" customFormat="false" ht="13.5" hidden="false" customHeight="true" outlineLevel="0" collapsed="false">
      <c r="B24" s="25" t="s">
        <v>40</v>
      </c>
      <c r="C24" s="25" t="s">
        <v>41</v>
      </c>
      <c r="D24" s="25" t="s">
        <v>42</v>
      </c>
      <c r="E24" s="25" t="s">
        <v>43</v>
      </c>
      <c r="G24" s="25" t="s">
        <v>40</v>
      </c>
      <c r="H24" s="25" t="s">
        <v>41</v>
      </c>
      <c r="I24" s="25" t="s">
        <v>42</v>
      </c>
      <c r="J24" s="25" t="s">
        <v>43</v>
      </c>
      <c r="L24" s="25" t="s">
        <v>40</v>
      </c>
      <c r="M24" s="25" t="s">
        <v>41</v>
      </c>
      <c r="N24" s="25" t="s">
        <v>42</v>
      </c>
      <c r="O24" s="25" t="s">
        <v>43</v>
      </c>
    </row>
    <row r="25" customFormat="false" ht="30" hidden="false" customHeight="true" outlineLevel="0" collapsed="false">
      <c r="B25" s="26" t="str">
        <f aca="false">IFERROR(INDEX(Gästeliste!$C$11:$C$70,MATCH("T-01|1",Gästeliste!$K$11:$K$70,0)),"frei")</f>
        <v>Anna Bauer</v>
      </c>
      <c r="C25" s="26" t="str">
        <f aca="false">IFERROR(INDEX(Gästeliste!$C$11:$C$70,MATCH("T-01|2",Gästeliste!$K$11:$K$70,0)),"frei")</f>
        <v>Ben Wagner</v>
      </c>
      <c r="D25" s="26" t="str">
        <f aca="false">IFERROR(INDEX(Gästeliste!$C$11:$C$70,MATCH("T-01|3",Gästeliste!$K$11:$K$70,0)),"frei")</f>
        <v>Clara Fischer</v>
      </c>
      <c r="E25" s="26" t="str">
        <f aca="false">IFERROR(INDEX(Gästeliste!$C$11:$C$70,MATCH("T-01|4",Gästeliste!$K$11:$K$70,0)),"frei")</f>
        <v>David Krüger</v>
      </c>
      <c r="G25" s="26" t="str">
        <f aca="false">IFERROR(INDEX(Gästeliste!$C$11:$C$70,MATCH("T-02|1",Gästeliste!$K$11:$K$70,0)),"frei")</f>
        <v>Dr. Ina Berger</v>
      </c>
      <c r="H25" s="26" t="str">
        <f aca="false">IFERROR(INDEX(Gästeliste!$C$11:$C$70,MATCH("T-02|2",Gästeliste!$K$11:$K$70,0)),"frei")</f>
        <v>Prof. Jonas Kraft</v>
      </c>
      <c r="I25" s="26" t="str">
        <f aca="false">IFERROR(INDEX(Gästeliste!$C$11:$C$70,MATCH("T-02|3",Gästeliste!$K$11:$K$70,0)),"frei")</f>
        <v>Katrin Voß</v>
      </c>
      <c r="J25" s="26" t="str">
        <f aca="false">IFERROR(INDEX(Gästeliste!$C$11:$C$70,MATCH("T-02|4",Gästeliste!$K$11:$K$70,0)),"frei")</f>
        <v>Leon Hoffmann</v>
      </c>
      <c r="L25" s="26" t="str">
        <f aca="false">IFERROR(INDEX(Gästeliste!$C$11:$C$70,MATCH("T-03|1",Gästeliste!$K$11:$K$70,0)),"frei")</f>
        <v>Quirin Lang</v>
      </c>
      <c r="M25" s="26" t="str">
        <f aca="false">IFERROR(INDEX(Gästeliste!$C$11:$C$70,MATCH("T-03|2",Gästeliste!$K$11:$K$70,0)),"frei")</f>
        <v>Rosa Frei</v>
      </c>
      <c r="N25" s="26" t="str">
        <f aca="false">IFERROR(INDEX(Gästeliste!$C$11:$C$70,MATCH("T-03|3",Gästeliste!$K$11:$K$70,0)),"frei")</f>
        <v>Simon Bach</v>
      </c>
      <c r="O25" s="26" t="str">
        <f aca="false">IFERROR(INDEX(Gästeliste!$C$11:$C$70,MATCH("T-03|4",Gästeliste!$K$11:$K$70,0)),"frei")</f>
        <v>Tanja Reuter</v>
      </c>
    </row>
    <row r="26" customFormat="false" ht="13.5" hidden="false" customHeight="true" outlineLevel="0" collapsed="false">
      <c r="B26" s="25" t="s">
        <v>44</v>
      </c>
      <c r="C26" s="25" t="s">
        <v>45</v>
      </c>
      <c r="D26" s="25" t="s">
        <v>46</v>
      </c>
      <c r="E26" s="25" t="s">
        <v>47</v>
      </c>
      <c r="G26" s="25" t="s">
        <v>44</v>
      </c>
      <c r="H26" s="25" t="s">
        <v>45</v>
      </c>
      <c r="I26" s="25" t="s">
        <v>46</v>
      </c>
      <c r="J26" s="25" t="s">
        <v>47</v>
      </c>
      <c r="L26" s="25" t="s">
        <v>44</v>
      </c>
      <c r="M26" s="25" t="s">
        <v>45</v>
      </c>
      <c r="N26" s="25" t="s">
        <v>46</v>
      </c>
      <c r="O26" s="25" t="s">
        <v>47</v>
      </c>
    </row>
    <row r="27" customFormat="false" ht="30" hidden="false" customHeight="true" outlineLevel="0" collapsed="false">
      <c r="B27" s="26" t="str">
        <f aca="false">IFERROR(INDEX(Gästeliste!$C$11:$C$70,MATCH("T-01|5",Gästeliste!$K$11:$K$70,0)),"frei")</f>
        <v>Eva Müller</v>
      </c>
      <c r="C27" s="26" t="str">
        <f aca="false">IFERROR(INDEX(Gästeliste!$C$11:$C$70,MATCH("T-01|6",Gästeliste!$K$11:$K$70,0)),"frei")</f>
        <v>Felix Neumann</v>
      </c>
      <c r="D27" s="26" t="str">
        <f aca="false">IFERROR(INDEX(Gästeliste!$C$11:$C$70,MATCH("T-01|7",Gästeliste!$K$11:$K$70,0)),"frei")</f>
        <v>Greta Schäfer</v>
      </c>
      <c r="E27" s="26" t="str">
        <f aca="false">IFERROR(INDEX(Gästeliste!$C$11:$C$70,MATCH("T-01|8",Gästeliste!$K$11:$K$70,0)),"frei")</f>
        <v>Hannes Vogt</v>
      </c>
      <c r="G27" s="26" t="str">
        <f aca="false">IFERROR(INDEX(Gästeliste!$C$11:$C$70,MATCH("T-02|5",Gästeliste!$K$11:$K$70,0)),"frei")</f>
        <v>Mia Zimmermann</v>
      </c>
      <c r="H27" s="26" t="str">
        <f aca="false">IFERROR(INDEX(Gästeliste!$C$11:$C$70,MATCH("T-02|6",Gästeliste!$K$11:$K$70,0)),"frei")</f>
        <v>Nils Braun</v>
      </c>
      <c r="I27" s="26" t="str">
        <f aca="false">IFERROR(INDEX(Gästeliste!$C$11:$C$70,MATCH("T-02|7",Gästeliste!$K$11:$K$70,0)),"frei")</f>
        <v>Olivia Schmidt</v>
      </c>
      <c r="J27" s="26" t="str">
        <f aca="false">IFERROR(INDEX(Gästeliste!$C$11:$C$70,MATCH("T-02|8",Gästeliste!$K$11:$K$70,0)),"frei")</f>
        <v>Paul Weiss</v>
      </c>
      <c r="L27" s="26" t="str">
        <f aca="false">IFERROR(INDEX(Gästeliste!$C$11:$C$70,MATCH("T-03|5",Gästeliste!$K$11:$K$70,0)),"frei")</f>
        <v>Uwe Kern</v>
      </c>
      <c r="M27" s="26" t="str">
        <f aca="false">IFERROR(INDEX(Gästeliste!$C$11:$C$70,MATCH("T-03|6",Gästeliste!$K$11:$K$70,0)),"frei")</f>
        <v>Vera Adam</v>
      </c>
      <c r="N27" s="26" t="str">
        <f aca="false">IFERROR(INDEX(Gästeliste!$C$11:$C$70,MATCH("T-03|7",Gästeliste!$K$11:$K$70,0)),"frei")</f>
        <v>frei</v>
      </c>
      <c r="O27" s="26" t="str">
        <f aca="false">IFERROR(INDEX(Gästeliste!$C$11:$C$70,MATCH("T-03|8",Gästeliste!$K$11:$K$70,0)),"frei")</f>
        <v>frei</v>
      </c>
    </row>
    <row r="28" customFormat="false" ht="18" hidden="false" customHeight="true" outlineLevel="0" collapsed="false">
      <c r="B28" s="27" t="str">
        <f aca="false">"Belegung: "&amp;COUNTIF(Gästeliste!$G$11:$G$70,"T-01")&amp;" / 8"</f>
        <v>Belegung: 8 / 8</v>
      </c>
      <c r="C28" s="27"/>
      <c r="D28" s="27"/>
      <c r="E28" s="27"/>
      <c r="G28" s="27" t="str">
        <f aca="false">"Belegung: "&amp;COUNTIF(Gästeliste!$G$11:$G$70,"T-02")&amp;" / 8"</f>
        <v>Belegung: 8 / 8</v>
      </c>
      <c r="H28" s="27"/>
      <c r="I28" s="27"/>
      <c r="J28" s="27"/>
      <c r="L28" s="27" t="str">
        <f aca="false">"Belegung: "&amp;COUNTIF(Gästeliste!$G$11:$G$70,"T-03")&amp;" / 8"</f>
        <v>Belegung: 6 / 8</v>
      </c>
      <c r="M28" s="27"/>
      <c r="N28" s="27"/>
      <c r="O28" s="27"/>
    </row>
    <row r="30" customFormat="false" ht="21.75" hidden="false" customHeight="true" outlineLevel="0" collapsed="false">
      <c r="B30" s="24" t="s">
        <v>48</v>
      </c>
      <c r="C30" s="24"/>
      <c r="D30" s="24"/>
      <c r="E30" s="24"/>
      <c r="G30" s="24" t="s">
        <v>49</v>
      </c>
      <c r="H30" s="24"/>
      <c r="I30" s="24"/>
      <c r="J30" s="24"/>
      <c r="L30" s="24" t="s">
        <v>50</v>
      </c>
      <c r="M30" s="24"/>
      <c r="N30" s="24"/>
      <c r="O30" s="24"/>
    </row>
    <row r="31" customFormat="false" ht="13.5" hidden="false" customHeight="true" outlineLevel="0" collapsed="false">
      <c r="B31" s="25" t="s">
        <v>40</v>
      </c>
      <c r="C31" s="25" t="s">
        <v>41</v>
      </c>
      <c r="D31" s="25" t="s">
        <v>42</v>
      </c>
      <c r="E31" s="25" t="s">
        <v>43</v>
      </c>
      <c r="G31" s="25" t="s">
        <v>40</v>
      </c>
      <c r="H31" s="25" t="s">
        <v>41</v>
      </c>
      <c r="I31" s="25" t="s">
        <v>42</v>
      </c>
      <c r="J31" s="25" t="s">
        <v>43</v>
      </c>
      <c r="L31" s="25" t="s">
        <v>40</v>
      </c>
      <c r="M31" s="25" t="s">
        <v>41</v>
      </c>
      <c r="N31" s="25" t="s">
        <v>42</v>
      </c>
      <c r="O31" s="25" t="s">
        <v>43</v>
      </c>
    </row>
    <row r="32" customFormat="false" ht="30" hidden="false" customHeight="true" outlineLevel="0" collapsed="false">
      <c r="B32" s="26" t="str">
        <f aca="false">IFERROR(INDEX(Gästeliste!$C$11:$C$70,MATCH("T-04|1",Gästeliste!$K$11:$K$70,0)),"frei")</f>
        <v>Wilhelm Fuchs</v>
      </c>
      <c r="C32" s="26" t="str">
        <f aca="false">IFERROR(INDEX(Gästeliste!$C$11:$C$70,MATCH("T-04|2",Gästeliste!$K$11:$K$70,0)),"frei")</f>
        <v>Xenia Roth</v>
      </c>
      <c r="D32" s="26" t="str">
        <f aca="false">IFERROR(INDEX(Gästeliste!$C$11:$C$70,MATCH("T-04|3",Gästeliste!$K$11:$K$70,0)),"frei")</f>
        <v>Yannick Peters</v>
      </c>
      <c r="E32" s="26" t="str">
        <f aca="false">IFERROR(INDEX(Gästeliste!$C$11:$C$70,MATCH("T-04|4",Gästeliste!$K$11:$K$70,0)),"frei")</f>
        <v>Zoe Lindner</v>
      </c>
      <c r="G32" s="26" t="str">
        <f aca="false">IFERROR(INDEX(Gästeliste!$C$11:$C$70,MATCH("T-05|1",Gästeliste!$K$11:$K$70,0)),"frei")</f>
        <v>Christoph Neu</v>
      </c>
      <c r="H32" s="26" t="str">
        <f aca="false">IFERROR(INDEX(Gästeliste!$C$11:$C$70,MATCH("T-05|2",Gästeliste!$K$11:$K$70,0)),"frei")</f>
        <v>Doris Berg</v>
      </c>
      <c r="I32" s="26" t="str">
        <f aca="false">IFERROR(INDEX(Gästeliste!$C$11:$C$70,MATCH("T-05|3",Gästeliste!$K$11:$K$70,0)),"frei")</f>
        <v>Emil Winter</v>
      </c>
      <c r="J32" s="26" t="str">
        <f aca="false">IFERROR(INDEX(Gästeliste!$C$11:$C$70,MATCH("T-05|4",Gästeliste!$K$11:$K$70,0)),"frei")</f>
        <v>Fabian Groß</v>
      </c>
      <c r="L32" s="26" t="str">
        <f aca="false">IFERROR(INDEX(Gästeliste!$C$11:$C$70,MATCH("T-06|1",Gästeliste!$K$11:$K$70,0)),"frei")</f>
        <v>Heiko Frank</v>
      </c>
      <c r="M32" s="26" t="str">
        <f aca="false">IFERROR(INDEX(Gästeliste!$C$11:$C$70,MATCH("T-06|2",Gästeliste!$K$11:$K$70,0)),"frei")</f>
        <v>Ines Beck</v>
      </c>
      <c r="N32" s="26" t="str">
        <f aca="false">IFERROR(INDEX(Gästeliste!$C$11:$C$70,MATCH("T-06|3",Gästeliste!$K$11:$K$70,0)),"frei")</f>
        <v>Jens Meyer</v>
      </c>
      <c r="O32" s="26" t="str">
        <f aca="false">IFERROR(INDEX(Gästeliste!$C$11:$C$70,MATCH("T-06|4",Gästeliste!$K$11:$K$70,0)),"frei")</f>
        <v>Kim Lindenberg</v>
      </c>
    </row>
    <row r="33" customFormat="false" ht="13.5" hidden="false" customHeight="true" outlineLevel="0" collapsed="false">
      <c r="B33" s="25" t="s">
        <v>44</v>
      </c>
      <c r="C33" s="25" t="s">
        <v>45</v>
      </c>
      <c r="D33" s="25" t="s">
        <v>46</v>
      </c>
      <c r="E33" s="25" t="s">
        <v>47</v>
      </c>
      <c r="G33" s="25" t="s">
        <v>44</v>
      </c>
      <c r="H33" s="25" t="s">
        <v>45</v>
      </c>
      <c r="I33" s="25" t="s">
        <v>46</v>
      </c>
      <c r="J33" s="25" t="s">
        <v>47</v>
      </c>
      <c r="L33" s="25" t="s">
        <v>44</v>
      </c>
      <c r="M33" s="25" t="s">
        <v>45</v>
      </c>
      <c r="N33" s="25" t="s">
        <v>46</v>
      </c>
      <c r="O33" s="25" t="s">
        <v>47</v>
      </c>
    </row>
    <row r="34" customFormat="false" ht="30" hidden="false" customHeight="true" outlineLevel="0" collapsed="false">
      <c r="B34" s="26" t="str">
        <f aca="false">IFERROR(INDEX(Gästeliste!$C$11:$C$70,MATCH("T-04|5",Gästeliste!$K$11:$K$70,0)),"frei")</f>
        <v>Amir Hassan</v>
      </c>
      <c r="C34" s="26" t="str">
        <f aca="false">IFERROR(INDEX(Gästeliste!$C$11:$C$70,MATCH("T-04|6",Gästeliste!$K$11:$K$70,0)),"frei")</f>
        <v>Beate Kramer</v>
      </c>
      <c r="D34" s="26" t="str">
        <f aca="false">IFERROR(INDEX(Gästeliste!$C$11:$C$70,MATCH("T-04|7",Gästeliste!$K$11:$K$70,0)),"frei")</f>
        <v>frei</v>
      </c>
      <c r="E34" s="26" t="str">
        <f aca="false">IFERROR(INDEX(Gästeliste!$C$11:$C$70,MATCH("T-04|8",Gästeliste!$K$11:$K$70,0)),"frei")</f>
        <v>frei</v>
      </c>
      <c r="G34" s="26" t="str">
        <f aca="false">IFERROR(INDEX(Gästeliste!$C$11:$C$70,MATCH("T-05|5",Gästeliste!$K$11:$K$70,0)),"frei")</f>
        <v>Gudrun Sommer</v>
      </c>
      <c r="H34" s="26" t="str">
        <f aca="false">IFERROR(INDEX(Gästeliste!$C$11:$C$70,MATCH("T-05|6",Gästeliste!$K$11:$K$70,0)),"frei")</f>
        <v>frei</v>
      </c>
      <c r="I34" s="26" t="str">
        <f aca="false">IFERROR(INDEX(Gästeliste!$C$11:$C$70,MATCH("T-05|7",Gästeliste!$K$11:$K$70,0)),"frei")</f>
        <v>frei</v>
      </c>
      <c r="J34" s="26" t="str">
        <f aca="false">IFERROR(INDEX(Gästeliste!$C$11:$C$70,MATCH("T-05|8",Gästeliste!$K$11:$K$70,0)),"frei")</f>
        <v>frei</v>
      </c>
      <c r="L34" s="26" t="str">
        <f aca="false">IFERROR(INDEX(Gästeliste!$C$11:$C$70,MATCH("T-06|5",Gästeliste!$K$11:$K$70,0)),"frei")</f>
        <v>frei</v>
      </c>
      <c r="M34" s="26" t="str">
        <f aca="false">IFERROR(INDEX(Gästeliste!$C$11:$C$70,MATCH("T-06|6",Gästeliste!$K$11:$K$70,0)),"frei")</f>
        <v>frei</v>
      </c>
      <c r="N34" s="26" t="str">
        <f aca="false">IFERROR(INDEX(Gästeliste!$C$11:$C$70,MATCH("T-06|7",Gästeliste!$K$11:$K$70,0)),"frei")</f>
        <v>frei</v>
      </c>
      <c r="O34" s="26" t="str">
        <f aca="false">IFERROR(INDEX(Gästeliste!$C$11:$C$70,MATCH("T-06|8",Gästeliste!$K$11:$K$70,0)),"frei")</f>
        <v>frei</v>
      </c>
    </row>
    <row r="35" customFormat="false" ht="18" hidden="false" customHeight="true" outlineLevel="0" collapsed="false">
      <c r="B35" s="27" t="str">
        <f aca="false">"Belegung: "&amp;COUNTIF(Gästeliste!$G$11:$G$70,"T-04")&amp;" / 8"</f>
        <v>Belegung: 6 / 8</v>
      </c>
      <c r="C35" s="27"/>
      <c r="D35" s="27"/>
      <c r="E35" s="27"/>
      <c r="G35" s="27" t="str">
        <f aca="false">"Belegung: "&amp;COUNTIF(Gästeliste!$G$11:$G$70,"T-05")&amp;" / 8"</f>
        <v>Belegung: 5 / 8</v>
      </c>
      <c r="H35" s="27"/>
      <c r="I35" s="27"/>
      <c r="J35" s="27"/>
      <c r="L35" s="27" t="str">
        <f aca="false">"Belegung: "&amp;COUNTIF(Gästeliste!$G$11:$G$70,"T-06")&amp;" / 8"</f>
        <v>Belegung: 4 / 8</v>
      </c>
      <c r="M35" s="27"/>
      <c r="N35" s="27"/>
      <c r="O35" s="27"/>
    </row>
    <row r="37" customFormat="false" ht="21.75" hidden="false" customHeight="true" outlineLevel="0" collapsed="false">
      <c r="B37" s="24" t="s">
        <v>51</v>
      </c>
      <c r="C37" s="24"/>
      <c r="D37" s="24"/>
      <c r="E37" s="24"/>
      <c r="G37" s="24" t="s">
        <v>52</v>
      </c>
      <c r="H37" s="24"/>
      <c r="I37" s="24"/>
      <c r="J37" s="24"/>
      <c r="L37" s="24" t="s">
        <v>53</v>
      </c>
      <c r="M37" s="24"/>
      <c r="N37" s="24"/>
      <c r="O37" s="24"/>
    </row>
    <row r="38" customFormat="false" ht="13.5" hidden="false" customHeight="true" outlineLevel="0" collapsed="false">
      <c r="B38" s="25" t="s">
        <v>40</v>
      </c>
      <c r="C38" s="25" t="s">
        <v>41</v>
      </c>
      <c r="D38" s="25" t="s">
        <v>42</v>
      </c>
      <c r="E38" s="25" t="s">
        <v>43</v>
      </c>
      <c r="G38" s="25" t="s">
        <v>40</v>
      </c>
      <c r="H38" s="25" t="s">
        <v>41</v>
      </c>
      <c r="I38" s="25" t="s">
        <v>42</v>
      </c>
      <c r="J38" s="25" t="s">
        <v>43</v>
      </c>
      <c r="L38" s="25" t="s">
        <v>40</v>
      </c>
      <c r="M38" s="25" t="s">
        <v>41</v>
      </c>
      <c r="N38" s="25" t="s">
        <v>42</v>
      </c>
      <c r="O38" s="25" t="s">
        <v>43</v>
      </c>
    </row>
    <row r="39" customFormat="false" ht="30" hidden="false" customHeight="true" outlineLevel="0" collapsed="false">
      <c r="B39" s="26" t="str">
        <f aca="false">IFERROR(INDEX(Gästeliste!$C$11:$C$70,MATCH("T-07|1",Gästeliste!$K$11:$K$70,0)),"frei")</f>
        <v>Lars Petersen</v>
      </c>
      <c r="C39" s="26" t="str">
        <f aca="false">IFERROR(INDEX(Gästeliste!$C$11:$C$70,MATCH("T-07|2",Gästeliste!$K$11:$K$70,0)),"frei")</f>
        <v>Meike Sander</v>
      </c>
      <c r="D39" s="26" t="str">
        <f aca="false">IFERROR(INDEX(Gästeliste!$C$11:$C$70,MATCH("T-07|3",Gästeliste!$K$11:$K$70,0)),"frei")</f>
        <v>Noah Kirsch</v>
      </c>
      <c r="E39" s="26" t="str">
        <f aca="false">IFERROR(INDEX(Gästeliste!$C$11:$C$70,MATCH("T-07|4",Gästeliste!$K$11:$K$70,0)),"frei")</f>
        <v>Ophelia Haas</v>
      </c>
      <c r="G39" s="26" t="str">
        <f aca="false">IFERROR(INDEX(Gästeliste!$C$11:$C$70,MATCH("T-08|1",Gästeliste!$K$11:$K$70,0)),"frei")</f>
        <v>Piero Rossi</v>
      </c>
      <c r="H39" s="26" t="str">
        <f aca="false">IFERROR(INDEX(Gästeliste!$C$11:$C$70,MATCH("T-08|2",Gästeliste!$K$11:$K$70,0)),"frei")</f>
        <v>Quim Torres</v>
      </c>
      <c r="I39" s="26" t="str">
        <f aca="false">IFERROR(INDEX(Gästeliste!$C$11:$C$70,MATCH("T-08|3",Gästeliste!$K$11:$K$70,0)),"frei")</f>
        <v>Ruth Anders</v>
      </c>
      <c r="J39" s="26" t="str">
        <f aca="false">IFERROR(INDEX(Gästeliste!$C$11:$C$70,MATCH("T-08|4",Gästeliste!$K$11:$K$70,0)),"frei")</f>
        <v>Selim Aydin</v>
      </c>
      <c r="L39" s="26" t="str">
        <f aca="false">IFERROR(INDEX(Gästeliste!$C$11:$C$70,MATCH("T-09|1",Gästeliste!$K$11:$K$70,0)),"frei")</f>
        <v>Tobias Merz</v>
      </c>
      <c r="M39" s="26" t="str">
        <f aca="false">IFERROR(INDEX(Gästeliste!$C$11:$C$70,MATCH("T-09|2",Gästeliste!$K$11:$K$70,0)),"frei")</f>
        <v>Ulla Sanders</v>
      </c>
      <c r="N39" s="26" t="str">
        <f aca="false">IFERROR(INDEX(Gästeliste!$C$11:$C$70,MATCH("T-09|3",Gästeliste!$K$11:$K$70,0)),"frei")</f>
        <v>Viktor Diehl</v>
      </c>
      <c r="O39" s="26" t="str">
        <f aca="false">IFERROR(INDEX(Gästeliste!$C$11:$C$70,MATCH("T-09|4",Gästeliste!$K$11:$K$70,0)),"frei")</f>
        <v>frei</v>
      </c>
    </row>
    <row r="40" customFormat="false" ht="13.5" hidden="false" customHeight="true" outlineLevel="0" collapsed="false">
      <c r="B40" s="25" t="s">
        <v>44</v>
      </c>
      <c r="C40" s="25" t="s">
        <v>45</v>
      </c>
      <c r="D40" s="25" t="s">
        <v>46</v>
      </c>
      <c r="E40" s="25" t="s">
        <v>47</v>
      </c>
      <c r="G40" s="25" t="s">
        <v>44</v>
      </c>
      <c r="H40" s="25" t="s">
        <v>45</v>
      </c>
      <c r="I40" s="25" t="s">
        <v>46</v>
      </c>
      <c r="J40" s="25" t="s">
        <v>47</v>
      </c>
      <c r="L40" s="25" t="s">
        <v>44</v>
      </c>
      <c r="M40" s="25" t="s">
        <v>45</v>
      </c>
      <c r="N40" s="25" t="s">
        <v>46</v>
      </c>
      <c r="O40" s="25" t="s">
        <v>47</v>
      </c>
    </row>
    <row r="41" customFormat="false" ht="30" hidden="false" customHeight="true" outlineLevel="0" collapsed="false">
      <c r="B41" s="26" t="str">
        <f aca="false">IFERROR(INDEX(Gästeliste!$C$11:$C$70,MATCH("T-07|5",Gästeliste!$K$11:$K$70,0)),"frei")</f>
        <v>frei</v>
      </c>
      <c r="C41" s="26" t="str">
        <f aca="false">IFERROR(INDEX(Gästeliste!$C$11:$C$70,MATCH("T-07|6",Gästeliste!$K$11:$K$70,0)),"frei")</f>
        <v>frei</v>
      </c>
      <c r="D41" s="26" t="str">
        <f aca="false">IFERROR(INDEX(Gästeliste!$C$11:$C$70,MATCH("T-07|7",Gästeliste!$K$11:$K$70,0)),"frei")</f>
        <v>frei</v>
      </c>
      <c r="E41" s="26" t="str">
        <f aca="false">IFERROR(INDEX(Gästeliste!$C$11:$C$70,MATCH("T-07|8",Gästeliste!$K$11:$K$70,0)),"frei")</f>
        <v>frei</v>
      </c>
      <c r="G41" s="26" t="str">
        <f aca="false">IFERROR(INDEX(Gästeliste!$C$11:$C$70,MATCH("T-08|5",Gästeliste!$K$11:$K$70,0)),"frei")</f>
        <v>frei</v>
      </c>
      <c r="H41" s="26" t="str">
        <f aca="false">IFERROR(INDEX(Gästeliste!$C$11:$C$70,MATCH("T-08|6",Gästeliste!$K$11:$K$70,0)),"frei")</f>
        <v>frei</v>
      </c>
      <c r="I41" s="26" t="str">
        <f aca="false">IFERROR(INDEX(Gästeliste!$C$11:$C$70,MATCH("T-08|7",Gästeliste!$K$11:$K$70,0)),"frei")</f>
        <v>frei</v>
      </c>
      <c r="J41" s="26" t="str">
        <f aca="false">IFERROR(INDEX(Gästeliste!$C$11:$C$70,MATCH("T-08|8",Gästeliste!$K$11:$K$70,0)),"frei")</f>
        <v>frei</v>
      </c>
      <c r="L41" s="26" t="str">
        <f aca="false">IFERROR(INDEX(Gästeliste!$C$11:$C$70,MATCH("T-09|5",Gästeliste!$K$11:$K$70,0)),"frei")</f>
        <v>frei</v>
      </c>
      <c r="M41" s="26" t="str">
        <f aca="false">IFERROR(INDEX(Gästeliste!$C$11:$C$70,MATCH("T-09|6",Gästeliste!$K$11:$K$70,0)),"frei")</f>
        <v>frei</v>
      </c>
      <c r="N41" s="26" t="str">
        <f aca="false">IFERROR(INDEX(Gästeliste!$C$11:$C$70,MATCH("T-09|7",Gästeliste!$K$11:$K$70,0)),"frei")</f>
        <v>frei</v>
      </c>
      <c r="O41" s="26" t="str">
        <f aca="false">IFERROR(INDEX(Gästeliste!$C$11:$C$70,MATCH("T-09|8",Gästeliste!$K$11:$K$70,0)),"frei")</f>
        <v>frei</v>
      </c>
    </row>
    <row r="42" customFormat="false" ht="18" hidden="false" customHeight="true" outlineLevel="0" collapsed="false">
      <c r="B42" s="27" t="str">
        <f aca="false">"Belegung: "&amp;COUNTIF(Gästeliste!$G$11:$G$70,"T-07")&amp;" / 8"</f>
        <v>Belegung: 4 / 8</v>
      </c>
      <c r="C42" s="27"/>
      <c r="D42" s="27"/>
      <c r="E42" s="27"/>
      <c r="G42" s="27" t="str">
        <f aca="false">"Belegung: "&amp;COUNTIF(Gästeliste!$G$11:$G$70,"T-08")&amp;" / 8"</f>
        <v>Belegung: 4 / 8</v>
      </c>
      <c r="H42" s="27"/>
      <c r="I42" s="27"/>
      <c r="J42" s="27"/>
      <c r="L42" s="27" t="str">
        <f aca="false">"Belegung: "&amp;COUNTIF(Gästeliste!$G$11:$G$70,"T-09")&amp;" / 8"</f>
        <v>Belegung: 3 / 8</v>
      </c>
      <c r="M42" s="27"/>
      <c r="N42" s="27"/>
      <c r="O42" s="27"/>
    </row>
    <row r="44" customFormat="false" ht="21.75" hidden="false" customHeight="true" outlineLevel="0" collapsed="false">
      <c r="B44" s="24" t="s">
        <v>54</v>
      </c>
      <c r="C44" s="24"/>
      <c r="D44" s="24"/>
      <c r="E44" s="24"/>
      <c r="G44" s="24" t="s">
        <v>55</v>
      </c>
      <c r="H44" s="24"/>
      <c r="I44" s="24"/>
      <c r="J44" s="24"/>
      <c r="L44" s="24" t="s">
        <v>56</v>
      </c>
      <c r="M44" s="24"/>
      <c r="N44" s="24"/>
      <c r="O44" s="24"/>
    </row>
    <row r="45" customFormat="false" ht="13.5" hidden="false" customHeight="true" outlineLevel="0" collapsed="false">
      <c r="B45" s="25" t="s">
        <v>40</v>
      </c>
      <c r="C45" s="25" t="s">
        <v>41</v>
      </c>
      <c r="D45" s="25" t="s">
        <v>42</v>
      </c>
      <c r="E45" s="25" t="s">
        <v>43</v>
      </c>
      <c r="G45" s="25" t="s">
        <v>40</v>
      </c>
      <c r="H45" s="25" t="s">
        <v>41</v>
      </c>
      <c r="I45" s="25" t="s">
        <v>42</v>
      </c>
      <c r="J45" s="25" t="s">
        <v>43</v>
      </c>
      <c r="L45" s="25" t="s">
        <v>40</v>
      </c>
      <c r="M45" s="25" t="s">
        <v>41</v>
      </c>
      <c r="N45" s="25" t="s">
        <v>42</v>
      </c>
      <c r="O45" s="25" t="s">
        <v>43</v>
      </c>
    </row>
    <row r="46" customFormat="false" ht="30" hidden="false" customHeight="true" outlineLevel="0" collapsed="false">
      <c r="B46" s="26" t="str">
        <f aca="false">IFERROR(INDEX(Gästeliste!$C$11:$C$70,MATCH("T-10|1",Gästeliste!$K$11:$K$70,0)),"frei")</f>
        <v>frei</v>
      </c>
      <c r="C46" s="26" t="str">
        <f aca="false">IFERROR(INDEX(Gästeliste!$C$11:$C$70,MATCH("T-10|2",Gästeliste!$K$11:$K$70,0)),"frei")</f>
        <v>frei</v>
      </c>
      <c r="D46" s="26" t="str">
        <f aca="false">IFERROR(INDEX(Gästeliste!$C$11:$C$70,MATCH("T-10|3",Gästeliste!$K$11:$K$70,0)),"frei")</f>
        <v>frei</v>
      </c>
      <c r="E46" s="26" t="str">
        <f aca="false">IFERROR(INDEX(Gästeliste!$C$11:$C$70,MATCH("T-10|4",Gästeliste!$K$11:$K$70,0)),"frei")</f>
        <v>frei</v>
      </c>
      <c r="G46" s="26" t="str">
        <f aca="false">IFERROR(INDEX(Gästeliste!$C$11:$C$70,MATCH("T-11|1",Gästeliste!$K$11:$K$70,0)),"frei")</f>
        <v>frei</v>
      </c>
      <c r="H46" s="26" t="str">
        <f aca="false">IFERROR(INDEX(Gästeliste!$C$11:$C$70,MATCH("T-11|2",Gästeliste!$K$11:$K$70,0)),"frei")</f>
        <v>frei</v>
      </c>
      <c r="I46" s="26" t="str">
        <f aca="false">IFERROR(INDEX(Gästeliste!$C$11:$C$70,MATCH("T-11|3",Gästeliste!$K$11:$K$70,0)),"frei")</f>
        <v>frei</v>
      </c>
      <c r="J46" s="26" t="str">
        <f aca="false">IFERROR(INDEX(Gästeliste!$C$11:$C$70,MATCH("T-11|4",Gästeliste!$K$11:$K$70,0)),"frei")</f>
        <v>frei</v>
      </c>
      <c r="L46" s="26" t="str">
        <f aca="false">IFERROR(INDEX(Gästeliste!$C$11:$C$70,MATCH("T-12|1",Gästeliste!$K$11:$K$70,0)),"frei")</f>
        <v>frei</v>
      </c>
      <c r="M46" s="26" t="str">
        <f aca="false">IFERROR(INDEX(Gästeliste!$C$11:$C$70,MATCH("T-12|2",Gästeliste!$K$11:$K$70,0)),"frei")</f>
        <v>frei</v>
      </c>
      <c r="N46" s="26" t="str">
        <f aca="false">IFERROR(INDEX(Gästeliste!$C$11:$C$70,MATCH("T-12|3",Gästeliste!$K$11:$K$70,0)),"frei")</f>
        <v>frei</v>
      </c>
      <c r="O46" s="26" t="str">
        <f aca="false">IFERROR(INDEX(Gästeliste!$C$11:$C$70,MATCH("T-12|4",Gästeliste!$K$11:$K$70,0)),"frei")</f>
        <v>frei</v>
      </c>
    </row>
    <row r="47" customFormat="false" ht="13.5" hidden="false" customHeight="true" outlineLevel="0" collapsed="false">
      <c r="B47" s="25" t="s">
        <v>44</v>
      </c>
      <c r="C47" s="25" t="s">
        <v>45</v>
      </c>
      <c r="D47" s="25" t="s">
        <v>46</v>
      </c>
      <c r="E47" s="25" t="s">
        <v>47</v>
      </c>
      <c r="G47" s="25" t="s">
        <v>44</v>
      </c>
      <c r="H47" s="25" t="s">
        <v>45</v>
      </c>
      <c r="I47" s="25" t="s">
        <v>46</v>
      </c>
      <c r="J47" s="25" t="s">
        <v>47</v>
      </c>
      <c r="L47" s="25" t="s">
        <v>44</v>
      </c>
      <c r="M47" s="25" t="s">
        <v>45</v>
      </c>
      <c r="N47" s="25" t="s">
        <v>46</v>
      </c>
      <c r="O47" s="25" t="s">
        <v>47</v>
      </c>
    </row>
    <row r="48" customFormat="false" ht="30" hidden="false" customHeight="true" outlineLevel="0" collapsed="false">
      <c r="B48" s="26" t="str">
        <f aca="false">IFERROR(INDEX(Gästeliste!$C$11:$C$70,MATCH("T-10|5",Gästeliste!$K$11:$K$70,0)),"frei")</f>
        <v>frei</v>
      </c>
      <c r="C48" s="26" t="str">
        <f aca="false">IFERROR(INDEX(Gästeliste!$C$11:$C$70,MATCH("T-10|6",Gästeliste!$K$11:$K$70,0)),"frei")</f>
        <v>frei</v>
      </c>
      <c r="D48" s="26" t="str">
        <f aca="false">IFERROR(INDEX(Gästeliste!$C$11:$C$70,MATCH("T-10|7",Gästeliste!$K$11:$K$70,0)),"frei")</f>
        <v>frei</v>
      </c>
      <c r="E48" s="26" t="str">
        <f aca="false">IFERROR(INDEX(Gästeliste!$C$11:$C$70,MATCH("T-10|8",Gästeliste!$K$11:$K$70,0)),"frei")</f>
        <v>frei</v>
      </c>
      <c r="G48" s="26" t="str">
        <f aca="false">IFERROR(INDEX(Gästeliste!$C$11:$C$70,MATCH("T-11|5",Gästeliste!$K$11:$K$70,0)),"frei")</f>
        <v>frei</v>
      </c>
      <c r="H48" s="26" t="str">
        <f aca="false">IFERROR(INDEX(Gästeliste!$C$11:$C$70,MATCH("T-11|6",Gästeliste!$K$11:$K$70,0)),"frei")</f>
        <v>frei</v>
      </c>
      <c r="I48" s="26" t="str">
        <f aca="false">IFERROR(INDEX(Gästeliste!$C$11:$C$70,MATCH("T-11|7",Gästeliste!$K$11:$K$70,0)),"frei")</f>
        <v>frei</v>
      </c>
      <c r="J48" s="26" t="str">
        <f aca="false">IFERROR(INDEX(Gästeliste!$C$11:$C$70,MATCH("T-11|8",Gästeliste!$K$11:$K$70,0)),"frei")</f>
        <v>frei</v>
      </c>
      <c r="L48" s="26" t="str">
        <f aca="false">IFERROR(INDEX(Gästeliste!$C$11:$C$70,MATCH("T-12|5",Gästeliste!$K$11:$K$70,0)),"frei")</f>
        <v>frei</v>
      </c>
      <c r="M48" s="26" t="str">
        <f aca="false">IFERROR(INDEX(Gästeliste!$C$11:$C$70,MATCH("T-12|6",Gästeliste!$K$11:$K$70,0)),"frei")</f>
        <v>frei</v>
      </c>
      <c r="N48" s="26" t="str">
        <f aca="false">IFERROR(INDEX(Gästeliste!$C$11:$C$70,MATCH("T-12|7",Gästeliste!$K$11:$K$70,0)),"frei")</f>
        <v>frei</v>
      </c>
      <c r="O48" s="26" t="str">
        <f aca="false">IFERROR(INDEX(Gästeliste!$C$11:$C$70,MATCH("T-12|8",Gästeliste!$K$11:$K$70,0)),"frei")</f>
        <v>frei</v>
      </c>
    </row>
    <row r="49" customFormat="false" ht="18" hidden="false" customHeight="true" outlineLevel="0" collapsed="false">
      <c r="B49" s="27" t="str">
        <f aca="false">"Belegung: "&amp;COUNTIF(Gästeliste!$G$11:$G$70,"T-10")&amp;" / 8"</f>
        <v>Belegung: 0 / 8</v>
      </c>
      <c r="C49" s="27"/>
      <c r="D49" s="27"/>
      <c r="E49" s="27"/>
      <c r="G49" s="27" t="str">
        <f aca="false">"Belegung: "&amp;COUNTIF(Gästeliste!$G$11:$G$70,"T-11")&amp;" / 8"</f>
        <v>Belegung: 0 / 8</v>
      </c>
      <c r="H49" s="27"/>
      <c r="I49" s="27"/>
      <c r="J49" s="27"/>
      <c r="L49" s="27" t="str">
        <f aca="false">"Belegung: "&amp;COUNTIF(Gästeliste!$G$11:$G$70,"T-12")&amp;" / 8"</f>
        <v>Belegung: 0 / 8</v>
      </c>
      <c r="M49" s="27"/>
      <c r="N49" s="27"/>
      <c r="O49" s="27"/>
    </row>
  </sheetData>
  <mergeCells count="53">
    <mergeCell ref="B2:H2"/>
    <mergeCell ref="I2:O2"/>
    <mergeCell ref="B6:O6"/>
    <mergeCell ref="C8:F8"/>
    <mergeCell ref="I8:O8"/>
    <mergeCell ref="C9:F9"/>
    <mergeCell ref="I9:O9"/>
    <mergeCell ref="C10:F10"/>
    <mergeCell ref="I10:O10"/>
    <mergeCell ref="C11:F11"/>
    <mergeCell ref="I11:O11"/>
    <mergeCell ref="B13:O13"/>
    <mergeCell ref="B14:C14"/>
    <mergeCell ref="D14:E14"/>
    <mergeCell ref="G14:H14"/>
    <mergeCell ref="I14:J14"/>
    <mergeCell ref="L14:M14"/>
    <mergeCell ref="N14:O14"/>
    <mergeCell ref="B15:C15"/>
    <mergeCell ref="D15:E15"/>
    <mergeCell ref="G15:H15"/>
    <mergeCell ref="I15:J15"/>
    <mergeCell ref="L15:M15"/>
    <mergeCell ref="N15:O15"/>
    <mergeCell ref="B17:O17"/>
    <mergeCell ref="B18:E18"/>
    <mergeCell ref="G18:O18"/>
    <mergeCell ref="B19:C19"/>
    <mergeCell ref="B21:O21"/>
    <mergeCell ref="B23:E23"/>
    <mergeCell ref="G23:J23"/>
    <mergeCell ref="L23:O23"/>
    <mergeCell ref="B28:E28"/>
    <mergeCell ref="G28:J28"/>
    <mergeCell ref="L28:O28"/>
    <mergeCell ref="B30:E30"/>
    <mergeCell ref="G30:J30"/>
    <mergeCell ref="L30:O30"/>
    <mergeCell ref="B35:E35"/>
    <mergeCell ref="G35:J35"/>
    <mergeCell ref="L35:O35"/>
    <mergeCell ref="B37:E37"/>
    <mergeCell ref="G37:J37"/>
    <mergeCell ref="L37:O37"/>
    <mergeCell ref="B42:E42"/>
    <mergeCell ref="G42:J42"/>
    <mergeCell ref="L42:O42"/>
    <mergeCell ref="B44:E44"/>
    <mergeCell ref="G44:J44"/>
    <mergeCell ref="L44:O44"/>
    <mergeCell ref="B49:E49"/>
    <mergeCell ref="G49:J49"/>
    <mergeCell ref="L49:O49"/>
  </mergeCells>
  <conditionalFormatting sqref="B25:E25">
    <cfRule type="expression" priority="2" aboveAverage="0" equalAverage="0" bottom="0" percent="0" rank="0" text="" dxfId="0">
      <formula>IFERROR(VLOOKUP(B25,Gästeliste!$C$11:$F$70,4,0),"")="Standard"</formula>
    </cfRule>
    <cfRule type="expression" priority="3" aboveAverage="0" equalAverage="0" bottom="0" percent="0" rank="0" text="" dxfId="1">
      <formula>IFERROR(VLOOKUP(B25,Gästeliste!$C$11:$F$70,4,0),"")="Vegetarisch"</formula>
    </cfRule>
    <cfRule type="expression" priority="4" aboveAverage="0" equalAverage="0" bottom="0" percent="0" rank="0" text="" dxfId="2">
      <formula>IFERROR(VLOOKUP(B25,Gästeliste!$C$11:$F$70,4,0),"")="Vegan"</formula>
    </cfRule>
    <cfRule type="expression" priority="5" aboveAverage="0" equalAverage="0" bottom="0" percent="0" rank="0" text="" dxfId="3">
      <formula>IFERROR(VLOOKUP(B25,Gästeliste!$C$11:$F$70,4,0),"")="Glutenfrei"</formula>
    </cfRule>
    <cfRule type="expression" priority="6" aboveAverage="0" equalAverage="0" bottom="0" percent="0" rank="0" text="" dxfId="4">
      <formula>IFERROR(VLOOKUP(B25,Gästeliste!$C$11:$F$70,4,0),"")="Halal"</formula>
    </cfRule>
    <cfRule type="expression" priority="7" aboveAverage="0" equalAverage="0" bottom="0" percent="0" rank="0" text="" dxfId="5">
      <formula>IFERROR(VLOOKUP(B25,Gästeliste!$C$11:$F$70,4,0),"")="Kindermenü"</formula>
    </cfRule>
    <cfRule type="expression" priority="8" aboveAverage="0" equalAverage="0" bottom="0" percent="0" rank="0" text="" dxfId="6">
      <formula>B25="frei"</formula>
    </cfRule>
    <cfRule type="expression" priority="9" aboveAverage="0" equalAverage="0" bottom="0" percent="0" rank="0" text="" dxfId="7">
      <formula>IFERROR(VLOOKUP(B25,Gästeliste!$C$11:$E$70,3,0),"")="VIP"</formula>
    </cfRule>
  </conditionalFormatting>
  <conditionalFormatting sqref="B27:E27">
    <cfRule type="expression" priority="10" aboveAverage="0" equalAverage="0" bottom="0" percent="0" rank="0" text="" dxfId="0">
      <formula>IFERROR(VLOOKUP(B27,Gästeliste!$C$11:$F$70,4,0),"")="Standard"</formula>
    </cfRule>
    <cfRule type="expression" priority="11" aboveAverage="0" equalAverage="0" bottom="0" percent="0" rank="0" text="" dxfId="1">
      <formula>IFERROR(VLOOKUP(B27,Gästeliste!$C$11:$F$70,4,0),"")="Vegetarisch"</formula>
    </cfRule>
    <cfRule type="expression" priority="12" aboveAverage="0" equalAverage="0" bottom="0" percent="0" rank="0" text="" dxfId="2">
      <formula>IFERROR(VLOOKUP(B27,Gästeliste!$C$11:$F$70,4,0),"")="Vegan"</formula>
    </cfRule>
    <cfRule type="expression" priority="13" aboveAverage="0" equalAverage="0" bottom="0" percent="0" rank="0" text="" dxfId="3">
      <formula>IFERROR(VLOOKUP(B27,Gästeliste!$C$11:$F$70,4,0),"")="Glutenfrei"</formula>
    </cfRule>
    <cfRule type="expression" priority="14" aboveAverage="0" equalAverage="0" bottom="0" percent="0" rank="0" text="" dxfId="4">
      <formula>IFERROR(VLOOKUP(B27,Gästeliste!$C$11:$F$70,4,0),"")="Halal"</formula>
    </cfRule>
    <cfRule type="expression" priority="15" aboveAverage="0" equalAverage="0" bottom="0" percent="0" rank="0" text="" dxfId="5">
      <formula>IFERROR(VLOOKUP(B27,Gästeliste!$C$11:$F$70,4,0),"")="Kindermenü"</formula>
    </cfRule>
    <cfRule type="expression" priority="16" aboveAverage="0" equalAverage="0" bottom="0" percent="0" rank="0" text="" dxfId="6">
      <formula>B27="frei"</formula>
    </cfRule>
    <cfRule type="expression" priority="17" aboveAverage="0" equalAverage="0" bottom="0" percent="0" rank="0" text="" dxfId="7">
      <formula>IFERROR(VLOOKUP(B27,Gästeliste!$C$11:$E$70,3,0),"")="VIP"</formula>
    </cfRule>
  </conditionalFormatting>
  <conditionalFormatting sqref="G25:J25">
    <cfRule type="expression" priority="18" aboveAverage="0" equalAverage="0" bottom="0" percent="0" rank="0" text="" dxfId="0">
      <formula>IFERROR(VLOOKUP(G25,Gästeliste!$C$11:$F$70,4,0),"")="Standard"</formula>
    </cfRule>
    <cfRule type="expression" priority="19" aboveAverage="0" equalAverage="0" bottom="0" percent="0" rank="0" text="" dxfId="1">
      <formula>IFERROR(VLOOKUP(G25,Gästeliste!$C$11:$F$70,4,0),"")="Vegetarisch"</formula>
    </cfRule>
    <cfRule type="expression" priority="20" aboveAverage="0" equalAverage="0" bottom="0" percent="0" rank="0" text="" dxfId="2">
      <formula>IFERROR(VLOOKUP(G25,Gästeliste!$C$11:$F$70,4,0),"")="Vegan"</formula>
    </cfRule>
    <cfRule type="expression" priority="21" aboveAverage="0" equalAverage="0" bottom="0" percent="0" rank="0" text="" dxfId="3">
      <formula>IFERROR(VLOOKUP(G25,Gästeliste!$C$11:$F$70,4,0),"")="Glutenfrei"</formula>
    </cfRule>
    <cfRule type="expression" priority="22" aboveAverage="0" equalAverage="0" bottom="0" percent="0" rank="0" text="" dxfId="4">
      <formula>IFERROR(VLOOKUP(G25,Gästeliste!$C$11:$F$70,4,0),"")="Halal"</formula>
    </cfRule>
    <cfRule type="expression" priority="23" aboveAverage="0" equalAverage="0" bottom="0" percent="0" rank="0" text="" dxfId="5">
      <formula>IFERROR(VLOOKUP(G25,Gästeliste!$C$11:$F$70,4,0),"")="Kindermenü"</formula>
    </cfRule>
    <cfRule type="expression" priority="24" aboveAverage="0" equalAverage="0" bottom="0" percent="0" rank="0" text="" dxfId="6">
      <formula>G25="frei"</formula>
    </cfRule>
    <cfRule type="expression" priority="25" aboveAverage="0" equalAverage="0" bottom="0" percent="0" rank="0" text="" dxfId="7">
      <formula>IFERROR(VLOOKUP(G25,Gästeliste!$C$11:$E$70,3,0),"")="VIP"</formula>
    </cfRule>
  </conditionalFormatting>
  <conditionalFormatting sqref="G27:J27">
    <cfRule type="expression" priority="26" aboveAverage="0" equalAverage="0" bottom="0" percent="0" rank="0" text="" dxfId="0">
      <formula>IFERROR(VLOOKUP(G27,Gästeliste!$C$11:$F$70,4,0),"")="Standard"</formula>
    </cfRule>
    <cfRule type="expression" priority="27" aboveAverage="0" equalAverage="0" bottom="0" percent="0" rank="0" text="" dxfId="1">
      <formula>IFERROR(VLOOKUP(G27,Gästeliste!$C$11:$F$70,4,0),"")="Vegetarisch"</formula>
    </cfRule>
    <cfRule type="expression" priority="28" aboveAverage="0" equalAverage="0" bottom="0" percent="0" rank="0" text="" dxfId="2">
      <formula>IFERROR(VLOOKUP(G27,Gästeliste!$C$11:$F$70,4,0),"")="Vegan"</formula>
    </cfRule>
    <cfRule type="expression" priority="29" aboveAverage="0" equalAverage="0" bottom="0" percent="0" rank="0" text="" dxfId="3">
      <formula>IFERROR(VLOOKUP(G27,Gästeliste!$C$11:$F$70,4,0),"")="Glutenfrei"</formula>
    </cfRule>
    <cfRule type="expression" priority="30" aboveAverage="0" equalAverage="0" bottom="0" percent="0" rank="0" text="" dxfId="4">
      <formula>IFERROR(VLOOKUP(G27,Gästeliste!$C$11:$F$70,4,0),"")="Halal"</formula>
    </cfRule>
    <cfRule type="expression" priority="31" aboveAverage="0" equalAverage="0" bottom="0" percent="0" rank="0" text="" dxfId="5">
      <formula>IFERROR(VLOOKUP(G27,Gästeliste!$C$11:$F$70,4,0),"")="Kindermenü"</formula>
    </cfRule>
    <cfRule type="expression" priority="32" aboveAverage="0" equalAverage="0" bottom="0" percent="0" rank="0" text="" dxfId="6">
      <formula>G27="frei"</formula>
    </cfRule>
    <cfRule type="expression" priority="33" aboveAverage="0" equalAverage="0" bottom="0" percent="0" rank="0" text="" dxfId="7">
      <formula>IFERROR(VLOOKUP(G27,Gästeliste!$C$11:$E$70,3,0),"")="VIP"</formula>
    </cfRule>
  </conditionalFormatting>
  <conditionalFormatting sqref="L25:O25">
    <cfRule type="expression" priority="34" aboveAverage="0" equalAverage="0" bottom="0" percent="0" rank="0" text="" dxfId="0">
      <formula>IFERROR(VLOOKUP(L25,Gästeliste!$C$11:$F$70,4,0),"")="Standard"</formula>
    </cfRule>
    <cfRule type="expression" priority="35" aboveAverage="0" equalAverage="0" bottom="0" percent="0" rank="0" text="" dxfId="1">
      <formula>IFERROR(VLOOKUP(L25,Gästeliste!$C$11:$F$70,4,0),"")="Vegetarisch"</formula>
    </cfRule>
    <cfRule type="expression" priority="36" aboveAverage="0" equalAverage="0" bottom="0" percent="0" rank="0" text="" dxfId="2">
      <formula>IFERROR(VLOOKUP(L25,Gästeliste!$C$11:$F$70,4,0),"")="Vegan"</formula>
    </cfRule>
    <cfRule type="expression" priority="37" aboveAverage="0" equalAverage="0" bottom="0" percent="0" rank="0" text="" dxfId="3">
      <formula>IFERROR(VLOOKUP(L25,Gästeliste!$C$11:$F$70,4,0),"")="Glutenfrei"</formula>
    </cfRule>
    <cfRule type="expression" priority="38" aboveAverage="0" equalAverage="0" bottom="0" percent="0" rank="0" text="" dxfId="4">
      <formula>IFERROR(VLOOKUP(L25,Gästeliste!$C$11:$F$70,4,0),"")="Halal"</formula>
    </cfRule>
    <cfRule type="expression" priority="39" aboveAverage="0" equalAverage="0" bottom="0" percent="0" rank="0" text="" dxfId="5">
      <formula>IFERROR(VLOOKUP(L25,Gästeliste!$C$11:$F$70,4,0),"")="Kindermenü"</formula>
    </cfRule>
    <cfRule type="expression" priority="40" aboveAverage="0" equalAverage="0" bottom="0" percent="0" rank="0" text="" dxfId="6">
      <formula>L25="frei"</formula>
    </cfRule>
    <cfRule type="expression" priority="41" aboveAverage="0" equalAverage="0" bottom="0" percent="0" rank="0" text="" dxfId="7">
      <formula>IFERROR(VLOOKUP(L25,Gästeliste!$C$11:$E$70,3,0),"")="VIP"</formula>
    </cfRule>
  </conditionalFormatting>
  <conditionalFormatting sqref="L27:O27">
    <cfRule type="expression" priority="42" aboveAverage="0" equalAverage="0" bottom="0" percent="0" rank="0" text="" dxfId="0">
      <formula>IFERROR(VLOOKUP(L27,Gästeliste!$C$11:$F$70,4,0),"")="Standard"</formula>
    </cfRule>
    <cfRule type="expression" priority="43" aboveAverage="0" equalAverage="0" bottom="0" percent="0" rank="0" text="" dxfId="1">
      <formula>IFERROR(VLOOKUP(L27,Gästeliste!$C$11:$F$70,4,0),"")="Vegetarisch"</formula>
    </cfRule>
    <cfRule type="expression" priority="44" aboveAverage="0" equalAverage="0" bottom="0" percent="0" rank="0" text="" dxfId="2">
      <formula>IFERROR(VLOOKUP(L27,Gästeliste!$C$11:$F$70,4,0),"")="Vegan"</formula>
    </cfRule>
    <cfRule type="expression" priority="45" aboveAverage="0" equalAverage="0" bottom="0" percent="0" rank="0" text="" dxfId="3">
      <formula>IFERROR(VLOOKUP(L27,Gästeliste!$C$11:$F$70,4,0),"")="Glutenfrei"</formula>
    </cfRule>
    <cfRule type="expression" priority="46" aboveAverage="0" equalAverage="0" bottom="0" percent="0" rank="0" text="" dxfId="4">
      <formula>IFERROR(VLOOKUP(L27,Gästeliste!$C$11:$F$70,4,0),"")="Halal"</formula>
    </cfRule>
    <cfRule type="expression" priority="47" aboveAverage="0" equalAverage="0" bottom="0" percent="0" rank="0" text="" dxfId="5">
      <formula>IFERROR(VLOOKUP(L27,Gästeliste!$C$11:$F$70,4,0),"")="Kindermenü"</formula>
    </cfRule>
    <cfRule type="expression" priority="48" aboveAverage="0" equalAverage="0" bottom="0" percent="0" rank="0" text="" dxfId="6">
      <formula>L27="frei"</formula>
    </cfRule>
    <cfRule type="expression" priority="49" aboveAverage="0" equalAverage="0" bottom="0" percent="0" rank="0" text="" dxfId="7">
      <formula>IFERROR(VLOOKUP(L27,Gästeliste!$C$11:$E$70,3,0),"")="VIP"</formula>
    </cfRule>
  </conditionalFormatting>
  <conditionalFormatting sqref="B32:E32">
    <cfRule type="expression" priority="50" aboveAverage="0" equalAverage="0" bottom="0" percent="0" rank="0" text="" dxfId="0">
      <formula>IFERROR(VLOOKUP(B32,Gästeliste!$C$11:$F$70,4,0),"")="Standard"</formula>
    </cfRule>
    <cfRule type="expression" priority="51" aboveAverage="0" equalAverage="0" bottom="0" percent="0" rank="0" text="" dxfId="1">
      <formula>IFERROR(VLOOKUP(B32,Gästeliste!$C$11:$F$70,4,0),"")="Vegetarisch"</formula>
    </cfRule>
    <cfRule type="expression" priority="52" aboveAverage="0" equalAverage="0" bottom="0" percent="0" rank="0" text="" dxfId="2">
      <formula>IFERROR(VLOOKUP(B32,Gästeliste!$C$11:$F$70,4,0),"")="Vegan"</formula>
    </cfRule>
    <cfRule type="expression" priority="53" aboveAverage="0" equalAverage="0" bottom="0" percent="0" rank="0" text="" dxfId="3">
      <formula>IFERROR(VLOOKUP(B32,Gästeliste!$C$11:$F$70,4,0),"")="Glutenfrei"</formula>
    </cfRule>
    <cfRule type="expression" priority="54" aboveAverage="0" equalAverage="0" bottom="0" percent="0" rank="0" text="" dxfId="4">
      <formula>IFERROR(VLOOKUP(B32,Gästeliste!$C$11:$F$70,4,0),"")="Halal"</formula>
    </cfRule>
    <cfRule type="expression" priority="55" aboveAverage="0" equalAverage="0" bottom="0" percent="0" rank="0" text="" dxfId="5">
      <formula>IFERROR(VLOOKUP(B32,Gästeliste!$C$11:$F$70,4,0),"")="Kindermenü"</formula>
    </cfRule>
    <cfRule type="expression" priority="56" aboveAverage="0" equalAverage="0" bottom="0" percent="0" rank="0" text="" dxfId="6">
      <formula>B32="frei"</formula>
    </cfRule>
    <cfRule type="expression" priority="57" aboveAverage="0" equalAverage="0" bottom="0" percent="0" rank="0" text="" dxfId="7">
      <formula>IFERROR(VLOOKUP(B32,Gästeliste!$C$11:$E$70,3,0),"")="VIP"</formula>
    </cfRule>
  </conditionalFormatting>
  <conditionalFormatting sqref="B34:E34">
    <cfRule type="expression" priority="58" aboveAverage="0" equalAverage="0" bottom="0" percent="0" rank="0" text="" dxfId="0">
      <formula>IFERROR(VLOOKUP(B34,Gästeliste!$C$11:$F$70,4,0),"")="Standard"</formula>
    </cfRule>
    <cfRule type="expression" priority="59" aboveAverage="0" equalAverage="0" bottom="0" percent="0" rank="0" text="" dxfId="1">
      <formula>IFERROR(VLOOKUP(B34,Gästeliste!$C$11:$F$70,4,0),"")="Vegetarisch"</formula>
    </cfRule>
    <cfRule type="expression" priority="60" aboveAverage="0" equalAverage="0" bottom="0" percent="0" rank="0" text="" dxfId="2">
      <formula>IFERROR(VLOOKUP(B34,Gästeliste!$C$11:$F$70,4,0),"")="Vegan"</formula>
    </cfRule>
    <cfRule type="expression" priority="61" aboveAverage="0" equalAverage="0" bottom="0" percent="0" rank="0" text="" dxfId="3">
      <formula>IFERROR(VLOOKUP(B34,Gästeliste!$C$11:$F$70,4,0),"")="Glutenfrei"</formula>
    </cfRule>
    <cfRule type="expression" priority="62" aboveAverage="0" equalAverage="0" bottom="0" percent="0" rank="0" text="" dxfId="4">
      <formula>IFERROR(VLOOKUP(B34,Gästeliste!$C$11:$F$70,4,0),"")="Halal"</formula>
    </cfRule>
    <cfRule type="expression" priority="63" aboveAverage="0" equalAverage="0" bottom="0" percent="0" rank="0" text="" dxfId="5">
      <formula>IFERROR(VLOOKUP(B34,Gästeliste!$C$11:$F$70,4,0),"")="Kindermenü"</formula>
    </cfRule>
    <cfRule type="expression" priority="64" aboveAverage="0" equalAverage="0" bottom="0" percent="0" rank="0" text="" dxfId="6">
      <formula>B34="frei"</formula>
    </cfRule>
    <cfRule type="expression" priority="65" aboveAverage="0" equalAverage="0" bottom="0" percent="0" rank="0" text="" dxfId="7">
      <formula>IFERROR(VLOOKUP(B34,Gästeliste!$C$11:$E$70,3,0),"")="VIP"</formula>
    </cfRule>
  </conditionalFormatting>
  <conditionalFormatting sqref="G32:J32">
    <cfRule type="expression" priority="66" aboveAverage="0" equalAverage="0" bottom="0" percent="0" rank="0" text="" dxfId="0">
      <formula>IFERROR(VLOOKUP(G32,Gästeliste!$C$11:$F$70,4,0),"")="Standard"</formula>
    </cfRule>
    <cfRule type="expression" priority="67" aboveAverage="0" equalAverage="0" bottom="0" percent="0" rank="0" text="" dxfId="1">
      <formula>IFERROR(VLOOKUP(G32,Gästeliste!$C$11:$F$70,4,0),"")="Vegetarisch"</formula>
    </cfRule>
    <cfRule type="expression" priority="68" aboveAverage="0" equalAverage="0" bottom="0" percent="0" rank="0" text="" dxfId="2">
      <formula>IFERROR(VLOOKUP(G32,Gästeliste!$C$11:$F$70,4,0),"")="Vegan"</formula>
    </cfRule>
    <cfRule type="expression" priority="69" aboveAverage="0" equalAverage="0" bottom="0" percent="0" rank="0" text="" dxfId="3">
      <formula>IFERROR(VLOOKUP(G32,Gästeliste!$C$11:$F$70,4,0),"")="Glutenfrei"</formula>
    </cfRule>
    <cfRule type="expression" priority="70" aboveAverage="0" equalAverage="0" bottom="0" percent="0" rank="0" text="" dxfId="4">
      <formula>IFERROR(VLOOKUP(G32,Gästeliste!$C$11:$F$70,4,0),"")="Halal"</formula>
    </cfRule>
    <cfRule type="expression" priority="71" aboveAverage="0" equalAverage="0" bottom="0" percent="0" rank="0" text="" dxfId="5">
      <formula>IFERROR(VLOOKUP(G32,Gästeliste!$C$11:$F$70,4,0),"")="Kindermenü"</formula>
    </cfRule>
    <cfRule type="expression" priority="72" aboveAverage="0" equalAverage="0" bottom="0" percent="0" rank="0" text="" dxfId="6">
      <formula>G32="frei"</formula>
    </cfRule>
    <cfRule type="expression" priority="73" aboveAverage="0" equalAverage="0" bottom="0" percent="0" rank="0" text="" dxfId="7">
      <formula>IFERROR(VLOOKUP(G32,Gästeliste!$C$11:$E$70,3,0),"")="VIP"</formula>
    </cfRule>
  </conditionalFormatting>
  <conditionalFormatting sqref="G34:J34">
    <cfRule type="expression" priority="74" aboveAverage="0" equalAverage="0" bottom="0" percent="0" rank="0" text="" dxfId="0">
      <formula>IFERROR(VLOOKUP(G34,Gästeliste!$C$11:$F$70,4,0),"")="Standard"</formula>
    </cfRule>
    <cfRule type="expression" priority="75" aboveAverage="0" equalAverage="0" bottom="0" percent="0" rank="0" text="" dxfId="1">
      <formula>IFERROR(VLOOKUP(G34,Gästeliste!$C$11:$F$70,4,0),"")="Vegetarisch"</formula>
    </cfRule>
    <cfRule type="expression" priority="76" aboveAverage="0" equalAverage="0" bottom="0" percent="0" rank="0" text="" dxfId="2">
      <formula>IFERROR(VLOOKUP(G34,Gästeliste!$C$11:$F$70,4,0),"")="Vegan"</formula>
    </cfRule>
    <cfRule type="expression" priority="77" aboveAverage="0" equalAverage="0" bottom="0" percent="0" rank="0" text="" dxfId="3">
      <formula>IFERROR(VLOOKUP(G34,Gästeliste!$C$11:$F$70,4,0),"")="Glutenfrei"</formula>
    </cfRule>
    <cfRule type="expression" priority="78" aboveAverage="0" equalAverage="0" bottom="0" percent="0" rank="0" text="" dxfId="4">
      <formula>IFERROR(VLOOKUP(G34,Gästeliste!$C$11:$F$70,4,0),"")="Halal"</formula>
    </cfRule>
    <cfRule type="expression" priority="79" aboveAverage="0" equalAverage="0" bottom="0" percent="0" rank="0" text="" dxfId="5">
      <formula>IFERROR(VLOOKUP(G34,Gästeliste!$C$11:$F$70,4,0),"")="Kindermenü"</formula>
    </cfRule>
    <cfRule type="expression" priority="80" aboveAverage="0" equalAverage="0" bottom="0" percent="0" rank="0" text="" dxfId="6">
      <formula>G34="frei"</formula>
    </cfRule>
    <cfRule type="expression" priority="81" aboveAverage="0" equalAverage="0" bottom="0" percent="0" rank="0" text="" dxfId="7">
      <formula>IFERROR(VLOOKUP(G34,Gästeliste!$C$11:$E$70,3,0),"")="VIP"</formula>
    </cfRule>
  </conditionalFormatting>
  <conditionalFormatting sqref="L32:O32">
    <cfRule type="expression" priority="82" aboveAverage="0" equalAverage="0" bottom="0" percent="0" rank="0" text="" dxfId="0">
      <formula>IFERROR(VLOOKUP(L32,Gästeliste!$C$11:$F$70,4,0),"")="Standard"</formula>
    </cfRule>
    <cfRule type="expression" priority="83" aboveAverage="0" equalAverage="0" bottom="0" percent="0" rank="0" text="" dxfId="1">
      <formula>IFERROR(VLOOKUP(L32,Gästeliste!$C$11:$F$70,4,0),"")="Vegetarisch"</formula>
    </cfRule>
    <cfRule type="expression" priority="84" aboveAverage="0" equalAverage="0" bottom="0" percent="0" rank="0" text="" dxfId="2">
      <formula>IFERROR(VLOOKUP(L32,Gästeliste!$C$11:$F$70,4,0),"")="Vegan"</formula>
    </cfRule>
    <cfRule type="expression" priority="85" aboveAverage="0" equalAverage="0" bottom="0" percent="0" rank="0" text="" dxfId="3">
      <formula>IFERROR(VLOOKUP(L32,Gästeliste!$C$11:$F$70,4,0),"")="Glutenfrei"</formula>
    </cfRule>
    <cfRule type="expression" priority="86" aboveAverage="0" equalAverage="0" bottom="0" percent="0" rank="0" text="" dxfId="4">
      <formula>IFERROR(VLOOKUP(L32,Gästeliste!$C$11:$F$70,4,0),"")="Halal"</formula>
    </cfRule>
    <cfRule type="expression" priority="87" aboveAverage="0" equalAverage="0" bottom="0" percent="0" rank="0" text="" dxfId="5">
      <formula>IFERROR(VLOOKUP(L32,Gästeliste!$C$11:$F$70,4,0),"")="Kindermenü"</formula>
    </cfRule>
    <cfRule type="expression" priority="88" aboveAverage="0" equalAverage="0" bottom="0" percent="0" rank="0" text="" dxfId="6">
      <formula>L32="frei"</formula>
    </cfRule>
    <cfRule type="expression" priority="89" aboveAverage="0" equalAverage="0" bottom="0" percent="0" rank="0" text="" dxfId="7">
      <formula>IFERROR(VLOOKUP(L32,Gästeliste!$C$11:$E$70,3,0),"")="VIP"</formula>
    </cfRule>
  </conditionalFormatting>
  <conditionalFormatting sqref="L34:O34">
    <cfRule type="expression" priority="90" aboveAverage="0" equalAverage="0" bottom="0" percent="0" rank="0" text="" dxfId="0">
      <formula>IFERROR(VLOOKUP(L34,Gästeliste!$C$11:$F$70,4,0),"")="Standard"</formula>
    </cfRule>
    <cfRule type="expression" priority="91" aboveAverage="0" equalAverage="0" bottom="0" percent="0" rank="0" text="" dxfId="1">
      <formula>IFERROR(VLOOKUP(L34,Gästeliste!$C$11:$F$70,4,0),"")="Vegetarisch"</formula>
    </cfRule>
    <cfRule type="expression" priority="92" aboveAverage="0" equalAverage="0" bottom="0" percent="0" rank="0" text="" dxfId="2">
      <formula>IFERROR(VLOOKUP(L34,Gästeliste!$C$11:$F$70,4,0),"")="Vegan"</formula>
    </cfRule>
    <cfRule type="expression" priority="93" aboveAverage="0" equalAverage="0" bottom="0" percent="0" rank="0" text="" dxfId="3">
      <formula>IFERROR(VLOOKUP(L34,Gästeliste!$C$11:$F$70,4,0),"")="Glutenfrei"</formula>
    </cfRule>
    <cfRule type="expression" priority="94" aboveAverage="0" equalAverage="0" bottom="0" percent="0" rank="0" text="" dxfId="4">
      <formula>IFERROR(VLOOKUP(L34,Gästeliste!$C$11:$F$70,4,0),"")="Halal"</formula>
    </cfRule>
    <cfRule type="expression" priority="95" aboveAverage="0" equalAverage="0" bottom="0" percent="0" rank="0" text="" dxfId="5">
      <formula>IFERROR(VLOOKUP(L34,Gästeliste!$C$11:$F$70,4,0),"")="Kindermenü"</formula>
    </cfRule>
    <cfRule type="expression" priority="96" aboveAverage="0" equalAverage="0" bottom="0" percent="0" rank="0" text="" dxfId="6">
      <formula>L34="frei"</formula>
    </cfRule>
    <cfRule type="expression" priority="97" aboveAverage="0" equalAverage="0" bottom="0" percent="0" rank="0" text="" dxfId="7">
      <formula>IFERROR(VLOOKUP(L34,Gästeliste!$C$11:$E$70,3,0),"")="VIP"</formula>
    </cfRule>
  </conditionalFormatting>
  <conditionalFormatting sqref="B39:E39">
    <cfRule type="expression" priority="98" aboveAverage="0" equalAverage="0" bottom="0" percent="0" rank="0" text="" dxfId="0">
      <formula>IFERROR(VLOOKUP(B39,Gästeliste!$C$11:$F$70,4,0),"")="Standard"</formula>
    </cfRule>
    <cfRule type="expression" priority="99" aboveAverage="0" equalAverage="0" bottom="0" percent="0" rank="0" text="" dxfId="1">
      <formula>IFERROR(VLOOKUP(B39,Gästeliste!$C$11:$F$70,4,0),"")="Vegetarisch"</formula>
    </cfRule>
    <cfRule type="expression" priority="100" aboveAverage="0" equalAverage="0" bottom="0" percent="0" rank="0" text="" dxfId="2">
      <formula>IFERROR(VLOOKUP(B39,Gästeliste!$C$11:$F$70,4,0),"")="Vegan"</formula>
    </cfRule>
    <cfRule type="expression" priority="101" aboveAverage="0" equalAverage="0" bottom="0" percent="0" rank="0" text="" dxfId="3">
      <formula>IFERROR(VLOOKUP(B39,Gästeliste!$C$11:$F$70,4,0),"")="Glutenfrei"</formula>
    </cfRule>
    <cfRule type="expression" priority="102" aboveAverage="0" equalAverage="0" bottom="0" percent="0" rank="0" text="" dxfId="4">
      <formula>IFERROR(VLOOKUP(B39,Gästeliste!$C$11:$F$70,4,0),"")="Halal"</formula>
    </cfRule>
    <cfRule type="expression" priority="103" aboveAverage="0" equalAverage="0" bottom="0" percent="0" rank="0" text="" dxfId="5">
      <formula>IFERROR(VLOOKUP(B39,Gästeliste!$C$11:$F$70,4,0),"")="Kindermenü"</formula>
    </cfRule>
    <cfRule type="expression" priority="104" aboveAverage="0" equalAverage="0" bottom="0" percent="0" rank="0" text="" dxfId="6">
      <formula>B39="frei"</formula>
    </cfRule>
    <cfRule type="expression" priority="105" aboveAverage="0" equalAverage="0" bottom="0" percent="0" rank="0" text="" dxfId="7">
      <formula>IFERROR(VLOOKUP(B39,Gästeliste!$C$11:$E$70,3,0),"")="VIP"</formula>
    </cfRule>
  </conditionalFormatting>
  <conditionalFormatting sqref="B41:E41">
    <cfRule type="expression" priority="106" aboveAverage="0" equalAverage="0" bottom="0" percent="0" rank="0" text="" dxfId="0">
      <formula>IFERROR(VLOOKUP(B41,Gästeliste!$C$11:$F$70,4,0),"")="Standard"</formula>
    </cfRule>
    <cfRule type="expression" priority="107" aboveAverage="0" equalAverage="0" bottom="0" percent="0" rank="0" text="" dxfId="1">
      <formula>IFERROR(VLOOKUP(B41,Gästeliste!$C$11:$F$70,4,0),"")="Vegetarisch"</formula>
    </cfRule>
    <cfRule type="expression" priority="108" aboveAverage="0" equalAverage="0" bottom="0" percent="0" rank="0" text="" dxfId="2">
      <formula>IFERROR(VLOOKUP(B41,Gästeliste!$C$11:$F$70,4,0),"")="Vegan"</formula>
    </cfRule>
    <cfRule type="expression" priority="109" aboveAverage="0" equalAverage="0" bottom="0" percent="0" rank="0" text="" dxfId="3">
      <formula>IFERROR(VLOOKUP(B41,Gästeliste!$C$11:$F$70,4,0),"")="Glutenfrei"</formula>
    </cfRule>
    <cfRule type="expression" priority="110" aboveAverage="0" equalAverage="0" bottom="0" percent="0" rank="0" text="" dxfId="4">
      <formula>IFERROR(VLOOKUP(B41,Gästeliste!$C$11:$F$70,4,0),"")="Halal"</formula>
    </cfRule>
    <cfRule type="expression" priority="111" aboveAverage="0" equalAverage="0" bottom="0" percent="0" rank="0" text="" dxfId="5">
      <formula>IFERROR(VLOOKUP(B41,Gästeliste!$C$11:$F$70,4,0),"")="Kindermenü"</formula>
    </cfRule>
    <cfRule type="expression" priority="112" aboveAverage="0" equalAverage="0" bottom="0" percent="0" rank="0" text="" dxfId="6">
      <formula>B41="frei"</formula>
    </cfRule>
    <cfRule type="expression" priority="113" aboveAverage="0" equalAverage="0" bottom="0" percent="0" rank="0" text="" dxfId="7">
      <formula>IFERROR(VLOOKUP(B41,Gästeliste!$C$11:$E$70,3,0),"")="VIP"</formula>
    </cfRule>
  </conditionalFormatting>
  <conditionalFormatting sqref="G39:J39">
    <cfRule type="expression" priority="114" aboveAverage="0" equalAverage="0" bottom="0" percent="0" rank="0" text="" dxfId="0">
      <formula>IFERROR(VLOOKUP(G39,Gästeliste!$C$11:$F$70,4,0),"")="Standard"</formula>
    </cfRule>
    <cfRule type="expression" priority="115" aboveAverage="0" equalAverage="0" bottom="0" percent="0" rank="0" text="" dxfId="1">
      <formula>IFERROR(VLOOKUP(G39,Gästeliste!$C$11:$F$70,4,0),"")="Vegetarisch"</formula>
    </cfRule>
    <cfRule type="expression" priority="116" aboveAverage="0" equalAverage="0" bottom="0" percent="0" rank="0" text="" dxfId="2">
      <formula>IFERROR(VLOOKUP(G39,Gästeliste!$C$11:$F$70,4,0),"")="Vegan"</formula>
    </cfRule>
    <cfRule type="expression" priority="117" aboveAverage="0" equalAverage="0" bottom="0" percent="0" rank="0" text="" dxfId="3">
      <formula>IFERROR(VLOOKUP(G39,Gästeliste!$C$11:$F$70,4,0),"")="Glutenfrei"</formula>
    </cfRule>
    <cfRule type="expression" priority="118" aboveAverage="0" equalAverage="0" bottom="0" percent="0" rank="0" text="" dxfId="4">
      <formula>IFERROR(VLOOKUP(G39,Gästeliste!$C$11:$F$70,4,0),"")="Halal"</formula>
    </cfRule>
    <cfRule type="expression" priority="119" aboveAverage="0" equalAverage="0" bottom="0" percent="0" rank="0" text="" dxfId="5">
      <formula>IFERROR(VLOOKUP(G39,Gästeliste!$C$11:$F$70,4,0),"")="Kindermenü"</formula>
    </cfRule>
    <cfRule type="expression" priority="120" aboveAverage="0" equalAverage="0" bottom="0" percent="0" rank="0" text="" dxfId="6">
      <formula>G39="frei"</formula>
    </cfRule>
    <cfRule type="expression" priority="121" aboveAverage="0" equalAverage="0" bottom="0" percent="0" rank="0" text="" dxfId="7">
      <formula>IFERROR(VLOOKUP(G39,Gästeliste!$C$11:$E$70,3,0),"")="VIP"</formula>
    </cfRule>
  </conditionalFormatting>
  <conditionalFormatting sqref="G41:J41">
    <cfRule type="expression" priority="122" aboveAverage="0" equalAverage="0" bottom="0" percent="0" rank="0" text="" dxfId="0">
      <formula>IFERROR(VLOOKUP(G41,Gästeliste!$C$11:$F$70,4,0),"")="Standard"</formula>
    </cfRule>
    <cfRule type="expression" priority="123" aboveAverage="0" equalAverage="0" bottom="0" percent="0" rank="0" text="" dxfId="1">
      <formula>IFERROR(VLOOKUP(G41,Gästeliste!$C$11:$F$70,4,0),"")="Vegetarisch"</formula>
    </cfRule>
    <cfRule type="expression" priority="124" aboveAverage="0" equalAverage="0" bottom="0" percent="0" rank="0" text="" dxfId="2">
      <formula>IFERROR(VLOOKUP(G41,Gästeliste!$C$11:$F$70,4,0),"")="Vegan"</formula>
    </cfRule>
    <cfRule type="expression" priority="125" aboveAverage="0" equalAverage="0" bottom="0" percent="0" rank="0" text="" dxfId="3">
      <formula>IFERROR(VLOOKUP(G41,Gästeliste!$C$11:$F$70,4,0),"")="Glutenfrei"</formula>
    </cfRule>
    <cfRule type="expression" priority="126" aboveAverage="0" equalAverage="0" bottom="0" percent="0" rank="0" text="" dxfId="4">
      <formula>IFERROR(VLOOKUP(G41,Gästeliste!$C$11:$F$70,4,0),"")="Halal"</formula>
    </cfRule>
    <cfRule type="expression" priority="127" aboveAverage="0" equalAverage="0" bottom="0" percent="0" rank="0" text="" dxfId="5">
      <formula>IFERROR(VLOOKUP(G41,Gästeliste!$C$11:$F$70,4,0),"")="Kindermenü"</formula>
    </cfRule>
    <cfRule type="expression" priority="128" aboveAverage="0" equalAverage="0" bottom="0" percent="0" rank="0" text="" dxfId="6">
      <formula>G41="frei"</formula>
    </cfRule>
    <cfRule type="expression" priority="129" aboveAverage="0" equalAverage="0" bottom="0" percent="0" rank="0" text="" dxfId="7">
      <formula>IFERROR(VLOOKUP(G41,Gästeliste!$C$11:$E$70,3,0),"")="VIP"</formula>
    </cfRule>
  </conditionalFormatting>
  <conditionalFormatting sqref="L39:O39">
    <cfRule type="expression" priority="130" aboveAverage="0" equalAverage="0" bottom="0" percent="0" rank="0" text="" dxfId="0">
      <formula>IFERROR(VLOOKUP(L39,Gästeliste!$C$11:$F$70,4,0),"")="Standard"</formula>
    </cfRule>
    <cfRule type="expression" priority="131" aboveAverage="0" equalAverage="0" bottom="0" percent="0" rank="0" text="" dxfId="1">
      <formula>IFERROR(VLOOKUP(L39,Gästeliste!$C$11:$F$70,4,0),"")="Vegetarisch"</formula>
    </cfRule>
    <cfRule type="expression" priority="132" aboveAverage="0" equalAverage="0" bottom="0" percent="0" rank="0" text="" dxfId="2">
      <formula>IFERROR(VLOOKUP(L39,Gästeliste!$C$11:$F$70,4,0),"")="Vegan"</formula>
    </cfRule>
    <cfRule type="expression" priority="133" aboveAverage="0" equalAverage="0" bottom="0" percent="0" rank="0" text="" dxfId="3">
      <formula>IFERROR(VLOOKUP(L39,Gästeliste!$C$11:$F$70,4,0),"")="Glutenfrei"</formula>
    </cfRule>
    <cfRule type="expression" priority="134" aboveAverage="0" equalAverage="0" bottom="0" percent="0" rank="0" text="" dxfId="4">
      <formula>IFERROR(VLOOKUP(L39,Gästeliste!$C$11:$F$70,4,0),"")="Halal"</formula>
    </cfRule>
    <cfRule type="expression" priority="135" aboveAverage="0" equalAverage="0" bottom="0" percent="0" rank="0" text="" dxfId="5">
      <formula>IFERROR(VLOOKUP(L39,Gästeliste!$C$11:$F$70,4,0),"")="Kindermenü"</formula>
    </cfRule>
    <cfRule type="expression" priority="136" aboveAverage="0" equalAverage="0" bottom="0" percent="0" rank="0" text="" dxfId="6">
      <formula>L39="frei"</formula>
    </cfRule>
    <cfRule type="expression" priority="137" aboveAverage="0" equalAverage="0" bottom="0" percent="0" rank="0" text="" dxfId="7">
      <formula>IFERROR(VLOOKUP(L39,Gästeliste!$C$11:$E$70,3,0),"")="VIP"</formula>
    </cfRule>
  </conditionalFormatting>
  <conditionalFormatting sqref="L41:O41">
    <cfRule type="expression" priority="138" aboveAverage="0" equalAverage="0" bottom="0" percent="0" rank="0" text="" dxfId="0">
      <formula>IFERROR(VLOOKUP(L41,Gästeliste!$C$11:$F$70,4,0),"")="Standard"</formula>
    </cfRule>
    <cfRule type="expression" priority="139" aboveAverage="0" equalAverage="0" bottom="0" percent="0" rank="0" text="" dxfId="1">
      <formula>IFERROR(VLOOKUP(L41,Gästeliste!$C$11:$F$70,4,0),"")="Vegetarisch"</formula>
    </cfRule>
    <cfRule type="expression" priority="140" aboveAverage="0" equalAverage="0" bottom="0" percent="0" rank="0" text="" dxfId="2">
      <formula>IFERROR(VLOOKUP(L41,Gästeliste!$C$11:$F$70,4,0),"")="Vegan"</formula>
    </cfRule>
    <cfRule type="expression" priority="141" aboveAverage="0" equalAverage="0" bottom="0" percent="0" rank="0" text="" dxfId="3">
      <formula>IFERROR(VLOOKUP(L41,Gästeliste!$C$11:$F$70,4,0),"")="Glutenfrei"</formula>
    </cfRule>
    <cfRule type="expression" priority="142" aboveAverage="0" equalAverage="0" bottom="0" percent="0" rank="0" text="" dxfId="4">
      <formula>IFERROR(VLOOKUP(L41,Gästeliste!$C$11:$F$70,4,0),"")="Halal"</formula>
    </cfRule>
    <cfRule type="expression" priority="143" aboveAverage="0" equalAverage="0" bottom="0" percent="0" rank="0" text="" dxfId="5">
      <formula>IFERROR(VLOOKUP(L41,Gästeliste!$C$11:$F$70,4,0),"")="Kindermenü"</formula>
    </cfRule>
    <cfRule type="expression" priority="144" aboveAverage="0" equalAverage="0" bottom="0" percent="0" rank="0" text="" dxfId="6">
      <formula>L41="frei"</formula>
    </cfRule>
    <cfRule type="expression" priority="145" aboveAverage="0" equalAverage="0" bottom="0" percent="0" rank="0" text="" dxfId="7">
      <formula>IFERROR(VLOOKUP(L41,Gästeliste!$C$11:$E$70,3,0),"")="VIP"</formula>
    </cfRule>
  </conditionalFormatting>
  <conditionalFormatting sqref="B46:E46">
    <cfRule type="expression" priority="146" aboveAverage="0" equalAverage="0" bottom="0" percent="0" rank="0" text="" dxfId="0">
      <formula>IFERROR(VLOOKUP(B46,Gästeliste!$C$11:$F$70,4,0),"")="Standard"</formula>
    </cfRule>
    <cfRule type="expression" priority="147" aboveAverage="0" equalAverage="0" bottom="0" percent="0" rank="0" text="" dxfId="1">
      <formula>IFERROR(VLOOKUP(B46,Gästeliste!$C$11:$F$70,4,0),"")="Vegetarisch"</formula>
    </cfRule>
    <cfRule type="expression" priority="148" aboveAverage="0" equalAverage="0" bottom="0" percent="0" rank="0" text="" dxfId="2">
      <formula>IFERROR(VLOOKUP(B46,Gästeliste!$C$11:$F$70,4,0),"")="Vegan"</formula>
    </cfRule>
    <cfRule type="expression" priority="149" aboveAverage="0" equalAverage="0" bottom="0" percent="0" rank="0" text="" dxfId="3">
      <formula>IFERROR(VLOOKUP(B46,Gästeliste!$C$11:$F$70,4,0),"")="Glutenfrei"</formula>
    </cfRule>
    <cfRule type="expression" priority="150" aboveAverage="0" equalAverage="0" bottom="0" percent="0" rank="0" text="" dxfId="4">
      <formula>IFERROR(VLOOKUP(B46,Gästeliste!$C$11:$F$70,4,0),"")="Halal"</formula>
    </cfRule>
    <cfRule type="expression" priority="151" aboveAverage="0" equalAverage="0" bottom="0" percent="0" rank="0" text="" dxfId="5">
      <formula>IFERROR(VLOOKUP(B46,Gästeliste!$C$11:$F$70,4,0),"")="Kindermenü"</formula>
    </cfRule>
    <cfRule type="expression" priority="152" aboveAverage="0" equalAverage="0" bottom="0" percent="0" rank="0" text="" dxfId="6">
      <formula>B46="frei"</formula>
    </cfRule>
    <cfRule type="expression" priority="153" aboveAverage="0" equalAverage="0" bottom="0" percent="0" rank="0" text="" dxfId="7">
      <formula>IFERROR(VLOOKUP(B46,Gästeliste!$C$11:$E$70,3,0),"")="VIP"</formula>
    </cfRule>
  </conditionalFormatting>
  <conditionalFormatting sqref="B48:E48">
    <cfRule type="expression" priority="154" aboveAverage="0" equalAverage="0" bottom="0" percent="0" rank="0" text="" dxfId="0">
      <formula>IFERROR(VLOOKUP(B48,Gästeliste!$C$11:$F$70,4,0),"")="Standard"</formula>
    </cfRule>
    <cfRule type="expression" priority="155" aboveAverage="0" equalAverage="0" bottom="0" percent="0" rank="0" text="" dxfId="1">
      <formula>IFERROR(VLOOKUP(B48,Gästeliste!$C$11:$F$70,4,0),"")="Vegetarisch"</formula>
    </cfRule>
    <cfRule type="expression" priority="156" aboveAverage="0" equalAverage="0" bottom="0" percent="0" rank="0" text="" dxfId="2">
      <formula>IFERROR(VLOOKUP(B48,Gästeliste!$C$11:$F$70,4,0),"")="Vegan"</formula>
    </cfRule>
    <cfRule type="expression" priority="157" aboveAverage="0" equalAverage="0" bottom="0" percent="0" rank="0" text="" dxfId="3">
      <formula>IFERROR(VLOOKUP(B48,Gästeliste!$C$11:$F$70,4,0),"")="Glutenfrei"</formula>
    </cfRule>
    <cfRule type="expression" priority="158" aboveAverage="0" equalAverage="0" bottom="0" percent="0" rank="0" text="" dxfId="4">
      <formula>IFERROR(VLOOKUP(B48,Gästeliste!$C$11:$F$70,4,0),"")="Halal"</formula>
    </cfRule>
    <cfRule type="expression" priority="159" aboveAverage="0" equalAverage="0" bottom="0" percent="0" rank="0" text="" dxfId="5">
      <formula>IFERROR(VLOOKUP(B48,Gästeliste!$C$11:$F$70,4,0),"")="Kindermenü"</formula>
    </cfRule>
    <cfRule type="expression" priority="160" aboveAverage="0" equalAverage="0" bottom="0" percent="0" rank="0" text="" dxfId="6">
      <formula>B48="frei"</formula>
    </cfRule>
    <cfRule type="expression" priority="161" aboveAverage="0" equalAverage="0" bottom="0" percent="0" rank="0" text="" dxfId="7">
      <formula>IFERROR(VLOOKUP(B48,Gästeliste!$C$11:$E$70,3,0),"")="VIP"</formula>
    </cfRule>
  </conditionalFormatting>
  <conditionalFormatting sqref="G46:J46">
    <cfRule type="expression" priority="162" aboveAverage="0" equalAverage="0" bottom="0" percent="0" rank="0" text="" dxfId="0">
      <formula>IFERROR(VLOOKUP(G46,Gästeliste!$C$11:$F$70,4,0),"")="Standard"</formula>
    </cfRule>
    <cfRule type="expression" priority="163" aboveAverage="0" equalAverage="0" bottom="0" percent="0" rank="0" text="" dxfId="1">
      <formula>IFERROR(VLOOKUP(G46,Gästeliste!$C$11:$F$70,4,0),"")="Vegetarisch"</formula>
    </cfRule>
    <cfRule type="expression" priority="164" aboveAverage="0" equalAverage="0" bottom="0" percent="0" rank="0" text="" dxfId="2">
      <formula>IFERROR(VLOOKUP(G46,Gästeliste!$C$11:$F$70,4,0),"")="Vegan"</formula>
    </cfRule>
    <cfRule type="expression" priority="165" aboveAverage="0" equalAverage="0" bottom="0" percent="0" rank="0" text="" dxfId="3">
      <formula>IFERROR(VLOOKUP(G46,Gästeliste!$C$11:$F$70,4,0),"")="Glutenfrei"</formula>
    </cfRule>
    <cfRule type="expression" priority="166" aboveAverage="0" equalAverage="0" bottom="0" percent="0" rank="0" text="" dxfId="4">
      <formula>IFERROR(VLOOKUP(G46,Gästeliste!$C$11:$F$70,4,0),"")="Halal"</formula>
    </cfRule>
    <cfRule type="expression" priority="167" aboveAverage="0" equalAverage="0" bottom="0" percent="0" rank="0" text="" dxfId="5">
      <formula>IFERROR(VLOOKUP(G46,Gästeliste!$C$11:$F$70,4,0),"")="Kindermenü"</formula>
    </cfRule>
    <cfRule type="expression" priority="168" aboveAverage="0" equalAverage="0" bottom="0" percent="0" rank="0" text="" dxfId="6">
      <formula>G46="frei"</formula>
    </cfRule>
    <cfRule type="expression" priority="169" aboveAverage="0" equalAverage="0" bottom="0" percent="0" rank="0" text="" dxfId="7">
      <formula>IFERROR(VLOOKUP(G46,Gästeliste!$C$11:$E$70,3,0),"")="VIP"</formula>
    </cfRule>
  </conditionalFormatting>
  <conditionalFormatting sqref="G48:J48">
    <cfRule type="expression" priority="170" aboveAverage="0" equalAverage="0" bottom="0" percent="0" rank="0" text="" dxfId="0">
      <formula>IFERROR(VLOOKUP(G48,Gästeliste!$C$11:$F$70,4,0),"")="Standard"</formula>
    </cfRule>
    <cfRule type="expression" priority="171" aboveAverage="0" equalAverage="0" bottom="0" percent="0" rank="0" text="" dxfId="1">
      <formula>IFERROR(VLOOKUP(G48,Gästeliste!$C$11:$F$70,4,0),"")="Vegetarisch"</formula>
    </cfRule>
    <cfRule type="expression" priority="172" aboveAverage="0" equalAverage="0" bottom="0" percent="0" rank="0" text="" dxfId="2">
      <formula>IFERROR(VLOOKUP(G48,Gästeliste!$C$11:$F$70,4,0),"")="Vegan"</formula>
    </cfRule>
    <cfRule type="expression" priority="173" aboveAverage="0" equalAverage="0" bottom="0" percent="0" rank="0" text="" dxfId="3">
      <formula>IFERROR(VLOOKUP(G48,Gästeliste!$C$11:$F$70,4,0),"")="Glutenfrei"</formula>
    </cfRule>
    <cfRule type="expression" priority="174" aboveAverage="0" equalAverage="0" bottom="0" percent="0" rank="0" text="" dxfId="4">
      <formula>IFERROR(VLOOKUP(G48,Gästeliste!$C$11:$F$70,4,0),"")="Halal"</formula>
    </cfRule>
    <cfRule type="expression" priority="175" aboveAverage="0" equalAverage="0" bottom="0" percent="0" rank="0" text="" dxfId="5">
      <formula>IFERROR(VLOOKUP(G48,Gästeliste!$C$11:$F$70,4,0),"")="Kindermenü"</formula>
    </cfRule>
    <cfRule type="expression" priority="176" aboveAverage="0" equalAverage="0" bottom="0" percent="0" rank="0" text="" dxfId="6">
      <formula>G48="frei"</formula>
    </cfRule>
    <cfRule type="expression" priority="177" aboveAverage="0" equalAverage="0" bottom="0" percent="0" rank="0" text="" dxfId="7">
      <formula>IFERROR(VLOOKUP(G48,Gästeliste!$C$11:$E$70,3,0),"")="VIP"</formula>
    </cfRule>
  </conditionalFormatting>
  <conditionalFormatting sqref="L46:O46">
    <cfRule type="expression" priority="178" aboveAverage="0" equalAverage="0" bottom="0" percent="0" rank="0" text="" dxfId="0">
      <formula>IFERROR(VLOOKUP(L46,Gästeliste!$C$11:$F$70,4,0),"")="Standard"</formula>
    </cfRule>
    <cfRule type="expression" priority="179" aboveAverage="0" equalAverage="0" bottom="0" percent="0" rank="0" text="" dxfId="1">
      <formula>IFERROR(VLOOKUP(L46,Gästeliste!$C$11:$F$70,4,0),"")="Vegetarisch"</formula>
    </cfRule>
    <cfRule type="expression" priority="180" aboveAverage="0" equalAverage="0" bottom="0" percent="0" rank="0" text="" dxfId="2">
      <formula>IFERROR(VLOOKUP(L46,Gästeliste!$C$11:$F$70,4,0),"")="Vegan"</formula>
    </cfRule>
    <cfRule type="expression" priority="181" aboveAverage="0" equalAverage="0" bottom="0" percent="0" rank="0" text="" dxfId="3">
      <formula>IFERROR(VLOOKUP(L46,Gästeliste!$C$11:$F$70,4,0),"")="Glutenfrei"</formula>
    </cfRule>
    <cfRule type="expression" priority="182" aboveAverage="0" equalAverage="0" bottom="0" percent="0" rank="0" text="" dxfId="4">
      <formula>IFERROR(VLOOKUP(L46,Gästeliste!$C$11:$F$70,4,0),"")="Halal"</formula>
    </cfRule>
    <cfRule type="expression" priority="183" aboveAverage="0" equalAverage="0" bottom="0" percent="0" rank="0" text="" dxfId="5">
      <formula>IFERROR(VLOOKUP(L46,Gästeliste!$C$11:$F$70,4,0),"")="Kindermenü"</formula>
    </cfRule>
    <cfRule type="expression" priority="184" aboveAverage="0" equalAverage="0" bottom="0" percent="0" rank="0" text="" dxfId="6">
      <formula>L46="frei"</formula>
    </cfRule>
    <cfRule type="expression" priority="185" aboveAverage="0" equalAverage="0" bottom="0" percent="0" rank="0" text="" dxfId="7">
      <formula>IFERROR(VLOOKUP(L46,Gästeliste!$C$11:$E$70,3,0),"")="VIP"</formula>
    </cfRule>
  </conditionalFormatting>
  <conditionalFormatting sqref="L48:O48">
    <cfRule type="expression" priority="186" aboveAverage="0" equalAverage="0" bottom="0" percent="0" rank="0" text="" dxfId="0">
      <formula>IFERROR(VLOOKUP(L48,Gästeliste!$C$11:$F$70,4,0),"")="Standard"</formula>
    </cfRule>
    <cfRule type="expression" priority="187" aboveAverage="0" equalAverage="0" bottom="0" percent="0" rank="0" text="" dxfId="1">
      <formula>IFERROR(VLOOKUP(L48,Gästeliste!$C$11:$F$70,4,0),"")="Vegetarisch"</formula>
    </cfRule>
    <cfRule type="expression" priority="188" aboveAverage="0" equalAverage="0" bottom="0" percent="0" rank="0" text="" dxfId="2">
      <formula>IFERROR(VLOOKUP(L48,Gästeliste!$C$11:$F$70,4,0),"")="Vegan"</formula>
    </cfRule>
    <cfRule type="expression" priority="189" aboveAverage="0" equalAverage="0" bottom="0" percent="0" rank="0" text="" dxfId="3">
      <formula>IFERROR(VLOOKUP(L48,Gästeliste!$C$11:$F$70,4,0),"")="Glutenfrei"</formula>
    </cfRule>
    <cfRule type="expression" priority="190" aboveAverage="0" equalAverage="0" bottom="0" percent="0" rank="0" text="" dxfId="4">
      <formula>IFERROR(VLOOKUP(L48,Gästeliste!$C$11:$F$70,4,0),"")="Halal"</formula>
    </cfRule>
    <cfRule type="expression" priority="191" aboveAverage="0" equalAverage="0" bottom="0" percent="0" rank="0" text="" dxfId="5">
      <formula>IFERROR(VLOOKUP(L48,Gästeliste!$C$11:$F$70,4,0),"")="Kindermenü"</formula>
    </cfRule>
    <cfRule type="expression" priority="192" aboveAverage="0" equalAverage="0" bottom="0" percent="0" rank="0" text="" dxfId="6">
      <formula>L48="frei"</formula>
    </cfRule>
    <cfRule type="expression" priority="193" aboveAverage="0" equalAverage="0" bottom="0" percent="0" rank="0" text="" dxfId="7">
      <formula>IFERROR(VLOOKUP(L48,Gästeliste!$C$11:$E$70,3,0),"")="VIP"</formula>
    </cfRule>
  </conditionalFormatting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0" topLeftCell="B11" activePane="bottomRight" state="frozen"/>
      <selection pane="topLeft" activeCell="A1" activeCellId="0" sqref="A1"/>
      <selection pane="topRight" activeCell="B1" activeCellId="0" sqref="B1"/>
      <selection pane="bottomLeft" activeCell="A11" activeCellId="0" sqref="A11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4" min="3" style="0" width="22"/>
    <col collapsed="false" customWidth="true" hidden="false" outlineLevel="0" max="6" min="5" style="0" width="14"/>
    <col collapsed="false" customWidth="true" hidden="false" outlineLevel="0" max="8" min="7" style="0" width="8"/>
    <col collapsed="false" customWidth="true" hidden="false" outlineLevel="0" max="9" min="9" style="0" width="13"/>
    <col collapsed="false" customWidth="true" hidden="false" outlineLevel="0" max="10" min="10" style="0" width="24"/>
    <col collapsed="false" customWidth="true" hidden="false" outlineLevel="0" max="11" min="11" style="0" width="12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31.5" hidden="false" customHeight="true" outlineLevel="0" collapsed="false">
      <c r="A2" s="1"/>
      <c r="B2" s="28" t="s">
        <v>57</v>
      </c>
      <c r="C2" s="28"/>
      <c r="D2" s="28"/>
      <c r="E2" s="28"/>
      <c r="F2" s="28"/>
      <c r="G2" s="29" t="s">
        <v>58</v>
      </c>
      <c r="H2" s="29"/>
      <c r="I2" s="29"/>
      <c r="J2" s="29"/>
      <c r="K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customFormat="false" ht="3.7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6" customFormat="false" ht="18" hidden="false" customHeight="true" outlineLevel="0" collapsed="false">
      <c r="B6" s="8" t="s">
        <v>59</v>
      </c>
      <c r="C6" s="8"/>
      <c r="D6" s="30" t="s">
        <v>21</v>
      </c>
      <c r="E6" s="30" t="s">
        <v>22</v>
      </c>
      <c r="F6" s="30" t="s">
        <v>23</v>
      </c>
      <c r="G6" s="8" t="s">
        <v>24</v>
      </c>
      <c r="H6" s="8"/>
      <c r="I6" s="8"/>
      <c r="J6" s="8"/>
    </row>
    <row r="7" customFormat="false" ht="25.5" hidden="false" customHeight="true" outlineLevel="0" collapsed="false">
      <c r="B7" s="31" t="n">
        <f aca="false">COUNTA(C11:C70)</f>
        <v>51</v>
      </c>
      <c r="C7" s="31"/>
      <c r="D7" s="32" t="n">
        <f aca="false">COUNTIF(I11:I70,"Zugesagt")</f>
        <v>42</v>
      </c>
      <c r="E7" s="32" t="n">
        <f aca="false">COUNTIF(I11:I70,"Ausstehend")</f>
        <v>8</v>
      </c>
      <c r="F7" s="32" t="n">
        <f aca="false">COUNTIF(I11:I70,"Abgesagt")</f>
        <v>1</v>
      </c>
      <c r="G7" s="31" t="n">
        <f aca="false">COUNTIFS(G11:G70,"&lt;&gt;",H11:H70,"&lt;&gt;")</f>
        <v>48</v>
      </c>
      <c r="H7" s="31"/>
      <c r="I7" s="31"/>
      <c r="J7" s="31"/>
    </row>
    <row r="8" customFormat="false" ht="6" hidden="false" customHeight="true" outlineLevel="0" collapsed="false"/>
    <row r="9" customFormat="false" ht="19.5" hidden="false" customHeight="true" outlineLevel="0" collapsed="false">
      <c r="B9" s="33" t="s">
        <v>60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customFormat="false" ht="27.75" hidden="false" customHeight="true" outlineLevel="0" collapsed="false">
      <c r="B10" s="34" t="s">
        <v>61</v>
      </c>
      <c r="C10" s="34" t="s">
        <v>62</v>
      </c>
      <c r="D10" s="34" t="s">
        <v>63</v>
      </c>
      <c r="E10" s="34" t="s">
        <v>64</v>
      </c>
      <c r="F10" s="34" t="s">
        <v>65</v>
      </c>
      <c r="G10" s="34" t="s">
        <v>66</v>
      </c>
      <c r="H10" s="34" t="s">
        <v>67</v>
      </c>
      <c r="I10" s="34" t="s">
        <v>68</v>
      </c>
      <c r="J10" s="34" t="s">
        <v>69</v>
      </c>
      <c r="K10" s="34" t="s">
        <v>70</v>
      </c>
    </row>
    <row r="11" customFormat="false" ht="19.5" hidden="false" customHeight="true" outlineLevel="0" collapsed="false">
      <c r="B11" s="35" t="n">
        <v>1</v>
      </c>
      <c r="C11" s="36" t="s">
        <v>29</v>
      </c>
      <c r="D11" s="37" t="s">
        <v>71</v>
      </c>
      <c r="E11" s="38" t="s">
        <v>72</v>
      </c>
      <c r="F11" s="38" t="s">
        <v>30</v>
      </c>
      <c r="G11" s="38" t="s">
        <v>73</v>
      </c>
      <c r="H11" s="38" t="n">
        <v>1</v>
      </c>
      <c r="I11" s="38" t="s">
        <v>74</v>
      </c>
      <c r="J11" s="39"/>
      <c r="K11" s="35" t="str">
        <f aca="false">IF(AND(G11&lt;&gt;"",H11&lt;&gt;""),G11&amp;"|"&amp;H11,"")</f>
        <v>T-01|1</v>
      </c>
    </row>
    <row r="12" customFormat="false" ht="19.5" hidden="false" customHeight="true" outlineLevel="0" collapsed="false">
      <c r="B12" s="35" t="n">
        <v>2</v>
      </c>
      <c r="C12" s="36" t="s">
        <v>75</v>
      </c>
      <c r="D12" s="37" t="s">
        <v>71</v>
      </c>
      <c r="E12" s="38" t="s">
        <v>72</v>
      </c>
      <c r="F12" s="38" t="s">
        <v>30</v>
      </c>
      <c r="G12" s="38" t="s">
        <v>73</v>
      </c>
      <c r="H12" s="38" t="n">
        <v>2</v>
      </c>
      <c r="I12" s="38" t="s">
        <v>74</v>
      </c>
      <c r="J12" s="39"/>
      <c r="K12" s="35" t="str">
        <f aca="false">IF(AND(G12&lt;&gt;"",H12&lt;&gt;""),G12&amp;"|"&amp;H12,"")</f>
        <v>T-01|2</v>
      </c>
    </row>
    <row r="13" customFormat="false" ht="19.5" hidden="false" customHeight="true" outlineLevel="0" collapsed="false">
      <c r="B13" s="35" t="n">
        <v>3</v>
      </c>
      <c r="C13" s="36" t="s">
        <v>76</v>
      </c>
      <c r="D13" s="37" t="s">
        <v>71</v>
      </c>
      <c r="E13" s="38" t="s">
        <v>72</v>
      </c>
      <c r="F13" s="38" t="s">
        <v>31</v>
      </c>
      <c r="G13" s="38" t="s">
        <v>73</v>
      </c>
      <c r="H13" s="38" t="n">
        <v>3</v>
      </c>
      <c r="I13" s="38" t="s">
        <v>74</v>
      </c>
      <c r="J13" s="39"/>
      <c r="K13" s="35" t="str">
        <f aca="false">IF(AND(G13&lt;&gt;"",H13&lt;&gt;""),G13&amp;"|"&amp;H13,"")</f>
        <v>T-01|3</v>
      </c>
    </row>
    <row r="14" customFormat="false" ht="19.5" hidden="false" customHeight="true" outlineLevel="0" collapsed="false">
      <c r="B14" s="35" t="n">
        <v>4</v>
      </c>
      <c r="C14" s="36" t="s">
        <v>77</v>
      </c>
      <c r="D14" s="37" t="s">
        <v>71</v>
      </c>
      <c r="E14" s="38" t="s">
        <v>72</v>
      </c>
      <c r="F14" s="38" t="s">
        <v>30</v>
      </c>
      <c r="G14" s="38" t="s">
        <v>73</v>
      </c>
      <c r="H14" s="38" t="n">
        <v>4</v>
      </c>
      <c r="I14" s="38" t="s">
        <v>74</v>
      </c>
      <c r="J14" s="39"/>
      <c r="K14" s="35" t="str">
        <f aca="false">IF(AND(G14&lt;&gt;"",H14&lt;&gt;""),G14&amp;"|"&amp;H14,"")</f>
        <v>T-01|4</v>
      </c>
    </row>
    <row r="15" customFormat="false" ht="19.5" hidden="false" customHeight="true" outlineLevel="0" collapsed="false">
      <c r="B15" s="35" t="n">
        <v>5</v>
      </c>
      <c r="C15" s="36" t="s">
        <v>78</v>
      </c>
      <c r="D15" s="37" t="s">
        <v>71</v>
      </c>
      <c r="E15" s="38" t="s">
        <v>72</v>
      </c>
      <c r="F15" s="38" t="s">
        <v>30</v>
      </c>
      <c r="G15" s="38" t="s">
        <v>73</v>
      </c>
      <c r="H15" s="38" t="n">
        <v>5</v>
      </c>
      <c r="I15" s="38" t="s">
        <v>74</v>
      </c>
      <c r="J15" s="39"/>
      <c r="K15" s="35" t="str">
        <f aca="false">IF(AND(G15&lt;&gt;"",H15&lt;&gt;""),G15&amp;"|"&amp;H15,"")</f>
        <v>T-01|5</v>
      </c>
    </row>
    <row r="16" customFormat="false" ht="19.5" hidden="false" customHeight="true" outlineLevel="0" collapsed="false">
      <c r="B16" s="35" t="n">
        <v>6</v>
      </c>
      <c r="C16" s="36" t="s">
        <v>79</v>
      </c>
      <c r="D16" s="37" t="s">
        <v>71</v>
      </c>
      <c r="E16" s="38" t="s">
        <v>72</v>
      </c>
      <c r="F16" s="38" t="s">
        <v>32</v>
      </c>
      <c r="G16" s="38" t="s">
        <v>73</v>
      </c>
      <c r="H16" s="38" t="n">
        <v>6</v>
      </c>
      <c r="I16" s="38" t="s">
        <v>74</v>
      </c>
      <c r="J16" s="39"/>
      <c r="K16" s="35" t="str">
        <f aca="false">IF(AND(G16&lt;&gt;"",H16&lt;&gt;""),G16&amp;"|"&amp;H16,"")</f>
        <v>T-01|6</v>
      </c>
    </row>
    <row r="17" customFormat="false" ht="19.5" hidden="false" customHeight="true" outlineLevel="0" collapsed="false">
      <c r="B17" s="35" t="n">
        <v>7</v>
      </c>
      <c r="C17" s="36" t="s">
        <v>80</v>
      </c>
      <c r="D17" s="37" t="s">
        <v>71</v>
      </c>
      <c r="E17" s="38" t="s">
        <v>72</v>
      </c>
      <c r="F17" s="38" t="s">
        <v>30</v>
      </c>
      <c r="G17" s="38" t="s">
        <v>73</v>
      </c>
      <c r="H17" s="38" t="n">
        <v>7</v>
      </c>
      <c r="I17" s="38" t="s">
        <v>22</v>
      </c>
      <c r="J17" s="39"/>
      <c r="K17" s="35" t="str">
        <f aca="false">IF(AND(G17&lt;&gt;"",H17&lt;&gt;""),G17&amp;"|"&amp;H17,"")</f>
        <v>T-01|7</v>
      </c>
    </row>
    <row r="18" customFormat="false" ht="19.5" hidden="false" customHeight="true" outlineLevel="0" collapsed="false">
      <c r="B18" s="35" t="n">
        <v>8</v>
      </c>
      <c r="C18" s="36" t="s">
        <v>81</v>
      </c>
      <c r="D18" s="37" t="s">
        <v>71</v>
      </c>
      <c r="E18" s="38" t="s">
        <v>72</v>
      </c>
      <c r="F18" s="38" t="s">
        <v>30</v>
      </c>
      <c r="G18" s="38" t="s">
        <v>73</v>
      </c>
      <c r="H18" s="38" t="n">
        <v>8</v>
      </c>
      <c r="I18" s="38" t="s">
        <v>74</v>
      </c>
      <c r="J18" s="39"/>
      <c r="K18" s="35" t="str">
        <f aca="false">IF(AND(G18&lt;&gt;"",H18&lt;&gt;""),G18&amp;"|"&amp;H18,"")</f>
        <v>T-01|8</v>
      </c>
    </row>
    <row r="19" customFormat="false" ht="19.5" hidden="false" customHeight="true" outlineLevel="0" collapsed="false">
      <c r="B19" s="35" t="n">
        <v>9</v>
      </c>
      <c r="C19" s="36" t="s">
        <v>82</v>
      </c>
      <c r="D19" s="37" t="s">
        <v>83</v>
      </c>
      <c r="E19" s="38" t="s">
        <v>84</v>
      </c>
      <c r="F19" s="38" t="s">
        <v>30</v>
      </c>
      <c r="G19" s="38" t="s">
        <v>85</v>
      </c>
      <c r="H19" s="38" t="n">
        <v>1</v>
      </c>
      <c r="I19" s="38" t="s">
        <v>74</v>
      </c>
      <c r="J19" s="39" t="s">
        <v>86</v>
      </c>
      <c r="K19" s="35" t="str">
        <f aca="false">IF(AND(G19&lt;&gt;"",H19&lt;&gt;""),G19&amp;"|"&amp;H19,"")</f>
        <v>T-02|1</v>
      </c>
    </row>
    <row r="20" customFormat="false" ht="19.5" hidden="false" customHeight="true" outlineLevel="0" collapsed="false">
      <c r="B20" s="35" t="n">
        <v>10</v>
      </c>
      <c r="C20" s="36" t="s">
        <v>87</v>
      </c>
      <c r="D20" s="37" t="s">
        <v>88</v>
      </c>
      <c r="E20" s="38" t="s">
        <v>84</v>
      </c>
      <c r="F20" s="38" t="s">
        <v>31</v>
      </c>
      <c r="G20" s="38" t="s">
        <v>85</v>
      </c>
      <c r="H20" s="38" t="n">
        <v>2</v>
      </c>
      <c r="I20" s="38" t="s">
        <v>74</v>
      </c>
      <c r="J20" s="39"/>
      <c r="K20" s="35" t="str">
        <f aca="false">IF(AND(G20&lt;&gt;"",H20&lt;&gt;""),G20&amp;"|"&amp;H20,"")</f>
        <v>T-02|2</v>
      </c>
    </row>
    <row r="21" customFormat="false" ht="19.5" hidden="false" customHeight="true" outlineLevel="0" collapsed="false">
      <c r="B21" s="35" t="n">
        <v>11</v>
      </c>
      <c r="C21" s="36" t="s">
        <v>89</v>
      </c>
      <c r="D21" s="37" t="s">
        <v>83</v>
      </c>
      <c r="E21" s="38" t="s">
        <v>84</v>
      </c>
      <c r="F21" s="38" t="s">
        <v>30</v>
      </c>
      <c r="G21" s="38" t="s">
        <v>85</v>
      </c>
      <c r="H21" s="38" t="n">
        <v>3</v>
      </c>
      <c r="I21" s="38" t="s">
        <v>74</v>
      </c>
      <c r="J21" s="39"/>
      <c r="K21" s="35" t="str">
        <f aca="false">IF(AND(G21&lt;&gt;"",H21&lt;&gt;""),G21&amp;"|"&amp;H21,"")</f>
        <v>T-02|3</v>
      </c>
    </row>
    <row r="22" customFormat="false" ht="19.5" hidden="false" customHeight="true" outlineLevel="0" collapsed="false">
      <c r="B22" s="35" t="n">
        <v>12</v>
      </c>
      <c r="C22" s="36" t="s">
        <v>90</v>
      </c>
      <c r="D22" s="37" t="s">
        <v>91</v>
      </c>
      <c r="E22" s="38" t="s">
        <v>84</v>
      </c>
      <c r="F22" s="38" t="s">
        <v>30</v>
      </c>
      <c r="G22" s="38" t="s">
        <v>85</v>
      </c>
      <c r="H22" s="38" t="n">
        <v>4</v>
      </c>
      <c r="I22" s="38" t="s">
        <v>74</v>
      </c>
      <c r="J22" s="39"/>
      <c r="K22" s="35" t="str">
        <f aca="false">IF(AND(G22&lt;&gt;"",H22&lt;&gt;""),G22&amp;"|"&amp;H22,"")</f>
        <v>T-02|4</v>
      </c>
    </row>
    <row r="23" customFormat="false" ht="19.5" hidden="false" customHeight="true" outlineLevel="0" collapsed="false">
      <c r="B23" s="35" t="n">
        <v>13</v>
      </c>
      <c r="C23" s="36" t="s">
        <v>92</v>
      </c>
      <c r="D23" s="37" t="s">
        <v>88</v>
      </c>
      <c r="E23" s="38" t="s">
        <v>84</v>
      </c>
      <c r="F23" s="38" t="s">
        <v>33</v>
      </c>
      <c r="G23" s="38" t="s">
        <v>85</v>
      </c>
      <c r="H23" s="38" t="n">
        <v>5</v>
      </c>
      <c r="I23" s="38" t="s">
        <v>74</v>
      </c>
      <c r="J23" s="39" t="s">
        <v>93</v>
      </c>
      <c r="K23" s="35" t="str">
        <f aca="false">IF(AND(G23&lt;&gt;"",H23&lt;&gt;""),G23&amp;"|"&amp;H23,"")</f>
        <v>T-02|5</v>
      </c>
    </row>
    <row r="24" customFormat="false" ht="19.5" hidden="false" customHeight="true" outlineLevel="0" collapsed="false">
      <c r="B24" s="35" t="n">
        <v>14</v>
      </c>
      <c r="C24" s="36" t="s">
        <v>94</v>
      </c>
      <c r="D24" s="37" t="s">
        <v>88</v>
      </c>
      <c r="E24" s="38" t="s">
        <v>84</v>
      </c>
      <c r="F24" s="38" t="s">
        <v>30</v>
      </c>
      <c r="G24" s="38" t="s">
        <v>85</v>
      </c>
      <c r="H24" s="38" t="n">
        <v>6</v>
      </c>
      <c r="I24" s="38" t="s">
        <v>22</v>
      </c>
      <c r="J24" s="39"/>
      <c r="K24" s="35" t="str">
        <f aca="false">IF(AND(G24&lt;&gt;"",H24&lt;&gt;""),G24&amp;"|"&amp;H24,"")</f>
        <v>T-02|6</v>
      </c>
    </row>
    <row r="25" customFormat="false" ht="19.5" hidden="false" customHeight="true" outlineLevel="0" collapsed="false">
      <c r="B25" s="35" t="n">
        <v>15</v>
      </c>
      <c r="C25" s="36" t="s">
        <v>95</v>
      </c>
      <c r="D25" s="37" t="s">
        <v>83</v>
      </c>
      <c r="E25" s="38" t="s">
        <v>84</v>
      </c>
      <c r="F25" s="38" t="s">
        <v>31</v>
      </c>
      <c r="G25" s="38" t="s">
        <v>85</v>
      </c>
      <c r="H25" s="38" t="n">
        <v>7</v>
      </c>
      <c r="I25" s="38" t="s">
        <v>74</v>
      </c>
      <c r="J25" s="39"/>
      <c r="K25" s="35" t="str">
        <f aca="false">IF(AND(G25&lt;&gt;"",H25&lt;&gt;""),G25&amp;"|"&amp;H25,"")</f>
        <v>T-02|7</v>
      </c>
    </row>
    <row r="26" customFormat="false" ht="19.5" hidden="false" customHeight="true" outlineLevel="0" collapsed="false">
      <c r="B26" s="35" t="n">
        <v>16</v>
      </c>
      <c r="C26" s="36" t="s">
        <v>96</v>
      </c>
      <c r="D26" s="37" t="s">
        <v>88</v>
      </c>
      <c r="E26" s="38" t="s">
        <v>84</v>
      </c>
      <c r="F26" s="38" t="s">
        <v>30</v>
      </c>
      <c r="G26" s="38" t="s">
        <v>85</v>
      </c>
      <c r="H26" s="38" t="n">
        <v>8</v>
      </c>
      <c r="I26" s="38" t="s">
        <v>74</v>
      </c>
      <c r="J26" s="39"/>
      <c r="K26" s="35" t="str">
        <f aca="false">IF(AND(G26&lt;&gt;"",H26&lt;&gt;""),G26&amp;"|"&amp;H26,"")</f>
        <v>T-02|8</v>
      </c>
    </row>
    <row r="27" customFormat="false" ht="19.5" hidden="false" customHeight="true" outlineLevel="0" collapsed="false">
      <c r="B27" s="35" t="n">
        <v>17</v>
      </c>
      <c r="C27" s="36" t="s">
        <v>97</v>
      </c>
      <c r="D27" s="37" t="s">
        <v>98</v>
      </c>
      <c r="E27" s="38" t="s">
        <v>72</v>
      </c>
      <c r="F27" s="38" t="s">
        <v>30</v>
      </c>
      <c r="G27" s="38" t="s">
        <v>99</v>
      </c>
      <c r="H27" s="38" t="n">
        <v>1</v>
      </c>
      <c r="I27" s="38" t="s">
        <v>74</v>
      </c>
      <c r="J27" s="39"/>
      <c r="K27" s="35" t="str">
        <f aca="false">IF(AND(G27&lt;&gt;"",H27&lt;&gt;""),G27&amp;"|"&amp;H27,"")</f>
        <v>T-03|1</v>
      </c>
    </row>
    <row r="28" customFormat="false" ht="19.5" hidden="false" customHeight="true" outlineLevel="0" collapsed="false">
      <c r="B28" s="35" t="n">
        <v>18</v>
      </c>
      <c r="C28" s="36" t="s">
        <v>100</v>
      </c>
      <c r="D28" s="37" t="s">
        <v>98</v>
      </c>
      <c r="E28" s="38" t="s">
        <v>72</v>
      </c>
      <c r="F28" s="38" t="s">
        <v>34</v>
      </c>
      <c r="G28" s="38" t="s">
        <v>99</v>
      </c>
      <c r="H28" s="38" t="n">
        <v>2</v>
      </c>
      <c r="I28" s="38" t="s">
        <v>74</v>
      </c>
      <c r="J28" s="39"/>
      <c r="K28" s="35" t="str">
        <f aca="false">IF(AND(G28&lt;&gt;"",H28&lt;&gt;""),G28&amp;"|"&amp;H28,"")</f>
        <v>T-03|2</v>
      </c>
    </row>
    <row r="29" customFormat="false" ht="19.5" hidden="false" customHeight="true" outlineLevel="0" collapsed="false">
      <c r="B29" s="35" t="n">
        <v>19</v>
      </c>
      <c r="C29" s="36" t="s">
        <v>101</v>
      </c>
      <c r="D29" s="37" t="s">
        <v>98</v>
      </c>
      <c r="E29" s="38" t="s">
        <v>72</v>
      </c>
      <c r="F29" s="38" t="s">
        <v>30</v>
      </c>
      <c r="G29" s="38" t="s">
        <v>99</v>
      </c>
      <c r="H29" s="38" t="n">
        <v>3</v>
      </c>
      <c r="I29" s="38" t="s">
        <v>74</v>
      </c>
      <c r="J29" s="39"/>
      <c r="K29" s="35" t="str">
        <f aca="false">IF(AND(G29&lt;&gt;"",H29&lt;&gt;""),G29&amp;"|"&amp;H29,"")</f>
        <v>T-03|3</v>
      </c>
    </row>
    <row r="30" customFormat="false" ht="19.5" hidden="false" customHeight="true" outlineLevel="0" collapsed="false">
      <c r="B30" s="35" t="n">
        <v>20</v>
      </c>
      <c r="C30" s="36" t="s">
        <v>102</v>
      </c>
      <c r="D30" s="37" t="s">
        <v>98</v>
      </c>
      <c r="E30" s="38" t="s">
        <v>72</v>
      </c>
      <c r="F30" s="38" t="s">
        <v>31</v>
      </c>
      <c r="G30" s="38" t="s">
        <v>99</v>
      </c>
      <c r="H30" s="38" t="n">
        <v>4</v>
      </c>
      <c r="I30" s="38" t="s">
        <v>74</v>
      </c>
      <c r="J30" s="39"/>
      <c r="K30" s="35" t="str">
        <f aca="false">IF(AND(G30&lt;&gt;"",H30&lt;&gt;""),G30&amp;"|"&amp;H30,"")</f>
        <v>T-03|4</v>
      </c>
    </row>
    <row r="31" customFormat="false" ht="19.5" hidden="false" customHeight="true" outlineLevel="0" collapsed="false">
      <c r="B31" s="35" t="n">
        <v>21</v>
      </c>
      <c r="C31" s="36" t="s">
        <v>103</v>
      </c>
      <c r="D31" s="37" t="s">
        <v>98</v>
      </c>
      <c r="E31" s="38" t="s">
        <v>72</v>
      </c>
      <c r="F31" s="38" t="s">
        <v>30</v>
      </c>
      <c r="G31" s="38" t="s">
        <v>99</v>
      </c>
      <c r="H31" s="38" t="n">
        <v>5</v>
      </c>
      <c r="I31" s="38" t="s">
        <v>74</v>
      </c>
      <c r="J31" s="39"/>
      <c r="K31" s="35" t="str">
        <f aca="false">IF(AND(G31&lt;&gt;"",H31&lt;&gt;""),G31&amp;"|"&amp;H31,"")</f>
        <v>T-03|5</v>
      </c>
    </row>
    <row r="32" customFormat="false" ht="19.5" hidden="false" customHeight="true" outlineLevel="0" collapsed="false">
      <c r="B32" s="35" t="n">
        <v>22</v>
      </c>
      <c r="C32" s="36" t="s">
        <v>104</v>
      </c>
      <c r="D32" s="37" t="s">
        <v>98</v>
      </c>
      <c r="E32" s="38" t="s">
        <v>72</v>
      </c>
      <c r="F32" s="38" t="s">
        <v>30</v>
      </c>
      <c r="G32" s="38" t="s">
        <v>99</v>
      </c>
      <c r="H32" s="38" t="n">
        <v>6</v>
      </c>
      <c r="I32" s="38" t="s">
        <v>74</v>
      </c>
      <c r="J32" s="39"/>
      <c r="K32" s="35" t="str">
        <f aca="false">IF(AND(G32&lt;&gt;"",H32&lt;&gt;""),G32&amp;"|"&amp;H32,"")</f>
        <v>T-03|6</v>
      </c>
    </row>
    <row r="33" customFormat="false" ht="19.5" hidden="false" customHeight="true" outlineLevel="0" collapsed="false">
      <c r="B33" s="35" t="n">
        <v>23</v>
      </c>
      <c r="C33" s="36" t="s">
        <v>105</v>
      </c>
      <c r="D33" s="37" t="s">
        <v>106</v>
      </c>
      <c r="E33" s="38" t="s">
        <v>107</v>
      </c>
      <c r="F33" s="38" t="s">
        <v>30</v>
      </c>
      <c r="G33" s="38" t="s">
        <v>108</v>
      </c>
      <c r="H33" s="38" t="n">
        <v>1</v>
      </c>
      <c r="I33" s="38" t="s">
        <v>74</v>
      </c>
      <c r="J33" s="39" t="s">
        <v>109</v>
      </c>
      <c r="K33" s="35" t="str">
        <f aca="false">IF(AND(G33&lt;&gt;"",H33&lt;&gt;""),G33&amp;"|"&amp;H33,"")</f>
        <v>T-04|1</v>
      </c>
    </row>
    <row r="34" customFormat="false" ht="19.5" hidden="false" customHeight="true" outlineLevel="0" collapsed="false">
      <c r="B34" s="35" t="n">
        <v>24</v>
      </c>
      <c r="C34" s="36" t="s">
        <v>110</v>
      </c>
      <c r="D34" s="37" t="s">
        <v>106</v>
      </c>
      <c r="E34" s="38" t="s">
        <v>72</v>
      </c>
      <c r="F34" s="38" t="s">
        <v>31</v>
      </c>
      <c r="G34" s="38" t="s">
        <v>108</v>
      </c>
      <c r="H34" s="38" t="n">
        <v>2</v>
      </c>
      <c r="I34" s="38" t="s">
        <v>74</v>
      </c>
      <c r="J34" s="39"/>
      <c r="K34" s="35" t="str">
        <f aca="false">IF(AND(G34&lt;&gt;"",H34&lt;&gt;""),G34&amp;"|"&amp;H34,"")</f>
        <v>T-04|2</v>
      </c>
    </row>
    <row r="35" customFormat="false" ht="19.5" hidden="false" customHeight="true" outlineLevel="0" collapsed="false">
      <c r="B35" s="35" t="n">
        <v>25</v>
      </c>
      <c r="C35" s="36" t="s">
        <v>111</v>
      </c>
      <c r="D35" s="37" t="s">
        <v>106</v>
      </c>
      <c r="E35" s="38" t="s">
        <v>72</v>
      </c>
      <c r="F35" s="38" t="s">
        <v>30</v>
      </c>
      <c r="G35" s="38" t="s">
        <v>108</v>
      </c>
      <c r="H35" s="38" t="n">
        <v>3</v>
      </c>
      <c r="I35" s="38" t="s">
        <v>74</v>
      </c>
      <c r="J35" s="39"/>
      <c r="K35" s="35" t="str">
        <f aca="false">IF(AND(G35&lt;&gt;"",H35&lt;&gt;""),G35&amp;"|"&amp;H35,"")</f>
        <v>T-04|3</v>
      </c>
    </row>
    <row r="36" customFormat="false" ht="19.5" hidden="false" customHeight="true" outlineLevel="0" collapsed="false">
      <c r="B36" s="35" t="n">
        <v>26</v>
      </c>
      <c r="C36" s="36" t="s">
        <v>112</v>
      </c>
      <c r="D36" s="37" t="s">
        <v>106</v>
      </c>
      <c r="E36" s="38" t="s">
        <v>72</v>
      </c>
      <c r="F36" s="38" t="s">
        <v>30</v>
      </c>
      <c r="G36" s="38" t="s">
        <v>108</v>
      </c>
      <c r="H36" s="38" t="n">
        <v>4</v>
      </c>
      <c r="I36" s="38" t="s">
        <v>22</v>
      </c>
      <c r="J36" s="39"/>
      <c r="K36" s="35" t="str">
        <f aca="false">IF(AND(G36&lt;&gt;"",H36&lt;&gt;""),G36&amp;"|"&amp;H36,"")</f>
        <v>T-04|4</v>
      </c>
    </row>
    <row r="37" customFormat="false" ht="19.5" hidden="false" customHeight="true" outlineLevel="0" collapsed="false">
      <c r="B37" s="35" t="n">
        <v>27</v>
      </c>
      <c r="C37" s="36" t="s">
        <v>113</v>
      </c>
      <c r="D37" s="37" t="s">
        <v>106</v>
      </c>
      <c r="E37" s="38" t="s">
        <v>72</v>
      </c>
      <c r="F37" s="38" t="s">
        <v>34</v>
      </c>
      <c r="G37" s="38" t="s">
        <v>108</v>
      </c>
      <c r="H37" s="38" t="n">
        <v>5</v>
      </c>
      <c r="I37" s="38" t="s">
        <v>74</v>
      </c>
      <c r="J37" s="39"/>
      <c r="K37" s="35" t="str">
        <f aca="false">IF(AND(G37&lt;&gt;"",H37&lt;&gt;""),G37&amp;"|"&amp;H37,"")</f>
        <v>T-04|5</v>
      </c>
    </row>
    <row r="38" customFormat="false" ht="19.5" hidden="false" customHeight="true" outlineLevel="0" collapsed="false">
      <c r="B38" s="35" t="n">
        <v>28</v>
      </c>
      <c r="C38" s="36" t="s">
        <v>114</v>
      </c>
      <c r="D38" s="37" t="s">
        <v>106</v>
      </c>
      <c r="E38" s="38" t="s">
        <v>72</v>
      </c>
      <c r="F38" s="38" t="s">
        <v>30</v>
      </c>
      <c r="G38" s="38" t="s">
        <v>108</v>
      </c>
      <c r="H38" s="38" t="n">
        <v>6</v>
      </c>
      <c r="I38" s="38" t="s">
        <v>74</v>
      </c>
      <c r="J38" s="39"/>
      <c r="K38" s="35" t="str">
        <f aca="false">IF(AND(G38&lt;&gt;"",H38&lt;&gt;""),G38&amp;"|"&amp;H38,"")</f>
        <v>T-04|6</v>
      </c>
    </row>
    <row r="39" customFormat="false" ht="19.5" hidden="false" customHeight="true" outlineLevel="0" collapsed="false">
      <c r="B39" s="35" t="n">
        <v>29</v>
      </c>
      <c r="C39" s="36" t="s">
        <v>115</v>
      </c>
      <c r="D39" s="37" t="s">
        <v>116</v>
      </c>
      <c r="E39" s="38" t="s">
        <v>72</v>
      </c>
      <c r="F39" s="38" t="s">
        <v>30</v>
      </c>
      <c r="G39" s="38" t="s">
        <v>117</v>
      </c>
      <c r="H39" s="38" t="n">
        <v>1</v>
      </c>
      <c r="I39" s="38" t="s">
        <v>74</v>
      </c>
      <c r="J39" s="39"/>
      <c r="K39" s="35" t="str">
        <f aca="false">IF(AND(G39&lt;&gt;"",H39&lt;&gt;""),G39&amp;"|"&amp;H39,"")</f>
        <v>T-05|1</v>
      </c>
    </row>
    <row r="40" customFormat="false" ht="19.5" hidden="false" customHeight="true" outlineLevel="0" collapsed="false">
      <c r="B40" s="35" t="n">
        <v>30</v>
      </c>
      <c r="C40" s="36" t="s">
        <v>118</v>
      </c>
      <c r="D40" s="37" t="s">
        <v>116</v>
      </c>
      <c r="E40" s="38" t="s">
        <v>72</v>
      </c>
      <c r="F40" s="38" t="s">
        <v>31</v>
      </c>
      <c r="G40" s="38" t="s">
        <v>117</v>
      </c>
      <c r="H40" s="38" t="n">
        <v>2</v>
      </c>
      <c r="I40" s="38" t="s">
        <v>74</v>
      </c>
      <c r="J40" s="39"/>
      <c r="K40" s="35" t="str">
        <f aca="false">IF(AND(G40&lt;&gt;"",H40&lt;&gt;""),G40&amp;"|"&amp;H40,"")</f>
        <v>T-05|2</v>
      </c>
    </row>
    <row r="41" customFormat="false" ht="19.5" hidden="false" customHeight="true" outlineLevel="0" collapsed="false">
      <c r="B41" s="35" t="n">
        <v>31</v>
      </c>
      <c r="C41" s="36" t="s">
        <v>119</v>
      </c>
      <c r="D41" s="37" t="s">
        <v>116</v>
      </c>
      <c r="E41" s="38" t="s">
        <v>72</v>
      </c>
      <c r="F41" s="38" t="s">
        <v>30</v>
      </c>
      <c r="G41" s="38" t="s">
        <v>117</v>
      </c>
      <c r="H41" s="38" t="n">
        <v>3</v>
      </c>
      <c r="I41" s="38" t="s">
        <v>74</v>
      </c>
      <c r="J41" s="39"/>
      <c r="K41" s="35" t="str">
        <f aca="false">IF(AND(G41&lt;&gt;"",H41&lt;&gt;""),G41&amp;"|"&amp;H41,"")</f>
        <v>T-05|3</v>
      </c>
    </row>
    <row r="42" customFormat="false" ht="19.5" hidden="false" customHeight="true" outlineLevel="0" collapsed="false">
      <c r="B42" s="35" t="n">
        <v>32</v>
      </c>
      <c r="C42" s="36" t="s">
        <v>120</v>
      </c>
      <c r="D42" s="37" t="s">
        <v>116</v>
      </c>
      <c r="E42" s="38" t="s">
        <v>72</v>
      </c>
      <c r="F42" s="38" t="s">
        <v>32</v>
      </c>
      <c r="G42" s="38" t="s">
        <v>117</v>
      </c>
      <c r="H42" s="38" t="n">
        <v>4</v>
      </c>
      <c r="I42" s="38" t="s">
        <v>74</v>
      </c>
      <c r="J42" s="39"/>
      <c r="K42" s="35" t="str">
        <f aca="false">IF(AND(G42&lt;&gt;"",H42&lt;&gt;""),G42&amp;"|"&amp;H42,"")</f>
        <v>T-05|4</v>
      </c>
    </row>
    <row r="43" customFormat="false" ht="19.5" hidden="false" customHeight="true" outlineLevel="0" collapsed="false">
      <c r="B43" s="35" t="n">
        <v>33</v>
      </c>
      <c r="C43" s="36" t="s">
        <v>121</v>
      </c>
      <c r="D43" s="37" t="s">
        <v>116</v>
      </c>
      <c r="E43" s="38" t="s">
        <v>72</v>
      </c>
      <c r="F43" s="38" t="s">
        <v>30</v>
      </c>
      <c r="G43" s="38" t="s">
        <v>117</v>
      </c>
      <c r="H43" s="38" t="n">
        <v>5</v>
      </c>
      <c r="I43" s="38" t="s">
        <v>122</v>
      </c>
      <c r="J43" s="39" t="s">
        <v>123</v>
      </c>
      <c r="K43" s="35" t="str">
        <f aca="false">IF(AND(G43&lt;&gt;"",H43&lt;&gt;""),G43&amp;"|"&amp;H43,"")</f>
        <v>T-05|5</v>
      </c>
    </row>
    <row r="44" customFormat="false" ht="19.5" hidden="false" customHeight="true" outlineLevel="0" collapsed="false">
      <c r="B44" s="35" t="n">
        <v>34</v>
      </c>
      <c r="C44" s="36" t="s">
        <v>124</v>
      </c>
      <c r="D44" s="37" t="s">
        <v>125</v>
      </c>
      <c r="E44" s="38" t="s">
        <v>126</v>
      </c>
      <c r="F44" s="38" t="s">
        <v>30</v>
      </c>
      <c r="G44" s="38" t="s">
        <v>127</v>
      </c>
      <c r="H44" s="38" t="n">
        <v>1</v>
      </c>
      <c r="I44" s="38" t="s">
        <v>74</v>
      </c>
      <c r="J44" s="39" t="s">
        <v>15</v>
      </c>
      <c r="K44" s="35" t="str">
        <f aca="false">IF(AND(G44&lt;&gt;"",H44&lt;&gt;""),G44&amp;"|"&amp;H44,"")</f>
        <v>T-06|1</v>
      </c>
    </row>
    <row r="45" customFormat="false" ht="19.5" hidden="false" customHeight="true" outlineLevel="0" collapsed="false">
      <c r="B45" s="35" t="n">
        <v>35</v>
      </c>
      <c r="C45" s="36" t="s">
        <v>128</v>
      </c>
      <c r="D45" s="37" t="s">
        <v>125</v>
      </c>
      <c r="E45" s="38" t="s">
        <v>126</v>
      </c>
      <c r="F45" s="38" t="s">
        <v>31</v>
      </c>
      <c r="G45" s="38" t="s">
        <v>127</v>
      </c>
      <c r="H45" s="38" t="n">
        <v>2</v>
      </c>
      <c r="I45" s="38" t="s">
        <v>74</v>
      </c>
      <c r="J45" s="39"/>
      <c r="K45" s="35" t="str">
        <f aca="false">IF(AND(G45&lt;&gt;"",H45&lt;&gt;""),G45&amp;"|"&amp;H45,"")</f>
        <v>T-06|2</v>
      </c>
    </row>
    <row r="46" customFormat="false" ht="19.5" hidden="false" customHeight="true" outlineLevel="0" collapsed="false">
      <c r="B46" s="35" t="n">
        <v>36</v>
      </c>
      <c r="C46" s="36" t="s">
        <v>129</v>
      </c>
      <c r="D46" s="37" t="s">
        <v>125</v>
      </c>
      <c r="E46" s="38" t="s">
        <v>126</v>
      </c>
      <c r="F46" s="38" t="s">
        <v>30</v>
      </c>
      <c r="G46" s="38" t="s">
        <v>127</v>
      </c>
      <c r="H46" s="38" t="n">
        <v>3</v>
      </c>
      <c r="I46" s="38" t="s">
        <v>74</v>
      </c>
      <c r="J46" s="39"/>
      <c r="K46" s="35" t="str">
        <f aca="false">IF(AND(G46&lt;&gt;"",H46&lt;&gt;""),G46&amp;"|"&amp;H46,"")</f>
        <v>T-06|3</v>
      </c>
    </row>
    <row r="47" customFormat="false" ht="19.5" hidden="false" customHeight="true" outlineLevel="0" collapsed="false">
      <c r="B47" s="35" t="n">
        <v>37</v>
      </c>
      <c r="C47" s="36" t="s">
        <v>130</v>
      </c>
      <c r="D47" s="37" t="s">
        <v>125</v>
      </c>
      <c r="E47" s="38" t="s">
        <v>126</v>
      </c>
      <c r="F47" s="38" t="s">
        <v>30</v>
      </c>
      <c r="G47" s="38" t="s">
        <v>127</v>
      </c>
      <c r="H47" s="38" t="n">
        <v>4</v>
      </c>
      <c r="I47" s="38" t="s">
        <v>74</v>
      </c>
      <c r="J47" s="39"/>
      <c r="K47" s="35" t="str">
        <f aca="false">IF(AND(G47&lt;&gt;"",H47&lt;&gt;""),G47&amp;"|"&amp;H47,"")</f>
        <v>T-06|4</v>
      </c>
    </row>
    <row r="48" customFormat="false" ht="19.5" hidden="false" customHeight="true" outlineLevel="0" collapsed="false">
      <c r="B48" s="35" t="n">
        <v>38</v>
      </c>
      <c r="C48" s="36" t="s">
        <v>131</v>
      </c>
      <c r="D48" s="37" t="s">
        <v>132</v>
      </c>
      <c r="E48" s="38" t="s">
        <v>72</v>
      </c>
      <c r="F48" s="38" t="s">
        <v>30</v>
      </c>
      <c r="G48" s="38" t="s">
        <v>133</v>
      </c>
      <c r="H48" s="38" t="n">
        <v>1</v>
      </c>
      <c r="I48" s="38" t="s">
        <v>74</v>
      </c>
      <c r="J48" s="39"/>
      <c r="K48" s="35" t="str">
        <f aca="false">IF(AND(G48&lt;&gt;"",H48&lt;&gt;""),G48&amp;"|"&amp;H48,"")</f>
        <v>T-07|1</v>
      </c>
    </row>
    <row r="49" customFormat="false" ht="19.5" hidden="false" customHeight="true" outlineLevel="0" collapsed="false">
      <c r="B49" s="35" t="n">
        <v>39</v>
      </c>
      <c r="C49" s="36" t="s">
        <v>134</v>
      </c>
      <c r="D49" s="37" t="s">
        <v>132</v>
      </c>
      <c r="E49" s="38" t="s">
        <v>72</v>
      </c>
      <c r="F49" s="38" t="s">
        <v>31</v>
      </c>
      <c r="G49" s="38" t="s">
        <v>133</v>
      </c>
      <c r="H49" s="38" t="n">
        <v>2</v>
      </c>
      <c r="I49" s="38" t="s">
        <v>74</v>
      </c>
      <c r="J49" s="39"/>
      <c r="K49" s="35" t="str">
        <f aca="false">IF(AND(G49&lt;&gt;"",H49&lt;&gt;""),G49&amp;"|"&amp;H49,"")</f>
        <v>T-07|2</v>
      </c>
    </row>
    <row r="50" customFormat="false" ht="19.5" hidden="false" customHeight="true" outlineLevel="0" collapsed="false">
      <c r="B50" s="35" t="n">
        <v>40</v>
      </c>
      <c r="C50" s="36" t="s">
        <v>135</v>
      </c>
      <c r="D50" s="37" t="s">
        <v>132</v>
      </c>
      <c r="E50" s="38" t="s">
        <v>35</v>
      </c>
      <c r="F50" s="38" t="s">
        <v>136</v>
      </c>
      <c r="G50" s="38" t="s">
        <v>133</v>
      </c>
      <c r="H50" s="38" t="n">
        <v>3</v>
      </c>
      <c r="I50" s="38" t="s">
        <v>74</v>
      </c>
      <c r="J50" s="39" t="s">
        <v>137</v>
      </c>
      <c r="K50" s="35" t="str">
        <f aca="false">IF(AND(G50&lt;&gt;"",H50&lt;&gt;""),G50&amp;"|"&amp;H50,"")</f>
        <v>T-07|3</v>
      </c>
    </row>
    <row r="51" customFormat="false" ht="19.5" hidden="false" customHeight="true" outlineLevel="0" collapsed="false">
      <c r="B51" s="35" t="n">
        <v>41</v>
      </c>
      <c r="C51" s="36" t="s">
        <v>138</v>
      </c>
      <c r="D51" s="37" t="s">
        <v>132</v>
      </c>
      <c r="E51" s="38" t="s">
        <v>35</v>
      </c>
      <c r="F51" s="38" t="s">
        <v>136</v>
      </c>
      <c r="G51" s="38" t="s">
        <v>133</v>
      </c>
      <c r="H51" s="38" t="n">
        <v>4</v>
      </c>
      <c r="I51" s="38" t="s">
        <v>74</v>
      </c>
      <c r="J51" s="39" t="s">
        <v>139</v>
      </c>
      <c r="K51" s="35" t="str">
        <f aca="false">IF(AND(G51&lt;&gt;"",H51&lt;&gt;""),G51&amp;"|"&amp;H51,"")</f>
        <v>T-07|4</v>
      </c>
    </row>
    <row r="52" customFormat="false" ht="19.5" hidden="false" customHeight="true" outlineLevel="0" collapsed="false">
      <c r="B52" s="35" t="n">
        <v>42</v>
      </c>
      <c r="C52" s="36" t="s">
        <v>140</v>
      </c>
      <c r="D52" s="37" t="s">
        <v>141</v>
      </c>
      <c r="E52" s="38" t="s">
        <v>72</v>
      </c>
      <c r="F52" s="38" t="s">
        <v>30</v>
      </c>
      <c r="G52" s="38" t="s">
        <v>142</v>
      </c>
      <c r="H52" s="38" t="n">
        <v>1</v>
      </c>
      <c r="I52" s="38" t="s">
        <v>74</v>
      </c>
      <c r="J52" s="39"/>
      <c r="K52" s="35" t="str">
        <f aca="false">IF(AND(G52&lt;&gt;"",H52&lt;&gt;""),G52&amp;"|"&amp;H52,"")</f>
        <v>T-08|1</v>
      </c>
    </row>
    <row r="53" customFormat="false" ht="19.5" hidden="false" customHeight="true" outlineLevel="0" collapsed="false">
      <c r="B53" s="35" t="n">
        <v>43</v>
      </c>
      <c r="C53" s="36" t="s">
        <v>143</v>
      </c>
      <c r="D53" s="37" t="s">
        <v>141</v>
      </c>
      <c r="E53" s="38" t="s">
        <v>72</v>
      </c>
      <c r="F53" s="38" t="s">
        <v>32</v>
      </c>
      <c r="G53" s="38" t="s">
        <v>142</v>
      </c>
      <c r="H53" s="38" t="n">
        <v>2</v>
      </c>
      <c r="I53" s="38" t="s">
        <v>74</v>
      </c>
      <c r="J53" s="39"/>
      <c r="K53" s="35" t="str">
        <f aca="false">IF(AND(G53&lt;&gt;"",H53&lt;&gt;""),G53&amp;"|"&amp;H53,"")</f>
        <v>T-08|2</v>
      </c>
    </row>
    <row r="54" customFormat="false" ht="19.5" hidden="false" customHeight="true" outlineLevel="0" collapsed="false">
      <c r="B54" s="35" t="n">
        <v>44</v>
      </c>
      <c r="C54" s="36" t="s">
        <v>144</v>
      </c>
      <c r="D54" s="37" t="s">
        <v>141</v>
      </c>
      <c r="E54" s="38" t="s">
        <v>72</v>
      </c>
      <c r="F54" s="38" t="s">
        <v>33</v>
      </c>
      <c r="G54" s="38" t="s">
        <v>142</v>
      </c>
      <c r="H54" s="38" t="n">
        <v>3</v>
      </c>
      <c r="I54" s="38" t="s">
        <v>74</v>
      </c>
      <c r="J54" s="39" t="s">
        <v>145</v>
      </c>
      <c r="K54" s="35" t="str">
        <f aca="false">IF(AND(G54&lt;&gt;"",H54&lt;&gt;""),G54&amp;"|"&amp;H54,"")</f>
        <v>T-08|3</v>
      </c>
    </row>
    <row r="55" customFormat="false" ht="19.5" hidden="false" customHeight="true" outlineLevel="0" collapsed="false">
      <c r="B55" s="35" t="n">
        <v>45</v>
      </c>
      <c r="C55" s="36" t="s">
        <v>146</v>
      </c>
      <c r="D55" s="37" t="s">
        <v>141</v>
      </c>
      <c r="E55" s="38" t="s">
        <v>72</v>
      </c>
      <c r="F55" s="38" t="s">
        <v>34</v>
      </c>
      <c r="G55" s="38" t="s">
        <v>142</v>
      </c>
      <c r="H55" s="38" t="n">
        <v>4</v>
      </c>
      <c r="I55" s="38" t="s">
        <v>74</v>
      </c>
      <c r="J55" s="39"/>
      <c r="K55" s="35" t="str">
        <f aca="false">IF(AND(G55&lt;&gt;"",H55&lt;&gt;""),G55&amp;"|"&amp;H55,"")</f>
        <v>T-08|4</v>
      </c>
    </row>
    <row r="56" customFormat="false" ht="19.5" hidden="false" customHeight="true" outlineLevel="0" collapsed="false">
      <c r="B56" s="35" t="n">
        <v>46</v>
      </c>
      <c r="C56" s="36" t="s">
        <v>147</v>
      </c>
      <c r="D56" s="37" t="s">
        <v>148</v>
      </c>
      <c r="E56" s="38" t="s">
        <v>72</v>
      </c>
      <c r="F56" s="38" t="s">
        <v>30</v>
      </c>
      <c r="G56" s="38" t="s">
        <v>149</v>
      </c>
      <c r="H56" s="38" t="n">
        <v>1</v>
      </c>
      <c r="I56" s="38" t="s">
        <v>22</v>
      </c>
      <c r="J56" s="39"/>
      <c r="K56" s="35" t="str">
        <f aca="false">IF(AND(G56&lt;&gt;"",H56&lt;&gt;""),G56&amp;"|"&amp;H56,"")</f>
        <v>T-09|1</v>
      </c>
    </row>
    <row r="57" customFormat="false" ht="19.5" hidden="false" customHeight="true" outlineLevel="0" collapsed="false">
      <c r="B57" s="35" t="n">
        <v>47</v>
      </c>
      <c r="C57" s="36" t="s">
        <v>150</v>
      </c>
      <c r="D57" s="37" t="s">
        <v>148</v>
      </c>
      <c r="E57" s="38" t="s">
        <v>72</v>
      </c>
      <c r="F57" s="38" t="s">
        <v>31</v>
      </c>
      <c r="G57" s="38" t="s">
        <v>149</v>
      </c>
      <c r="H57" s="38" t="n">
        <v>2</v>
      </c>
      <c r="I57" s="38" t="s">
        <v>22</v>
      </c>
      <c r="J57" s="39"/>
      <c r="K57" s="35" t="str">
        <f aca="false">IF(AND(G57&lt;&gt;"",H57&lt;&gt;""),G57&amp;"|"&amp;H57,"")</f>
        <v>T-09|2</v>
      </c>
    </row>
    <row r="58" customFormat="false" ht="19.5" hidden="false" customHeight="true" outlineLevel="0" collapsed="false">
      <c r="B58" s="35" t="n">
        <v>48</v>
      </c>
      <c r="C58" s="36" t="s">
        <v>151</v>
      </c>
      <c r="D58" s="37" t="s">
        <v>148</v>
      </c>
      <c r="E58" s="38" t="s">
        <v>72</v>
      </c>
      <c r="F58" s="38" t="s">
        <v>30</v>
      </c>
      <c r="G58" s="38" t="s">
        <v>149</v>
      </c>
      <c r="H58" s="38" t="n">
        <v>3</v>
      </c>
      <c r="I58" s="38" t="s">
        <v>22</v>
      </c>
      <c r="J58" s="39"/>
      <c r="K58" s="35" t="str">
        <f aca="false">IF(AND(G58&lt;&gt;"",H58&lt;&gt;""),G58&amp;"|"&amp;H58,"")</f>
        <v>T-09|3</v>
      </c>
    </row>
    <row r="59" customFormat="false" ht="19.5" hidden="false" customHeight="true" outlineLevel="0" collapsed="false">
      <c r="B59" s="35" t="n">
        <v>49</v>
      </c>
      <c r="C59" s="36" t="s">
        <v>152</v>
      </c>
      <c r="D59" s="37" t="s">
        <v>153</v>
      </c>
      <c r="E59" s="38" t="s">
        <v>72</v>
      </c>
      <c r="F59" s="38" t="s">
        <v>31</v>
      </c>
      <c r="G59" s="38"/>
      <c r="H59" s="38"/>
      <c r="I59" s="38" t="s">
        <v>22</v>
      </c>
      <c r="J59" s="39" t="s">
        <v>154</v>
      </c>
      <c r="K59" s="35" t="str">
        <f aca="false">IF(AND(G59&lt;&gt;"",H59&lt;&gt;""),G59&amp;"|"&amp;H59,"")</f>
        <v/>
      </c>
    </row>
    <row r="60" customFormat="false" ht="19.5" hidden="false" customHeight="true" outlineLevel="0" collapsed="false">
      <c r="B60" s="35" t="n">
        <v>50</v>
      </c>
      <c r="C60" s="36" t="s">
        <v>155</v>
      </c>
      <c r="D60" s="37" t="s">
        <v>153</v>
      </c>
      <c r="E60" s="38" t="s">
        <v>72</v>
      </c>
      <c r="F60" s="38" t="s">
        <v>30</v>
      </c>
      <c r="G60" s="38"/>
      <c r="H60" s="38"/>
      <c r="I60" s="38" t="s">
        <v>22</v>
      </c>
      <c r="J60" s="39"/>
      <c r="K60" s="35" t="str">
        <f aca="false">IF(AND(G60&lt;&gt;"",H60&lt;&gt;""),G60&amp;"|"&amp;H60,"")</f>
        <v/>
      </c>
    </row>
    <row r="61" customFormat="false" ht="19.5" hidden="false" customHeight="true" outlineLevel="0" collapsed="false">
      <c r="B61" s="35" t="n">
        <v>51</v>
      </c>
      <c r="C61" s="36" t="s">
        <v>156</v>
      </c>
      <c r="D61" s="37" t="s">
        <v>153</v>
      </c>
      <c r="E61" s="38" t="s">
        <v>72</v>
      </c>
      <c r="F61" s="38" t="s">
        <v>32</v>
      </c>
      <c r="G61" s="38"/>
      <c r="H61" s="38"/>
      <c r="I61" s="38" t="s">
        <v>74</v>
      </c>
      <c r="J61" s="39" t="s">
        <v>157</v>
      </c>
      <c r="K61" s="35" t="str">
        <f aca="false">IF(AND(G61&lt;&gt;"",H61&lt;&gt;""),G61&amp;"|"&amp;H61,"")</f>
        <v/>
      </c>
    </row>
    <row r="62" customFormat="false" ht="19.5" hidden="false" customHeight="true" outlineLevel="0" collapsed="false">
      <c r="B62" s="35" t="str">
        <f aca="false">IF(C62&lt;&gt;"",MAX($B$11:B61)+1,"")</f>
        <v/>
      </c>
      <c r="C62" s="37"/>
      <c r="D62" s="37"/>
      <c r="E62" s="38"/>
      <c r="F62" s="38"/>
      <c r="G62" s="38"/>
      <c r="H62" s="38"/>
      <c r="I62" s="38"/>
      <c r="J62" s="37"/>
      <c r="K62" s="35" t="str">
        <f aca="false">IF(AND(G62&lt;&gt;"",H62&lt;&gt;""),G62&amp;"|"&amp;H62,"")</f>
        <v/>
      </c>
    </row>
    <row r="63" customFormat="false" ht="19.5" hidden="false" customHeight="true" outlineLevel="0" collapsed="false">
      <c r="B63" s="35" t="str">
        <f aca="false">IF(C63&lt;&gt;"",MAX($B$11:B62)+1,"")</f>
        <v/>
      </c>
      <c r="C63" s="37"/>
      <c r="D63" s="37"/>
      <c r="E63" s="38"/>
      <c r="F63" s="38"/>
      <c r="G63" s="38"/>
      <c r="H63" s="38"/>
      <c r="I63" s="38"/>
      <c r="J63" s="37"/>
      <c r="K63" s="35" t="str">
        <f aca="false">IF(AND(G63&lt;&gt;"",H63&lt;&gt;""),G63&amp;"|"&amp;H63,"")</f>
        <v/>
      </c>
    </row>
    <row r="64" customFormat="false" ht="19.5" hidden="false" customHeight="true" outlineLevel="0" collapsed="false">
      <c r="B64" s="35" t="str">
        <f aca="false">IF(C64&lt;&gt;"",MAX($B$11:B63)+1,"")</f>
        <v/>
      </c>
      <c r="C64" s="37"/>
      <c r="D64" s="37"/>
      <c r="E64" s="38"/>
      <c r="F64" s="38"/>
      <c r="G64" s="38"/>
      <c r="H64" s="38"/>
      <c r="I64" s="38"/>
      <c r="J64" s="37"/>
      <c r="K64" s="35" t="str">
        <f aca="false">IF(AND(G64&lt;&gt;"",H64&lt;&gt;""),G64&amp;"|"&amp;H64,"")</f>
        <v/>
      </c>
    </row>
    <row r="65" customFormat="false" ht="19.5" hidden="false" customHeight="true" outlineLevel="0" collapsed="false">
      <c r="B65" s="35" t="str">
        <f aca="false">IF(C65&lt;&gt;"",MAX($B$11:B64)+1,"")</f>
        <v/>
      </c>
      <c r="C65" s="37"/>
      <c r="D65" s="37"/>
      <c r="E65" s="38"/>
      <c r="F65" s="38"/>
      <c r="G65" s="38"/>
      <c r="H65" s="38"/>
      <c r="I65" s="38"/>
      <c r="J65" s="37"/>
      <c r="K65" s="35" t="str">
        <f aca="false">IF(AND(G65&lt;&gt;"",H65&lt;&gt;""),G65&amp;"|"&amp;H65,"")</f>
        <v/>
      </c>
    </row>
    <row r="66" customFormat="false" ht="19.5" hidden="false" customHeight="true" outlineLevel="0" collapsed="false">
      <c r="B66" s="35" t="str">
        <f aca="false">IF(C66&lt;&gt;"",MAX($B$11:B65)+1,"")</f>
        <v/>
      </c>
      <c r="C66" s="37"/>
      <c r="D66" s="37"/>
      <c r="E66" s="38"/>
      <c r="F66" s="38"/>
      <c r="G66" s="38"/>
      <c r="H66" s="38"/>
      <c r="I66" s="38"/>
      <c r="J66" s="37"/>
      <c r="K66" s="35" t="str">
        <f aca="false">IF(AND(G66&lt;&gt;"",H66&lt;&gt;""),G66&amp;"|"&amp;H66,"")</f>
        <v/>
      </c>
    </row>
    <row r="67" customFormat="false" ht="19.5" hidden="false" customHeight="true" outlineLevel="0" collapsed="false">
      <c r="B67" s="35" t="str">
        <f aca="false">IF(C67&lt;&gt;"",MAX($B$11:B66)+1,"")</f>
        <v/>
      </c>
      <c r="C67" s="37"/>
      <c r="D67" s="37"/>
      <c r="E67" s="38"/>
      <c r="F67" s="38"/>
      <c r="G67" s="38"/>
      <c r="H67" s="38"/>
      <c r="I67" s="38"/>
      <c r="J67" s="37"/>
      <c r="K67" s="35" t="str">
        <f aca="false">IF(AND(G67&lt;&gt;"",H67&lt;&gt;""),G67&amp;"|"&amp;H67,"")</f>
        <v/>
      </c>
    </row>
    <row r="68" customFormat="false" ht="19.5" hidden="false" customHeight="true" outlineLevel="0" collapsed="false">
      <c r="B68" s="35" t="str">
        <f aca="false">IF(C68&lt;&gt;"",MAX($B$11:B67)+1,"")</f>
        <v/>
      </c>
      <c r="C68" s="37"/>
      <c r="D68" s="37"/>
      <c r="E68" s="38"/>
      <c r="F68" s="38"/>
      <c r="G68" s="38"/>
      <c r="H68" s="38"/>
      <c r="I68" s="38"/>
      <c r="J68" s="37"/>
      <c r="K68" s="35" t="str">
        <f aca="false">IF(AND(G68&lt;&gt;"",H68&lt;&gt;""),G68&amp;"|"&amp;H68,"")</f>
        <v/>
      </c>
    </row>
    <row r="69" customFormat="false" ht="19.5" hidden="false" customHeight="true" outlineLevel="0" collapsed="false">
      <c r="B69" s="35" t="str">
        <f aca="false">IF(C69&lt;&gt;"",MAX($B$11:B68)+1,"")</f>
        <v/>
      </c>
      <c r="C69" s="37"/>
      <c r="D69" s="37"/>
      <c r="E69" s="38"/>
      <c r="F69" s="38"/>
      <c r="G69" s="38"/>
      <c r="H69" s="38"/>
      <c r="I69" s="38"/>
      <c r="J69" s="37"/>
      <c r="K69" s="35" t="str">
        <f aca="false">IF(AND(G69&lt;&gt;"",H69&lt;&gt;""),G69&amp;"|"&amp;H69,"")</f>
        <v/>
      </c>
    </row>
    <row r="70" customFormat="false" ht="19.5" hidden="false" customHeight="true" outlineLevel="0" collapsed="false">
      <c r="B70" s="35" t="str">
        <f aca="false">IF(C70&lt;&gt;"",MAX($B$11:B69)+1,"")</f>
        <v/>
      </c>
      <c r="C70" s="37"/>
      <c r="D70" s="37"/>
      <c r="E70" s="38"/>
      <c r="F70" s="38"/>
      <c r="G70" s="38"/>
      <c r="H70" s="38"/>
      <c r="I70" s="38"/>
      <c r="J70" s="37"/>
      <c r="K70" s="35" t="str">
        <f aca="false">IF(AND(G70&lt;&gt;"",H70&lt;&gt;""),G70&amp;"|"&amp;H70,"")</f>
        <v/>
      </c>
    </row>
  </sheetData>
  <autoFilter ref="B10:K70"/>
  <mergeCells count="7">
    <mergeCell ref="B2:F2"/>
    <mergeCell ref="G2:J2"/>
    <mergeCell ref="B6:C6"/>
    <mergeCell ref="G6:J6"/>
    <mergeCell ref="B7:C7"/>
    <mergeCell ref="G7:J7"/>
    <mergeCell ref="B9:L9"/>
  </mergeCells>
  <conditionalFormatting sqref="E11:E70">
    <cfRule type="cellIs" priority="2" operator="equal" aboveAverage="0" equalAverage="0" bottom="0" percent="0" rank="0" text="" dxfId="34">
      <formula>"VIP"</formula>
    </cfRule>
    <cfRule type="cellIs" priority="3" operator="equal" aboveAverage="0" equalAverage="0" bottom="0" percent="0" rank="0" text="" dxfId="35">
      <formula>"Redner"</formula>
    </cfRule>
    <cfRule type="cellIs" priority="4" operator="equal" aboveAverage="0" equalAverage="0" bottom="0" percent="0" rank="0" text="" dxfId="36">
      <formula>"Personal"</formula>
    </cfRule>
    <cfRule type="cellIs" priority="5" operator="equal" aboveAverage="0" equalAverage="0" bottom="0" percent="0" rank="0" text="" dxfId="37">
      <formula>"Kind"</formula>
    </cfRule>
  </conditionalFormatting>
  <conditionalFormatting sqref="F11:F70">
    <cfRule type="cellIs" priority="6" operator="equal" aboveAverage="0" equalAverage="0" bottom="0" percent="0" rank="0" text="" dxfId="38">
      <formula>"Standard"</formula>
    </cfRule>
    <cfRule type="cellIs" priority="7" operator="equal" aboveAverage="0" equalAverage="0" bottom="0" percent="0" rank="0" text="" dxfId="39">
      <formula>"Vegetarisch"</formula>
    </cfRule>
    <cfRule type="cellIs" priority="8" operator="equal" aboveAverage="0" equalAverage="0" bottom="0" percent="0" rank="0" text="" dxfId="40">
      <formula>"Vegan"</formula>
    </cfRule>
    <cfRule type="cellIs" priority="9" operator="equal" aboveAverage="0" equalAverage="0" bottom="0" percent="0" rank="0" text="" dxfId="41">
      <formula>"Glutenfrei"</formula>
    </cfRule>
    <cfRule type="cellIs" priority="10" operator="equal" aboveAverage="0" equalAverage="0" bottom="0" percent="0" rank="0" text="" dxfId="42">
      <formula>"Halal"</formula>
    </cfRule>
    <cfRule type="cellIs" priority="11" operator="equal" aboveAverage="0" equalAverage="0" bottom="0" percent="0" rank="0" text="" dxfId="37">
      <formula>"Kindermenü"</formula>
    </cfRule>
  </conditionalFormatting>
  <conditionalFormatting sqref="I11:I70">
    <cfRule type="cellIs" priority="12" operator="equal" aboveAverage="0" equalAverage="0" bottom="0" percent="0" rank="0" text="" dxfId="43">
      <formula>"Zugesagt"</formula>
    </cfRule>
    <cfRule type="cellIs" priority="13" operator="equal" aboveAverage="0" equalAverage="0" bottom="0" percent="0" rank="0" text="" dxfId="44">
      <formula>"Abgesagt"</formula>
    </cfRule>
    <cfRule type="cellIs" priority="14" operator="equal" aboveAverage="0" equalAverage="0" bottom="0" percent="0" rank="0" text="" dxfId="45">
      <formula>"Ausstehend"</formula>
    </cfRule>
  </conditionalFormatting>
  <conditionalFormatting sqref="C11:D70">
    <cfRule type="expression" priority="15" aboveAverage="0" equalAverage="0" bottom="0" percent="0" rank="0" text="" dxfId="46">
      <formula>$E11="VIP"</formula>
    </cfRule>
  </conditionalFormatting>
  <conditionalFormatting sqref="B11:K70">
    <cfRule type="expression" priority="16" aboveAverage="0" equalAverage="0" bottom="0" percent="0" rank="0" text="" dxfId="47">
      <formula>MOD(ROW(),2)=0</formula>
    </cfRule>
  </conditionalFormatting>
  <conditionalFormatting sqref="K11:K70">
    <cfRule type="expression" priority="17" aboveAverage="0" equalAverage="0" bottom="0" percent="0" rank="0" text="" dxfId="44">
      <formula>AND(K11&lt;&gt;"",COUNTIF($K$11:$K$70,K11)&gt;1)</formula>
    </cfRule>
  </conditionalFormatting>
  <dataValidations count="5">
    <dataValidation allowBlank="true" errorStyle="stop" operator="between" showDropDown="false" showErrorMessage="false" showInputMessage="false" sqref="E11:E70" type="list">
      <formula1>"Gast,VIP,Redner,Personal,Kind"</formula1>
      <formula2>0</formula2>
    </dataValidation>
    <dataValidation allowBlank="true" errorStyle="stop" operator="between" showDropDown="false" showErrorMessage="false" showInputMessage="false" sqref="F11:F70" type="list">
      <formula1>"Standard,Vegetarisch,Vegan,Glutenfrei,Halal,Kindermenü,Kein Menü"</formula1>
      <formula2>0</formula2>
    </dataValidation>
    <dataValidation allowBlank="true" errorStyle="stop" operator="between" showDropDown="false" showErrorMessage="false" showInputMessage="false" sqref="G11:G70" type="list">
      <formula1>"T-01,T-02,T-03,T-04,T-05,T-06,T-07,T-08,T-09,T-10,T-11,T-12"</formula1>
      <formula2>0</formula2>
    </dataValidation>
    <dataValidation allowBlank="true" errorStyle="stop" operator="between" showDropDown="false" showErrorMessage="false" showInputMessage="false" sqref="H11:H70" type="whole">
      <formula1>1</formula1>
      <formula2>8</formula2>
    </dataValidation>
    <dataValidation allowBlank="true" errorStyle="stop" operator="between" showDropDown="false" showErrorMessage="false" showInputMessage="false" sqref="I11:I70" type="list">
      <formula1>"Zugesagt,Ausstehend,Abgesagt"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8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"/>
    <col collapsed="false" customWidth="true" hidden="false" outlineLevel="0" max="3" min="3" style="0" width="12"/>
    <col collapsed="false" customWidth="true" hidden="false" outlineLevel="0" max="8" min="4" style="0" width="10"/>
    <col collapsed="false" customWidth="true" hidden="false" outlineLevel="0" max="9" min="9" style="0" width="3"/>
    <col collapsed="false" customWidth="true" hidden="false" outlineLevel="0" max="10" min="10" style="0" width="20"/>
    <col collapsed="false" customWidth="true" hidden="false" outlineLevel="0" max="12" min="11" style="0" width="14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75" hidden="false" customHeight="true" outlineLevel="0" collapsed="false">
      <c r="A2" s="1"/>
      <c r="B2" s="28" t="s">
        <v>158</v>
      </c>
      <c r="C2" s="28"/>
      <c r="D2" s="28"/>
      <c r="E2" s="28"/>
      <c r="F2" s="28"/>
      <c r="G2" s="29" t="s">
        <v>159</v>
      </c>
      <c r="H2" s="29"/>
      <c r="I2" s="29"/>
      <c r="J2" s="29"/>
      <c r="K2" s="29"/>
      <c r="L2" s="29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customFormat="false" ht="3.7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7.5" hidden="false" customHeight="true" outlineLevel="0" collapsed="false"/>
    <row r="6" customFormat="false" ht="21.75" hidden="false" customHeight="true" outlineLevel="0" collapsed="false">
      <c r="B6" s="5" t="s">
        <v>160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customFormat="false" ht="18" hidden="false" customHeight="true" outlineLevel="0" collapsed="false">
      <c r="B7" s="8" t="s">
        <v>59</v>
      </c>
      <c r="C7" s="8"/>
      <c r="D7" s="8"/>
      <c r="E7" s="8" t="s">
        <v>21</v>
      </c>
      <c r="F7" s="8"/>
      <c r="G7" s="8"/>
      <c r="H7" s="8" t="s">
        <v>161</v>
      </c>
      <c r="I7" s="8"/>
      <c r="J7" s="8"/>
      <c r="K7" s="8"/>
      <c r="L7" s="8"/>
    </row>
    <row r="8" customFormat="false" ht="31.5" hidden="false" customHeight="true" outlineLevel="0" collapsed="false">
      <c r="B8" s="9" t="n">
        <f aca="false">COUNTA(Gästeliste!C11:C70)</f>
        <v>51</v>
      </c>
      <c r="C8" s="9"/>
      <c r="D8" s="9"/>
      <c r="E8" s="10" t="n">
        <f aca="false">COUNTIF(Gästeliste!I11:I70,"Zugesagt")</f>
        <v>42</v>
      </c>
      <c r="F8" s="10"/>
      <c r="G8" s="10"/>
      <c r="H8" s="40" t="str">
        <f aca="false">COUNTIF(Gästeliste!I11:I70,"Ausstehend")&amp;" / "&amp;COUNTIF(Gästeliste!I11:I70,"Abgesagt")</f>
        <v>8 / 1</v>
      </c>
      <c r="I8" s="40"/>
      <c r="J8" s="40"/>
      <c r="K8" s="40"/>
      <c r="L8" s="40"/>
    </row>
    <row r="9" customFormat="false" ht="18" hidden="false" customHeight="true" outlineLevel="0" collapsed="false">
      <c r="B9" s="8" t="s">
        <v>24</v>
      </c>
      <c r="C9" s="8"/>
      <c r="D9" s="8"/>
      <c r="E9" s="8" t="s">
        <v>25</v>
      </c>
      <c r="F9" s="8"/>
      <c r="G9" s="8"/>
      <c r="H9" s="8" t="s">
        <v>162</v>
      </c>
      <c r="I9" s="8"/>
      <c r="J9" s="8"/>
      <c r="K9" s="8"/>
      <c r="L9" s="8"/>
    </row>
    <row r="10" customFormat="false" ht="31.5" hidden="false" customHeight="true" outlineLevel="0" collapsed="false">
      <c r="B10" s="13" t="n">
        <f aca="false">COUNTIFS(Gästeliste!G11:G70,"&lt;&gt;",Gästeliste!H11:H70,"&lt;&gt;")</f>
        <v>48</v>
      </c>
      <c r="C10" s="13"/>
      <c r="D10" s="13"/>
      <c r="E10" s="14" t="n">
        <f aca="false">96-COUNTIFS(Gästeliste!G11:G70,"&lt;&gt;",Gästeliste!H11:H70,"&lt;&gt;")</f>
        <v>48</v>
      </c>
      <c r="F10" s="14"/>
      <c r="G10" s="14"/>
      <c r="H10" s="41" t="n">
        <f aca="false">IFERROR(COUNTIFS(Gästeliste!G11:G70,"&lt;&gt;",Gästeliste!H11:H70,"&lt;&gt;")/96,0)</f>
        <v>0.5</v>
      </c>
      <c r="I10" s="41"/>
      <c r="J10" s="41"/>
      <c r="K10" s="41"/>
      <c r="L10" s="41"/>
    </row>
    <row r="11" customFormat="false" ht="7.5" hidden="false" customHeight="true" outlineLevel="0" collapsed="false"/>
    <row r="12" customFormat="false" ht="21.75" hidden="false" customHeight="true" outlineLevel="0" collapsed="false">
      <c r="B12" s="5" t="s">
        <v>163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customFormat="false" ht="30" hidden="false" customHeight="true" outlineLevel="0" collapsed="false">
      <c r="B13" s="34" t="s">
        <v>66</v>
      </c>
      <c r="C13" s="34" t="s">
        <v>164</v>
      </c>
      <c r="D13" s="34" t="s">
        <v>165</v>
      </c>
      <c r="E13" s="34" t="s">
        <v>166</v>
      </c>
      <c r="F13" s="34" t="s">
        <v>167</v>
      </c>
      <c r="G13" s="34" t="s">
        <v>30</v>
      </c>
      <c r="H13" s="34" t="s">
        <v>31</v>
      </c>
      <c r="I13" s="34" t="s">
        <v>32</v>
      </c>
      <c r="J13" s="34" t="s">
        <v>33</v>
      </c>
      <c r="K13" s="34" t="s">
        <v>34</v>
      </c>
      <c r="L13" s="34" t="s">
        <v>35</v>
      </c>
    </row>
    <row r="14" customFormat="false" ht="18" hidden="false" customHeight="true" outlineLevel="0" collapsed="false">
      <c r="B14" s="42" t="s">
        <v>73</v>
      </c>
      <c r="C14" s="43" t="n">
        <v>8</v>
      </c>
      <c r="D14" s="43" t="n">
        <f aca="false">COUNTIF(Gästeliste!$G$11:$G$70,$B14)</f>
        <v>8</v>
      </c>
      <c r="E14" s="44" t="n">
        <f aca="false">C14-D14</f>
        <v>0</v>
      </c>
      <c r="F14" s="45" t="n">
        <f aca="false">IFERROR(D14/C14,0)</f>
        <v>1</v>
      </c>
      <c r="G14" s="43" t="n">
        <f aca="false">COUNTIFS(Gästeliste!$G$11:$G$70,$B14,Gästeliste!$F$11:$F$70,"Standard")</f>
        <v>6</v>
      </c>
      <c r="H14" s="43" t="n">
        <f aca="false">COUNTIFS(Gästeliste!$G$11:$G$70,$B14,Gästeliste!$F$11:$F$70,"Vegetarisch")</f>
        <v>1</v>
      </c>
      <c r="I14" s="43" t="n">
        <f aca="false">COUNTIFS(Gästeliste!$G$11:$G$70,$B14,Gästeliste!$F$11:$F$70,"Vegan")</f>
        <v>1</v>
      </c>
      <c r="J14" s="43" t="n">
        <f aca="false">COUNTIFS(Gästeliste!$G$11:$G$70,$B14,Gästeliste!$F$11:$F$70,"Glutenfrei")</f>
        <v>0</v>
      </c>
      <c r="K14" s="43" t="n">
        <f aca="false">COUNTIFS(Gästeliste!$G$11:$G$70,$B14,Gästeliste!$F$11:$F$70,"Halal")</f>
        <v>0</v>
      </c>
      <c r="L14" s="43" t="n">
        <f aca="false">COUNTIFS(Gästeliste!$G$11:$G$70,$B14,Gästeliste!$F$11:$F$70,"Kindermenü")</f>
        <v>0</v>
      </c>
    </row>
    <row r="15" customFormat="false" ht="18" hidden="false" customHeight="true" outlineLevel="0" collapsed="false">
      <c r="B15" s="46" t="s">
        <v>85</v>
      </c>
      <c r="C15" s="47" t="n">
        <v>8</v>
      </c>
      <c r="D15" s="47" t="n">
        <f aca="false">COUNTIF(Gästeliste!$G$11:$G$70,$B15)</f>
        <v>8</v>
      </c>
      <c r="E15" s="48" t="n">
        <f aca="false">C15-D15</f>
        <v>0</v>
      </c>
      <c r="F15" s="49" t="n">
        <f aca="false">IFERROR(D15/C15,0)</f>
        <v>1</v>
      </c>
      <c r="G15" s="47" t="n">
        <f aca="false">COUNTIFS(Gästeliste!$G$11:$G$70,$B15,Gästeliste!$F$11:$F$70,"Standard")</f>
        <v>5</v>
      </c>
      <c r="H15" s="47" t="n">
        <f aca="false">COUNTIFS(Gästeliste!$G$11:$G$70,$B15,Gästeliste!$F$11:$F$70,"Vegetarisch")</f>
        <v>2</v>
      </c>
      <c r="I15" s="47" t="n">
        <f aca="false">COUNTIFS(Gästeliste!$G$11:$G$70,$B15,Gästeliste!$F$11:$F$70,"Vegan")</f>
        <v>0</v>
      </c>
      <c r="J15" s="47" t="n">
        <f aca="false">COUNTIFS(Gästeliste!$G$11:$G$70,$B15,Gästeliste!$F$11:$F$70,"Glutenfrei")</f>
        <v>1</v>
      </c>
      <c r="K15" s="47" t="n">
        <f aca="false">COUNTIFS(Gästeliste!$G$11:$G$70,$B15,Gästeliste!$F$11:$F$70,"Halal")</f>
        <v>0</v>
      </c>
      <c r="L15" s="47" t="n">
        <f aca="false">COUNTIFS(Gästeliste!$G$11:$G$70,$B15,Gästeliste!$F$11:$F$70,"Kindermenü")</f>
        <v>0</v>
      </c>
    </row>
    <row r="16" customFormat="false" ht="18" hidden="false" customHeight="true" outlineLevel="0" collapsed="false">
      <c r="B16" s="42" t="s">
        <v>99</v>
      </c>
      <c r="C16" s="43" t="n">
        <v>8</v>
      </c>
      <c r="D16" s="43" t="n">
        <f aca="false">COUNTIF(Gästeliste!$G$11:$G$70,$B16)</f>
        <v>6</v>
      </c>
      <c r="E16" s="44" t="n">
        <f aca="false">C16-D16</f>
        <v>2</v>
      </c>
      <c r="F16" s="45" t="n">
        <f aca="false">IFERROR(D16/C16,0)</f>
        <v>0.75</v>
      </c>
      <c r="G16" s="43" t="n">
        <f aca="false">COUNTIFS(Gästeliste!$G$11:$G$70,$B16,Gästeliste!$F$11:$F$70,"Standard")</f>
        <v>4</v>
      </c>
      <c r="H16" s="43" t="n">
        <f aca="false">COUNTIFS(Gästeliste!$G$11:$G$70,$B16,Gästeliste!$F$11:$F$70,"Vegetarisch")</f>
        <v>1</v>
      </c>
      <c r="I16" s="43" t="n">
        <f aca="false">COUNTIFS(Gästeliste!$G$11:$G$70,$B16,Gästeliste!$F$11:$F$70,"Vegan")</f>
        <v>0</v>
      </c>
      <c r="J16" s="43" t="n">
        <f aca="false">COUNTIFS(Gästeliste!$G$11:$G$70,$B16,Gästeliste!$F$11:$F$70,"Glutenfrei")</f>
        <v>0</v>
      </c>
      <c r="K16" s="43" t="n">
        <f aca="false">COUNTIFS(Gästeliste!$G$11:$G$70,$B16,Gästeliste!$F$11:$F$70,"Halal")</f>
        <v>1</v>
      </c>
      <c r="L16" s="43" t="n">
        <f aca="false">COUNTIFS(Gästeliste!$G$11:$G$70,$B16,Gästeliste!$F$11:$F$70,"Kindermenü")</f>
        <v>0</v>
      </c>
    </row>
    <row r="17" customFormat="false" ht="18" hidden="false" customHeight="true" outlineLevel="0" collapsed="false">
      <c r="B17" s="46" t="s">
        <v>108</v>
      </c>
      <c r="C17" s="47" t="n">
        <v>8</v>
      </c>
      <c r="D17" s="47" t="n">
        <f aca="false">COUNTIF(Gästeliste!$G$11:$G$70,$B17)</f>
        <v>6</v>
      </c>
      <c r="E17" s="48" t="n">
        <f aca="false">C17-D17</f>
        <v>2</v>
      </c>
      <c r="F17" s="49" t="n">
        <f aca="false">IFERROR(D17/C17,0)</f>
        <v>0.75</v>
      </c>
      <c r="G17" s="47" t="n">
        <f aca="false">COUNTIFS(Gästeliste!$G$11:$G$70,$B17,Gästeliste!$F$11:$F$70,"Standard")</f>
        <v>4</v>
      </c>
      <c r="H17" s="47" t="n">
        <f aca="false">COUNTIFS(Gästeliste!$G$11:$G$70,$B17,Gästeliste!$F$11:$F$70,"Vegetarisch")</f>
        <v>1</v>
      </c>
      <c r="I17" s="47" t="n">
        <f aca="false">COUNTIFS(Gästeliste!$G$11:$G$70,$B17,Gästeliste!$F$11:$F$70,"Vegan")</f>
        <v>0</v>
      </c>
      <c r="J17" s="47" t="n">
        <f aca="false">COUNTIFS(Gästeliste!$G$11:$G$70,$B17,Gästeliste!$F$11:$F$70,"Glutenfrei")</f>
        <v>0</v>
      </c>
      <c r="K17" s="47" t="n">
        <f aca="false">COUNTIFS(Gästeliste!$G$11:$G$70,$B17,Gästeliste!$F$11:$F$70,"Halal")</f>
        <v>1</v>
      </c>
      <c r="L17" s="47" t="n">
        <f aca="false">COUNTIFS(Gästeliste!$G$11:$G$70,$B17,Gästeliste!$F$11:$F$70,"Kindermenü")</f>
        <v>0</v>
      </c>
    </row>
    <row r="18" customFormat="false" ht="18" hidden="false" customHeight="true" outlineLevel="0" collapsed="false">
      <c r="B18" s="42" t="s">
        <v>117</v>
      </c>
      <c r="C18" s="43" t="n">
        <v>8</v>
      </c>
      <c r="D18" s="43" t="n">
        <f aca="false">COUNTIF(Gästeliste!$G$11:$G$70,$B18)</f>
        <v>5</v>
      </c>
      <c r="E18" s="44" t="n">
        <f aca="false">C18-D18</f>
        <v>3</v>
      </c>
      <c r="F18" s="45" t="n">
        <f aca="false">IFERROR(D18/C18,0)</f>
        <v>0.625</v>
      </c>
      <c r="G18" s="43" t="n">
        <f aca="false">COUNTIFS(Gästeliste!$G$11:$G$70,$B18,Gästeliste!$F$11:$F$70,"Standard")</f>
        <v>3</v>
      </c>
      <c r="H18" s="43" t="n">
        <f aca="false">COUNTIFS(Gästeliste!$G$11:$G$70,$B18,Gästeliste!$F$11:$F$70,"Vegetarisch")</f>
        <v>1</v>
      </c>
      <c r="I18" s="43" t="n">
        <f aca="false">COUNTIFS(Gästeliste!$G$11:$G$70,$B18,Gästeliste!$F$11:$F$70,"Vegan")</f>
        <v>1</v>
      </c>
      <c r="J18" s="43" t="n">
        <f aca="false">COUNTIFS(Gästeliste!$G$11:$G$70,$B18,Gästeliste!$F$11:$F$70,"Glutenfrei")</f>
        <v>0</v>
      </c>
      <c r="K18" s="43" t="n">
        <f aca="false">COUNTIFS(Gästeliste!$G$11:$G$70,$B18,Gästeliste!$F$11:$F$70,"Halal")</f>
        <v>0</v>
      </c>
      <c r="L18" s="43" t="n">
        <f aca="false">COUNTIFS(Gästeliste!$G$11:$G$70,$B18,Gästeliste!$F$11:$F$70,"Kindermenü")</f>
        <v>0</v>
      </c>
    </row>
    <row r="19" customFormat="false" ht="18" hidden="false" customHeight="true" outlineLevel="0" collapsed="false">
      <c r="B19" s="46" t="s">
        <v>127</v>
      </c>
      <c r="C19" s="47" t="n">
        <v>8</v>
      </c>
      <c r="D19" s="47" t="n">
        <f aca="false">COUNTIF(Gästeliste!$G$11:$G$70,$B19)</f>
        <v>4</v>
      </c>
      <c r="E19" s="48" t="n">
        <f aca="false">C19-D19</f>
        <v>4</v>
      </c>
      <c r="F19" s="49" t="n">
        <f aca="false">IFERROR(D19/C19,0)</f>
        <v>0.5</v>
      </c>
      <c r="G19" s="47" t="n">
        <f aca="false">COUNTIFS(Gästeliste!$G$11:$G$70,$B19,Gästeliste!$F$11:$F$70,"Standard")</f>
        <v>3</v>
      </c>
      <c r="H19" s="47" t="n">
        <f aca="false">COUNTIFS(Gästeliste!$G$11:$G$70,$B19,Gästeliste!$F$11:$F$70,"Vegetarisch")</f>
        <v>1</v>
      </c>
      <c r="I19" s="47" t="n">
        <f aca="false">COUNTIFS(Gästeliste!$G$11:$G$70,$B19,Gästeliste!$F$11:$F$70,"Vegan")</f>
        <v>0</v>
      </c>
      <c r="J19" s="47" t="n">
        <f aca="false">COUNTIFS(Gästeliste!$G$11:$G$70,$B19,Gästeliste!$F$11:$F$70,"Glutenfrei")</f>
        <v>0</v>
      </c>
      <c r="K19" s="47" t="n">
        <f aca="false">COUNTIFS(Gästeliste!$G$11:$G$70,$B19,Gästeliste!$F$11:$F$70,"Halal")</f>
        <v>0</v>
      </c>
      <c r="L19" s="47" t="n">
        <f aca="false">COUNTIFS(Gästeliste!$G$11:$G$70,$B19,Gästeliste!$F$11:$F$70,"Kindermenü")</f>
        <v>0</v>
      </c>
    </row>
    <row r="20" customFormat="false" ht="18" hidden="false" customHeight="true" outlineLevel="0" collapsed="false">
      <c r="B20" s="42" t="s">
        <v>133</v>
      </c>
      <c r="C20" s="43" t="n">
        <v>8</v>
      </c>
      <c r="D20" s="43" t="n">
        <f aca="false">COUNTIF(Gästeliste!$G$11:$G$70,$B20)</f>
        <v>4</v>
      </c>
      <c r="E20" s="44" t="n">
        <f aca="false">C20-D20</f>
        <v>4</v>
      </c>
      <c r="F20" s="45" t="n">
        <f aca="false">IFERROR(D20/C20,0)</f>
        <v>0.5</v>
      </c>
      <c r="G20" s="43" t="n">
        <f aca="false">COUNTIFS(Gästeliste!$G$11:$G$70,$B20,Gästeliste!$F$11:$F$70,"Standard")</f>
        <v>1</v>
      </c>
      <c r="H20" s="43" t="n">
        <f aca="false">COUNTIFS(Gästeliste!$G$11:$G$70,$B20,Gästeliste!$F$11:$F$70,"Vegetarisch")</f>
        <v>1</v>
      </c>
      <c r="I20" s="43" t="n">
        <f aca="false">COUNTIFS(Gästeliste!$G$11:$G$70,$B20,Gästeliste!$F$11:$F$70,"Vegan")</f>
        <v>0</v>
      </c>
      <c r="J20" s="43" t="n">
        <f aca="false">COUNTIFS(Gästeliste!$G$11:$G$70,$B20,Gästeliste!$F$11:$F$70,"Glutenfrei")</f>
        <v>0</v>
      </c>
      <c r="K20" s="43" t="n">
        <f aca="false">COUNTIFS(Gästeliste!$G$11:$G$70,$B20,Gästeliste!$F$11:$F$70,"Halal")</f>
        <v>0</v>
      </c>
      <c r="L20" s="43" t="n">
        <f aca="false">COUNTIFS(Gästeliste!$G$11:$G$70,$B20,Gästeliste!$F$11:$F$70,"Kindermenü")</f>
        <v>2</v>
      </c>
    </row>
    <row r="21" customFormat="false" ht="18" hidden="false" customHeight="true" outlineLevel="0" collapsed="false">
      <c r="B21" s="46" t="s">
        <v>142</v>
      </c>
      <c r="C21" s="47" t="n">
        <v>8</v>
      </c>
      <c r="D21" s="47" t="n">
        <f aca="false">COUNTIF(Gästeliste!$G$11:$G$70,$B21)</f>
        <v>4</v>
      </c>
      <c r="E21" s="48" t="n">
        <f aca="false">C21-D21</f>
        <v>4</v>
      </c>
      <c r="F21" s="49" t="n">
        <f aca="false">IFERROR(D21/C21,0)</f>
        <v>0.5</v>
      </c>
      <c r="G21" s="47" t="n">
        <f aca="false">COUNTIFS(Gästeliste!$G$11:$G$70,$B21,Gästeliste!$F$11:$F$70,"Standard")</f>
        <v>1</v>
      </c>
      <c r="H21" s="47" t="n">
        <f aca="false">COUNTIFS(Gästeliste!$G$11:$G$70,$B21,Gästeliste!$F$11:$F$70,"Vegetarisch")</f>
        <v>0</v>
      </c>
      <c r="I21" s="47" t="n">
        <f aca="false">COUNTIFS(Gästeliste!$G$11:$G$70,$B21,Gästeliste!$F$11:$F$70,"Vegan")</f>
        <v>1</v>
      </c>
      <c r="J21" s="47" t="n">
        <f aca="false">COUNTIFS(Gästeliste!$G$11:$G$70,$B21,Gästeliste!$F$11:$F$70,"Glutenfrei")</f>
        <v>1</v>
      </c>
      <c r="K21" s="47" t="n">
        <f aca="false">COUNTIFS(Gästeliste!$G$11:$G$70,$B21,Gästeliste!$F$11:$F$70,"Halal")</f>
        <v>1</v>
      </c>
      <c r="L21" s="47" t="n">
        <f aca="false">COUNTIFS(Gästeliste!$G$11:$G$70,$B21,Gästeliste!$F$11:$F$70,"Kindermenü")</f>
        <v>0</v>
      </c>
    </row>
    <row r="22" customFormat="false" ht="18" hidden="false" customHeight="true" outlineLevel="0" collapsed="false">
      <c r="B22" s="42" t="s">
        <v>149</v>
      </c>
      <c r="C22" s="43" t="n">
        <v>8</v>
      </c>
      <c r="D22" s="43" t="n">
        <f aca="false">COUNTIF(Gästeliste!$G$11:$G$70,$B22)</f>
        <v>3</v>
      </c>
      <c r="E22" s="44" t="n">
        <f aca="false">C22-D22</f>
        <v>5</v>
      </c>
      <c r="F22" s="45" t="n">
        <f aca="false">IFERROR(D22/C22,0)</f>
        <v>0.375</v>
      </c>
      <c r="G22" s="43" t="n">
        <f aca="false">COUNTIFS(Gästeliste!$G$11:$G$70,$B22,Gästeliste!$F$11:$F$70,"Standard")</f>
        <v>2</v>
      </c>
      <c r="H22" s="43" t="n">
        <f aca="false">COUNTIFS(Gästeliste!$G$11:$G$70,$B22,Gästeliste!$F$11:$F$70,"Vegetarisch")</f>
        <v>1</v>
      </c>
      <c r="I22" s="43" t="n">
        <f aca="false">COUNTIFS(Gästeliste!$G$11:$G$70,$B22,Gästeliste!$F$11:$F$70,"Vegan")</f>
        <v>0</v>
      </c>
      <c r="J22" s="43" t="n">
        <f aca="false">COUNTIFS(Gästeliste!$G$11:$G$70,$B22,Gästeliste!$F$11:$F$70,"Glutenfrei")</f>
        <v>0</v>
      </c>
      <c r="K22" s="43" t="n">
        <f aca="false">COUNTIFS(Gästeliste!$G$11:$G$70,$B22,Gästeliste!$F$11:$F$70,"Halal")</f>
        <v>0</v>
      </c>
      <c r="L22" s="43" t="n">
        <f aca="false">COUNTIFS(Gästeliste!$G$11:$G$70,$B22,Gästeliste!$F$11:$F$70,"Kindermenü")</f>
        <v>0</v>
      </c>
    </row>
    <row r="23" customFormat="false" ht="18" hidden="false" customHeight="true" outlineLevel="0" collapsed="false">
      <c r="B23" s="46" t="s">
        <v>168</v>
      </c>
      <c r="C23" s="47" t="n">
        <v>8</v>
      </c>
      <c r="D23" s="47" t="n">
        <f aca="false">COUNTIF(Gästeliste!$G$11:$G$70,$B23)</f>
        <v>0</v>
      </c>
      <c r="E23" s="48" t="n">
        <f aca="false">C23-D23</f>
        <v>8</v>
      </c>
      <c r="F23" s="49" t="n">
        <f aca="false">IFERROR(D23/C23,0)</f>
        <v>0</v>
      </c>
      <c r="G23" s="47" t="n">
        <f aca="false">COUNTIFS(Gästeliste!$G$11:$G$70,$B23,Gästeliste!$F$11:$F$70,"Standard")</f>
        <v>0</v>
      </c>
      <c r="H23" s="47" t="n">
        <f aca="false">COUNTIFS(Gästeliste!$G$11:$G$70,$B23,Gästeliste!$F$11:$F$70,"Vegetarisch")</f>
        <v>0</v>
      </c>
      <c r="I23" s="47" t="n">
        <f aca="false">COUNTIFS(Gästeliste!$G$11:$G$70,$B23,Gästeliste!$F$11:$F$70,"Vegan")</f>
        <v>0</v>
      </c>
      <c r="J23" s="47" t="n">
        <f aca="false">COUNTIFS(Gästeliste!$G$11:$G$70,$B23,Gästeliste!$F$11:$F$70,"Glutenfrei")</f>
        <v>0</v>
      </c>
      <c r="K23" s="47" t="n">
        <f aca="false">COUNTIFS(Gästeliste!$G$11:$G$70,$B23,Gästeliste!$F$11:$F$70,"Halal")</f>
        <v>0</v>
      </c>
      <c r="L23" s="47" t="n">
        <f aca="false">COUNTIFS(Gästeliste!$G$11:$G$70,$B23,Gästeliste!$F$11:$F$70,"Kindermenü")</f>
        <v>0</v>
      </c>
    </row>
    <row r="24" customFormat="false" ht="18" hidden="false" customHeight="true" outlineLevel="0" collapsed="false">
      <c r="B24" s="42" t="s">
        <v>169</v>
      </c>
      <c r="C24" s="43" t="n">
        <v>8</v>
      </c>
      <c r="D24" s="43" t="n">
        <f aca="false">COUNTIF(Gästeliste!$G$11:$G$70,$B24)</f>
        <v>0</v>
      </c>
      <c r="E24" s="44" t="n">
        <f aca="false">C24-D24</f>
        <v>8</v>
      </c>
      <c r="F24" s="45" t="n">
        <f aca="false">IFERROR(D24/C24,0)</f>
        <v>0</v>
      </c>
      <c r="G24" s="43" t="n">
        <f aca="false">COUNTIFS(Gästeliste!$G$11:$G$70,$B24,Gästeliste!$F$11:$F$70,"Standard")</f>
        <v>0</v>
      </c>
      <c r="H24" s="43" t="n">
        <f aca="false">COUNTIFS(Gästeliste!$G$11:$G$70,$B24,Gästeliste!$F$11:$F$70,"Vegetarisch")</f>
        <v>0</v>
      </c>
      <c r="I24" s="43" t="n">
        <f aca="false">COUNTIFS(Gästeliste!$G$11:$G$70,$B24,Gästeliste!$F$11:$F$70,"Vegan")</f>
        <v>0</v>
      </c>
      <c r="J24" s="43" t="n">
        <f aca="false">COUNTIFS(Gästeliste!$G$11:$G$70,$B24,Gästeliste!$F$11:$F$70,"Glutenfrei")</f>
        <v>0</v>
      </c>
      <c r="K24" s="43" t="n">
        <f aca="false">COUNTIFS(Gästeliste!$G$11:$G$70,$B24,Gästeliste!$F$11:$F$70,"Halal")</f>
        <v>0</v>
      </c>
      <c r="L24" s="43" t="n">
        <f aca="false">COUNTIFS(Gästeliste!$G$11:$G$70,$B24,Gästeliste!$F$11:$F$70,"Kindermenü")</f>
        <v>0</v>
      </c>
    </row>
    <row r="25" customFormat="false" ht="18" hidden="false" customHeight="true" outlineLevel="0" collapsed="false">
      <c r="B25" s="46" t="s">
        <v>170</v>
      </c>
      <c r="C25" s="47" t="n">
        <v>8</v>
      </c>
      <c r="D25" s="47" t="n">
        <f aca="false">COUNTIF(Gästeliste!$G$11:$G$70,$B25)</f>
        <v>0</v>
      </c>
      <c r="E25" s="48" t="n">
        <f aca="false">C25-D25</f>
        <v>8</v>
      </c>
      <c r="F25" s="49" t="n">
        <f aca="false">IFERROR(D25/C25,0)</f>
        <v>0</v>
      </c>
      <c r="G25" s="47" t="n">
        <f aca="false">COUNTIFS(Gästeliste!$G$11:$G$70,$B25,Gästeliste!$F$11:$F$70,"Standard")</f>
        <v>0</v>
      </c>
      <c r="H25" s="47" t="n">
        <f aca="false">COUNTIFS(Gästeliste!$G$11:$G$70,$B25,Gästeliste!$F$11:$F$70,"Vegetarisch")</f>
        <v>0</v>
      </c>
      <c r="I25" s="47" t="n">
        <f aca="false">COUNTIFS(Gästeliste!$G$11:$G$70,$B25,Gästeliste!$F$11:$F$70,"Vegan")</f>
        <v>0</v>
      </c>
      <c r="J25" s="47" t="n">
        <f aca="false">COUNTIFS(Gästeliste!$G$11:$G$70,$B25,Gästeliste!$F$11:$F$70,"Glutenfrei")</f>
        <v>0</v>
      </c>
      <c r="K25" s="47" t="n">
        <f aca="false">COUNTIFS(Gästeliste!$G$11:$G$70,$B25,Gästeliste!$F$11:$F$70,"Halal")</f>
        <v>0</v>
      </c>
      <c r="L25" s="47" t="n">
        <f aca="false">COUNTIFS(Gästeliste!$G$11:$G$70,$B25,Gästeliste!$F$11:$F$70,"Kindermenü")</f>
        <v>0</v>
      </c>
    </row>
    <row r="26" customFormat="false" ht="21.75" hidden="false" customHeight="true" outlineLevel="0" collapsed="false">
      <c r="B26" s="50" t="s">
        <v>171</v>
      </c>
      <c r="C26" s="50" t="n">
        <f aca="false">SUM(C14:C25)</f>
        <v>96</v>
      </c>
      <c r="D26" s="50" t="n">
        <f aca="false">SUM(D14:D25)</f>
        <v>48</v>
      </c>
      <c r="E26" s="50" t="n">
        <f aca="false">SUM(E14:E25)</f>
        <v>48</v>
      </c>
      <c r="F26" s="51" t="n">
        <f aca="false">IFERROR(D26/C26,0)</f>
        <v>0.5</v>
      </c>
      <c r="G26" s="50" t="n">
        <f aca="false">SUM(G14:G25)</f>
        <v>29</v>
      </c>
      <c r="H26" s="50" t="n">
        <f aca="false">SUM(H14:H25)</f>
        <v>9</v>
      </c>
      <c r="I26" s="50" t="n">
        <f aca="false">SUM(I14:I25)</f>
        <v>3</v>
      </c>
      <c r="J26" s="50" t="n">
        <f aca="false">SUM(J14:J25)</f>
        <v>2</v>
      </c>
      <c r="K26" s="50" t="n">
        <f aca="false">SUM(K14:K25)</f>
        <v>3</v>
      </c>
      <c r="L26" s="50" t="n">
        <f aca="false">SUM(L14:L25)</f>
        <v>2</v>
      </c>
    </row>
    <row r="27" customFormat="false" ht="7.5" hidden="false" customHeight="true" outlineLevel="0" collapsed="false"/>
    <row r="28" customFormat="false" ht="21.75" hidden="false" customHeight="true" outlineLevel="0" collapsed="false">
      <c r="B28" s="5" t="s">
        <v>172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customFormat="false" ht="25.5" hidden="false" customHeight="true" outlineLevel="0" collapsed="false">
      <c r="B29" s="34" t="s">
        <v>65</v>
      </c>
      <c r="C29" s="34" t="s">
        <v>74</v>
      </c>
      <c r="D29" s="34" t="s">
        <v>22</v>
      </c>
      <c r="E29" s="34" t="s">
        <v>173</v>
      </c>
      <c r="G29" s="34" t="s">
        <v>64</v>
      </c>
      <c r="H29" s="34" t="s">
        <v>74</v>
      </c>
      <c r="I29" s="34" t="s">
        <v>22</v>
      </c>
      <c r="J29" s="34" t="s">
        <v>173</v>
      </c>
    </row>
    <row r="30" customFormat="false" ht="19.5" hidden="false" customHeight="true" outlineLevel="0" collapsed="false">
      <c r="B30" s="52" t="s">
        <v>30</v>
      </c>
      <c r="C30" s="43" t="n">
        <f aca="false">COUNTIFS(Gästeliste!$F$11:$F$70,$B30,Gästeliste!$I$11:$I$70,"Zugesagt")</f>
        <v>23</v>
      </c>
      <c r="D30" s="43" t="n">
        <f aca="false">COUNTIFS(Gästeliste!$F$11:$F$70,$B30,Gästeliste!$I$11:$I$70,"Ausstehend")</f>
        <v>6</v>
      </c>
      <c r="E30" s="43" t="n">
        <f aca="false">COUNTIF(Gästeliste!$F$11:$F$70,$B30)</f>
        <v>30</v>
      </c>
      <c r="G30" s="52" t="s">
        <v>72</v>
      </c>
      <c r="H30" s="43" t="n">
        <f aca="false">COUNTIFS(Gästeliste!$E$11:$E$70,$G30,Gästeliste!$I$11:$I$70,"Zugesagt")</f>
        <v>28</v>
      </c>
      <c r="I30" s="43" t="n">
        <f aca="false">COUNTIFS(Gästeliste!$E$11:$E$70,$G30,Gästeliste!$I$11:$I$70,"Ausstehend")</f>
        <v>7</v>
      </c>
      <c r="J30" s="43" t="n">
        <f aca="false">COUNTIF(Gästeliste!$E$11:$E$70,$G30)</f>
        <v>36</v>
      </c>
    </row>
    <row r="31" customFormat="false" ht="19.5" hidden="false" customHeight="true" outlineLevel="0" collapsed="false">
      <c r="B31" s="53" t="s">
        <v>31</v>
      </c>
      <c r="C31" s="47" t="n">
        <f aca="false">COUNTIFS(Gästeliste!$F$11:$F$70,$B31,Gästeliste!$I$11:$I$70,"Zugesagt")</f>
        <v>8</v>
      </c>
      <c r="D31" s="47" t="n">
        <f aca="false">COUNTIFS(Gästeliste!$F$11:$F$70,$B31,Gästeliste!$I$11:$I$70,"Ausstehend")</f>
        <v>2</v>
      </c>
      <c r="E31" s="47" t="n">
        <f aca="false">COUNTIF(Gästeliste!$F$11:$F$70,$B31)</f>
        <v>10</v>
      </c>
      <c r="G31" s="53" t="s">
        <v>84</v>
      </c>
      <c r="H31" s="47" t="n">
        <f aca="false">COUNTIFS(Gästeliste!$E$11:$E$70,$G31,Gästeliste!$I$11:$I$70,"Zugesagt")</f>
        <v>7</v>
      </c>
      <c r="I31" s="47" t="n">
        <f aca="false">COUNTIFS(Gästeliste!$E$11:$E$70,$G31,Gästeliste!$I$11:$I$70,"Ausstehend")</f>
        <v>1</v>
      </c>
      <c r="J31" s="47" t="n">
        <f aca="false">COUNTIF(Gästeliste!$E$11:$E$70,$G31)</f>
        <v>8</v>
      </c>
    </row>
    <row r="32" customFormat="false" ht="19.5" hidden="false" customHeight="true" outlineLevel="0" collapsed="false">
      <c r="B32" s="52" t="s">
        <v>32</v>
      </c>
      <c r="C32" s="43" t="n">
        <f aca="false">COUNTIFS(Gästeliste!$F$11:$F$70,$B32,Gästeliste!$I$11:$I$70,"Zugesagt")</f>
        <v>4</v>
      </c>
      <c r="D32" s="43" t="n">
        <f aca="false">COUNTIFS(Gästeliste!$F$11:$F$70,$B32,Gästeliste!$I$11:$I$70,"Ausstehend")</f>
        <v>0</v>
      </c>
      <c r="E32" s="43" t="n">
        <f aca="false">COUNTIF(Gästeliste!$F$11:$F$70,$B32)</f>
        <v>4</v>
      </c>
      <c r="G32" s="52" t="s">
        <v>107</v>
      </c>
      <c r="H32" s="43" t="n">
        <f aca="false">COUNTIFS(Gästeliste!$E$11:$E$70,$G32,Gästeliste!$I$11:$I$70,"Zugesagt")</f>
        <v>1</v>
      </c>
      <c r="I32" s="43" t="n">
        <f aca="false">COUNTIFS(Gästeliste!$E$11:$E$70,$G32,Gästeliste!$I$11:$I$70,"Ausstehend")</f>
        <v>0</v>
      </c>
      <c r="J32" s="43" t="n">
        <f aca="false">COUNTIF(Gästeliste!$E$11:$E$70,$G32)</f>
        <v>1</v>
      </c>
    </row>
    <row r="33" customFormat="false" ht="19.5" hidden="false" customHeight="true" outlineLevel="0" collapsed="false">
      <c r="B33" s="53" t="s">
        <v>33</v>
      </c>
      <c r="C33" s="47" t="n">
        <f aca="false">COUNTIFS(Gästeliste!$F$11:$F$70,$B33,Gästeliste!$I$11:$I$70,"Zugesagt")</f>
        <v>2</v>
      </c>
      <c r="D33" s="47" t="n">
        <f aca="false">COUNTIFS(Gästeliste!$F$11:$F$70,$B33,Gästeliste!$I$11:$I$70,"Ausstehend")</f>
        <v>0</v>
      </c>
      <c r="E33" s="47" t="n">
        <f aca="false">COUNTIF(Gästeliste!$F$11:$F$70,$B33)</f>
        <v>2</v>
      </c>
      <c r="G33" s="53" t="s">
        <v>126</v>
      </c>
      <c r="H33" s="47" t="n">
        <f aca="false">COUNTIFS(Gästeliste!$E$11:$E$70,$G33,Gästeliste!$I$11:$I$70,"Zugesagt")</f>
        <v>4</v>
      </c>
      <c r="I33" s="47" t="n">
        <f aca="false">COUNTIFS(Gästeliste!$E$11:$E$70,$G33,Gästeliste!$I$11:$I$70,"Ausstehend")</f>
        <v>0</v>
      </c>
      <c r="J33" s="47" t="n">
        <f aca="false">COUNTIF(Gästeliste!$E$11:$E$70,$G33)</f>
        <v>4</v>
      </c>
    </row>
    <row r="34" customFormat="false" ht="19.5" hidden="false" customHeight="true" outlineLevel="0" collapsed="false">
      <c r="B34" s="52" t="s">
        <v>34</v>
      </c>
      <c r="C34" s="43" t="n">
        <f aca="false">COUNTIFS(Gästeliste!$F$11:$F$70,$B34,Gästeliste!$I$11:$I$70,"Zugesagt")</f>
        <v>3</v>
      </c>
      <c r="D34" s="43" t="n">
        <f aca="false">COUNTIFS(Gästeliste!$F$11:$F$70,$B34,Gästeliste!$I$11:$I$70,"Ausstehend")</f>
        <v>0</v>
      </c>
      <c r="E34" s="43" t="n">
        <f aca="false">COUNTIF(Gästeliste!$F$11:$F$70,$B34)</f>
        <v>3</v>
      </c>
      <c r="G34" s="52" t="s">
        <v>35</v>
      </c>
      <c r="H34" s="43" t="n">
        <f aca="false">COUNTIFS(Gästeliste!$E$11:$E$70,$G34,Gästeliste!$I$11:$I$70,"Zugesagt")</f>
        <v>2</v>
      </c>
      <c r="I34" s="43" t="n">
        <f aca="false">COUNTIFS(Gästeliste!$E$11:$E$70,$G34,Gästeliste!$I$11:$I$70,"Ausstehend")</f>
        <v>0</v>
      </c>
      <c r="J34" s="43" t="n">
        <f aca="false">COUNTIF(Gästeliste!$E$11:$E$70,$G34)</f>
        <v>2</v>
      </c>
    </row>
    <row r="35" customFormat="false" ht="19.5" hidden="false" customHeight="true" outlineLevel="0" collapsed="false">
      <c r="B35" s="53" t="s">
        <v>136</v>
      </c>
      <c r="C35" s="47" t="n">
        <f aca="false">COUNTIFS(Gästeliste!$F$11:$F$70,$B35,Gästeliste!$I$11:$I$70,"Zugesagt")</f>
        <v>2</v>
      </c>
      <c r="D35" s="47" t="n">
        <f aca="false">COUNTIFS(Gästeliste!$F$11:$F$70,$B35,Gästeliste!$I$11:$I$70,"Ausstehend")</f>
        <v>0</v>
      </c>
      <c r="E35" s="47" t="n">
        <f aca="false">COUNTIF(Gästeliste!$F$11:$F$70,$B35)</f>
        <v>2</v>
      </c>
    </row>
    <row r="36" customFormat="false" ht="21.75" hidden="false" customHeight="true" outlineLevel="0" collapsed="false">
      <c r="B36" s="54" t="s">
        <v>174</v>
      </c>
      <c r="C36" s="54" t="n">
        <f aca="false">SUM(C30:C35)</f>
        <v>42</v>
      </c>
      <c r="D36" s="54" t="n">
        <f aca="false">SUM(D30:D35)</f>
        <v>8</v>
      </c>
      <c r="E36" s="54" t="n">
        <f aca="false">SUM(E30:E35)</f>
        <v>51</v>
      </c>
    </row>
    <row r="37" customFormat="false" ht="7.5" hidden="false" customHeight="true" outlineLevel="0" collapsed="false"/>
    <row r="38" customFormat="false" ht="21.75" hidden="false" customHeight="true" outlineLevel="0" collapsed="false">
      <c r="B38" s="5" t="s">
        <v>175</v>
      </c>
      <c r="C38" s="5"/>
      <c r="D38" s="5"/>
      <c r="E38" s="5"/>
      <c r="F38" s="5"/>
      <c r="G38" s="5"/>
      <c r="H38" s="5"/>
      <c r="I38" s="5"/>
      <c r="J38" s="5"/>
      <c r="K38" s="5"/>
      <c r="L38" s="5"/>
    </row>
    <row r="39" customFormat="false" ht="21.75" hidden="false" customHeight="true" outlineLevel="0" collapsed="false">
      <c r="B39" s="55" t="s">
        <v>176</v>
      </c>
      <c r="C39" s="55"/>
      <c r="D39" s="55"/>
      <c r="E39" s="55"/>
      <c r="F39" s="55"/>
      <c r="G39" s="55"/>
      <c r="H39" s="54" t="s">
        <v>177</v>
      </c>
      <c r="I39" s="55" t="s">
        <v>178</v>
      </c>
      <c r="J39" s="55"/>
      <c r="K39" s="55"/>
      <c r="L39" s="55"/>
    </row>
    <row r="40" customFormat="false" ht="21.75" hidden="false" customHeight="true" outlineLevel="0" collapsed="false">
      <c r="B40" s="37" t="s">
        <v>179</v>
      </c>
      <c r="C40" s="37"/>
      <c r="D40" s="37"/>
      <c r="E40" s="37"/>
      <c r="F40" s="37"/>
      <c r="G40" s="37"/>
      <c r="H40" s="56" t="str">
        <f aca="false">IF(COUNTIFS(Gästeliste!$I$11:$I$70,"Zugesagt",Gästeliste!$G$11:$G$70,"")+COUNTIFS(Gästeliste!$I$11:$I$70,"Zugesagt",Gästeliste!$H$11:$H$70,"")=0,"OK","PRÜFEN")</f>
        <v>PRÜFEN</v>
      </c>
      <c r="I40" s="39" t="s">
        <v>180</v>
      </c>
      <c r="J40" s="39"/>
      <c r="K40" s="39"/>
      <c r="L40" s="39"/>
    </row>
    <row r="41" customFormat="false" ht="21.75" hidden="false" customHeight="true" outlineLevel="0" collapsed="false">
      <c r="B41" s="37" t="s">
        <v>181</v>
      </c>
      <c r="C41" s="37"/>
      <c r="D41" s="37"/>
      <c r="E41" s="37"/>
      <c r="F41" s="37"/>
      <c r="G41" s="37"/>
      <c r="H41" s="56" t="str">
        <f aca="false">IF(SUMPRODUCT((Gästeliste!$K$11:$K$70&lt;&gt;"")/COUNTIF(Gästeliste!$K$11:$K$70,Gästeliste!$K$11:$K$70&amp;""))=COUNTIF(Gästeliste!$K$11:$K$70,"&lt;&gt;"&amp;""),"OK","PRÜFEN")</f>
        <v>PRÜFEN</v>
      </c>
      <c r="I41" s="39" t="s">
        <v>182</v>
      </c>
      <c r="J41" s="39"/>
      <c r="K41" s="39"/>
      <c r="L41" s="39"/>
    </row>
    <row r="42" customFormat="false" ht="21.75" hidden="false" customHeight="true" outlineLevel="0" collapsed="false">
      <c r="B42" s="37" t="s">
        <v>183</v>
      </c>
      <c r="C42" s="37"/>
      <c r="D42" s="37"/>
      <c r="E42" s="37"/>
      <c r="F42" s="37"/>
      <c r="G42" s="37"/>
      <c r="H42" s="56" t="str">
        <f aca="false">IF(SUMPRODUCT((D14:D25&gt;C14:C25)*1)=0,"OK","PRÜFEN")</f>
        <v>OK</v>
      </c>
      <c r="I42" s="39" t="s">
        <v>184</v>
      </c>
      <c r="J42" s="39"/>
      <c r="K42" s="39"/>
      <c r="L42" s="39"/>
    </row>
    <row r="43" customFormat="false" ht="21.75" hidden="false" customHeight="true" outlineLevel="0" collapsed="false">
      <c r="B43" s="37" t="s">
        <v>185</v>
      </c>
      <c r="C43" s="37"/>
      <c r="D43" s="37"/>
      <c r="E43" s="37"/>
      <c r="F43" s="37"/>
      <c r="G43" s="37"/>
      <c r="H43" s="56" t="str">
        <f aca="false">IF(COUNTIFS(Gästeliste!$I$11:$I$70,"Zugesagt",Gästeliste!$F$11:$F$70,"")=0,"OK","PRÜFEN")</f>
        <v>OK</v>
      </c>
      <c r="I43" s="39" t="s">
        <v>186</v>
      </c>
      <c r="J43" s="39"/>
      <c r="K43" s="39"/>
      <c r="L43" s="39"/>
    </row>
    <row r="44" customFormat="false" ht="21.75" hidden="false" customHeight="true" outlineLevel="0" collapsed="false">
      <c r="B44" s="37" t="s">
        <v>187</v>
      </c>
      <c r="C44" s="37"/>
      <c r="D44" s="37"/>
      <c r="E44" s="37"/>
      <c r="F44" s="37"/>
      <c r="G44" s="37"/>
      <c r="H44" s="56" t="str">
        <f aca="false">IF(COUNTIFS(Gästeliste!$E$11:$E$70,"VIP",Gästeliste!$G$11:$G$70,"")=0,"OK","PRÜFEN")</f>
        <v>OK</v>
      </c>
      <c r="I44" s="39" t="s">
        <v>188</v>
      </c>
      <c r="J44" s="39"/>
      <c r="K44" s="39"/>
      <c r="L44" s="39"/>
    </row>
    <row r="45" customFormat="false" ht="21.75" hidden="false" customHeight="true" outlineLevel="0" collapsed="false">
      <c r="B45" s="37" t="s">
        <v>189</v>
      </c>
      <c r="C45" s="37"/>
      <c r="D45" s="37"/>
      <c r="E45" s="37"/>
      <c r="F45" s="37"/>
      <c r="G45" s="37"/>
      <c r="H45" s="56" t="str">
        <f aca="false">IF(COUNTIF(Gästeliste!$I$11:$I$70,"Ausstehend")=0,"OK","INFO")</f>
        <v>INFO</v>
      </c>
      <c r="I45" s="39" t="s">
        <v>190</v>
      </c>
      <c r="J45" s="39"/>
      <c r="K45" s="39"/>
      <c r="L45" s="39"/>
    </row>
    <row r="46" customFormat="false" ht="7.5" hidden="false" customHeight="true" outlineLevel="0" collapsed="false"/>
    <row r="47" customFormat="false" ht="21.75" hidden="false" customHeight="true" outlineLevel="0" collapsed="false">
      <c r="B47" s="5" t="s">
        <v>191</v>
      </c>
      <c r="C47" s="5"/>
      <c r="D47" s="5"/>
      <c r="E47" s="5"/>
      <c r="F47" s="5"/>
      <c r="G47" s="5"/>
      <c r="H47" s="5"/>
      <c r="I47" s="5"/>
      <c r="J47" s="5"/>
      <c r="K47" s="5"/>
      <c r="L47" s="5"/>
    </row>
    <row r="68" customFormat="false" ht="7.5" hidden="false" customHeight="true" outlineLevel="0" collapsed="false"/>
    <row r="69" customFormat="false" ht="21.75" hidden="false" customHeight="true" outlineLevel="0" collapsed="false">
      <c r="B69" s="5" t="s">
        <v>192</v>
      </c>
      <c r="C69" s="5"/>
      <c r="D69" s="5"/>
      <c r="E69" s="5"/>
      <c r="F69" s="5"/>
      <c r="G69" s="5"/>
      <c r="H69" s="5"/>
      <c r="I69" s="5"/>
      <c r="J69" s="5"/>
      <c r="K69" s="5"/>
      <c r="L69" s="5"/>
    </row>
    <row r="71" customFormat="false" ht="22.35" hidden="false" customHeight="true" outlineLevel="0" collapsed="false">
      <c r="B71" s="34" t="s">
        <v>13</v>
      </c>
      <c r="D71" s="34" t="s">
        <v>193</v>
      </c>
      <c r="F71" s="34" t="s">
        <v>194</v>
      </c>
      <c r="H71" s="34" t="s">
        <v>195</v>
      </c>
      <c r="J71" s="34" t="s">
        <v>196</v>
      </c>
      <c r="K71" s="34"/>
      <c r="L71" s="34"/>
    </row>
    <row r="72" customFormat="false" ht="19.5" hidden="false" customHeight="true" outlineLevel="0" collapsed="false">
      <c r="B72" s="52" t="s">
        <v>73</v>
      </c>
      <c r="D72" s="52" t="s">
        <v>72</v>
      </c>
      <c r="F72" s="52" t="s">
        <v>30</v>
      </c>
      <c r="H72" s="52" t="s">
        <v>74</v>
      </c>
      <c r="J72" s="57" t="s">
        <v>197</v>
      </c>
      <c r="K72" s="57"/>
      <c r="L72" s="57"/>
    </row>
    <row r="73" customFormat="false" ht="19.5" hidden="false" customHeight="true" outlineLevel="0" collapsed="false">
      <c r="B73" s="53" t="s">
        <v>85</v>
      </c>
      <c r="D73" s="53" t="s">
        <v>84</v>
      </c>
      <c r="F73" s="53" t="s">
        <v>31</v>
      </c>
      <c r="H73" s="53" t="s">
        <v>22</v>
      </c>
      <c r="J73" s="57" t="s">
        <v>198</v>
      </c>
      <c r="K73" s="57"/>
      <c r="L73" s="57"/>
    </row>
    <row r="74" customFormat="false" ht="19.5" hidden="false" customHeight="true" outlineLevel="0" collapsed="false">
      <c r="B74" s="52" t="s">
        <v>99</v>
      </c>
      <c r="D74" s="52" t="s">
        <v>107</v>
      </c>
      <c r="F74" s="52" t="s">
        <v>32</v>
      </c>
      <c r="H74" s="52" t="s">
        <v>122</v>
      </c>
      <c r="J74" s="57" t="s">
        <v>199</v>
      </c>
      <c r="K74" s="57"/>
      <c r="L74" s="57"/>
    </row>
    <row r="75" customFormat="false" ht="19.5" hidden="false" customHeight="true" outlineLevel="0" collapsed="false">
      <c r="B75" s="53" t="s">
        <v>108</v>
      </c>
      <c r="D75" s="53" t="s">
        <v>126</v>
      </c>
      <c r="F75" s="53" t="s">
        <v>33</v>
      </c>
      <c r="J75" s="57" t="s">
        <v>200</v>
      </c>
      <c r="K75" s="57"/>
      <c r="L75" s="57"/>
    </row>
    <row r="76" customFormat="false" ht="19.5" hidden="false" customHeight="true" outlineLevel="0" collapsed="false">
      <c r="B76" s="52" t="s">
        <v>117</v>
      </c>
      <c r="D76" s="52" t="s">
        <v>35</v>
      </c>
      <c r="F76" s="52" t="s">
        <v>34</v>
      </c>
      <c r="J76" s="57" t="s">
        <v>201</v>
      </c>
      <c r="K76" s="57"/>
      <c r="L76" s="57"/>
    </row>
    <row r="77" customFormat="false" ht="19.5" hidden="false" customHeight="true" outlineLevel="0" collapsed="false">
      <c r="B77" s="53" t="s">
        <v>127</v>
      </c>
      <c r="F77" s="53" t="s">
        <v>136</v>
      </c>
      <c r="J77" s="57" t="s">
        <v>202</v>
      </c>
      <c r="K77" s="57"/>
      <c r="L77" s="57"/>
    </row>
    <row r="78" customFormat="false" ht="19.5" hidden="false" customHeight="true" outlineLevel="0" collapsed="false">
      <c r="B78" s="52" t="s">
        <v>133</v>
      </c>
      <c r="F78" s="52" t="s">
        <v>203</v>
      </c>
      <c r="J78" s="57" t="s">
        <v>204</v>
      </c>
      <c r="K78" s="57"/>
      <c r="L78" s="57"/>
    </row>
    <row r="79" customFormat="false" ht="15" hidden="false" customHeight="false" outlineLevel="0" collapsed="false">
      <c r="B79" s="53" t="s">
        <v>142</v>
      </c>
    </row>
    <row r="80" customFormat="false" ht="15" hidden="false" customHeight="true" outlineLevel="0" collapsed="false">
      <c r="B80" s="52" t="s">
        <v>149</v>
      </c>
      <c r="J80" s="58" t="s">
        <v>205</v>
      </c>
      <c r="K80" s="58"/>
      <c r="L80" s="58"/>
    </row>
    <row r="81" customFormat="false" ht="19.5" hidden="false" customHeight="true" outlineLevel="0" collapsed="false">
      <c r="B81" s="53" t="s">
        <v>168</v>
      </c>
      <c r="J81" s="59" t="s">
        <v>30</v>
      </c>
      <c r="K81" s="59"/>
      <c r="L81" s="59"/>
    </row>
    <row r="82" customFormat="false" ht="19.5" hidden="false" customHeight="true" outlineLevel="0" collapsed="false">
      <c r="B82" s="52" t="s">
        <v>169</v>
      </c>
      <c r="J82" s="60" t="s">
        <v>31</v>
      </c>
      <c r="K82" s="60"/>
      <c r="L82" s="60"/>
    </row>
    <row r="83" customFormat="false" ht="19.5" hidden="false" customHeight="true" outlineLevel="0" collapsed="false">
      <c r="B83" s="53" t="s">
        <v>170</v>
      </c>
      <c r="J83" s="61" t="s">
        <v>32</v>
      </c>
      <c r="K83" s="61"/>
      <c r="L83" s="61"/>
    </row>
    <row r="84" customFormat="false" ht="19.5" hidden="false" customHeight="true" outlineLevel="0" collapsed="false">
      <c r="J84" s="62" t="s">
        <v>33</v>
      </c>
      <c r="K84" s="62"/>
      <c r="L84" s="62"/>
    </row>
    <row r="85" customFormat="false" ht="19.5" hidden="false" customHeight="true" outlineLevel="0" collapsed="false">
      <c r="J85" s="63" t="s">
        <v>34</v>
      </c>
      <c r="K85" s="63"/>
      <c r="L85" s="63"/>
    </row>
    <row r="86" customFormat="false" ht="19.5" hidden="false" customHeight="true" outlineLevel="0" collapsed="false">
      <c r="J86" s="64" t="s">
        <v>136</v>
      </c>
      <c r="K86" s="64"/>
      <c r="L86" s="64"/>
    </row>
    <row r="87" customFormat="false" ht="19.5" hidden="false" customHeight="true" outlineLevel="0" collapsed="false">
      <c r="J87" s="65" t="s">
        <v>206</v>
      </c>
      <c r="K87" s="65"/>
      <c r="L87" s="65"/>
    </row>
    <row r="88" customFormat="false" ht="19.5" hidden="false" customHeight="true" outlineLevel="0" collapsed="false">
      <c r="J88" s="66" t="s">
        <v>207</v>
      </c>
      <c r="K88" s="66"/>
      <c r="L88" s="66"/>
    </row>
  </sheetData>
  <mergeCells count="51">
    <mergeCell ref="B2:F2"/>
    <mergeCell ref="G2:L2"/>
    <mergeCell ref="B6:L6"/>
    <mergeCell ref="B7:D7"/>
    <mergeCell ref="E7:G7"/>
    <mergeCell ref="H7:L7"/>
    <mergeCell ref="B8:D8"/>
    <mergeCell ref="E8:G8"/>
    <mergeCell ref="H8:L8"/>
    <mergeCell ref="B9:D9"/>
    <mergeCell ref="E9:G9"/>
    <mergeCell ref="H9:L9"/>
    <mergeCell ref="B10:D10"/>
    <mergeCell ref="E10:G10"/>
    <mergeCell ref="H10:L10"/>
    <mergeCell ref="B12:L12"/>
    <mergeCell ref="B28:L28"/>
    <mergeCell ref="B38:L38"/>
    <mergeCell ref="B39:G39"/>
    <mergeCell ref="I39:L39"/>
    <mergeCell ref="B40:G40"/>
    <mergeCell ref="I40:L40"/>
    <mergeCell ref="B41:G41"/>
    <mergeCell ref="I41:L41"/>
    <mergeCell ref="B42:G42"/>
    <mergeCell ref="I42:L42"/>
    <mergeCell ref="B43:G43"/>
    <mergeCell ref="I43:L43"/>
    <mergeCell ref="B44:G44"/>
    <mergeCell ref="I44:L44"/>
    <mergeCell ref="B45:G45"/>
    <mergeCell ref="I45:L45"/>
    <mergeCell ref="B47:L47"/>
    <mergeCell ref="B69:L69"/>
    <mergeCell ref="J71:L71"/>
    <mergeCell ref="J72:L72"/>
    <mergeCell ref="J73:L73"/>
    <mergeCell ref="J74:L74"/>
    <mergeCell ref="J75:L75"/>
    <mergeCell ref="J76:L76"/>
    <mergeCell ref="J77:L77"/>
    <mergeCell ref="J78:L7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</mergeCells>
  <conditionalFormatting sqref="F14:F25">
    <cfRule type="dataBar" priority="2">
      <dataBar showValue="1" minLength="10" maxLength="90">
        <cfvo type="num" val="0"/>
        <cfvo type="num" val="1"/>
        <color rgb="FF106A52"/>
      </dataBar>
      <extLst>
        <ext xmlns:x14="http://schemas.microsoft.com/office/spreadsheetml/2009/9/main" uri="{B025F937-C7B1-47D3-B67F-A62EFF666E3E}">
          <x14:id>{FFEBEC34-3047-483B-9653-DA7880B43B39}</x14:id>
        </ext>
      </extLst>
    </cfRule>
  </conditionalFormatting>
  <conditionalFormatting sqref="E14:E25">
    <cfRule type="cellIs" priority="3" operator="equal" aboveAverage="0" equalAverage="0" bottom="0" percent="0" rank="0" text="" dxfId="43">
      <formula>0</formula>
    </cfRule>
    <cfRule type="cellIs" priority="4" operator="equal" aboveAverage="0" equalAverage="0" bottom="0" percent="0" rank="0" text="" dxfId="6">
      <formula>8</formula>
    </cfRule>
  </conditionalFormatting>
  <conditionalFormatting sqref="H40:H45">
    <cfRule type="cellIs" priority="5" operator="equal" aboveAverage="0" equalAverage="0" bottom="0" percent="0" rank="0" text="" dxfId="43">
      <formula>"OK"</formula>
    </cfRule>
    <cfRule type="cellIs" priority="6" operator="equal" aboveAverage="0" equalAverage="0" bottom="0" percent="0" rank="0" text="" dxfId="44">
      <formula>"PRÜFEN"</formula>
    </cfRule>
    <cfRule type="cellIs" priority="7" operator="equal" aboveAverage="0" equalAverage="0" bottom="0" percent="0" rank="0" text="" dxfId="45">
      <formula>"INFO"</formula>
    </cfRule>
  </conditionalFormatting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FEBEC34-3047-483B-9653-DA7880B43B39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106A52"/>
              <x14:axisColor rgb="FF000000"/>
            </x14:dataBar>
          </x14:cfRule>
          <xm:sqref>F14:F25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2026-07-21T09:32:07Z</dcterms:created>
  <dc:creator>openpyxl</dc:creator>
  <dc:description/>
  <dc:language>en-US</dc:language>
  <cp:lastModifiedBy/>
  <dcterms:modified xsi:type="dcterms:W3CDTF">2026-07-21T09:32:10Z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