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ästeliste" sheetId="1" state="visible" r:id="rId3"/>
    <sheet name="Sitzplan" sheetId="2" state="visible" r:id="rId4"/>
  </sheets>
  <definedNames>
    <definedName function="false" hidden="false" localSheetId="0" name="_xlnm.Print_Area" vbProcedure="false">Gästeliste!$A$1:$J$60</definedName>
    <definedName function="false" hidden="false" localSheetId="0" name="_xlnm.Print_Titles" vbProcedure="false">Gästeliste!$12:$12</definedName>
    <definedName function="false" hidden="false" localSheetId="1" name="_xlnm.Print_Area" vbProcedure="false">Sitzplan!$A$1:$L$50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<sst xmlns="http://schemas.openxmlformats.org/spreadsheetml/2006/main" count="198" uniqueCount="100">
  <si>
    <t xml:space="preserve">SITZPLAN 2026  ·  GÄSTELISTE</t>
  </si>
  <si>
    <t xml:space="preserve">SOMMERFEST</t>
  </si>
  <si>
    <t xml:space="preserve">Sommerfest der Mustermann &amp; Co. KG  ·  Samstag, 15.08.2026  ·  Festsaal Lindenhof, Musterstadt</t>
  </si>
  <si>
    <t xml:space="preserve">Rosé hinterlegte Felder ausfüllen – Nr., Platz, Kennzahlen und der Sitzplan aktualisieren sich automatisch. Spalten „Platz“ und „Code“ nicht überschreiben.</t>
  </si>
  <si>
    <t xml:space="preserve">◆  ÜBERBLICK</t>
  </si>
  <si>
    <t xml:space="preserve">GÄSTE GESAMT</t>
  </si>
  <si>
    <t xml:space="preserve">ZUGESAGT</t>
  </si>
  <si>
    <t xml:space="preserve">OFFEN</t>
  </si>
  <si>
    <t xml:space="preserve">ABGESAGT</t>
  </si>
  <si>
    <t xml:space="preserve">ZUGESAGT OHNE TISCH</t>
  </si>
  <si>
    <t xml:space="preserve">◆  GÄSTELISTE</t>
  </si>
  <si>
    <t xml:space="preserve">Nr.</t>
  </si>
  <si>
    <t xml:space="preserve">Name</t>
  </si>
  <si>
    <t xml:space="preserve">Gruppe</t>
  </si>
  <si>
    <t xml:space="preserve">Zusage</t>
  </si>
  <si>
    <t xml:space="preserve">Tisch</t>
  </si>
  <si>
    <t xml:space="preserve">Menü</t>
  </si>
  <si>
    <t xml:space="preserve">Platz</t>
  </si>
  <si>
    <t xml:space="preserve">Code</t>
  </si>
  <si>
    <t xml:space="preserve">Bemerkung</t>
  </si>
  <si>
    <t xml:space="preserve">Claudia Mustermann</t>
  </si>
  <si>
    <t xml:space="preserve">Familie</t>
  </si>
  <si>
    <t xml:space="preserve">zugesagt</t>
  </si>
  <si>
    <t xml:space="preserve">Standard</t>
  </si>
  <si>
    <t xml:space="preserve">Gastgeberin</t>
  </si>
  <si>
    <t xml:space="preserve">Dr. Peter Mustermann</t>
  </si>
  <si>
    <t xml:space="preserve">Gastgeber</t>
  </si>
  <si>
    <t xml:space="preserve">Heinz Albrecht</t>
  </si>
  <si>
    <t xml:space="preserve">Freunde</t>
  </si>
  <si>
    <t xml:space="preserve">Petra Albrecht</t>
  </si>
  <si>
    <t xml:space="preserve">Anna Weber</t>
  </si>
  <si>
    <t xml:space="preserve">Vegetarisch</t>
  </si>
  <si>
    <t xml:space="preserve">Jonas Weber</t>
  </si>
  <si>
    <t xml:space="preserve">Marlene Weber</t>
  </si>
  <si>
    <t xml:space="preserve">Kindermenü</t>
  </si>
  <si>
    <t xml:space="preserve">Kind, 6 Jahre</t>
  </si>
  <si>
    <t xml:space="preserve">Karl Weber</t>
  </si>
  <si>
    <t xml:space="preserve">reist aus Hamburg an</t>
  </si>
  <si>
    <t xml:space="preserve">Ingrid Weber</t>
  </si>
  <si>
    <t xml:space="preserve">Sofia Brandt</t>
  </si>
  <si>
    <t xml:space="preserve">Allergie: Nüsse</t>
  </si>
  <si>
    <t xml:space="preserve">Lukas Brandt</t>
  </si>
  <si>
    <t xml:space="preserve">Emil Brandt</t>
  </si>
  <si>
    <t xml:space="preserve">Kind, 4 Jahre</t>
  </si>
  <si>
    <t xml:space="preserve">Miriam Falk</t>
  </si>
  <si>
    <t xml:space="preserve">Ole Falk</t>
  </si>
  <si>
    <t xml:space="preserve">Jana Petersen</t>
  </si>
  <si>
    <t xml:space="preserve">Tim Petersen</t>
  </si>
  <si>
    <t xml:space="preserve">Nora Vogt</t>
  </si>
  <si>
    <t xml:space="preserve">Vegan</t>
  </si>
  <si>
    <t xml:space="preserve">Sebastian Vogt</t>
  </si>
  <si>
    <t xml:space="preserve">Lea Winkler</t>
  </si>
  <si>
    <t xml:space="preserve">kommt gegen 20 Uhr</t>
  </si>
  <si>
    <t xml:space="preserve">David Winkler</t>
  </si>
  <si>
    <t xml:space="preserve">Paul Ziegler</t>
  </si>
  <si>
    <t xml:space="preserve">überbelegt – umsetzen?</t>
  </si>
  <si>
    <t xml:space="preserve">Sandra Koch</t>
  </si>
  <si>
    <t xml:space="preserve">Kollegen</t>
  </si>
  <si>
    <t xml:space="preserve">Mehmet Aydin</t>
  </si>
  <si>
    <t xml:space="preserve">Julia Roth</t>
  </si>
  <si>
    <t xml:space="preserve">Felix Baumann</t>
  </si>
  <si>
    <t xml:space="preserve">Birgit Sander</t>
  </si>
  <si>
    <t xml:space="preserve">Geschäftspartner</t>
  </si>
  <si>
    <t xml:space="preserve">Thomas Reuter</t>
  </si>
  <si>
    <t xml:space="preserve">Parkplatz reservieren</t>
  </si>
  <si>
    <t xml:space="preserve">Gisela Horn</t>
  </si>
  <si>
    <t xml:space="preserve">Verein / Nachbarn</t>
  </si>
  <si>
    <t xml:space="preserve">Werner Horn</t>
  </si>
  <si>
    <t xml:space="preserve">Rollstuhlgerechter Platz</t>
  </si>
  <si>
    <t xml:space="preserve">Katrin Seidel</t>
  </si>
  <si>
    <t xml:space="preserve">Tisch noch offen</t>
  </si>
  <si>
    <t xml:space="preserve">Marco Seidel</t>
  </si>
  <si>
    <t xml:space="preserve">Leonie Krause</t>
  </si>
  <si>
    <t xml:space="preserve">offen</t>
  </si>
  <si>
    <t xml:space="preserve">Rückmeldung bis 01.08.</t>
  </si>
  <si>
    <t xml:space="preserve">Fabian Krause</t>
  </si>
  <si>
    <t xml:space="preserve">Ute Lindemann</t>
  </si>
  <si>
    <t xml:space="preserve">Rainer Busch</t>
  </si>
  <si>
    <t xml:space="preserve">abgesagt</t>
  </si>
  <si>
    <t xml:space="preserve">im Urlaub</t>
  </si>
  <si>
    <t xml:space="preserve">Heike Busch</t>
  </si>
  <si>
    <t xml:space="preserve">SITZPLAN 2026  ·  TISCHÜBERSICHT</t>
  </si>
  <si>
    <t xml:space="preserve">Plätze je Tisch:</t>
  </si>
  <si>
    <t xml:space="preserve">Es erscheinen automatisch alle zugesagten Gäste je Tisch (Reihenfolge wie in der Gästeliste). Tischnamen und Kapazität sind anpassbar.</t>
  </si>
  <si>
    <t xml:space="preserve">◆  TISCHÜBERSICHT</t>
  </si>
  <si>
    <t xml:space="preserve">TISCH 1</t>
  </si>
  <si>
    <t xml:space="preserve">TISCH 2</t>
  </si>
  <si>
    <t xml:space="preserve">TISCH 3</t>
  </si>
  <si>
    <t xml:space="preserve">TISCH 4</t>
  </si>
  <si>
    <t xml:space="preserve">Ehrentisch</t>
  </si>
  <si>
    <t xml:space="preserve">TISCH 5</t>
  </si>
  <si>
    <t xml:space="preserve">TISCH 6</t>
  </si>
  <si>
    <t xml:space="preserve">TISCH 7</t>
  </si>
  <si>
    <t xml:space="preserve">TISCH 8</t>
  </si>
  <si>
    <t xml:space="preserve">Verein &amp; Nachbarn</t>
  </si>
  <si>
    <t xml:space="preserve">Reserve</t>
  </si>
  <si>
    <t xml:space="preserve">TISCH 9</t>
  </si>
  <si>
    <t xml:space="preserve">TISCH 10</t>
  </si>
  <si>
    <t xml:space="preserve">TISCH 11</t>
  </si>
  <si>
    <t xml:space="preserve">TISCH 12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</si>
</sst>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"/>
    <numFmt numFmtId="167" formatCode="@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b val="true"/>
      <sz val="10"/>
      <color rgb="FF6E1F2E"/>
      <name val="Calibri"/>
      <family val="0"/>
      <charset val="1"/>
    </font>
    <font>
      <sz val="9"/>
      <color rgb="FFD8AEB6"/>
      <name val="Calibri"/>
      <family val="0"/>
      <charset val="1"/>
    </font>
    <font>
      <i val="true"/>
      <sz val="8.5"/>
      <color rgb="FF7A6E72"/>
      <name val="Calibri"/>
      <family val="0"/>
      <charset val="1"/>
    </font>
    <font>
      <b val="true"/>
      <sz val="11"/>
      <color rgb="FF6E1F2E"/>
      <name val="Calibri"/>
      <family val="0"/>
      <charset val="1"/>
    </font>
    <font>
      <b val="true"/>
      <sz val="15"/>
      <color rgb="FF6E1F2E"/>
      <name val="Calibri"/>
      <family val="0"/>
      <charset val="1"/>
    </font>
    <font>
      <b val="true"/>
      <sz val="15"/>
      <color rgb="FF1E7A46"/>
      <name val="Calibri"/>
      <family val="0"/>
      <charset val="1"/>
    </font>
    <font>
      <b val="true"/>
      <sz val="15"/>
      <color rgb="FFB26A00"/>
      <name val="Calibri"/>
      <family val="0"/>
      <charset val="1"/>
    </font>
    <font>
      <b val="true"/>
      <sz val="15"/>
      <color rgb="FFB3261E"/>
      <name val="Calibri"/>
      <family val="0"/>
      <charset val="1"/>
    </font>
    <font>
      <b val="true"/>
      <sz val="15"/>
      <color rgb="FFA85D6C"/>
      <name val="Calibri"/>
      <family val="0"/>
      <charset val="1"/>
    </font>
    <font>
      <b val="true"/>
      <sz val="7.5"/>
      <color rgb="FF7A6E72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"/>
      <color rgb="FF7A6E72"/>
      <name val="Calibri"/>
      <family val="0"/>
      <charset val="1"/>
    </font>
    <font>
      <sz val="9.5"/>
      <color rgb="FF2A2226"/>
      <name val="Calibri"/>
      <family val="0"/>
      <charset val="1"/>
    </font>
    <font>
      <sz val="8"/>
      <color rgb="FF9A9096"/>
      <name val="Calibri"/>
      <family val="0"/>
      <charset val="1"/>
    </font>
    <font>
      <sz val="9"/>
      <color rgb="FF2A2226"/>
      <name val="Calibri"/>
      <family val="0"/>
      <charset val="1"/>
    </font>
    <font>
      <b val="true"/>
      <sz val="9.5"/>
      <color rgb="FF6E1F2E"/>
      <name val="Calibri"/>
      <family val="0"/>
      <charset val="1"/>
    </font>
    <font>
      <sz val="10"/>
      <color rgb="FF2A2226"/>
      <name val="Calibri"/>
      <family val="0"/>
      <charset val="1"/>
    </font>
    <font>
      <sz val="8.5"/>
      <color rgb="FF7A6E72"/>
      <name val="Calibri"/>
      <family val="0"/>
      <charset val="1"/>
    </font>
    <font>
      <i val="true"/>
      <sz val="9.5"/>
      <color rgb="FF2A2226"/>
      <name val="Calibri"/>
      <family val="0"/>
      <charset val="1"/>
    </font>
    <font>
      <b val="true"/>
      <sz val="9"/>
      <color rgb="FF6E1F2E"/>
      <name val="Calibri"/>
      <family val="0"/>
      <charset val="1"/>
    </font>
    <font>
      <sz val="8"/>
      <color rgb="FF7A6E72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6E1F2E"/>
        <bgColor rgb="FF4A1520"/>
      </patternFill>
    </fill>
    <fill>
      <patternFill patternType="solid">
        <fgColor rgb="FFF4E3E6"/>
        <bgColor rgb="FFFBE5E2"/>
      </patternFill>
    </fill>
    <fill>
      <patternFill patternType="solid">
        <fgColor rgb="FF4A1520"/>
        <bgColor rgb="FF2A2226"/>
      </patternFill>
    </fill>
    <fill>
      <patternFill patternType="solid">
        <fgColor rgb="FFFAF6F7"/>
        <bgColor rgb="FFF8F4F5"/>
      </patternFill>
    </fill>
    <fill>
      <patternFill patternType="solid">
        <fgColor rgb="FFF8F4F5"/>
        <bgColor rgb="FFFAF6F7"/>
      </patternFill>
    </fill>
    <fill>
      <patternFill patternType="solid">
        <fgColor rgb="FFFBEFF1"/>
        <bgColor rgb="FFF8F4F5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double">
        <color rgb="FF6E1F2E"/>
      </bottom>
      <diagonal/>
    </border>
    <border diagonalUp="false" diagonalDown="false">
      <left style="thin">
        <color rgb="FFD8CDD0"/>
      </left>
      <right style="thin">
        <color rgb="FFD8CDD0"/>
      </right>
      <top style="thin">
        <color rgb="FFD8CDD0"/>
      </top>
      <bottom/>
      <diagonal/>
    </border>
    <border diagonalUp="false" diagonalDown="false">
      <left style="thin">
        <color rgb="FFD8CDD0"/>
      </left>
      <right style="thin">
        <color rgb="FFD8CDD0"/>
      </right>
      <top/>
      <bottom style="thick">
        <color rgb="FF6E1F2E"/>
      </bottom>
      <diagonal/>
    </border>
    <border diagonalUp="false" diagonalDown="false">
      <left style="thin">
        <color rgb="FFD8CDD0"/>
      </left>
      <right style="thin">
        <color rgb="FFD8CDD0"/>
      </right>
      <top/>
      <bottom style="thick">
        <color rgb="FF1E7A46"/>
      </bottom>
      <diagonal/>
    </border>
    <border diagonalUp="false" diagonalDown="false">
      <left style="thin">
        <color rgb="FFD8CDD0"/>
      </left>
      <right style="thin">
        <color rgb="FFD8CDD0"/>
      </right>
      <top/>
      <bottom style="thick">
        <color rgb="FFB26A00"/>
      </bottom>
      <diagonal/>
    </border>
    <border diagonalUp="false" diagonalDown="false">
      <left style="thin">
        <color rgb="FFD8CDD0"/>
      </left>
      <right style="thin">
        <color rgb="FFD8CDD0"/>
      </right>
      <top/>
      <bottom style="thick">
        <color rgb="FFB3261E"/>
      </bottom>
      <diagonal/>
    </border>
    <border diagonalUp="false" diagonalDown="false">
      <left style="thin">
        <color rgb="FFD8CDD0"/>
      </left>
      <right style="thin">
        <color rgb="FFD8CDD0"/>
      </right>
      <top/>
      <bottom style="thick">
        <color rgb="FFA85D6C"/>
      </bottom>
      <diagonal/>
    </border>
    <border diagonalUp="false" diagonalDown="false">
      <left/>
      <right/>
      <top/>
      <bottom style="hair">
        <color rgb="FFD8CDD0"/>
      </bottom>
      <diagonal/>
    </border>
    <border diagonalUp="false" diagonalDown="false">
      <left style="thin">
        <color rgb="FFD9B3BB"/>
      </left>
      <right style="thin">
        <color rgb="FFD9B3BB"/>
      </right>
      <top style="thin">
        <color rgb="FFD9B3BB"/>
      </top>
      <bottom style="thin">
        <color rgb="FFD9B3BB"/>
      </bottom>
      <diagonal/>
    </border>
    <border diagonalUp="false" diagonalDown="false">
      <left style="thin">
        <color rgb="FFD8CDD0"/>
      </left>
      <right style="thin">
        <color rgb="FFD8CDD0"/>
      </right>
      <top/>
      <bottom/>
      <diagonal/>
    </border>
    <border diagonalUp="false" diagonalDown="false">
      <left style="thin">
        <color rgb="FFD8CDD0"/>
      </left>
      <right style="thin">
        <color rgb="FFD8CDD0"/>
      </right>
      <top style="thin">
        <color rgb="FFD9B3BB"/>
      </top>
      <bottom style="thin">
        <color rgb="FFD9B3BB"/>
      </bottom>
      <diagonal/>
    </border>
    <border diagonalUp="false" diagonalDown="false">
      <left style="thin">
        <color rgb="FFD8CDD0"/>
      </left>
      <right/>
      <top/>
      <bottom/>
      <diagonal/>
    </border>
    <border diagonalUp="false" diagonalDown="false">
      <left/>
      <right style="thin">
        <color rgb="FFD8CDD0"/>
      </right>
      <top/>
      <bottom/>
      <diagonal/>
    </border>
    <border diagonalUp="false" diagonalDown="false">
      <left style="thin">
        <color rgb="FFD8CDD0"/>
      </left>
      <right/>
      <top/>
      <bottom style="thin">
        <color rgb="FFD8CDD0"/>
      </bottom>
      <diagonal/>
    </border>
    <border diagonalUp="false" diagonalDown="false">
      <left/>
      <right style="thin">
        <color rgb="FFD8CDD0"/>
      </right>
      <top/>
      <bottom style="thin">
        <color rgb="FFD8CD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8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8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8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1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1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7" fontId="23" fillId="7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Calibri"/>
        <charset val="1"/>
        <family val="0"/>
        <b val="1"/>
        <color rgb="FF1E7A46"/>
        <sz val="9"/>
      </font>
    </dxf>
    <dxf>
      <font>
        <name val="Calibri"/>
        <charset val="1"/>
        <family val="0"/>
        <b val="1"/>
        <color rgb="FFB26A00"/>
        <sz val="9"/>
      </font>
    </dxf>
    <dxf>
      <font>
        <name val="Calibri"/>
        <charset val="1"/>
        <family val="0"/>
        <b val="1"/>
        <color rgb="FFB3261E"/>
        <sz val="9"/>
      </font>
    </dxf>
    <dxf>
      <fill>
        <patternFill>
          <bgColor rgb="FFFCEFD9"/>
        </patternFill>
      </fill>
    </dxf>
    <dxf>
      <font>
        <name val="Calibri"/>
        <charset val="1"/>
        <family val="0"/>
        <i val="1"/>
        <color rgb="FF9A9096"/>
        <sz val="9"/>
      </font>
    </dxf>
    <dxf>
      <font>
        <name val="Calibri"/>
        <charset val="1"/>
        <family val="0"/>
        <b val="1"/>
        <color rgb="FFB3261E"/>
        <sz val="8"/>
      </font>
      <fill>
        <patternFill>
          <bgColor rgb="FFFBE5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E1F2E"/>
      <rgbColor rgb="FF008000"/>
      <rgbColor rgb="FF000080"/>
      <rgbColor rgb="FFB26A00"/>
      <rgbColor rgb="FF800080"/>
      <rgbColor rgb="FF1E7A46"/>
      <rgbColor rgb="FFD9B3BB"/>
      <rgbColor rgb="FF7A6E72"/>
      <rgbColor rgb="FF9999FF"/>
      <rgbColor rgb="FFA85D6C"/>
      <rgbColor rgb="FFFCEFD9"/>
      <rgbColor rgb="FFF8F4F5"/>
      <rgbColor rgb="FF660066"/>
      <rgbColor rgb="FFFF8080"/>
      <rgbColor rgb="FF0066CC"/>
      <rgbColor rgb="FFD8CD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6F7"/>
      <rgbColor rgb="FFFBEFF1"/>
      <rgbColor rgb="FFF4E3E6"/>
      <rgbColor rgb="FF99CCFF"/>
      <rgbColor rgb="FFD8AEB6"/>
      <rgbColor rgb="FFCC99FF"/>
      <rgbColor rgb="FFFBE5E2"/>
      <rgbColor rgb="FF3366FF"/>
      <rgbColor rgb="FF33CCCC"/>
      <rgbColor rgb="FF99CC00"/>
      <rgbColor rgb="FFFFCC00"/>
      <rgbColor rgb="FFFF9900"/>
      <rgbColor rgb="FFFF6600"/>
      <rgbColor rgb="FF666699"/>
      <rgbColor rgb="FF9A9096"/>
      <rgbColor rgb="FF003366"/>
      <rgbColor rgb="FF339966"/>
      <rgbColor rgb="FF003300"/>
      <rgbColor rgb="FF4A1520"/>
      <rgbColor rgb="FFB3261E"/>
      <rgbColor rgb="FF993366"/>
      <rgbColor rgb="FF333399"/>
      <rgbColor rgb="FF2A22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E1F2E"/>
    <pageSetUpPr fitToPage="true"/>
  </sheetPr>
  <dimension ref="A1:J7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.5"/>
    <col collapsed="false" customWidth="true" hidden="false" outlineLevel="0" max="3" min="3" style="0" width="24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7.5"/>
    <col collapsed="false" customWidth="true" hidden="false" outlineLevel="0" max="7" min="7" style="0" width="13"/>
    <col collapsed="false" customWidth="true" hidden="false" outlineLevel="0" max="8" min="8" style="0" width="7"/>
    <col collapsed="false" customWidth="true" hidden="false" outlineLevel="0" max="9" min="9" style="0" width="8"/>
    <col collapsed="false" customWidth="true" hidden="false" outlineLevel="0" max="10" min="10" style="0" width="22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25.5" hidden="false" customHeight="true" outlineLevel="0" collapsed="false">
      <c r="A2" s="1"/>
      <c r="B2" s="2" t="s">
        <v>0</v>
      </c>
      <c r="C2" s="1"/>
      <c r="D2" s="1"/>
      <c r="E2" s="1"/>
      <c r="F2" s="1"/>
      <c r="G2" s="1"/>
      <c r="H2" s="1"/>
      <c r="I2" s="3" t="s">
        <v>1</v>
      </c>
      <c r="J2" s="3"/>
    </row>
    <row r="3" customFormat="false" ht="15" hidden="false" customHeight="true" outlineLevel="0" collapsed="false">
      <c r="A3" s="1"/>
      <c r="B3" s="4" t="s">
        <v>2</v>
      </c>
      <c r="C3" s="1"/>
      <c r="D3" s="1"/>
      <c r="E3" s="1"/>
      <c r="F3" s="1"/>
      <c r="G3" s="1"/>
      <c r="H3" s="1"/>
      <c r="I3" s="1"/>
      <c r="J3" s="1"/>
    </row>
    <row r="4" customFormat="false" ht="2.2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</row>
    <row r="5" customFormat="false" ht="13.5" hidden="false" customHeight="true" outlineLevel="0" collapsed="false">
      <c r="B5" s="6" t="s">
        <v>3</v>
      </c>
      <c r="C5" s="6"/>
      <c r="D5" s="6"/>
      <c r="E5" s="6"/>
      <c r="F5" s="6"/>
      <c r="G5" s="6"/>
      <c r="H5" s="6"/>
      <c r="I5" s="6"/>
      <c r="J5" s="6"/>
    </row>
    <row r="6" customFormat="false" ht="6" hidden="false" customHeight="true" outlineLevel="0" collapsed="false"/>
    <row r="7" customFormat="false" ht="18.75" hidden="false" customHeight="true" outlineLevel="0" collapsed="false">
      <c r="B7" s="7" t="s">
        <v>4</v>
      </c>
      <c r="C7" s="8"/>
      <c r="D7" s="8"/>
      <c r="E7" s="8"/>
      <c r="F7" s="8"/>
      <c r="G7" s="8"/>
      <c r="H7" s="8"/>
      <c r="I7" s="8"/>
      <c r="J7" s="8"/>
    </row>
    <row r="8" customFormat="false" ht="24" hidden="false" customHeight="true" outlineLevel="0" collapsed="false">
      <c r="B8" s="9" t="n">
        <f aca="false">COUNTIF($C$13:$C$200,"&lt;&gt;")</f>
        <v>36</v>
      </c>
      <c r="C8" s="9"/>
      <c r="D8" s="10" t="n">
        <f aca="false">COUNTIF($E$13:$E$200,"zugesagt")</f>
        <v>31</v>
      </c>
      <c r="E8" s="10"/>
      <c r="F8" s="11" t="n">
        <f aca="false">COUNTIF($E$13:$E$200,"offen")</f>
        <v>3</v>
      </c>
      <c r="G8" s="11"/>
      <c r="H8" s="12" t="n">
        <f aca="false">COUNTIF($E$13:$E$200,"abgesagt")</f>
        <v>2</v>
      </c>
      <c r="I8" s="12"/>
      <c r="J8" s="13" t="n">
        <f aca="false">COUNTIFS($E$13:$E$200,"zugesagt",$F$13:$F$200,"")</f>
        <v>2</v>
      </c>
    </row>
    <row r="9" customFormat="false" ht="12.75" hidden="false" customHeight="true" outlineLevel="0" collapsed="false">
      <c r="B9" s="14" t="s">
        <v>5</v>
      </c>
      <c r="C9" s="14"/>
      <c r="D9" s="15" t="s">
        <v>6</v>
      </c>
      <c r="E9" s="15"/>
      <c r="F9" s="16" t="s">
        <v>7</v>
      </c>
      <c r="G9" s="16"/>
      <c r="H9" s="17" t="s">
        <v>8</v>
      </c>
      <c r="I9" s="17"/>
      <c r="J9" s="18" t="s">
        <v>9</v>
      </c>
    </row>
    <row r="10" customFormat="false" ht="7.5" hidden="false" customHeight="true" outlineLevel="0" collapsed="false"/>
    <row r="11" customFormat="false" ht="18.75" hidden="false" customHeight="true" outlineLevel="0" collapsed="false">
      <c r="B11" s="7" t="s">
        <v>10</v>
      </c>
      <c r="C11" s="8"/>
      <c r="D11" s="8"/>
      <c r="E11" s="8"/>
      <c r="F11" s="8"/>
      <c r="G11" s="8"/>
      <c r="H11" s="8"/>
      <c r="I11" s="8"/>
      <c r="J11" s="8"/>
    </row>
    <row r="12" customFormat="false" ht="24" hidden="false" customHeight="true" outlineLevel="0" collapsed="false">
      <c r="B12" s="19" t="s">
        <v>11</v>
      </c>
      <c r="C12" s="19" t="s">
        <v>12</v>
      </c>
      <c r="D12" s="19" t="s">
        <v>13</v>
      </c>
      <c r="E12" s="19" t="s">
        <v>14</v>
      </c>
      <c r="F12" s="19" t="s">
        <v>15</v>
      </c>
      <c r="G12" s="19" t="s">
        <v>16</v>
      </c>
      <c r="H12" s="19" t="s">
        <v>17</v>
      </c>
      <c r="I12" s="19" t="s">
        <v>18</v>
      </c>
      <c r="J12" s="19" t="s">
        <v>19</v>
      </c>
    </row>
    <row r="13" customFormat="false" ht="15" hidden="false" customHeight="true" outlineLevel="0" collapsed="false">
      <c r="B13" s="20" t="n">
        <f aca="false">IF($C13="","",ROW()-12)</f>
        <v>1</v>
      </c>
      <c r="C13" s="21" t="s">
        <v>20</v>
      </c>
      <c r="D13" s="21" t="s">
        <v>21</v>
      </c>
      <c r="E13" s="22" t="s">
        <v>22</v>
      </c>
      <c r="F13" s="22" t="n">
        <v>1</v>
      </c>
      <c r="G13" s="21" t="s">
        <v>23</v>
      </c>
      <c r="H13" s="23" t="n">
        <f aca="false">IF(OR($F13="",$E13&lt;&gt;"zugesagt"),"",COUNTIFS($F$13:$F13,$F13,$E$13:$E13,"zugesagt"))</f>
        <v>1</v>
      </c>
      <c r="I13" s="24" t="str">
        <f aca="false">IF($H13="","",$F13&amp;"|"&amp;$H13)</f>
        <v>1|1</v>
      </c>
      <c r="J13" s="25" t="s">
        <v>24</v>
      </c>
    </row>
    <row r="14" customFormat="false" ht="15" hidden="false" customHeight="true" outlineLevel="0" collapsed="false">
      <c r="B14" s="26" t="n">
        <f aca="false">IF($C14="","",ROW()-12)</f>
        <v>2</v>
      </c>
      <c r="C14" s="27" t="s">
        <v>25</v>
      </c>
      <c r="D14" s="27" t="s">
        <v>21</v>
      </c>
      <c r="E14" s="28" t="s">
        <v>22</v>
      </c>
      <c r="F14" s="28" t="n">
        <v>1</v>
      </c>
      <c r="G14" s="27" t="s">
        <v>23</v>
      </c>
      <c r="H14" s="29" t="n">
        <f aca="false">IF(OR($F14="",$E14&lt;&gt;"zugesagt"),"",COUNTIFS($F$13:$F14,$F14,$E$13:$E14,"zugesagt"))</f>
        <v>2</v>
      </c>
      <c r="I14" s="30" t="str">
        <f aca="false">IF($H14="","",$F14&amp;"|"&amp;$H14)</f>
        <v>1|2</v>
      </c>
      <c r="J14" s="31" t="s">
        <v>26</v>
      </c>
    </row>
    <row r="15" customFormat="false" ht="15" hidden="false" customHeight="true" outlineLevel="0" collapsed="false">
      <c r="B15" s="20" t="n">
        <f aca="false">IF($C15="","",ROW()-12)</f>
        <v>3</v>
      </c>
      <c r="C15" s="21" t="s">
        <v>27</v>
      </c>
      <c r="D15" s="21" t="s">
        <v>28</v>
      </c>
      <c r="E15" s="22" t="s">
        <v>22</v>
      </c>
      <c r="F15" s="22" t="n">
        <v>1</v>
      </c>
      <c r="G15" s="21" t="s">
        <v>23</v>
      </c>
      <c r="H15" s="23" t="n">
        <f aca="false">IF(OR($F15="",$E15&lt;&gt;"zugesagt"),"",COUNTIFS($F$13:$F15,$F15,$E$13:$E15,"zugesagt"))</f>
        <v>3</v>
      </c>
      <c r="I15" s="24" t="str">
        <f aca="false">IF($H15="","",$F15&amp;"|"&amp;$H15)</f>
        <v>1|3</v>
      </c>
      <c r="J15" s="25"/>
    </row>
    <row r="16" customFormat="false" ht="15" hidden="false" customHeight="true" outlineLevel="0" collapsed="false">
      <c r="B16" s="26" t="n">
        <f aca="false">IF($C16="","",ROW()-12)</f>
        <v>4</v>
      </c>
      <c r="C16" s="27" t="s">
        <v>29</v>
      </c>
      <c r="D16" s="27" t="s">
        <v>28</v>
      </c>
      <c r="E16" s="28" t="s">
        <v>22</v>
      </c>
      <c r="F16" s="28" t="n">
        <v>1</v>
      </c>
      <c r="G16" s="27" t="s">
        <v>23</v>
      </c>
      <c r="H16" s="29" t="n">
        <f aca="false">IF(OR($F16="",$E16&lt;&gt;"zugesagt"),"",COUNTIFS($F$13:$F16,$F16,$E$13:$E16,"zugesagt"))</f>
        <v>4</v>
      </c>
      <c r="I16" s="30" t="str">
        <f aca="false">IF($H16="","",$F16&amp;"|"&amp;$H16)</f>
        <v>1|4</v>
      </c>
      <c r="J16" s="31"/>
    </row>
    <row r="17" customFormat="false" ht="15" hidden="false" customHeight="true" outlineLevel="0" collapsed="false">
      <c r="B17" s="20" t="n">
        <f aca="false">IF($C17="","",ROW()-12)</f>
        <v>5</v>
      </c>
      <c r="C17" s="21" t="s">
        <v>30</v>
      </c>
      <c r="D17" s="21" t="s">
        <v>21</v>
      </c>
      <c r="E17" s="22" t="s">
        <v>22</v>
      </c>
      <c r="F17" s="22" t="n">
        <v>2</v>
      </c>
      <c r="G17" s="21" t="s">
        <v>31</v>
      </c>
      <c r="H17" s="23" t="n">
        <f aca="false">IF(OR($F17="",$E17&lt;&gt;"zugesagt"),"",COUNTIFS($F$13:$F17,$F17,$E$13:$E17,"zugesagt"))</f>
        <v>1</v>
      </c>
      <c r="I17" s="24" t="str">
        <f aca="false">IF($H17="","",$F17&amp;"|"&amp;$H17)</f>
        <v>2|1</v>
      </c>
      <c r="J17" s="25"/>
    </row>
    <row r="18" customFormat="false" ht="15" hidden="false" customHeight="true" outlineLevel="0" collapsed="false">
      <c r="B18" s="26" t="n">
        <f aca="false">IF($C18="","",ROW()-12)</f>
        <v>6</v>
      </c>
      <c r="C18" s="27" t="s">
        <v>32</v>
      </c>
      <c r="D18" s="27" t="s">
        <v>21</v>
      </c>
      <c r="E18" s="28" t="s">
        <v>22</v>
      </c>
      <c r="F18" s="28" t="n">
        <v>2</v>
      </c>
      <c r="G18" s="27" t="s">
        <v>23</v>
      </c>
      <c r="H18" s="29" t="n">
        <f aca="false">IF(OR($F18="",$E18&lt;&gt;"zugesagt"),"",COUNTIFS($F$13:$F18,$F18,$E$13:$E18,"zugesagt"))</f>
        <v>2</v>
      </c>
      <c r="I18" s="30" t="str">
        <f aca="false">IF($H18="","",$F18&amp;"|"&amp;$H18)</f>
        <v>2|2</v>
      </c>
      <c r="J18" s="31"/>
    </row>
    <row r="19" customFormat="false" ht="15" hidden="false" customHeight="true" outlineLevel="0" collapsed="false">
      <c r="B19" s="20" t="n">
        <f aca="false">IF($C19="","",ROW()-12)</f>
        <v>7</v>
      </c>
      <c r="C19" s="21" t="s">
        <v>33</v>
      </c>
      <c r="D19" s="21" t="s">
        <v>21</v>
      </c>
      <c r="E19" s="22" t="s">
        <v>22</v>
      </c>
      <c r="F19" s="22" t="n">
        <v>2</v>
      </c>
      <c r="G19" s="21" t="s">
        <v>34</v>
      </c>
      <c r="H19" s="23" t="n">
        <f aca="false">IF(OR($F19="",$E19&lt;&gt;"zugesagt"),"",COUNTIFS($F$13:$F19,$F19,$E$13:$E19,"zugesagt"))</f>
        <v>3</v>
      </c>
      <c r="I19" s="24" t="str">
        <f aca="false">IF($H19="","",$F19&amp;"|"&amp;$H19)</f>
        <v>2|3</v>
      </c>
      <c r="J19" s="25" t="s">
        <v>35</v>
      </c>
    </row>
    <row r="20" customFormat="false" ht="15" hidden="false" customHeight="true" outlineLevel="0" collapsed="false">
      <c r="B20" s="26" t="n">
        <f aca="false">IF($C20="","",ROW()-12)</f>
        <v>8</v>
      </c>
      <c r="C20" s="27" t="s">
        <v>36</v>
      </c>
      <c r="D20" s="27" t="s">
        <v>21</v>
      </c>
      <c r="E20" s="28" t="s">
        <v>22</v>
      </c>
      <c r="F20" s="28" t="n">
        <v>2</v>
      </c>
      <c r="G20" s="27" t="s">
        <v>23</v>
      </c>
      <c r="H20" s="29" t="n">
        <f aca="false">IF(OR($F20="",$E20&lt;&gt;"zugesagt"),"",COUNTIFS($F$13:$F20,$F20,$E$13:$E20,"zugesagt"))</f>
        <v>4</v>
      </c>
      <c r="I20" s="30" t="str">
        <f aca="false">IF($H20="","",$F20&amp;"|"&amp;$H20)</f>
        <v>2|4</v>
      </c>
      <c r="J20" s="31" t="s">
        <v>37</v>
      </c>
    </row>
    <row r="21" customFormat="false" ht="15" hidden="false" customHeight="true" outlineLevel="0" collapsed="false">
      <c r="B21" s="20" t="n">
        <f aca="false">IF($C21="","",ROW()-12)</f>
        <v>9</v>
      </c>
      <c r="C21" s="21" t="s">
        <v>38</v>
      </c>
      <c r="D21" s="21" t="s">
        <v>21</v>
      </c>
      <c r="E21" s="22" t="s">
        <v>22</v>
      </c>
      <c r="F21" s="22" t="n">
        <v>2</v>
      </c>
      <c r="G21" s="21" t="s">
        <v>23</v>
      </c>
      <c r="H21" s="23" t="n">
        <f aca="false">IF(OR($F21="",$E21&lt;&gt;"zugesagt"),"",COUNTIFS($F$13:$F21,$F21,$E$13:$E21,"zugesagt"))</f>
        <v>5</v>
      </c>
      <c r="I21" s="24" t="str">
        <f aca="false">IF($H21="","",$F21&amp;"|"&amp;$H21)</f>
        <v>2|5</v>
      </c>
      <c r="J21" s="25"/>
    </row>
    <row r="22" customFormat="false" ht="15" hidden="false" customHeight="true" outlineLevel="0" collapsed="false">
      <c r="B22" s="26" t="n">
        <f aca="false">IF($C22="","",ROW()-12)</f>
        <v>10</v>
      </c>
      <c r="C22" s="27" t="s">
        <v>39</v>
      </c>
      <c r="D22" s="27" t="s">
        <v>21</v>
      </c>
      <c r="E22" s="28" t="s">
        <v>22</v>
      </c>
      <c r="F22" s="28" t="n">
        <v>2</v>
      </c>
      <c r="G22" s="27" t="s">
        <v>31</v>
      </c>
      <c r="H22" s="29" t="n">
        <f aca="false">IF(OR($F22="",$E22&lt;&gt;"zugesagt"),"",COUNTIFS($F$13:$F22,$F22,$E$13:$E22,"zugesagt"))</f>
        <v>6</v>
      </c>
      <c r="I22" s="30" t="str">
        <f aca="false">IF($H22="","",$F22&amp;"|"&amp;$H22)</f>
        <v>2|6</v>
      </c>
      <c r="J22" s="31" t="s">
        <v>40</v>
      </c>
    </row>
    <row r="23" customFormat="false" ht="15" hidden="false" customHeight="true" outlineLevel="0" collapsed="false">
      <c r="B23" s="20" t="n">
        <f aca="false">IF($C23="","",ROW()-12)</f>
        <v>11</v>
      </c>
      <c r="C23" s="21" t="s">
        <v>41</v>
      </c>
      <c r="D23" s="21" t="s">
        <v>21</v>
      </c>
      <c r="E23" s="22" t="s">
        <v>22</v>
      </c>
      <c r="F23" s="22" t="n">
        <v>2</v>
      </c>
      <c r="G23" s="21" t="s">
        <v>23</v>
      </c>
      <c r="H23" s="23" t="n">
        <f aca="false">IF(OR($F23="",$E23&lt;&gt;"zugesagt"),"",COUNTIFS($F$13:$F23,$F23,$E$13:$E23,"zugesagt"))</f>
        <v>7</v>
      </c>
      <c r="I23" s="24" t="str">
        <f aca="false">IF($H23="","",$F23&amp;"|"&amp;$H23)</f>
        <v>2|7</v>
      </c>
      <c r="J23" s="25"/>
    </row>
    <row r="24" customFormat="false" ht="15" hidden="false" customHeight="true" outlineLevel="0" collapsed="false">
      <c r="B24" s="26" t="n">
        <f aca="false">IF($C24="","",ROW()-12)</f>
        <v>12</v>
      </c>
      <c r="C24" s="27" t="s">
        <v>42</v>
      </c>
      <c r="D24" s="27" t="s">
        <v>21</v>
      </c>
      <c r="E24" s="28" t="s">
        <v>22</v>
      </c>
      <c r="F24" s="28" t="n">
        <v>2</v>
      </c>
      <c r="G24" s="27" t="s">
        <v>34</v>
      </c>
      <c r="H24" s="29" t="n">
        <f aca="false">IF(OR($F24="",$E24&lt;&gt;"zugesagt"),"",COUNTIFS($F$13:$F24,$F24,$E$13:$E24,"zugesagt"))</f>
        <v>8</v>
      </c>
      <c r="I24" s="30" t="str">
        <f aca="false">IF($H24="","",$F24&amp;"|"&amp;$H24)</f>
        <v>2|8</v>
      </c>
      <c r="J24" s="31" t="s">
        <v>43</v>
      </c>
    </row>
    <row r="25" customFormat="false" ht="15" hidden="false" customHeight="true" outlineLevel="0" collapsed="false">
      <c r="B25" s="20" t="n">
        <f aca="false">IF($C25="","",ROW()-12)</f>
        <v>13</v>
      </c>
      <c r="C25" s="21" t="s">
        <v>44</v>
      </c>
      <c r="D25" s="21" t="s">
        <v>28</v>
      </c>
      <c r="E25" s="22" t="s">
        <v>22</v>
      </c>
      <c r="F25" s="22" t="n">
        <v>3</v>
      </c>
      <c r="G25" s="21" t="s">
        <v>23</v>
      </c>
      <c r="H25" s="23" t="n">
        <f aca="false">IF(OR($F25="",$E25&lt;&gt;"zugesagt"),"",COUNTIFS($F$13:$F25,$F25,$E$13:$E25,"zugesagt"))</f>
        <v>1</v>
      </c>
      <c r="I25" s="24" t="str">
        <f aca="false">IF($H25="","",$F25&amp;"|"&amp;$H25)</f>
        <v>3|1</v>
      </c>
      <c r="J25" s="25"/>
    </row>
    <row r="26" customFormat="false" ht="15" hidden="false" customHeight="true" outlineLevel="0" collapsed="false">
      <c r="B26" s="26" t="n">
        <f aca="false">IF($C26="","",ROW()-12)</f>
        <v>14</v>
      </c>
      <c r="C26" s="27" t="s">
        <v>45</v>
      </c>
      <c r="D26" s="27" t="s">
        <v>28</v>
      </c>
      <c r="E26" s="28" t="s">
        <v>22</v>
      </c>
      <c r="F26" s="28" t="n">
        <v>3</v>
      </c>
      <c r="G26" s="27" t="s">
        <v>23</v>
      </c>
      <c r="H26" s="29" t="n">
        <f aca="false">IF(OR($F26="",$E26&lt;&gt;"zugesagt"),"",COUNTIFS($F$13:$F26,$F26,$E$13:$E26,"zugesagt"))</f>
        <v>2</v>
      </c>
      <c r="I26" s="30" t="str">
        <f aca="false">IF($H26="","",$F26&amp;"|"&amp;$H26)</f>
        <v>3|2</v>
      </c>
      <c r="J26" s="31"/>
    </row>
    <row r="27" customFormat="false" ht="15" hidden="false" customHeight="true" outlineLevel="0" collapsed="false">
      <c r="B27" s="20" t="n">
        <f aca="false">IF($C27="","",ROW()-12)</f>
        <v>15</v>
      </c>
      <c r="C27" s="21" t="s">
        <v>46</v>
      </c>
      <c r="D27" s="21" t="s">
        <v>28</v>
      </c>
      <c r="E27" s="22" t="s">
        <v>22</v>
      </c>
      <c r="F27" s="22" t="n">
        <v>3</v>
      </c>
      <c r="G27" s="21" t="s">
        <v>31</v>
      </c>
      <c r="H27" s="23" t="n">
        <f aca="false">IF(OR($F27="",$E27&lt;&gt;"zugesagt"),"",COUNTIFS($F$13:$F27,$F27,$E$13:$E27,"zugesagt"))</f>
        <v>3</v>
      </c>
      <c r="I27" s="24" t="str">
        <f aca="false">IF($H27="","",$F27&amp;"|"&amp;$H27)</f>
        <v>3|3</v>
      </c>
      <c r="J27" s="25"/>
    </row>
    <row r="28" customFormat="false" ht="15" hidden="false" customHeight="true" outlineLevel="0" collapsed="false">
      <c r="B28" s="26" t="n">
        <f aca="false">IF($C28="","",ROW()-12)</f>
        <v>16</v>
      </c>
      <c r="C28" s="27" t="s">
        <v>47</v>
      </c>
      <c r="D28" s="27" t="s">
        <v>28</v>
      </c>
      <c r="E28" s="28" t="s">
        <v>22</v>
      </c>
      <c r="F28" s="28" t="n">
        <v>3</v>
      </c>
      <c r="G28" s="27" t="s">
        <v>23</v>
      </c>
      <c r="H28" s="29" t="n">
        <f aca="false">IF(OR($F28="",$E28&lt;&gt;"zugesagt"),"",COUNTIFS($F$13:$F28,$F28,$E$13:$E28,"zugesagt"))</f>
        <v>4</v>
      </c>
      <c r="I28" s="30" t="str">
        <f aca="false">IF($H28="","",$F28&amp;"|"&amp;$H28)</f>
        <v>3|4</v>
      </c>
      <c r="J28" s="31"/>
    </row>
    <row r="29" customFormat="false" ht="15" hidden="false" customHeight="true" outlineLevel="0" collapsed="false">
      <c r="B29" s="20" t="n">
        <f aca="false">IF($C29="","",ROW()-12)</f>
        <v>17</v>
      </c>
      <c r="C29" s="21" t="s">
        <v>48</v>
      </c>
      <c r="D29" s="21" t="s">
        <v>28</v>
      </c>
      <c r="E29" s="22" t="s">
        <v>22</v>
      </c>
      <c r="F29" s="22" t="n">
        <v>3</v>
      </c>
      <c r="G29" s="21" t="s">
        <v>49</v>
      </c>
      <c r="H29" s="23" t="n">
        <f aca="false">IF(OR($F29="",$E29&lt;&gt;"zugesagt"),"",COUNTIFS($F$13:$F29,$F29,$E$13:$E29,"zugesagt"))</f>
        <v>5</v>
      </c>
      <c r="I29" s="24" t="str">
        <f aca="false">IF($H29="","",$F29&amp;"|"&amp;$H29)</f>
        <v>3|5</v>
      </c>
      <c r="J29" s="25"/>
    </row>
    <row r="30" customFormat="false" ht="15" hidden="false" customHeight="true" outlineLevel="0" collapsed="false">
      <c r="B30" s="26" t="n">
        <f aca="false">IF($C30="","",ROW()-12)</f>
        <v>18</v>
      </c>
      <c r="C30" s="27" t="s">
        <v>50</v>
      </c>
      <c r="D30" s="27" t="s">
        <v>28</v>
      </c>
      <c r="E30" s="28" t="s">
        <v>22</v>
      </c>
      <c r="F30" s="28" t="n">
        <v>3</v>
      </c>
      <c r="G30" s="27" t="s">
        <v>23</v>
      </c>
      <c r="H30" s="29" t="n">
        <f aca="false">IF(OR($F30="",$E30&lt;&gt;"zugesagt"),"",COUNTIFS($F$13:$F30,$F30,$E$13:$E30,"zugesagt"))</f>
        <v>6</v>
      </c>
      <c r="I30" s="30" t="str">
        <f aca="false">IF($H30="","",$F30&amp;"|"&amp;$H30)</f>
        <v>3|6</v>
      </c>
      <c r="J30" s="31"/>
    </row>
    <row r="31" customFormat="false" ht="15" hidden="false" customHeight="true" outlineLevel="0" collapsed="false">
      <c r="B31" s="20" t="n">
        <f aca="false">IF($C31="","",ROW()-12)</f>
        <v>19</v>
      </c>
      <c r="C31" s="21" t="s">
        <v>51</v>
      </c>
      <c r="D31" s="21" t="s">
        <v>28</v>
      </c>
      <c r="E31" s="22" t="s">
        <v>22</v>
      </c>
      <c r="F31" s="22" t="n">
        <v>3</v>
      </c>
      <c r="G31" s="21" t="s">
        <v>31</v>
      </c>
      <c r="H31" s="23" t="n">
        <f aca="false">IF(OR($F31="",$E31&lt;&gt;"zugesagt"),"",COUNTIFS($F$13:$F31,$F31,$E$13:$E31,"zugesagt"))</f>
        <v>7</v>
      </c>
      <c r="I31" s="24" t="str">
        <f aca="false">IF($H31="","",$F31&amp;"|"&amp;$H31)</f>
        <v>3|7</v>
      </c>
      <c r="J31" s="25" t="s">
        <v>52</v>
      </c>
    </row>
    <row r="32" customFormat="false" ht="15" hidden="false" customHeight="true" outlineLevel="0" collapsed="false">
      <c r="B32" s="26" t="n">
        <f aca="false">IF($C32="","",ROW()-12)</f>
        <v>20</v>
      </c>
      <c r="C32" s="27" t="s">
        <v>53</v>
      </c>
      <c r="D32" s="27" t="s">
        <v>28</v>
      </c>
      <c r="E32" s="28" t="s">
        <v>22</v>
      </c>
      <c r="F32" s="28" t="n">
        <v>3</v>
      </c>
      <c r="G32" s="27" t="s">
        <v>23</v>
      </c>
      <c r="H32" s="29" t="n">
        <f aca="false">IF(OR($F32="",$E32&lt;&gt;"zugesagt"),"",COUNTIFS($F$13:$F32,$F32,$E$13:$E32,"zugesagt"))</f>
        <v>8</v>
      </c>
      <c r="I32" s="30" t="str">
        <f aca="false">IF($H32="","",$F32&amp;"|"&amp;$H32)</f>
        <v>3|8</v>
      </c>
      <c r="J32" s="31"/>
    </row>
    <row r="33" customFormat="false" ht="15" hidden="false" customHeight="true" outlineLevel="0" collapsed="false">
      <c r="B33" s="20" t="n">
        <f aca="false">IF($C33="","",ROW()-12)</f>
        <v>21</v>
      </c>
      <c r="C33" s="21" t="s">
        <v>54</v>
      </c>
      <c r="D33" s="21" t="s">
        <v>28</v>
      </c>
      <c r="E33" s="22" t="s">
        <v>22</v>
      </c>
      <c r="F33" s="22" t="n">
        <v>3</v>
      </c>
      <c r="G33" s="21" t="s">
        <v>23</v>
      </c>
      <c r="H33" s="23" t="n">
        <f aca="false">IF(OR($F33="",$E33&lt;&gt;"zugesagt"),"",COUNTIFS($F$13:$F33,$F33,$E$13:$E33,"zugesagt"))</f>
        <v>9</v>
      </c>
      <c r="I33" s="24" t="str">
        <f aca="false">IF($H33="","",$F33&amp;"|"&amp;$H33)</f>
        <v>3|9</v>
      </c>
      <c r="J33" s="25" t="s">
        <v>55</v>
      </c>
    </row>
    <row r="34" customFormat="false" ht="15" hidden="false" customHeight="true" outlineLevel="0" collapsed="false">
      <c r="B34" s="26" t="n">
        <f aca="false">IF($C34="","",ROW()-12)</f>
        <v>22</v>
      </c>
      <c r="C34" s="27" t="s">
        <v>56</v>
      </c>
      <c r="D34" s="27" t="s">
        <v>57</v>
      </c>
      <c r="E34" s="28" t="s">
        <v>22</v>
      </c>
      <c r="F34" s="28" t="n">
        <v>4</v>
      </c>
      <c r="G34" s="27" t="s">
        <v>31</v>
      </c>
      <c r="H34" s="29" t="n">
        <f aca="false">IF(OR($F34="",$E34&lt;&gt;"zugesagt"),"",COUNTIFS($F$13:$F34,$F34,$E$13:$E34,"zugesagt"))</f>
        <v>1</v>
      </c>
      <c r="I34" s="30" t="str">
        <f aca="false">IF($H34="","",$F34&amp;"|"&amp;$H34)</f>
        <v>4|1</v>
      </c>
      <c r="J34" s="31"/>
    </row>
    <row r="35" customFormat="false" ht="15" hidden="false" customHeight="true" outlineLevel="0" collapsed="false">
      <c r="B35" s="20" t="n">
        <f aca="false">IF($C35="","",ROW()-12)</f>
        <v>23</v>
      </c>
      <c r="C35" s="21" t="s">
        <v>58</v>
      </c>
      <c r="D35" s="21" t="s">
        <v>57</v>
      </c>
      <c r="E35" s="22" t="s">
        <v>22</v>
      </c>
      <c r="F35" s="22" t="n">
        <v>4</v>
      </c>
      <c r="G35" s="21" t="s">
        <v>23</v>
      </c>
      <c r="H35" s="23" t="n">
        <f aca="false">IF(OR($F35="",$E35&lt;&gt;"zugesagt"),"",COUNTIFS($F$13:$F35,$F35,$E$13:$E35,"zugesagt"))</f>
        <v>2</v>
      </c>
      <c r="I35" s="24" t="str">
        <f aca="false">IF($H35="","",$F35&amp;"|"&amp;$H35)</f>
        <v>4|2</v>
      </c>
      <c r="J35" s="25"/>
    </row>
    <row r="36" customFormat="false" ht="15" hidden="false" customHeight="true" outlineLevel="0" collapsed="false">
      <c r="B36" s="26" t="n">
        <f aca="false">IF($C36="","",ROW()-12)</f>
        <v>24</v>
      </c>
      <c r="C36" s="27" t="s">
        <v>59</v>
      </c>
      <c r="D36" s="27" t="s">
        <v>57</v>
      </c>
      <c r="E36" s="28" t="s">
        <v>22</v>
      </c>
      <c r="F36" s="28" t="n">
        <v>4</v>
      </c>
      <c r="G36" s="27" t="s">
        <v>49</v>
      </c>
      <c r="H36" s="29" t="n">
        <f aca="false">IF(OR($F36="",$E36&lt;&gt;"zugesagt"),"",COUNTIFS($F$13:$F36,$F36,$E$13:$E36,"zugesagt"))</f>
        <v>3</v>
      </c>
      <c r="I36" s="30" t="str">
        <f aca="false">IF($H36="","",$F36&amp;"|"&amp;$H36)</f>
        <v>4|3</v>
      </c>
      <c r="J36" s="31"/>
    </row>
    <row r="37" customFormat="false" ht="15" hidden="false" customHeight="true" outlineLevel="0" collapsed="false">
      <c r="B37" s="20" t="n">
        <f aca="false">IF($C37="","",ROW()-12)</f>
        <v>25</v>
      </c>
      <c r="C37" s="21" t="s">
        <v>60</v>
      </c>
      <c r="D37" s="21" t="s">
        <v>57</v>
      </c>
      <c r="E37" s="22" t="s">
        <v>22</v>
      </c>
      <c r="F37" s="22" t="n">
        <v>4</v>
      </c>
      <c r="G37" s="21" t="s">
        <v>23</v>
      </c>
      <c r="H37" s="23" t="n">
        <f aca="false">IF(OR($F37="",$E37&lt;&gt;"zugesagt"),"",COUNTIFS($F$13:$F37,$F37,$E$13:$E37,"zugesagt"))</f>
        <v>4</v>
      </c>
      <c r="I37" s="24" t="str">
        <f aca="false">IF($H37="","",$F37&amp;"|"&amp;$H37)</f>
        <v>4|4</v>
      </c>
      <c r="J37" s="25"/>
    </row>
    <row r="38" customFormat="false" ht="15" hidden="false" customHeight="true" outlineLevel="0" collapsed="false">
      <c r="B38" s="26" t="n">
        <f aca="false">IF($C38="","",ROW()-12)</f>
        <v>26</v>
      </c>
      <c r="C38" s="27" t="s">
        <v>61</v>
      </c>
      <c r="D38" s="27" t="s">
        <v>62</v>
      </c>
      <c r="E38" s="28" t="s">
        <v>22</v>
      </c>
      <c r="F38" s="28" t="n">
        <v>5</v>
      </c>
      <c r="G38" s="27" t="s">
        <v>23</v>
      </c>
      <c r="H38" s="29" t="n">
        <f aca="false">IF(OR($F38="",$E38&lt;&gt;"zugesagt"),"",COUNTIFS($F$13:$F38,$F38,$E$13:$E38,"zugesagt"))</f>
        <v>1</v>
      </c>
      <c r="I38" s="30" t="str">
        <f aca="false">IF($H38="","",$F38&amp;"|"&amp;$H38)</f>
        <v>5|1</v>
      </c>
      <c r="J38" s="31"/>
    </row>
    <row r="39" customFormat="false" ht="15" hidden="false" customHeight="true" outlineLevel="0" collapsed="false">
      <c r="B39" s="20" t="n">
        <f aca="false">IF($C39="","",ROW()-12)</f>
        <v>27</v>
      </c>
      <c r="C39" s="21" t="s">
        <v>63</v>
      </c>
      <c r="D39" s="21" t="s">
        <v>62</v>
      </c>
      <c r="E39" s="22" t="s">
        <v>22</v>
      </c>
      <c r="F39" s="22" t="n">
        <v>5</v>
      </c>
      <c r="G39" s="21" t="s">
        <v>23</v>
      </c>
      <c r="H39" s="23" t="n">
        <f aca="false">IF(OR($F39="",$E39&lt;&gt;"zugesagt"),"",COUNTIFS($F$13:$F39,$F39,$E$13:$E39,"zugesagt"))</f>
        <v>2</v>
      </c>
      <c r="I39" s="24" t="str">
        <f aca="false">IF($H39="","",$F39&amp;"|"&amp;$H39)</f>
        <v>5|2</v>
      </c>
      <c r="J39" s="25" t="s">
        <v>64</v>
      </c>
    </row>
    <row r="40" customFormat="false" ht="15" hidden="false" customHeight="true" outlineLevel="0" collapsed="false">
      <c r="B40" s="26" t="n">
        <f aca="false">IF($C40="","",ROW()-12)</f>
        <v>28</v>
      </c>
      <c r="C40" s="27" t="s">
        <v>65</v>
      </c>
      <c r="D40" s="27" t="s">
        <v>66</v>
      </c>
      <c r="E40" s="28" t="s">
        <v>22</v>
      </c>
      <c r="F40" s="28" t="n">
        <v>6</v>
      </c>
      <c r="G40" s="27" t="s">
        <v>23</v>
      </c>
      <c r="H40" s="29" t="n">
        <f aca="false">IF(OR($F40="",$E40&lt;&gt;"zugesagt"),"",COUNTIFS($F$13:$F40,$F40,$E$13:$E40,"zugesagt"))</f>
        <v>1</v>
      </c>
      <c r="I40" s="30" t="str">
        <f aca="false">IF($H40="","",$F40&amp;"|"&amp;$H40)</f>
        <v>6|1</v>
      </c>
      <c r="J40" s="31"/>
    </row>
    <row r="41" customFormat="false" ht="15" hidden="false" customHeight="true" outlineLevel="0" collapsed="false">
      <c r="B41" s="20" t="n">
        <f aca="false">IF($C41="","",ROW()-12)</f>
        <v>29</v>
      </c>
      <c r="C41" s="21" t="s">
        <v>67</v>
      </c>
      <c r="D41" s="21" t="s">
        <v>66</v>
      </c>
      <c r="E41" s="22" t="s">
        <v>22</v>
      </c>
      <c r="F41" s="22" t="n">
        <v>6</v>
      </c>
      <c r="G41" s="21" t="s">
        <v>23</v>
      </c>
      <c r="H41" s="23" t="n">
        <f aca="false">IF(OR($F41="",$E41&lt;&gt;"zugesagt"),"",COUNTIFS($F$13:$F41,$F41,$E$13:$E41,"zugesagt"))</f>
        <v>2</v>
      </c>
      <c r="I41" s="24" t="str">
        <f aca="false">IF($H41="","",$F41&amp;"|"&amp;$H41)</f>
        <v>6|2</v>
      </c>
      <c r="J41" s="25" t="s">
        <v>68</v>
      </c>
    </row>
    <row r="42" customFormat="false" ht="15" hidden="false" customHeight="true" outlineLevel="0" collapsed="false">
      <c r="B42" s="26" t="n">
        <f aca="false">IF($C42="","",ROW()-12)</f>
        <v>30</v>
      </c>
      <c r="C42" s="27" t="s">
        <v>69</v>
      </c>
      <c r="D42" s="27" t="s">
        <v>28</v>
      </c>
      <c r="E42" s="28" t="s">
        <v>22</v>
      </c>
      <c r="F42" s="28"/>
      <c r="G42" s="27" t="s">
        <v>31</v>
      </c>
      <c r="H42" s="29" t="str">
        <f aca="false">IF(OR($F42="",$E42&lt;&gt;"zugesagt"),"",COUNTIFS($F$13:$F42,$F42,$E$13:$E42,"zugesagt"))</f>
        <v/>
      </c>
      <c r="I42" s="30" t="str">
        <f aca="false">IF($H42="","",$F42&amp;"|"&amp;$H42)</f>
        <v/>
      </c>
      <c r="J42" s="31" t="s">
        <v>70</v>
      </c>
    </row>
    <row r="43" customFormat="false" ht="15" hidden="false" customHeight="true" outlineLevel="0" collapsed="false">
      <c r="B43" s="20" t="n">
        <f aca="false">IF($C43="","",ROW()-12)</f>
        <v>31</v>
      </c>
      <c r="C43" s="21" t="s">
        <v>71</v>
      </c>
      <c r="D43" s="21" t="s">
        <v>28</v>
      </c>
      <c r="E43" s="22" t="s">
        <v>22</v>
      </c>
      <c r="F43" s="22"/>
      <c r="G43" s="21" t="s">
        <v>23</v>
      </c>
      <c r="H43" s="23" t="str">
        <f aca="false">IF(OR($F43="",$E43&lt;&gt;"zugesagt"),"",COUNTIFS($F$13:$F43,$F43,$E$13:$E43,"zugesagt"))</f>
        <v/>
      </c>
      <c r="I43" s="24" t="str">
        <f aca="false">IF($H43="","",$F43&amp;"|"&amp;$H43)</f>
        <v/>
      </c>
      <c r="J43" s="25" t="s">
        <v>70</v>
      </c>
    </row>
    <row r="44" customFormat="false" ht="15" hidden="false" customHeight="true" outlineLevel="0" collapsed="false">
      <c r="B44" s="26" t="n">
        <f aca="false">IF($C44="","",ROW()-12)</f>
        <v>32</v>
      </c>
      <c r="C44" s="27" t="s">
        <v>72</v>
      </c>
      <c r="D44" s="27" t="s">
        <v>57</v>
      </c>
      <c r="E44" s="28" t="s">
        <v>73</v>
      </c>
      <c r="F44" s="28"/>
      <c r="G44" s="27"/>
      <c r="H44" s="29" t="str">
        <f aca="false">IF(OR($F44="",$E44&lt;&gt;"zugesagt"),"",COUNTIFS($F$13:$F44,$F44,$E$13:$E44,"zugesagt"))</f>
        <v/>
      </c>
      <c r="I44" s="30" t="str">
        <f aca="false">IF($H44="","",$F44&amp;"|"&amp;$H44)</f>
        <v/>
      </c>
      <c r="J44" s="31" t="s">
        <v>74</v>
      </c>
    </row>
    <row r="45" customFormat="false" ht="15" hidden="false" customHeight="true" outlineLevel="0" collapsed="false">
      <c r="B45" s="20" t="n">
        <f aca="false">IF($C45="","",ROW()-12)</f>
        <v>33</v>
      </c>
      <c r="C45" s="21" t="s">
        <v>75</v>
      </c>
      <c r="D45" s="21" t="s">
        <v>57</v>
      </c>
      <c r="E45" s="22" t="s">
        <v>73</v>
      </c>
      <c r="F45" s="22"/>
      <c r="G45" s="21"/>
      <c r="H45" s="23" t="str">
        <f aca="false">IF(OR($F45="",$E45&lt;&gt;"zugesagt"),"",COUNTIFS($F$13:$F45,$F45,$E$13:$E45,"zugesagt"))</f>
        <v/>
      </c>
      <c r="I45" s="24" t="str">
        <f aca="false">IF($H45="","",$F45&amp;"|"&amp;$H45)</f>
        <v/>
      </c>
      <c r="J45" s="25"/>
    </row>
    <row r="46" customFormat="false" ht="15" hidden="false" customHeight="true" outlineLevel="0" collapsed="false">
      <c r="B46" s="26" t="n">
        <f aca="false">IF($C46="","",ROW()-12)</f>
        <v>34</v>
      </c>
      <c r="C46" s="27" t="s">
        <v>76</v>
      </c>
      <c r="D46" s="27" t="s">
        <v>66</v>
      </c>
      <c r="E46" s="28" t="s">
        <v>73</v>
      </c>
      <c r="F46" s="28"/>
      <c r="G46" s="27"/>
      <c r="H46" s="29" t="str">
        <f aca="false">IF(OR($F46="",$E46&lt;&gt;"zugesagt"),"",COUNTIFS($F$13:$F46,$F46,$E$13:$E46,"zugesagt"))</f>
        <v/>
      </c>
      <c r="I46" s="30" t="str">
        <f aca="false">IF($H46="","",$F46&amp;"|"&amp;$H46)</f>
        <v/>
      </c>
      <c r="J46" s="31"/>
    </row>
    <row r="47" customFormat="false" ht="15" hidden="false" customHeight="true" outlineLevel="0" collapsed="false">
      <c r="B47" s="20" t="n">
        <f aca="false">IF($C47="","",ROW()-12)</f>
        <v>35</v>
      </c>
      <c r="C47" s="21" t="s">
        <v>77</v>
      </c>
      <c r="D47" s="21" t="s">
        <v>62</v>
      </c>
      <c r="E47" s="22" t="s">
        <v>78</v>
      </c>
      <c r="F47" s="22"/>
      <c r="G47" s="21"/>
      <c r="H47" s="23" t="str">
        <f aca="false">IF(OR($F47="",$E47&lt;&gt;"zugesagt"),"",COUNTIFS($F$13:$F47,$F47,$E$13:$E47,"zugesagt"))</f>
        <v/>
      </c>
      <c r="I47" s="24" t="str">
        <f aca="false">IF($H47="","",$F47&amp;"|"&amp;$H47)</f>
        <v/>
      </c>
      <c r="J47" s="25" t="s">
        <v>79</v>
      </c>
    </row>
    <row r="48" customFormat="false" ht="15" hidden="false" customHeight="true" outlineLevel="0" collapsed="false">
      <c r="B48" s="26" t="n">
        <f aca="false">IF($C48="","",ROW()-12)</f>
        <v>36</v>
      </c>
      <c r="C48" s="27" t="s">
        <v>80</v>
      </c>
      <c r="D48" s="27" t="s">
        <v>62</v>
      </c>
      <c r="E48" s="28" t="s">
        <v>78</v>
      </c>
      <c r="F48" s="28"/>
      <c r="G48" s="27"/>
      <c r="H48" s="29" t="str">
        <f aca="false">IF(OR($F48="",$E48&lt;&gt;"zugesagt"),"",COUNTIFS($F$13:$F48,$F48,$E$13:$E48,"zugesagt"))</f>
        <v/>
      </c>
      <c r="I48" s="30" t="str">
        <f aca="false">IF($H48="","",$F48&amp;"|"&amp;$H48)</f>
        <v/>
      </c>
      <c r="J48" s="31"/>
    </row>
    <row r="49" customFormat="false" ht="15" hidden="false" customHeight="true" outlineLevel="0" collapsed="false">
      <c r="B49" s="20" t="str">
        <f aca="false">IF($C49="","",ROW()-12)</f>
        <v/>
      </c>
      <c r="C49" s="21"/>
      <c r="D49" s="21"/>
      <c r="E49" s="22"/>
      <c r="F49" s="22"/>
      <c r="G49" s="21"/>
      <c r="H49" s="23" t="str">
        <f aca="false">IF(OR($F49="",$E49&lt;&gt;"zugesagt"),"",COUNTIFS($F$13:$F49,$F49,$E$13:$E49,"zugesagt"))</f>
        <v/>
      </c>
      <c r="I49" s="24" t="str">
        <f aca="false">IF($H49="","",$F49&amp;"|"&amp;$H49)</f>
        <v/>
      </c>
      <c r="J49" s="25"/>
    </row>
    <row r="50" customFormat="false" ht="15" hidden="false" customHeight="true" outlineLevel="0" collapsed="false">
      <c r="B50" s="26" t="str">
        <f aca="false">IF($C50="","",ROW()-12)</f>
        <v/>
      </c>
      <c r="C50" s="27"/>
      <c r="D50" s="27"/>
      <c r="E50" s="28"/>
      <c r="F50" s="28"/>
      <c r="G50" s="27"/>
      <c r="H50" s="29" t="str">
        <f aca="false">IF(OR($F50="",$E50&lt;&gt;"zugesagt"),"",COUNTIFS($F$13:$F50,$F50,$E$13:$E50,"zugesagt"))</f>
        <v/>
      </c>
      <c r="I50" s="30" t="str">
        <f aca="false">IF($H50="","",$F50&amp;"|"&amp;$H50)</f>
        <v/>
      </c>
      <c r="J50" s="31"/>
    </row>
    <row r="51" customFormat="false" ht="15" hidden="false" customHeight="true" outlineLevel="0" collapsed="false">
      <c r="B51" s="20" t="str">
        <f aca="false">IF($C51="","",ROW()-12)</f>
        <v/>
      </c>
      <c r="C51" s="21"/>
      <c r="D51" s="21"/>
      <c r="E51" s="22"/>
      <c r="F51" s="22"/>
      <c r="G51" s="21"/>
      <c r="H51" s="23" t="str">
        <f aca="false">IF(OR($F51="",$E51&lt;&gt;"zugesagt"),"",COUNTIFS($F$13:$F51,$F51,$E$13:$E51,"zugesagt"))</f>
        <v/>
      </c>
      <c r="I51" s="24" t="str">
        <f aca="false">IF($H51="","",$F51&amp;"|"&amp;$H51)</f>
        <v/>
      </c>
      <c r="J51" s="25"/>
    </row>
    <row r="52" customFormat="false" ht="15" hidden="false" customHeight="true" outlineLevel="0" collapsed="false">
      <c r="B52" s="26" t="str">
        <f aca="false">IF($C52="","",ROW()-12)</f>
        <v/>
      </c>
      <c r="C52" s="27"/>
      <c r="D52" s="27"/>
      <c r="E52" s="28"/>
      <c r="F52" s="28"/>
      <c r="G52" s="27"/>
      <c r="H52" s="29" t="str">
        <f aca="false">IF(OR($F52="",$E52&lt;&gt;"zugesagt"),"",COUNTIFS($F$13:$F52,$F52,$E$13:$E52,"zugesagt"))</f>
        <v/>
      </c>
      <c r="I52" s="30" t="str">
        <f aca="false">IF($H52="","",$F52&amp;"|"&amp;$H52)</f>
        <v/>
      </c>
      <c r="J52" s="31"/>
    </row>
    <row r="53" customFormat="false" ht="15" hidden="false" customHeight="true" outlineLevel="0" collapsed="false">
      <c r="B53" s="20" t="str">
        <f aca="false">IF($C53="","",ROW()-12)</f>
        <v/>
      </c>
      <c r="C53" s="21"/>
      <c r="D53" s="21"/>
      <c r="E53" s="22"/>
      <c r="F53" s="22"/>
      <c r="G53" s="21"/>
      <c r="H53" s="23" t="str">
        <f aca="false">IF(OR($F53="",$E53&lt;&gt;"zugesagt"),"",COUNTIFS($F$13:$F53,$F53,$E$13:$E53,"zugesagt"))</f>
        <v/>
      </c>
      <c r="I53" s="24" t="str">
        <f aca="false">IF($H53="","",$F53&amp;"|"&amp;$H53)</f>
        <v/>
      </c>
      <c r="J53" s="25"/>
    </row>
    <row r="54" customFormat="false" ht="15" hidden="false" customHeight="true" outlineLevel="0" collapsed="false">
      <c r="B54" s="26" t="str">
        <f aca="false">IF($C54="","",ROW()-12)</f>
        <v/>
      </c>
      <c r="C54" s="27"/>
      <c r="D54" s="27"/>
      <c r="E54" s="28"/>
      <c r="F54" s="28"/>
      <c r="G54" s="27"/>
      <c r="H54" s="29" t="str">
        <f aca="false">IF(OR($F54="",$E54&lt;&gt;"zugesagt"),"",COUNTIFS($F$13:$F54,$F54,$E$13:$E54,"zugesagt"))</f>
        <v/>
      </c>
      <c r="I54" s="30" t="str">
        <f aca="false">IF($H54="","",$F54&amp;"|"&amp;$H54)</f>
        <v/>
      </c>
      <c r="J54" s="31"/>
    </row>
    <row r="55" customFormat="false" ht="15" hidden="false" customHeight="true" outlineLevel="0" collapsed="false">
      <c r="B55" s="20" t="str">
        <f aca="false">IF($C55="","",ROW()-12)</f>
        <v/>
      </c>
      <c r="C55" s="21"/>
      <c r="D55" s="21"/>
      <c r="E55" s="22"/>
      <c r="F55" s="22"/>
      <c r="G55" s="21"/>
      <c r="H55" s="23" t="str">
        <f aca="false">IF(OR($F55="",$E55&lt;&gt;"zugesagt"),"",COUNTIFS($F$13:$F55,$F55,$E$13:$E55,"zugesagt"))</f>
        <v/>
      </c>
      <c r="I55" s="24" t="str">
        <f aca="false">IF($H55="","",$F55&amp;"|"&amp;$H55)</f>
        <v/>
      </c>
      <c r="J55" s="25"/>
    </row>
    <row r="56" customFormat="false" ht="15" hidden="false" customHeight="true" outlineLevel="0" collapsed="false">
      <c r="B56" s="26" t="str">
        <f aca="false">IF($C56="","",ROW()-12)</f>
        <v/>
      </c>
      <c r="C56" s="27"/>
      <c r="D56" s="27"/>
      <c r="E56" s="28"/>
      <c r="F56" s="28"/>
      <c r="G56" s="27"/>
      <c r="H56" s="29" t="str">
        <f aca="false">IF(OR($F56="",$E56&lt;&gt;"zugesagt"),"",COUNTIFS($F$13:$F56,$F56,$E$13:$E56,"zugesagt"))</f>
        <v/>
      </c>
      <c r="I56" s="30" t="str">
        <f aca="false">IF($H56="","",$F56&amp;"|"&amp;$H56)</f>
        <v/>
      </c>
      <c r="J56" s="31"/>
    </row>
    <row r="57" customFormat="false" ht="15" hidden="false" customHeight="true" outlineLevel="0" collapsed="false">
      <c r="B57" s="20" t="str">
        <f aca="false">IF($C57="","",ROW()-12)</f>
        <v/>
      </c>
      <c r="C57" s="21"/>
      <c r="D57" s="21"/>
      <c r="E57" s="22"/>
      <c r="F57" s="22"/>
      <c r="G57" s="21"/>
      <c r="H57" s="23" t="str">
        <f aca="false">IF(OR($F57="",$E57&lt;&gt;"zugesagt"),"",COUNTIFS($F$13:$F57,$F57,$E$13:$E57,"zugesagt"))</f>
        <v/>
      </c>
      <c r="I57" s="24" t="str">
        <f aca="false">IF($H57="","",$F57&amp;"|"&amp;$H57)</f>
        <v/>
      </c>
      <c r="J57" s="25"/>
    </row>
    <row r="58" customFormat="false" ht="15" hidden="false" customHeight="true" outlineLevel="0" collapsed="false">
      <c r="B58" s="26" t="str">
        <f aca="false">IF($C58="","",ROW()-12)</f>
        <v/>
      </c>
      <c r="C58" s="27"/>
      <c r="D58" s="27"/>
      <c r="E58" s="28"/>
      <c r="F58" s="28"/>
      <c r="G58" s="27"/>
      <c r="H58" s="29" t="str">
        <f aca="false">IF(OR($F58="",$E58&lt;&gt;"zugesagt"),"",COUNTIFS($F$13:$F58,$F58,$E$13:$E58,"zugesagt"))</f>
        <v/>
      </c>
      <c r="I58" s="30" t="str">
        <f aca="false">IF($H58="","",$F58&amp;"|"&amp;$H58)</f>
        <v/>
      </c>
      <c r="J58" s="31"/>
    </row>
    <row r="59" customFormat="false" ht="15" hidden="false" customHeight="true" outlineLevel="0" collapsed="false">
      <c r="B59" s="20" t="str">
        <f aca="false">IF($C59="","",ROW()-12)</f>
        <v/>
      </c>
      <c r="C59" s="21"/>
      <c r="D59" s="21"/>
      <c r="E59" s="22"/>
      <c r="F59" s="22"/>
      <c r="G59" s="21"/>
      <c r="H59" s="23" t="str">
        <f aca="false">IF(OR($F59="",$E59&lt;&gt;"zugesagt"),"",COUNTIFS($F$13:$F59,$F59,$E$13:$E59,"zugesagt"))</f>
        <v/>
      </c>
      <c r="I59" s="24" t="str">
        <f aca="false">IF($H59="","",$F59&amp;"|"&amp;$H59)</f>
        <v/>
      </c>
      <c r="J59" s="25"/>
    </row>
    <row r="60" customFormat="false" ht="15" hidden="false" customHeight="true" outlineLevel="0" collapsed="false">
      <c r="B60" s="26" t="str">
        <f aca="false">IF($C60="","",ROW()-12)</f>
        <v/>
      </c>
      <c r="C60" s="27"/>
      <c r="D60" s="27"/>
      <c r="E60" s="28"/>
      <c r="F60" s="28"/>
      <c r="G60" s="27"/>
      <c r="H60" s="29" t="str">
        <f aca="false">IF(OR($F60="",$E60&lt;&gt;"zugesagt"),"",COUNTIFS($F$13:$F60,$F60,$E$13:$E60,"zugesagt"))</f>
        <v/>
      </c>
      <c r="I60" s="30" t="str">
        <f aca="false">IF($H60="","",$F60&amp;"|"&amp;$H60)</f>
        <v/>
      </c>
      <c r="J60" s="31"/>
    </row>
    <row r="61" customFormat="false" ht="15" hidden="false" customHeight="true" outlineLevel="0" collapsed="false">
      <c r="B61" s="20" t="str">
        <f aca="false">IF($C61="","",ROW()-12)</f>
        <v/>
      </c>
      <c r="C61" s="21"/>
      <c r="D61" s="21"/>
      <c r="E61" s="22"/>
      <c r="F61" s="22"/>
      <c r="G61" s="21"/>
      <c r="H61" s="23" t="str">
        <f aca="false">IF(OR($F61="",$E61&lt;&gt;"zugesagt"),"",COUNTIFS($F$13:$F61,$F61,$E$13:$E61,"zugesagt"))</f>
        <v/>
      </c>
      <c r="I61" s="24" t="str">
        <f aca="false">IF($H61="","",$F61&amp;"|"&amp;$H61)</f>
        <v/>
      </c>
      <c r="J61" s="25"/>
    </row>
    <row r="62" customFormat="false" ht="15" hidden="false" customHeight="true" outlineLevel="0" collapsed="false">
      <c r="B62" s="26" t="str">
        <f aca="false">IF($C62="","",ROW()-12)</f>
        <v/>
      </c>
      <c r="C62" s="27"/>
      <c r="D62" s="27"/>
      <c r="E62" s="28"/>
      <c r="F62" s="28"/>
      <c r="G62" s="27"/>
      <c r="H62" s="29" t="str">
        <f aca="false">IF(OR($F62="",$E62&lt;&gt;"zugesagt"),"",COUNTIFS($F$13:$F62,$F62,$E$13:$E62,"zugesagt"))</f>
        <v/>
      </c>
      <c r="I62" s="30" t="str">
        <f aca="false">IF($H62="","",$F62&amp;"|"&amp;$H62)</f>
        <v/>
      </c>
      <c r="J62" s="31"/>
    </row>
    <row r="63" customFormat="false" ht="15" hidden="false" customHeight="true" outlineLevel="0" collapsed="false">
      <c r="B63" s="20" t="str">
        <f aca="false">IF($C63="","",ROW()-12)</f>
        <v/>
      </c>
      <c r="C63" s="21"/>
      <c r="D63" s="21"/>
      <c r="E63" s="22"/>
      <c r="F63" s="22"/>
      <c r="G63" s="21"/>
      <c r="H63" s="23" t="str">
        <f aca="false">IF(OR($F63="",$E63&lt;&gt;"zugesagt"),"",COUNTIFS($F$13:$F63,$F63,$E$13:$E63,"zugesagt"))</f>
        <v/>
      </c>
      <c r="I63" s="24" t="str">
        <f aca="false">IF($H63="","",$F63&amp;"|"&amp;$H63)</f>
        <v/>
      </c>
      <c r="J63" s="25"/>
    </row>
    <row r="64" customFormat="false" ht="15" hidden="false" customHeight="true" outlineLevel="0" collapsed="false">
      <c r="B64" s="26" t="str">
        <f aca="false">IF($C64="","",ROW()-12)</f>
        <v/>
      </c>
      <c r="C64" s="27"/>
      <c r="D64" s="27"/>
      <c r="E64" s="28"/>
      <c r="F64" s="28"/>
      <c r="G64" s="27"/>
      <c r="H64" s="29" t="str">
        <f aca="false">IF(OR($F64="",$E64&lt;&gt;"zugesagt"),"",COUNTIFS($F$13:$F64,$F64,$E$13:$E64,"zugesagt"))</f>
        <v/>
      </c>
      <c r="I64" s="30" t="str">
        <f aca="false">IF($H64="","",$F64&amp;"|"&amp;$H64)</f>
        <v/>
      </c>
      <c r="J64" s="31"/>
    </row>
    <row r="65" customFormat="false" ht="15" hidden="false" customHeight="true" outlineLevel="0" collapsed="false">
      <c r="B65" s="20" t="str">
        <f aca="false">IF($C65="","",ROW()-12)</f>
        <v/>
      </c>
      <c r="C65" s="21"/>
      <c r="D65" s="21"/>
      <c r="E65" s="22"/>
      <c r="F65" s="22"/>
      <c r="G65" s="21"/>
      <c r="H65" s="23" t="str">
        <f aca="false">IF(OR($F65="",$E65&lt;&gt;"zugesagt"),"",COUNTIFS($F$13:$F65,$F65,$E$13:$E65,"zugesagt"))</f>
        <v/>
      </c>
      <c r="I65" s="24" t="str">
        <f aca="false">IF($H65="","",$F65&amp;"|"&amp;$H65)</f>
        <v/>
      </c>
      <c r="J65" s="25"/>
    </row>
    <row r="66" customFormat="false" ht="15" hidden="false" customHeight="true" outlineLevel="0" collapsed="false">
      <c r="B66" s="26" t="str">
        <f aca="false">IF($C66="","",ROW()-12)</f>
        <v/>
      </c>
      <c r="C66" s="27"/>
      <c r="D66" s="27"/>
      <c r="E66" s="28"/>
      <c r="F66" s="28"/>
      <c r="G66" s="27"/>
      <c r="H66" s="29" t="str">
        <f aca="false">IF(OR($F66="",$E66&lt;&gt;"zugesagt"),"",COUNTIFS($F$13:$F66,$F66,$E$13:$E66,"zugesagt"))</f>
        <v/>
      </c>
      <c r="I66" s="30" t="str">
        <f aca="false">IF($H66="","",$F66&amp;"|"&amp;$H66)</f>
        <v/>
      </c>
      <c r="J66" s="31"/>
    </row>
    <row r="67" customFormat="false" ht="15" hidden="false" customHeight="true" outlineLevel="0" collapsed="false">
      <c r="B67" s="20" t="str">
        <f aca="false">IF($C67="","",ROW()-12)</f>
        <v/>
      </c>
      <c r="C67" s="21"/>
      <c r="D67" s="21"/>
      <c r="E67" s="22"/>
      <c r="F67" s="22"/>
      <c r="G67" s="21"/>
      <c r="H67" s="23" t="str">
        <f aca="false">IF(OR($F67="",$E67&lt;&gt;"zugesagt"),"",COUNTIFS($F$13:$F67,$F67,$E$13:$E67,"zugesagt"))</f>
        <v/>
      </c>
      <c r="I67" s="24" t="str">
        <f aca="false">IF($H67="","",$F67&amp;"|"&amp;$H67)</f>
        <v/>
      </c>
      <c r="J67" s="25"/>
    </row>
    <row r="68" customFormat="false" ht="15" hidden="false" customHeight="true" outlineLevel="0" collapsed="false">
      <c r="B68" s="26" t="str">
        <f aca="false">IF($C68="","",ROW()-12)</f>
        <v/>
      </c>
      <c r="C68" s="27"/>
      <c r="D68" s="27"/>
      <c r="E68" s="28"/>
      <c r="F68" s="28"/>
      <c r="G68" s="27"/>
      <c r="H68" s="29" t="str">
        <f aca="false">IF(OR($F68="",$E68&lt;&gt;"zugesagt"),"",COUNTIFS($F$13:$F68,$F68,$E$13:$E68,"zugesagt"))</f>
        <v/>
      </c>
      <c r="I68" s="30" t="str">
        <f aca="false">IF($H68="","",$F68&amp;"|"&amp;$H68)</f>
        <v/>
      </c>
      <c r="J68" s="31"/>
    </row>
    <row r="69" customFormat="false" ht="15" hidden="false" customHeight="true" outlineLevel="0" collapsed="false">
      <c r="B69" s="20" t="str">
        <f aca="false">IF($C69="","",ROW()-12)</f>
        <v/>
      </c>
      <c r="C69" s="21"/>
      <c r="D69" s="21"/>
      <c r="E69" s="22"/>
      <c r="F69" s="22"/>
      <c r="G69" s="21"/>
      <c r="H69" s="23" t="str">
        <f aca="false">IF(OR($F69="",$E69&lt;&gt;"zugesagt"),"",COUNTIFS($F$13:$F69,$F69,$E$13:$E69,"zugesagt"))</f>
        <v/>
      </c>
      <c r="I69" s="24" t="str">
        <f aca="false">IF($H69="","",$F69&amp;"|"&amp;$H69)</f>
        <v/>
      </c>
      <c r="J69" s="25"/>
    </row>
    <row r="70" customFormat="false" ht="15" hidden="false" customHeight="true" outlineLevel="0" collapsed="false">
      <c r="B70" s="26" t="str">
        <f aca="false">IF($C70="","",ROW()-12)</f>
        <v/>
      </c>
      <c r="C70" s="27"/>
      <c r="D70" s="27"/>
      <c r="E70" s="28"/>
      <c r="F70" s="28"/>
      <c r="G70" s="27"/>
      <c r="H70" s="29" t="str">
        <f aca="false">IF(OR($F70="",$E70&lt;&gt;"zugesagt"),"",COUNTIFS($F$13:$F70,$F70,$E$13:$E70,"zugesagt"))</f>
        <v/>
      </c>
      <c r="I70" s="30" t="str">
        <f aca="false">IF($H70="","",$F70&amp;"|"&amp;$H70)</f>
        <v/>
      </c>
      <c r="J70" s="31"/>
    </row>
    <row r="71" customFormat="false" ht="15" hidden="false" customHeight="true" outlineLevel="0" collapsed="false">
      <c r="B71" s="20" t="str">
        <f aca="false">IF($C71="","",ROW()-12)</f>
        <v/>
      </c>
      <c r="C71" s="21"/>
      <c r="D71" s="21"/>
      <c r="E71" s="22"/>
      <c r="F71" s="22"/>
      <c r="G71" s="21"/>
      <c r="H71" s="23" t="str">
        <f aca="false">IF(OR($F71="",$E71&lt;&gt;"zugesagt"),"",COUNTIFS($F$13:$F71,$F71,$E$13:$E71,"zugesagt"))</f>
        <v/>
      </c>
      <c r="I71" s="24" t="str">
        <f aca="false">IF($H71="","",$F71&amp;"|"&amp;$H71)</f>
        <v/>
      </c>
      <c r="J71" s="25"/>
    </row>
    <row r="72" customFormat="false" ht="15" hidden="false" customHeight="true" outlineLevel="0" collapsed="false">
      <c r="B72" s="26" t="str">
        <f aca="false">IF($C72="","",ROW()-12)</f>
        <v/>
      </c>
      <c r="C72" s="27"/>
      <c r="D72" s="27"/>
      <c r="E72" s="28"/>
      <c r="F72" s="28"/>
      <c r="G72" s="27"/>
      <c r="H72" s="29" t="str">
        <f aca="false">IF(OR($F72="",$E72&lt;&gt;"zugesagt"),"",COUNTIFS($F$13:$F72,$F72,$E$13:$E72,"zugesagt"))</f>
        <v/>
      </c>
      <c r="I72" s="30" t="str">
        <f aca="false">IF($H72="","",$F72&amp;"|"&amp;$H72)</f>
        <v/>
      </c>
      <c r="J72" s="31"/>
    </row>
  </sheetData>
  <mergeCells count="10">
    <mergeCell ref="I2:J2"/>
    <mergeCell ref="B5:J5"/>
    <mergeCell ref="B8:C8"/>
    <mergeCell ref="D8:E8"/>
    <mergeCell ref="F8:G8"/>
    <mergeCell ref="H8:I8"/>
    <mergeCell ref="B9:C9"/>
    <mergeCell ref="D9:E9"/>
    <mergeCell ref="F9:G9"/>
    <mergeCell ref="H9:I9"/>
  </mergeCells>
  <conditionalFormatting sqref="E13:E72">
    <cfRule type="expression" priority="2" aboveAverage="0" equalAverage="0" bottom="0" percent="0" rank="0" text="" dxfId="0">
      <formula>$E13="zugesagt"</formula>
    </cfRule>
    <cfRule type="expression" priority="3" aboveAverage="0" equalAverage="0" bottom="0" percent="0" rank="0" text="" dxfId="1">
      <formula>$E13="offen"</formula>
    </cfRule>
    <cfRule type="expression" priority="4" aboveAverage="0" equalAverage="0" bottom="0" percent="0" rank="0" text="" dxfId="2">
      <formula>$E13="abgesagt"</formula>
    </cfRule>
  </conditionalFormatting>
  <conditionalFormatting sqref="F13:F72">
    <cfRule type="expression" priority="5" aboveAverage="0" equalAverage="0" bottom="0" percent="0" rank="0" text="" dxfId="3">
      <formula>AND($E13="zugesagt",$F13="")</formula>
    </cfRule>
  </conditionalFormatting>
  <conditionalFormatting sqref="B13:J72">
    <cfRule type="expression" priority="6" aboveAverage="0" equalAverage="0" bottom="0" percent="0" rank="0" text="" dxfId="4">
      <formula>$E13="abgesagt"</formula>
    </cfRule>
  </conditionalFormatting>
  <dataValidations count="4">
    <dataValidation allowBlank="true" error="Bitte einen Wert aus der Liste wählen." errorStyle="stop" errorTitle="Ungültige Eingabe" operator="between" showDropDown="false" showErrorMessage="false" showInputMessage="false" sqref="D13:D72" type="list">
      <formula1>"Familie,Freunde,Kollegen,Geschäftspartner,Verein / Nachbarn,Sonstige"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E13:E72" type="list">
      <formula1>"zugesagt,offen,abgesagt"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G13:G72" type="list">
      <formula1>"Standard,Vegetarisch,Vegan,Kindermenü"</formula1>
      <formula2>0</formula2>
    </dataValidation>
    <dataValidation allowBlank="true" error="Bitte eine Tischnummer zwischen 1 und 30 eingeben." errorStyle="stop" operator="between" showDropDown="false" showErrorMessage="false" showInputMessage="false" sqref="F13:F72" type="whole">
      <formula1>1</formula1>
      <formula2>30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A85D6C"/>
    <pageSetUpPr fitToPage="true"/>
  </sheetPr>
  <dimension ref="A1:L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"/>
    <col collapsed="false" customWidth="true" hidden="false" outlineLevel="0" max="3" min="3" style="0" width="19"/>
    <col collapsed="false" customWidth="true" hidden="false" outlineLevel="0" max="4" min="4" style="0" width="1.51"/>
    <col collapsed="false" customWidth="true" hidden="false" outlineLevel="0" max="5" min="5" style="0" width="4"/>
    <col collapsed="false" customWidth="true" hidden="false" outlineLevel="0" max="6" min="6" style="0" width="19"/>
    <col collapsed="false" customWidth="true" hidden="false" outlineLevel="0" max="7" min="7" style="0" width="1.51"/>
    <col collapsed="false" customWidth="true" hidden="false" outlineLevel="0" max="8" min="8" style="0" width="4"/>
    <col collapsed="false" customWidth="true" hidden="false" outlineLevel="0" max="9" min="9" style="0" width="19"/>
    <col collapsed="false" customWidth="true" hidden="false" outlineLevel="0" max="10" min="10" style="0" width="1.51"/>
    <col collapsed="false" customWidth="true" hidden="false" outlineLevel="0" max="11" min="11" style="0" width="4"/>
    <col collapsed="false" customWidth="true" hidden="false" outlineLevel="0" max="12" min="12" style="0" width="19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5.5" hidden="false" customHeight="true" outlineLevel="0" collapsed="false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3" t="s">
        <v>1</v>
      </c>
      <c r="L2" s="3"/>
    </row>
    <row r="3" customFormat="false" ht="15" hidden="false" customHeight="true" outlineLevel="0" collapsed="false">
      <c r="A3" s="1"/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customFormat="false" ht="2.2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B5" s="32" t="s">
        <v>82</v>
      </c>
      <c r="C5" s="32"/>
      <c r="E5" s="33" t="n">
        <v>8</v>
      </c>
      <c r="F5" s="34" t="str">
        <f aca="false">"Catering (zugesagt):   Standard "&amp;COUNTIFS(Gästeliste!$G$13:$G$200,"Standard",Gästeliste!$E$13:$E$200,"zugesagt")&amp;"   ·   Vegetarisch "&amp;COUNTIFS(Gästeliste!$G$13:$G$200,"Vegetarisch",Gästeliste!$E$13:$E$200,"zugesagt")&amp;"   ·   Vegan "&amp;COUNTIFS(Gästeliste!$G$13:$G$200,"Vegan",Gästeliste!$E$13:$E$200,"zugesagt")&amp;"   ·   Kindermenü "&amp;COUNTIFS(Gästeliste!$G$13:$G$200,"Kindermenü",Gästeliste!$E$13:$E$200,"zugesagt")</f>
        <v>Catering (zugesagt):   Standard 21   ·   Vegetarisch 6   ·   Vegan 2   ·   Kindermenü 2</v>
      </c>
      <c r="G5" s="34"/>
      <c r="H5" s="34"/>
      <c r="I5" s="34"/>
      <c r="J5" s="34"/>
      <c r="K5" s="34"/>
      <c r="L5" s="34"/>
    </row>
    <row r="6" customFormat="false" ht="12.75" hidden="false" customHeight="true" outlineLevel="0" collapsed="false">
      <c r="B6" s="6" t="s">
        <v>83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customFormat="false" ht="6" hidden="false" customHeight="true" outlineLevel="0" collapsed="false"/>
    <row r="8" customFormat="false" ht="18.75" hidden="false" customHeight="true" outlineLevel="0" collapsed="false">
      <c r="B8" s="7" t="s">
        <v>84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customFormat="false" ht="16.5" hidden="false" customHeight="true" outlineLevel="0" collapsed="false">
      <c r="B9" s="35" t="s">
        <v>85</v>
      </c>
      <c r="C9" s="35"/>
      <c r="E9" s="35" t="s">
        <v>86</v>
      </c>
      <c r="F9" s="35"/>
      <c r="H9" s="35" t="s">
        <v>87</v>
      </c>
      <c r="I9" s="35"/>
      <c r="K9" s="35" t="s">
        <v>88</v>
      </c>
      <c r="L9" s="35"/>
    </row>
    <row r="10" customFormat="false" ht="15.75" hidden="false" customHeight="true" outlineLevel="0" collapsed="false">
      <c r="B10" s="36" t="s">
        <v>89</v>
      </c>
      <c r="C10" s="36"/>
      <c r="E10" s="36" t="s">
        <v>21</v>
      </c>
      <c r="F10" s="36"/>
      <c r="H10" s="36" t="s">
        <v>28</v>
      </c>
      <c r="I10" s="36"/>
      <c r="K10" s="36" t="s">
        <v>57</v>
      </c>
      <c r="L10" s="36"/>
    </row>
    <row r="11" customFormat="false" ht="13.5" hidden="false" customHeight="true" outlineLevel="0" collapsed="false">
      <c r="B11" s="37" t="n">
        <f aca="false">COUNTIFS(Gästeliste!$F$13:$F$200,1,Gästeliste!$E$13:$E$200,"zugesagt")</f>
        <v>4</v>
      </c>
      <c r="C11" s="38" t="str">
        <f aca="false">"von "&amp;$E$5&amp;IF($B$11&gt;$E$5," Plätzen  ·  ÜBERBELEGT!"," Plätzen  ·  frei: "&amp;($E$5-$B$11))</f>
        <v>von 8 Plätzen  ·  frei: 4</v>
      </c>
      <c r="E11" s="37" t="n">
        <f aca="false">COUNTIFS(Gästeliste!$F$13:$F$200,2,Gästeliste!$E$13:$E$200,"zugesagt")</f>
        <v>8</v>
      </c>
      <c r="F11" s="38" t="str">
        <f aca="false">"von "&amp;$E$5&amp;IF($E$11&gt;$E$5," Plätzen  ·  ÜBERBELEGT!"," Plätzen  ·  frei: "&amp;($E$5-$E$11))</f>
        <v>von 8 Plätzen  ·  frei: 0</v>
      </c>
      <c r="H11" s="37" t="n">
        <f aca="false">COUNTIFS(Gästeliste!$F$13:$F$200,3,Gästeliste!$E$13:$E$200,"zugesagt")</f>
        <v>9</v>
      </c>
      <c r="I11" s="38" t="str">
        <f aca="false">"von "&amp;$E$5&amp;IF($H$11&gt;$E$5," Plätzen  ·  ÜBERBELEGT!"," Plätzen  ·  frei: "&amp;($E$5-$H$11))</f>
        <v>von 8 Plätzen  ·  ÜBERBELEGT!</v>
      </c>
      <c r="K11" s="37" t="n">
        <f aca="false">COUNTIFS(Gästeliste!$F$13:$F$200,4,Gästeliste!$E$13:$E$200,"zugesagt")</f>
        <v>4</v>
      </c>
      <c r="L11" s="38" t="str">
        <f aca="false">"von "&amp;$E$5&amp;IF($K$11&gt;$E$5," Plätzen  ·  ÜBERBELEGT!"," Plätzen  ·  frei: "&amp;($E$5-$K$11))</f>
        <v>von 8 Plätzen  ·  frei: 4</v>
      </c>
    </row>
    <row r="12" customFormat="false" ht="14.25" hidden="false" customHeight="true" outlineLevel="0" collapsed="false">
      <c r="B12" s="39" t="n">
        <v>1</v>
      </c>
      <c r="C12" s="40" t="str">
        <f aca="false">IFERROR(INDEX(Gästeliste!$C$13:$C$200,MATCH("1|1",Gästeliste!$I$13:$I$200,0)),"")</f>
        <v>Claudia Mustermann</v>
      </c>
      <c r="E12" s="39" t="n">
        <v>1</v>
      </c>
      <c r="F12" s="40" t="str">
        <f aca="false">IFERROR(INDEX(Gästeliste!$C$13:$C$200,MATCH("2|1",Gästeliste!$I$13:$I$200,0)),"")</f>
        <v>Anna Weber</v>
      </c>
      <c r="H12" s="39" t="n">
        <v>1</v>
      </c>
      <c r="I12" s="40" t="str">
        <f aca="false">IFERROR(INDEX(Gästeliste!$C$13:$C$200,MATCH("3|1",Gästeliste!$I$13:$I$200,0)),"")</f>
        <v>Miriam Falk</v>
      </c>
      <c r="K12" s="39" t="n">
        <v>1</v>
      </c>
      <c r="L12" s="40" t="str">
        <f aca="false">IFERROR(INDEX(Gästeliste!$C$13:$C$200,MATCH("4|1",Gästeliste!$I$13:$I$200,0)),"")</f>
        <v>Sandra Koch</v>
      </c>
    </row>
    <row r="13" customFormat="false" ht="14.25" hidden="false" customHeight="true" outlineLevel="0" collapsed="false">
      <c r="B13" s="41" t="n">
        <v>2</v>
      </c>
      <c r="C13" s="42" t="str">
        <f aca="false">IFERROR(INDEX(Gästeliste!$C$13:$C$200,MATCH("1|2",Gästeliste!$I$13:$I$200,0)),"")</f>
        <v>Dr. Peter Mustermann</v>
      </c>
      <c r="E13" s="41" t="n">
        <v>2</v>
      </c>
      <c r="F13" s="42" t="str">
        <f aca="false">IFERROR(INDEX(Gästeliste!$C$13:$C$200,MATCH("2|2",Gästeliste!$I$13:$I$200,0)),"")</f>
        <v>Jonas Weber</v>
      </c>
      <c r="H13" s="41" t="n">
        <v>2</v>
      </c>
      <c r="I13" s="42" t="str">
        <f aca="false">IFERROR(INDEX(Gästeliste!$C$13:$C$200,MATCH("3|2",Gästeliste!$I$13:$I$200,0)),"")</f>
        <v>Ole Falk</v>
      </c>
      <c r="K13" s="41" t="n">
        <v>2</v>
      </c>
      <c r="L13" s="42" t="str">
        <f aca="false">IFERROR(INDEX(Gästeliste!$C$13:$C$200,MATCH("4|2",Gästeliste!$I$13:$I$200,0)),"")</f>
        <v>Mehmet Aydin</v>
      </c>
    </row>
    <row r="14" customFormat="false" ht="14.25" hidden="false" customHeight="true" outlineLevel="0" collapsed="false">
      <c r="B14" s="39" t="n">
        <v>3</v>
      </c>
      <c r="C14" s="40" t="str">
        <f aca="false">IFERROR(INDEX(Gästeliste!$C$13:$C$200,MATCH("1|3",Gästeliste!$I$13:$I$200,0)),"")</f>
        <v>Heinz Albrecht</v>
      </c>
      <c r="E14" s="39" t="n">
        <v>3</v>
      </c>
      <c r="F14" s="40" t="str">
        <f aca="false">IFERROR(INDEX(Gästeliste!$C$13:$C$200,MATCH("2|3",Gästeliste!$I$13:$I$200,0)),"")</f>
        <v>Marlene Weber</v>
      </c>
      <c r="H14" s="39" t="n">
        <v>3</v>
      </c>
      <c r="I14" s="40" t="str">
        <f aca="false">IFERROR(INDEX(Gästeliste!$C$13:$C$200,MATCH("3|3",Gästeliste!$I$13:$I$200,0)),"")</f>
        <v>Jana Petersen</v>
      </c>
      <c r="K14" s="39" t="n">
        <v>3</v>
      </c>
      <c r="L14" s="40" t="str">
        <f aca="false">IFERROR(INDEX(Gästeliste!$C$13:$C$200,MATCH("4|3",Gästeliste!$I$13:$I$200,0)),"")</f>
        <v>Julia Roth</v>
      </c>
    </row>
    <row r="15" customFormat="false" ht="14.25" hidden="false" customHeight="true" outlineLevel="0" collapsed="false">
      <c r="B15" s="41" t="n">
        <v>4</v>
      </c>
      <c r="C15" s="42" t="str">
        <f aca="false">IFERROR(INDEX(Gästeliste!$C$13:$C$200,MATCH("1|4",Gästeliste!$I$13:$I$200,0)),"")</f>
        <v>Petra Albrecht</v>
      </c>
      <c r="E15" s="41" t="n">
        <v>4</v>
      </c>
      <c r="F15" s="42" t="str">
        <f aca="false">IFERROR(INDEX(Gästeliste!$C$13:$C$200,MATCH("2|4",Gästeliste!$I$13:$I$200,0)),"")</f>
        <v>Karl Weber</v>
      </c>
      <c r="H15" s="41" t="n">
        <v>4</v>
      </c>
      <c r="I15" s="42" t="str">
        <f aca="false">IFERROR(INDEX(Gästeliste!$C$13:$C$200,MATCH("3|4",Gästeliste!$I$13:$I$200,0)),"")</f>
        <v>Tim Petersen</v>
      </c>
      <c r="K15" s="41" t="n">
        <v>4</v>
      </c>
      <c r="L15" s="42" t="str">
        <f aca="false">IFERROR(INDEX(Gästeliste!$C$13:$C$200,MATCH("4|4",Gästeliste!$I$13:$I$200,0)),"")</f>
        <v>Felix Baumann</v>
      </c>
    </row>
    <row r="16" customFormat="false" ht="14.25" hidden="false" customHeight="true" outlineLevel="0" collapsed="false">
      <c r="B16" s="39" t="n">
        <v>5</v>
      </c>
      <c r="C16" s="40" t="str">
        <f aca="false">IFERROR(INDEX(Gästeliste!$C$13:$C$200,MATCH("1|5",Gästeliste!$I$13:$I$200,0)),"")</f>
        <v/>
      </c>
      <c r="E16" s="39" t="n">
        <v>5</v>
      </c>
      <c r="F16" s="40" t="str">
        <f aca="false">IFERROR(INDEX(Gästeliste!$C$13:$C$200,MATCH("2|5",Gästeliste!$I$13:$I$200,0)),"")</f>
        <v>Ingrid Weber</v>
      </c>
      <c r="H16" s="39" t="n">
        <v>5</v>
      </c>
      <c r="I16" s="40" t="str">
        <f aca="false">IFERROR(INDEX(Gästeliste!$C$13:$C$200,MATCH("3|5",Gästeliste!$I$13:$I$200,0)),"")</f>
        <v>Nora Vogt</v>
      </c>
      <c r="K16" s="39" t="n">
        <v>5</v>
      </c>
      <c r="L16" s="40" t="str">
        <f aca="false">IFERROR(INDEX(Gästeliste!$C$13:$C$200,MATCH("4|5",Gästeliste!$I$13:$I$200,0)),"")</f>
        <v/>
      </c>
    </row>
    <row r="17" customFormat="false" ht="14.25" hidden="false" customHeight="true" outlineLevel="0" collapsed="false">
      <c r="B17" s="41" t="n">
        <v>6</v>
      </c>
      <c r="C17" s="42" t="str">
        <f aca="false">IFERROR(INDEX(Gästeliste!$C$13:$C$200,MATCH("1|6",Gästeliste!$I$13:$I$200,0)),"")</f>
        <v/>
      </c>
      <c r="E17" s="41" t="n">
        <v>6</v>
      </c>
      <c r="F17" s="42" t="str">
        <f aca="false">IFERROR(INDEX(Gästeliste!$C$13:$C$200,MATCH("2|6",Gästeliste!$I$13:$I$200,0)),"")</f>
        <v>Sofia Brandt</v>
      </c>
      <c r="H17" s="41" t="n">
        <v>6</v>
      </c>
      <c r="I17" s="42" t="str">
        <f aca="false">IFERROR(INDEX(Gästeliste!$C$13:$C$200,MATCH("3|6",Gästeliste!$I$13:$I$200,0)),"")</f>
        <v>Sebastian Vogt</v>
      </c>
      <c r="K17" s="41" t="n">
        <v>6</v>
      </c>
      <c r="L17" s="42" t="str">
        <f aca="false">IFERROR(INDEX(Gästeliste!$C$13:$C$200,MATCH("4|6",Gästeliste!$I$13:$I$200,0)),"")</f>
        <v/>
      </c>
    </row>
    <row r="18" customFormat="false" ht="14.25" hidden="false" customHeight="true" outlineLevel="0" collapsed="false">
      <c r="B18" s="39" t="n">
        <v>7</v>
      </c>
      <c r="C18" s="40" t="str">
        <f aca="false">IFERROR(INDEX(Gästeliste!$C$13:$C$200,MATCH("1|7",Gästeliste!$I$13:$I$200,0)),"")</f>
        <v/>
      </c>
      <c r="E18" s="39" t="n">
        <v>7</v>
      </c>
      <c r="F18" s="40" t="str">
        <f aca="false">IFERROR(INDEX(Gästeliste!$C$13:$C$200,MATCH("2|7",Gästeliste!$I$13:$I$200,0)),"")</f>
        <v>Lukas Brandt</v>
      </c>
      <c r="H18" s="39" t="n">
        <v>7</v>
      </c>
      <c r="I18" s="40" t="str">
        <f aca="false">IFERROR(INDEX(Gästeliste!$C$13:$C$200,MATCH("3|7",Gästeliste!$I$13:$I$200,0)),"")</f>
        <v>Lea Winkler</v>
      </c>
      <c r="K18" s="39" t="n">
        <v>7</v>
      </c>
      <c r="L18" s="40" t="str">
        <f aca="false">IFERROR(INDEX(Gästeliste!$C$13:$C$200,MATCH("4|7",Gästeliste!$I$13:$I$200,0)),"")</f>
        <v/>
      </c>
    </row>
    <row r="19" customFormat="false" ht="14.25" hidden="false" customHeight="true" outlineLevel="0" collapsed="false">
      <c r="B19" s="41" t="n">
        <v>8</v>
      </c>
      <c r="C19" s="42" t="str">
        <f aca="false">IFERROR(INDEX(Gästeliste!$C$13:$C$200,MATCH("1|8",Gästeliste!$I$13:$I$200,0)),"")</f>
        <v/>
      </c>
      <c r="E19" s="41" t="n">
        <v>8</v>
      </c>
      <c r="F19" s="42" t="str">
        <f aca="false">IFERROR(INDEX(Gästeliste!$C$13:$C$200,MATCH("2|8",Gästeliste!$I$13:$I$200,0)),"")</f>
        <v>Emil Brandt</v>
      </c>
      <c r="H19" s="41" t="n">
        <v>8</v>
      </c>
      <c r="I19" s="42" t="str">
        <f aca="false">IFERROR(INDEX(Gästeliste!$C$13:$C$200,MATCH("3|8",Gästeliste!$I$13:$I$200,0)),"")</f>
        <v>David Winkler</v>
      </c>
      <c r="K19" s="41" t="n">
        <v>8</v>
      </c>
      <c r="L19" s="42" t="str">
        <f aca="false">IFERROR(INDEX(Gästeliste!$C$13:$C$200,MATCH("4|8",Gästeliste!$I$13:$I$200,0)),"")</f>
        <v/>
      </c>
    </row>
    <row r="20" customFormat="false" ht="14.25" hidden="false" customHeight="true" outlineLevel="0" collapsed="false">
      <c r="B20" s="39" t="n">
        <v>9</v>
      </c>
      <c r="C20" s="40" t="str">
        <f aca="false">IFERROR(INDEX(Gästeliste!$C$13:$C$200,MATCH("1|9",Gästeliste!$I$13:$I$200,0)),"")</f>
        <v/>
      </c>
      <c r="E20" s="39" t="n">
        <v>9</v>
      </c>
      <c r="F20" s="40" t="str">
        <f aca="false">IFERROR(INDEX(Gästeliste!$C$13:$C$200,MATCH("2|9",Gästeliste!$I$13:$I$200,0)),"")</f>
        <v/>
      </c>
      <c r="H20" s="39" t="n">
        <v>9</v>
      </c>
      <c r="I20" s="40" t="str">
        <f aca="false">IFERROR(INDEX(Gästeliste!$C$13:$C$200,MATCH("3|9",Gästeliste!$I$13:$I$200,0)),"")</f>
        <v>Paul Ziegler</v>
      </c>
      <c r="K20" s="39" t="n">
        <v>9</v>
      </c>
      <c r="L20" s="40" t="str">
        <f aca="false">IFERROR(INDEX(Gästeliste!$C$13:$C$200,MATCH("4|9",Gästeliste!$I$13:$I$200,0)),"")</f>
        <v/>
      </c>
    </row>
    <row r="21" customFormat="false" ht="14.25" hidden="false" customHeight="true" outlineLevel="0" collapsed="false">
      <c r="B21" s="43" t="n">
        <v>10</v>
      </c>
      <c r="C21" s="44" t="str">
        <f aca="false">IFERROR(INDEX(Gästeliste!$C$13:$C$200,MATCH("1|10",Gästeliste!$I$13:$I$200,0)),"")</f>
        <v/>
      </c>
      <c r="E21" s="43" t="n">
        <v>10</v>
      </c>
      <c r="F21" s="44" t="str">
        <f aca="false">IFERROR(INDEX(Gästeliste!$C$13:$C$200,MATCH("2|10",Gästeliste!$I$13:$I$200,0)),"")</f>
        <v/>
      </c>
      <c r="H21" s="43" t="n">
        <v>10</v>
      </c>
      <c r="I21" s="44" t="str">
        <f aca="false">IFERROR(INDEX(Gästeliste!$C$13:$C$200,MATCH("3|10",Gästeliste!$I$13:$I$200,0)),"")</f>
        <v/>
      </c>
      <c r="K21" s="43" t="n">
        <v>10</v>
      </c>
      <c r="L21" s="44" t="str">
        <f aca="false">IFERROR(INDEX(Gästeliste!$C$13:$C$200,MATCH("4|10",Gästeliste!$I$13:$I$200,0)),"")</f>
        <v/>
      </c>
    </row>
    <row r="22" customFormat="false" ht="7.5" hidden="false" customHeight="true" outlineLevel="0" collapsed="false"/>
    <row r="23" customFormat="false" ht="16.5" hidden="false" customHeight="true" outlineLevel="0" collapsed="false">
      <c r="B23" s="35" t="s">
        <v>90</v>
      </c>
      <c r="C23" s="35"/>
      <c r="E23" s="35" t="s">
        <v>91</v>
      </c>
      <c r="F23" s="35"/>
      <c r="H23" s="35" t="s">
        <v>92</v>
      </c>
      <c r="I23" s="35"/>
      <c r="K23" s="35" t="s">
        <v>93</v>
      </c>
      <c r="L23" s="35"/>
    </row>
    <row r="24" customFormat="false" ht="15.75" hidden="false" customHeight="true" outlineLevel="0" collapsed="false">
      <c r="B24" s="36" t="s">
        <v>62</v>
      </c>
      <c r="C24" s="36"/>
      <c r="E24" s="36" t="s">
        <v>94</v>
      </c>
      <c r="F24" s="36"/>
      <c r="H24" s="36" t="s">
        <v>95</v>
      </c>
      <c r="I24" s="36"/>
      <c r="K24" s="36"/>
      <c r="L24" s="36"/>
    </row>
    <row r="25" customFormat="false" ht="13.5" hidden="false" customHeight="true" outlineLevel="0" collapsed="false">
      <c r="B25" s="37" t="n">
        <f aca="false">COUNTIFS(Gästeliste!$F$13:$F$200,5,Gästeliste!$E$13:$E$200,"zugesagt")</f>
        <v>2</v>
      </c>
      <c r="C25" s="38" t="str">
        <f aca="false">"von "&amp;$E$5&amp;IF($B$25&gt;$E$5," Plätzen  ·  ÜBERBELEGT!"," Plätzen  ·  frei: "&amp;($E$5-$B$25))</f>
        <v>von 8 Plätzen  ·  frei: 6</v>
      </c>
      <c r="E25" s="37" t="n">
        <f aca="false">COUNTIFS(Gästeliste!$F$13:$F$200,6,Gästeliste!$E$13:$E$200,"zugesagt")</f>
        <v>2</v>
      </c>
      <c r="F25" s="38" t="str">
        <f aca="false">"von "&amp;$E$5&amp;IF($E$25&gt;$E$5," Plätzen  ·  ÜBERBELEGT!"," Plätzen  ·  frei: "&amp;($E$5-$E$25))</f>
        <v>von 8 Plätzen  ·  frei: 6</v>
      </c>
      <c r="H25" s="37" t="n">
        <f aca="false">COUNTIFS(Gästeliste!$F$13:$F$200,7,Gästeliste!$E$13:$E$200,"zugesagt")</f>
        <v>0</v>
      </c>
      <c r="I25" s="38" t="str">
        <f aca="false">"von "&amp;$E$5&amp;IF($H$25&gt;$E$5," Plätzen  ·  ÜBERBELEGT!"," Plätzen  ·  frei: "&amp;($E$5-$H$25))</f>
        <v>von 8 Plätzen  ·  frei: 8</v>
      </c>
      <c r="K25" s="37" t="n">
        <f aca="false">COUNTIFS(Gästeliste!$F$13:$F$200,8,Gästeliste!$E$13:$E$200,"zugesagt")</f>
        <v>0</v>
      </c>
      <c r="L25" s="38" t="str">
        <f aca="false">"von "&amp;$E$5&amp;IF($K$25&gt;$E$5," Plätzen  ·  ÜBERBELEGT!"," Plätzen  ·  frei: "&amp;($E$5-$K$25))</f>
        <v>von 8 Plätzen  ·  frei: 8</v>
      </c>
    </row>
    <row r="26" customFormat="false" ht="14.25" hidden="false" customHeight="true" outlineLevel="0" collapsed="false">
      <c r="B26" s="39" t="n">
        <v>1</v>
      </c>
      <c r="C26" s="40" t="str">
        <f aca="false">IFERROR(INDEX(Gästeliste!$C$13:$C$200,MATCH("5|1",Gästeliste!$I$13:$I$200,0)),"")</f>
        <v>Birgit Sander</v>
      </c>
      <c r="E26" s="39" t="n">
        <v>1</v>
      </c>
      <c r="F26" s="40" t="str">
        <f aca="false">IFERROR(INDEX(Gästeliste!$C$13:$C$200,MATCH("6|1",Gästeliste!$I$13:$I$200,0)),"")</f>
        <v>Gisela Horn</v>
      </c>
      <c r="H26" s="39" t="n">
        <v>1</v>
      </c>
      <c r="I26" s="40" t="str">
        <f aca="false">IFERROR(INDEX(Gästeliste!$C$13:$C$200,MATCH("7|1",Gästeliste!$I$13:$I$200,0)),"")</f>
        <v/>
      </c>
      <c r="K26" s="39" t="n">
        <v>1</v>
      </c>
      <c r="L26" s="40" t="str">
        <f aca="false">IFERROR(INDEX(Gästeliste!$C$13:$C$200,MATCH("8|1",Gästeliste!$I$13:$I$200,0)),"")</f>
        <v/>
      </c>
    </row>
    <row r="27" customFormat="false" ht="14.25" hidden="false" customHeight="true" outlineLevel="0" collapsed="false">
      <c r="B27" s="41" t="n">
        <v>2</v>
      </c>
      <c r="C27" s="42" t="str">
        <f aca="false">IFERROR(INDEX(Gästeliste!$C$13:$C$200,MATCH("5|2",Gästeliste!$I$13:$I$200,0)),"")</f>
        <v>Thomas Reuter</v>
      </c>
      <c r="E27" s="41" t="n">
        <v>2</v>
      </c>
      <c r="F27" s="42" t="str">
        <f aca="false">IFERROR(INDEX(Gästeliste!$C$13:$C$200,MATCH("6|2",Gästeliste!$I$13:$I$200,0)),"")</f>
        <v>Werner Horn</v>
      </c>
      <c r="H27" s="41" t="n">
        <v>2</v>
      </c>
      <c r="I27" s="42" t="str">
        <f aca="false">IFERROR(INDEX(Gästeliste!$C$13:$C$200,MATCH("7|2",Gästeliste!$I$13:$I$200,0)),"")</f>
        <v/>
      </c>
      <c r="K27" s="41" t="n">
        <v>2</v>
      </c>
      <c r="L27" s="42" t="str">
        <f aca="false">IFERROR(INDEX(Gästeliste!$C$13:$C$200,MATCH("8|2",Gästeliste!$I$13:$I$200,0)),"")</f>
        <v/>
      </c>
    </row>
    <row r="28" customFormat="false" ht="14.25" hidden="false" customHeight="true" outlineLevel="0" collapsed="false">
      <c r="B28" s="39" t="n">
        <v>3</v>
      </c>
      <c r="C28" s="40" t="str">
        <f aca="false">IFERROR(INDEX(Gästeliste!$C$13:$C$200,MATCH("5|3",Gästeliste!$I$13:$I$200,0)),"")</f>
        <v/>
      </c>
      <c r="E28" s="39" t="n">
        <v>3</v>
      </c>
      <c r="F28" s="40" t="str">
        <f aca="false">IFERROR(INDEX(Gästeliste!$C$13:$C$200,MATCH("6|3",Gästeliste!$I$13:$I$200,0)),"")</f>
        <v/>
      </c>
      <c r="H28" s="39" t="n">
        <v>3</v>
      </c>
      <c r="I28" s="40" t="str">
        <f aca="false">IFERROR(INDEX(Gästeliste!$C$13:$C$200,MATCH("7|3",Gästeliste!$I$13:$I$200,0)),"")</f>
        <v/>
      </c>
      <c r="K28" s="39" t="n">
        <v>3</v>
      </c>
      <c r="L28" s="40" t="str">
        <f aca="false">IFERROR(INDEX(Gästeliste!$C$13:$C$200,MATCH("8|3",Gästeliste!$I$13:$I$200,0)),"")</f>
        <v/>
      </c>
    </row>
    <row r="29" customFormat="false" ht="14.25" hidden="false" customHeight="true" outlineLevel="0" collapsed="false">
      <c r="B29" s="41" t="n">
        <v>4</v>
      </c>
      <c r="C29" s="42" t="str">
        <f aca="false">IFERROR(INDEX(Gästeliste!$C$13:$C$200,MATCH("5|4",Gästeliste!$I$13:$I$200,0)),"")</f>
        <v/>
      </c>
      <c r="E29" s="41" t="n">
        <v>4</v>
      </c>
      <c r="F29" s="42" t="str">
        <f aca="false">IFERROR(INDEX(Gästeliste!$C$13:$C$200,MATCH("6|4",Gästeliste!$I$13:$I$200,0)),"")</f>
        <v/>
      </c>
      <c r="H29" s="41" t="n">
        <v>4</v>
      </c>
      <c r="I29" s="42" t="str">
        <f aca="false">IFERROR(INDEX(Gästeliste!$C$13:$C$200,MATCH("7|4",Gästeliste!$I$13:$I$200,0)),"")</f>
        <v/>
      </c>
      <c r="K29" s="41" t="n">
        <v>4</v>
      </c>
      <c r="L29" s="42" t="str">
        <f aca="false">IFERROR(INDEX(Gästeliste!$C$13:$C$200,MATCH("8|4",Gästeliste!$I$13:$I$200,0)),"")</f>
        <v/>
      </c>
    </row>
    <row r="30" customFormat="false" ht="14.25" hidden="false" customHeight="true" outlineLevel="0" collapsed="false">
      <c r="B30" s="39" t="n">
        <v>5</v>
      </c>
      <c r="C30" s="40" t="str">
        <f aca="false">IFERROR(INDEX(Gästeliste!$C$13:$C$200,MATCH("5|5",Gästeliste!$I$13:$I$200,0)),"")</f>
        <v/>
      </c>
      <c r="E30" s="39" t="n">
        <v>5</v>
      </c>
      <c r="F30" s="40" t="str">
        <f aca="false">IFERROR(INDEX(Gästeliste!$C$13:$C$200,MATCH("6|5",Gästeliste!$I$13:$I$200,0)),"")</f>
        <v/>
      </c>
      <c r="H30" s="39" t="n">
        <v>5</v>
      </c>
      <c r="I30" s="40" t="str">
        <f aca="false">IFERROR(INDEX(Gästeliste!$C$13:$C$200,MATCH("7|5",Gästeliste!$I$13:$I$200,0)),"")</f>
        <v/>
      </c>
      <c r="K30" s="39" t="n">
        <v>5</v>
      </c>
      <c r="L30" s="40" t="str">
        <f aca="false">IFERROR(INDEX(Gästeliste!$C$13:$C$200,MATCH("8|5",Gästeliste!$I$13:$I$200,0)),"")</f>
        <v/>
      </c>
    </row>
    <row r="31" customFormat="false" ht="14.25" hidden="false" customHeight="true" outlineLevel="0" collapsed="false">
      <c r="B31" s="41" t="n">
        <v>6</v>
      </c>
      <c r="C31" s="42" t="str">
        <f aca="false">IFERROR(INDEX(Gästeliste!$C$13:$C$200,MATCH("5|6",Gästeliste!$I$13:$I$200,0)),"")</f>
        <v/>
      </c>
      <c r="E31" s="41" t="n">
        <v>6</v>
      </c>
      <c r="F31" s="42" t="str">
        <f aca="false">IFERROR(INDEX(Gästeliste!$C$13:$C$200,MATCH("6|6",Gästeliste!$I$13:$I$200,0)),"")</f>
        <v/>
      </c>
      <c r="H31" s="41" t="n">
        <v>6</v>
      </c>
      <c r="I31" s="42" t="str">
        <f aca="false">IFERROR(INDEX(Gästeliste!$C$13:$C$200,MATCH("7|6",Gästeliste!$I$13:$I$200,0)),"")</f>
        <v/>
      </c>
      <c r="K31" s="41" t="n">
        <v>6</v>
      </c>
      <c r="L31" s="42" t="str">
        <f aca="false">IFERROR(INDEX(Gästeliste!$C$13:$C$200,MATCH("8|6",Gästeliste!$I$13:$I$200,0)),"")</f>
        <v/>
      </c>
    </row>
    <row r="32" customFormat="false" ht="14.25" hidden="false" customHeight="true" outlineLevel="0" collapsed="false">
      <c r="B32" s="39" t="n">
        <v>7</v>
      </c>
      <c r="C32" s="40" t="str">
        <f aca="false">IFERROR(INDEX(Gästeliste!$C$13:$C$200,MATCH("5|7",Gästeliste!$I$13:$I$200,0)),"")</f>
        <v/>
      </c>
      <c r="E32" s="39" t="n">
        <v>7</v>
      </c>
      <c r="F32" s="40" t="str">
        <f aca="false">IFERROR(INDEX(Gästeliste!$C$13:$C$200,MATCH("6|7",Gästeliste!$I$13:$I$200,0)),"")</f>
        <v/>
      </c>
      <c r="H32" s="39" t="n">
        <v>7</v>
      </c>
      <c r="I32" s="40" t="str">
        <f aca="false">IFERROR(INDEX(Gästeliste!$C$13:$C$200,MATCH("7|7",Gästeliste!$I$13:$I$200,0)),"")</f>
        <v/>
      </c>
      <c r="K32" s="39" t="n">
        <v>7</v>
      </c>
      <c r="L32" s="40" t="str">
        <f aca="false">IFERROR(INDEX(Gästeliste!$C$13:$C$200,MATCH("8|7",Gästeliste!$I$13:$I$200,0)),"")</f>
        <v/>
      </c>
    </row>
    <row r="33" customFormat="false" ht="14.25" hidden="false" customHeight="true" outlineLevel="0" collapsed="false">
      <c r="B33" s="41" t="n">
        <v>8</v>
      </c>
      <c r="C33" s="42" t="str">
        <f aca="false">IFERROR(INDEX(Gästeliste!$C$13:$C$200,MATCH("5|8",Gästeliste!$I$13:$I$200,0)),"")</f>
        <v/>
      </c>
      <c r="E33" s="41" t="n">
        <v>8</v>
      </c>
      <c r="F33" s="42" t="str">
        <f aca="false">IFERROR(INDEX(Gästeliste!$C$13:$C$200,MATCH("6|8",Gästeliste!$I$13:$I$200,0)),"")</f>
        <v/>
      </c>
      <c r="H33" s="41" t="n">
        <v>8</v>
      </c>
      <c r="I33" s="42" t="str">
        <f aca="false">IFERROR(INDEX(Gästeliste!$C$13:$C$200,MATCH("7|8",Gästeliste!$I$13:$I$200,0)),"")</f>
        <v/>
      </c>
      <c r="K33" s="41" t="n">
        <v>8</v>
      </c>
      <c r="L33" s="42" t="str">
        <f aca="false">IFERROR(INDEX(Gästeliste!$C$13:$C$200,MATCH("8|8",Gästeliste!$I$13:$I$200,0)),"")</f>
        <v/>
      </c>
    </row>
    <row r="34" customFormat="false" ht="14.25" hidden="false" customHeight="true" outlineLevel="0" collapsed="false">
      <c r="B34" s="39" t="n">
        <v>9</v>
      </c>
      <c r="C34" s="40" t="str">
        <f aca="false">IFERROR(INDEX(Gästeliste!$C$13:$C$200,MATCH("5|9",Gästeliste!$I$13:$I$200,0)),"")</f>
        <v/>
      </c>
      <c r="E34" s="39" t="n">
        <v>9</v>
      </c>
      <c r="F34" s="40" t="str">
        <f aca="false">IFERROR(INDEX(Gästeliste!$C$13:$C$200,MATCH("6|9",Gästeliste!$I$13:$I$200,0)),"")</f>
        <v/>
      </c>
      <c r="H34" s="39" t="n">
        <v>9</v>
      </c>
      <c r="I34" s="40" t="str">
        <f aca="false">IFERROR(INDEX(Gästeliste!$C$13:$C$200,MATCH("7|9",Gästeliste!$I$13:$I$200,0)),"")</f>
        <v/>
      </c>
      <c r="K34" s="39" t="n">
        <v>9</v>
      </c>
      <c r="L34" s="40" t="str">
        <f aca="false">IFERROR(INDEX(Gästeliste!$C$13:$C$200,MATCH("8|9",Gästeliste!$I$13:$I$200,0)),"")</f>
        <v/>
      </c>
    </row>
    <row r="35" customFormat="false" ht="14.25" hidden="false" customHeight="true" outlineLevel="0" collapsed="false">
      <c r="B35" s="43" t="n">
        <v>10</v>
      </c>
      <c r="C35" s="44" t="str">
        <f aca="false">IFERROR(INDEX(Gästeliste!$C$13:$C$200,MATCH("5|10",Gästeliste!$I$13:$I$200,0)),"")</f>
        <v/>
      </c>
      <c r="E35" s="43" t="n">
        <v>10</v>
      </c>
      <c r="F35" s="44" t="str">
        <f aca="false">IFERROR(INDEX(Gästeliste!$C$13:$C$200,MATCH("6|10",Gästeliste!$I$13:$I$200,0)),"")</f>
        <v/>
      </c>
      <c r="H35" s="43" t="n">
        <v>10</v>
      </c>
      <c r="I35" s="44" t="str">
        <f aca="false">IFERROR(INDEX(Gästeliste!$C$13:$C$200,MATCH("7|10",Gästeliste!$I$13:$I$200,0)),"")</f>
        <v/>
      </c>
      <c r="K35" s="43" t="n">
        <v>10</v>
      </c>
      <c r="L35" s="44" t="str">
        <f aca="false">IFERROR(INDEX(Gästeliste!$C$13:$C$200,MATCH("8|10",Gästeliste!$I$13:$I$200,0)),"")</f>
        <v/>
      </c>
    </row>
    <row r="36" customFormat="false" ht="7.5" hidden="false" customHeight="true" outlineLevel="0" collapsed="false"/>
    <row r="37" customFormat="false" ht="16.5" hidden="false" customHeight="true" outlineLevel="0" collapsed="false">
      <c r="B37" s="35" t="s">
        <v>96</v>
      </c>
      <c r="C37" s="35"/>
      <c r="E37" s="35" t="s">
        <v>97</v>
      </c>
      <c r="F37" s="35"/>
      <c r="H37" s="35" t="s">
        <v>98</v>
      </c>
      <c r="I37" s="35"/>
      <c r="K37" s="35" t="s">
        <v>99</v>
      </c>
      <c r="L37" s="35"/>
    </row>
    <row r="38" customFormat="false" ht="15.75" hidden="false" customHeight="true" outlineLevel="0" collapsed="false">
      <c r="B38" s="36"/>
      <c r="C38" s="36"/>
      <c r="E38" s="36"/>
      <c r="F38" s="36"/>
      <c r="H38" s="36"/>
      <c r="I38" s="36"/>
      <c r="K38" s="36"/>
      <c r="L38" s="36"/>
    </row>
    <row r="39" customFormat="false" ht="13.5" hidden="false" customHeight="true" outlineLevel="0" collapsed="false">
      <c r="B39" s="37" t="n">
        <f aca="false">COUNTIFS(Gästeliste!$F$13:$F$200,9,Gästeliste!$E$13:$E$200,"zugesagt")</f>
        <v>0</v>
      </c>
      <c r="C39" s="38" t="str">
        <f aca="false">"von "&amp;$E$5&amp;IF($B$39&gt;$E$5," Plätzen  ·  ÜBERBELEGT!"," Plätzen  ·  frei: "&amp;($E$5-$B$39))</f>
        <v>von 8 Plätzen  ·  frei: 8</v>
      </c>
      <c r="E39" s="37" t="n">
        <f aca="false">COUNTIFS(Gästeliste!$F$13:$F$200,10,Gästeliste!$E$13:$E$200,"zugesagt")</f>
        <v>0</v>
      </c>
      <c r="F39" s="38" t="str">
        <f aca="false">"von "&amp;$E$5&amp;IF($E$39&gt;$E$5," Plätzen  ·  ÜBERBELEGT!"," Plätzen  ·  frei: "&amp;($E$5-$E$39))</f>
        <v>von 8 Plätzen  ·  frei: 8</v>
      </c>
      <c r="H39" s="37" t="n">
        <f aca="false">COUNTIFS(Gästeliste!$F$13:$F$200,11,Gästeliste!$E$13:$E$200,"zugesagt")</f>
        <v>0</v>
      </c>
      <c r="I39" s="38" t="str">
        <f aca="false">"von "&amp;$E$5&amp;IF($H$39&gt;$E$5," Plätzen  ·  ÜBERBELEGT!"," Plätzen  ·  frei: "&amp;($E$5-$H$39))</f>
        <v>von 8 Plätzen  ·  frei: 8</v>
      </c>
      <c r="K39" s="37" t="n">
        <f aca="false">COUNTIFS(Gästeliste!$F$13:$F$200,12,Gästeliste!$E$13:$E$200,"zugesagt")</f>
        <v>0</v>
      </c>
      <c r="L39" s="38" t="str">
        <f aca="false">"von "&amp;$E$5&amp;IF($K$39&gt;$E$5," Plätzen  ·  ÜBERBELEGT!"," Plätzen  ·  frei: "&amp;($E$5-$K$39))</f>
        <v>von 8 Plätzen  ·  frei: 8</v>
      </c>
    </row>
    <row r="40" customFormat="false" ht="14.25" hidden="false" customHeight="true" outlineLevel="0" collapsed="false">
      <c r="B40" s="39" t="n">
        <v>1</v>
      </c>
      <c r="C40" s="40" t="str">
        <f aca="false">IFERROR(INDEX(Gästeliste!$C$13:$C$200,MATCH("9|1",Gästeliste!$I$13:$I$200,0)),"")</f>
        <v/>
      </c>
      <c r="E40" s="39" t="n">
        <v>1</v>
      </c>
      <c r="F40" s="40" t="str">
        <f aca="false">IFERROR(INDEX(Gästeliste!$C$13:$C$200,MATCH("10|1",Gästeliste!$I$13:$I$200,0)),"")</f>
        <v/>
      </c>
      <c r="H40" s="39" t="n">
        <v>1</v>
      </c>
      <c r="I40" s="40" t="str">
        <f aca="false">IFERROR(INDEX(Gästeliste!$C$13:$C$200,MATCH("11|1",Gästeliste!$I$13:$I$200,0)),"")</f>
        <v/>
      </c>
      <c r="K40" s="39" t="n">
        <v>1</v>
      </c>
      <c r="L40" s="40" t="str">
        <f aca="false">IFERROR(INDEX(Gästeliste!$C$13:$C$200,MATCH("12|1",Gästeliste!$I$13:$I$200,0)),"")</f>
        <v/>
      </c>
    </row>
    <row r="41" customFormat="false" ht="14.25" hidden="false" customHeight="true" outlineLevel="0" collapsed="false">
      <c r="B41" s="41" t="n">
        <v>2</v>
      </c>
      <c r="C41" s="42" t="str">
        <f aca="false">IFERROR(INDEX(Gästeliste!$C$13:$C$200,MATCH("9|2",Gästeliste!$I$13:$I$200,0)),"")</f>
        <v/>
      </c>
      <c r="E41" s="41" t="n">
        <v>2</v>
      </c>
      <c r="F41" s="42" t="str">
        <f aca="false">IFERROR(INDEX(Gästeliste!$C$13:$C$200,MATCH("10|2",Gästeliste!$I$13:$I$200,0)),"")</f>
        <v/>
      </c>
      <c r="H41" s="41" t="n">
        <v>2</v>
      </c>
      <c r="I41" s="42" t="str">
        <f aca="false">IFERROR(INDEX(Gästeliste!$C$13:$C$200,MATCH("11|2",Gästeliste!$I$13:$I$200,0)),"")</f>
        <v/>
      </c>
      <c r="K41" s="41" t="n">
        <v>2</v>
      </c>
      <c r="L41" s="42" t="str">
        <f aca="false">IFERROR(INDEX(Gästeliste!$C$13:$C$200,MATCH("12|2",Gästeliste!$I$13:$I$200,0)),"")</f>
        <v/>
      </c>
    </row>
    <row r="42" customFormat="false" ht="14.25" hidden="false" customHeight="true" outlineLevel="0" collapsed="false">
      <c r="B42" s="39" t="n">
        <v>3</v>
      </c>
      <c r="C42" s="40" t="str">
        <f aca="false">IFERROR(INDEX(Gästeliste!$C$13:$C$200,MATCH("9|3",Gästeliste!$I$13:$I$200,0)),"")</f>
        <v/>
      </c>
      <c r="E42" s="39" t="n">
        <v>3</v>
      </c>
      <c r="F42" s="40" t="str">
        <f aca="false">IFERROR(INDEX(Gästeliste!$C$13:$C$200,MATCH("10|3",Gästeliste!$I$13:$I$200,0)),"")</f>
        <v/>
      </c>
      <c r="H42" s="39" t="n">
        <v>3</v>
      </c>
      <c r="I42" s="40" t="str">
        <f aca="false">IFERROR(INDEX(Gästeliste!$C$13:$C$200,MATCH("11|3",Gästeliste!$I$13:$I$200,0)),"")</f>
        <v/>
      </c>
      <c r="K42" s="39" t="n">
        <v>3</v>
      </c>
      <c r="L42" s="40" t="str">
        <f aca="false">IFERROR(INDEX(Gästeliste!$C$13:$C$200,MATCH("12|3",Gästeliste!$I$13:$I$200,0)),"")</f>
        <v/>
      </c>
    </row>
    <row r="43" customFormat="false" ht="14.25" hidden="false" customHeight="true" outlineLevel="0" collapsed="false">
      <c r="B43" s="41" t="n">
        <v>4</v>
      </c>
      <c r="C43" s="42" t="str">
        <f aca="false">IFERROR(INDEX(Gästeliste!$C$13:$C$200,MATCH("9|4",Gästeliste!$I$13:$I$200,0)),"")</f>
        <v/>
      </c>
      <c r="E43" s="41" t="n">
        <v>4</v>
      </c>
      <c r="F43" s="42" t="str">
        <f aca="false">IFERROR(INDEX(Gästeliste!$C$13:$C$200,MATCH("10|4",Gästeliste!$I$13:$I$200,0)),"")</f>
        <v/>
      </c>
      <c r="H43" s="41" t="n">
        <v>4</v>
      </c>
      <c r="I43" s="42" t="str">
        <f aca="false">IFERROR(INDEX(Gästeliste!$C$13:$C$200,MATCH("11|4",Gästeliste!$I$13:$I$200,0)),"")</f>
        <v/>
      </c>
      <c r="K43" s="41" t="n">
        <v>4</v>
      </c>
      <c r="L43" s="42" t="str">
        <f aca="false">IFERROR(INDEX(Gästeliste!$C$13:$C$200,MATCH("12|4",Gästeliste!$I$13:$I$200,0)),"")</f>
        <v/>
      </c>
    </row>
    <row r="44" customFormat="false" ht="14.25" hidden="false" customHeight="true" outlineLevel="0" collapsed="false">
      <c r="B44" s="39" t="n">
        <v>5</v>
      </c>
      <c r="C44" s="40" t="str">
        <f aca="false">IFERROR(INDEX(Gästeliste!$C$13:$C$200,MATCH("9|5",Gästeliste!$I$13:$I$200,0)),"")</f>
        <v/>
      </c>
      <c r="E44" s="39" t="n">
        <v>5</v>
      </c>
      <c r="F44" s="40" t="str">
        <f aca="false">IFERROR(INDEX(Gästeliste!$C$13:$C$200,MATCH("10|5",Gästeliste!$I$13:$I$200,0)),"")</f>
        <v/>
      </c>
      <c r="H44" s="39" t="n">
        <v>5</v>
      </c>
      <c r="I44" s="40" t="str">
        <f aca="false">IFERROR(INDEX(Gästeliste!$C$13:$C$200,MATCH("11|5",Gästeliste!$I$13:$I$200,0)),"")</f>
        <v/>
      </c>
      <c r="K44" s="39" t="n">
        <v>5</v>
      </c>
      <c r="L44" s="40" t="str">
        <f aca="false">IFERROR(INDEX(Gästeliste!$C$13:$C$200,MATCH("12|5",Gästeliste!$I$13:$I$200,0)),"")</f>
        <v/>
      </c>
    </row>
    <row r="45" customFormat="false" ht="14.25" hidden="false" customHeight="true" outlineLevel="0" collapsed="false">
      <c r="B45" s="41" t="n">
        <v>6</v>
      </c>
      <c r="C45" s="42" t="str">
        <f aca="false">IFERROR(INDEX(Gästeliste!$C$13:$C$200,MATCH("9|6",Gästeliste!$I$13:$I$200,0)),"")</f>
        <v/>
      </c>
      <c r="E45" s="41" t="n">
        <v>6</v>
      </c>
      <c r="F45" s="42" t="str">
        <f aca="false">IFERROR(INDEX(Gästeliste!$C$13:$C$200,MATCH("10|6",Gästeliste!$I$13:$I$200,0)),"")</f>
        <v/>
      </c>
      <c r="H45" s="41" t="n">
        <v>6</v>
      </c>
      <c r="I45" s="42" t="str">
        <f aca="false">IFERROR(INDEX(Gästeliste!$C$13:$C$200,MATCH("11|6",Gästeliste!$I$13:$I$200,0)),"")</f>
        <v/>
      </c>
      <c r="K45" s="41" t="n">
        <v>6</v>
      </c>
      <c r="L45" s="42" t="str">
        <f aca="false">IFERROR(INDEX(Gästeliste!$C$13:$C$200,MATCH("12|6",Gästeliste!$I$13:$I$200,0)),"")</f>
        <v/>
      </c>
    </row>
    <row r="46" customFormat="false" ht="14.25" hidden="false" customHeight="true" outlineLevel="0" collapsed="false">
      <c r="B46" s="39" t="n">
        <v>7</v>
      </c>
      <c r="C46" s="40" t="str">
        <f aca="false">IFERROR(INDEX(Gästeliste!$C$13:$C$200,MATCH("9|7",Gästeliste!$I$13:$I$200,0)),"")</f>
        <v/>
      </c>
      <c r="E46" s="39" t="n">
        <v>7</v>
      </c>
      <c r="F46" s="40" t="str">
        <f aca="false">IFERROR(INDEX(Gästeliste!$C$13:$C$200,MATCH("10|7",Gästeliste!$I$13:$I$200,0)),"")</f>
        <v/>
      </c>
      <c r="H46" s="39" t="n">
        <v>7</v>
      </c>
      <c r="I46" s="40" t="str">
        <f aca="false">IFERROR(INDEX(Gästeliste!$C$13:$C$200,MATCH("11|7",Gästeliste!$I$13:$I$200,0)),"")</f>
        <v/>
      </c>
      <c r="K46" s="39" t="n">
        <v>7</v>
      </c>
      <c r="L46" s="40" t="str">
        <f aca="false">IFERROR(INDEX(Gästeliste!$C$13:$C$200,MATCH("12|7",Gästeliste!$I$13:$I$200,0)),"")</f>
        <v/>
      </c>
    </row>
    <row r="47" customFormat="false" ht="14.25" hidden="false" customHeight="true" outlineLevel="0" collapsed="false">
      <c r="B47" s="41" t="n">
        <v>8</v>
      </c>
      <c r="C47" s="42" t="str">
        <f aca="false">IFERROR(INDEX(Gästeliste!$C$13:$C$200,MATCH("9|8",Gästeliste!$I$13:$I$200,0)),"")</f>
        <v/>
      </c>
      <c r="E47" s="41" t="n">
        <v>8</v>
      </c>
      <c r="F47" s="42" t="str">
        <f aca="false">IFERROR(INDEX(Gästeliste!$C$13:$C$200,MATCH("10|8",Gästeliste!$I$13:$I$200,0)),"")</f>
        <v/>
      </c>
      <c r="H47" s="41" t="n">
        <v>8</v>
      </c>
      <c r="I47" s="42" t="str">
        <f aca="false">IFERROR(INDEX(Gästeliste!$C$13:$C$200,MATCH("11|8",Gästeliste!$I$13:$I$200,0)),"")</f>
        <v/>
      </c>
      <c r="K47" s="41" t="n">
        <v>8</v>
      </c>
      <c r="L47" s="42" t="str">
        <f aca="false">IFERROR(INDEX(Gästeliste!$C$13:$C$200,MATCH("12|8",Gästeliste!$I$13:$I$200,0)),"")</f>
        <v/>
      </c>
    </row>
    <row r="48" customFormat="false" ht="14.25" hidden="false" customHeight="true" outlineLevel="0" collapsed="false">
      <c r="B48" s="39" t="n">
        <v>9</v>
      </c>
      <c r="C48" s="40" t="str">
        <f aca="false">IFERROR(INDEX(Gästeliste!$C$13:$C$200,MATCH("9|9",Gästeliste!$I$13:$I$200,0)),"")</f>
        <v/>
      </c>
      <c r="E48" s="39" t="n">
        <v>9</v>
      </c>
      <c r="F48" s="40" t="str">
        <f aca="false">IFERROR(INDEX(Gästeliste!$C$13:$C$200,MATCH("10|9",Gästeliste!$I$13:$I$200,0)),"")</f>
        <v/>
      </c>
      <c r="H48" s="39" t="n">
        <v>9</v>
      </c>
      <c r="I48" s="40" t="str">
        <f aca="false">IFERROR(INDEX(Gästeliste!$C$13:$C$200,MATCH("11|9",Gästeliste!$I$13:$I$200,0)),"")</f>
        <v/>
      </c>
      <c r="K48" s="39" t="n">
        <v>9</v>
      </c>
      <c r="L48" s="40" t="str">
        <f aca="false">IFERROR(INDEX(Gästeliste!$C$13:$C$200,MATCH("12|9",Gästeliste!$I$13:$I$200,0)),"")</f>
        <v/>
      </c>
    </row>
    <row r="49" customFormat="false" ht="14.25" hidden="false" customHeight="true" outlineLevel="0" collapsed="false">
      <c r="B49" s="43" t="n">
        <v>10</v>
      </c>
      <c r="C49" s="44" t="str">
        <f aca="false">IFERROR(INDEX(Gästeliste!$C$13:$C$200,MATCH("9|10",Gästeliste!$I$13:$I$200,0)),"")</f>
        <v/>
      </c>
      <c r="E49" s="43" t="n">
        <v>10</v>
      </c>
      <c r="F49" s="44" t="str">
        <f aca="false">IFERROR(INDEX(Gästeliste!$C$13:$C$200,MATCH("10|10",Gästeliste!$I$13:$I$200,0)),"")</f>
        <v/>
      </c>
      <c r="H49" s="43" t="n">
        <v>10</v>
      </c>
      <c r="I49" s="44" t="str">
        <f aca="false">IFERROR(INDEX(Gästeliste!$C$13:$C$200,MATCH("11|10",Gästeliste!$I$13:$I$200,0)),"")</f>
        <v/>
      </c>
      <c r="K49" s="43" t="n">
        <v>10</v>
      </c>
      <c r="L49" s="44" t="str">
        <f aca="false">IFERROR(INDEX(Gästeliste!$C$13:$C$200,MATCH("12|10",Gästeliste!$I$13:$I$200,0)),"")</f>
        <v/>
      </c>
    </row>
    <row r="50" customFormat="false" ht="7.5" hidden="false" customHeight="true" outlineLevel="0" collapsed="false"/>
  </sheetData>
  <mergeCells count="28">
    <mergeCell ref="K2:L2"/>
    <mergeCell ref="B5:C5"/>
    <mergeCell ref="F5:L5"/>
    <mergeCell ref="B6:L6"/>
    <mergeCell ref="B9:C9"/>
    <mergeCell ref="E9:F9"/>
    <mergeCell ref="H9:I9"/>
    <mergeCell ref="K9:L9"/>
    <mergeCell ref="B10:C10"/>
    <mergeCell ref="E10:F10"/>
    <mergeCell ref="H10:I10"/>
    <mergeCell ref="K10:L10"/>
    <mergeCell ref="B23:C23"/>
    <mergeCell ref="E23:F23"/>
    <mergeCell ref="H23:I23"/>
    <mergeCell ref="K23:L23"/>
    <mergeCell ref="B24:C24"/>
    <mergeCell ref="E24:F24"/>
    <mergeCell ref="H24:I24"/>
    <mergeCell ref="K24:L24"/>
    <mergeCell ref="B37:C37"/>
    <mergeCell ref="E37:F37"/>
    <mergeCell ref="H37:I37"/>
    <mergeCell ref="K37:L37"/>
    <mergeCell ref="B38:C38"/>
    <mergeCell ref="E38:F38"/>
    <mergeCell ref="H38:I38"/>
    <mergeCell ref="K38:L38"/>
  </mergeCells>
  <conditionalFormatting sqref="B11">
    <cfRule type="expression" priority="2" aboveAverage="0" equalAverage="0" bottom="0" percent="0" rank="0" text="" dxfId="5">
      <formula>$B$11&gt;$E$5</formula>
    </cfRule>
  </conditionalFormatting>
  <conditionalFormatting sqref="C11">
    <cfRule type="expression" priority="3" aboveAverage="0" equalAverage="0" bottom="0" percent="0" rank="0" text="" dxfId="5">
      <formula>$B$11&gt;$E$5</formula>
    </cfRule>
  </conditionalFormatting>
  <conditionalFormatting sqref="E11">
    <cfRule type="expression" priority="4" aboveAverage="0" equalAverage="0" bottom="0" percent="0" rank="0" text="" dxfId="5">
      <formula>$E$11&gt;$E$5</formula>
    </cfRule>
  </conditionalFormatting>
  <conditionalFormatting sqref="F11">
    <cfRule type="expression" priority="5" aboveAverage="0" equalAverage="0" bottom="0" percent="0" rank="0" text="" dxfId="5">
      <formula>$E$11&gt;$E$5</formula>
    </cfRule>
  </conditionalFormatting>
  <conditionalFormatting sqref="H11">
    <cfRule type="expression" priority="6" aboveAverage="0" equalAverage="0" bottom="0" percent="0" rank="0" text="" dxfId="5">
      <formula>$H$11&gt;$E$5</formula>
    </cfRule>
  </conditionalFormatting>
  <conditionalFormatting sqref="I11">
    <cfRule type="expression" priority="7" aboveAverage="0" equalAverage="0" bottom="0" percent="0" rank="0" text="" dxfId="5">
      <formula>$H$11&gt;$E$5</formula>
    </cfRule>
  </conditionalFormatting>
  <conditionalFormatting sqref="K11">
    <cfRule type="expression" priority="8" aboveAverage="0" equalAverage="0" bottom="0" percent="0" rank="0" text="" dxfId="5">
      <formula>$K$11&gt;$E$5</formula>
    </cfRule>
  </conditionalFormatting>
  <conditionalFormatting sqref="L11">
    <cfRule type="expression" priority="9" aboveAverage="0" equalAverage="0" bottom="0" percent="0" rank="0" text="" dxfId="5">
      <formula>$K$11&gt;$E$5</formula>
    </cfRule>
  </conditionalFormatting>
  <conditionalFormatting sqref="B25">
    <cfRule type="expression" priority="10" aboveAverage="0" equalAverage="0" bottom="0" percent="0" rank="0" text="" dxfId="5">
      <formula>$B$25&gt;$E$5</formula>
    </cfRule>
  </conditionalFormatting>
  <conditionalFormatting sqref="C25">
    <cfRule type="expression" priority="11" aboveAverage="0" equalAverage="0" bottom="0" percent="0" rank="0" text="" dxfId="5">
      <formula>$B$25&gt;$E$5</formula>
    </cfRule>
  </conditionalFormatting>
  <conditionalFormatting sqref="E25">
    <cfRule type="expression" priority="12" aboveAverage="0" equalAverage="0" bottom="0" percent="0" rank="0" text="" dxfId="5">
      <formula>$E$25&gt;$E$5</formula>
    </cfRule>
  </conditionalFormatting>
  <conditionalFormatting sqref="F25">
    <cfRule type="expression" priority="13" aboveAverage="0" equalAverage="0" bottom="0" percent="0" rank="0" text="" dxfId="5">
      <formula>$E$25&gt;$E$5</formula>
    </cfRule>
  </conditionalFormatting>
  <conditionalFormatting sqref="H25">
    <cfRule type="expression" priority="14" aboveAverage="0" equalAverage="0" bottom="0" percent="0" rank="0" text="" dxfId="5">
      <formula>$H$25&gt;$E$5</formula>
    </cfRule>
  </conditionalFormatting>
  <conditionalFormatting sqref="I25">
    <cfRule type="expression" priority="15" aboveAverage="0" equalAverage="0" bottom="0" percent="0" rank="0" text="" dxfId="5">
      <formula>$H$25&gt;$E$5</formula>
    </cfRule>
  </conditionalFormatting>
  <conditionalFormatting sqref="K25">
    <cfRule type="expression" priority="16" aboveAverage="0" equalAverage="0" bottom="0" percent="0" rank="0" text="" dxfId="5">
      <formula>$K$25&gt;$E$5</formula>
    </cfRule>
  </conditionalFormatting>
  <conditionalFormatting sqref="L25">
    <cfRule type="expression" priority="17" aboveAverage="0" equalAverage="0" bottom="0" percent="0" rank="0" text="" dxfId="5">
      <formula>$K$25&gt;$E$5</formula>
    </cfRule>
  </conditionalFormatting>
  <conditionalFormatting sqref="B39">
    <cfRule type="expression" priority="18" aboveAverage="0" equalAverage="0" bottom="0" percent="0" rank="0" text="" dxfId="5">
      <formula>$B$39&gt;$E$5</formula>
    </cfRule>
  </conditionalFormatting>
  <conditionalFormatting sqref="C39">
    <cfRule type="expression" priority="19" aboveAverage="0" equalAverage="0" bottom="0" percent="0" rank="0" text="" dxfId="5">
      <formula>$B$39&gt;$E$5</formula>
    </cfRule>
  </conditionalFormatting>
  <conditionalFormatting sqref="E39">
    <cfRule type="expression" priority="20" aboveAverage="0" equalAverage="0" bottom="0" percent="0" rank="0" text="" dxfId="5">
      <formula>$E$39&gt;$E$5</formula>
    </cfRule>
  </conditionalFormatting>
  <conditionalFormatting sqref="F39">
    <cfRule type="expression" priority="21" aboveAverage="0" equalAverage="0" bottom="0" percent="0" rank="0" text="" dxfId="5">
      <formula>$E$39&gt;$E$5</formula>
    </cfRule>
  </conditionalFormatting>
  <conditionalFormatting sqref="H39">
    <cfRule type="expression" priority="22" aboveAverage="0" equalAverage="0" bottom="0" percent="0" rank="0" text="" dxfId="5">
      <formula>$H$39&gt;$E$5</formula>
    </cfRule>
  </conditionalFormatting>
  <conditionalFormatting sqref="I39">
    <cfRule type="expression" priority="23" aboveAverage="0" equalAverage="0" bottom="0" percent="0" rank="0" text="" dxfId="5">
      <formula>$H$39&gt;$E$5</formula>
    </cfRule>
  </conditionalFormatting>
  <conditionalFormatting sqref="K39">
    <cfRule type="expression" priority="24" aboveAverage="0" equalAverage="0" bottom="0" percent="0" rank="0" text="" dxfId="5">
      <formula>$K$39&gt;$E$5</formula>
    </cfRule>
  </conditionalFormatting>
  <conditionalFormatting sqref="L39">
    <cfRule type="expression" priority="25" aboveAverage="0" equalAverage="0" bottom="0" percent="0" rank="0" text="" dxfId="5">
      <formula>$K$39&gt;$E$5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2026-07-21T09:30:17Z</dcterms:created>
  <dc:creator>openpyxl</dc:creator>
  <dc:description/>
  <dc:language>en-US</dc:language>
  <cp:lastModifiedBy/>
  <dcterms:modified xsi:type="dcterms:W3CDTF">2026-07-21T09:30:17Z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