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Vorlage\Generador\"/>
    </mc:Choice>
  </mc:AlternateContent>
  <xr:revisionPtr revIDLastSave="0" documentId="13_ncr:1_{789D66C9-49AF-42EC-8A90-5B7D1A52042E}" xr6:coauthVersionLast="47" xr6:coauthVersionMax="47" xr10:uidLastSave="{00000000-0000-0000-0000-000000000000}"/>
  <bookViews>
    <workbookView xWindow="690" yWindow="690" windowWidth="25500" windowHeight="13500" tabRatio="500" xr2:uid="{00000000-000D-0000-FFFF-FFFF00000000}"/>
  </bookViews>
  <sheets>
    <sheet name="Teilnehmerliste" sheetId="1" r:id="rId1"/>
    <sheet name="Auswertung" sheetId="2" r:id="rId2"/>
    <sheet name="Stammdaten" sheetId="3" r:id="rId3"/>
  </sheets>
  <definedNames>
    <definedName name="_xlnm._FilterDatabase" localSheetId="0" hidden="1">Teilnehmerliste!$B$17:$W$97</definedName>
    <definedName name="Anmeldeschluss">Stammdaten!$D$18</definedName>
    <definedName name="Aufbewahrung">Stammdaten!$D$27</definedName>
    <definedName name="Berichtsjahr">Stammdaten!$D$30</definedName>
    <definedName name="_xlnm.Print_Area" localSheetId="1">Auswertung!$A$1:$N$130</definedName>
    <definedName name="_xlnm.Print_Area" localSheetId="2">Stammdaten!$A$1:$H$80</definedName>
    <definedName name="_xlnm.Print_Area" localSheetId="0">Teilnehmerliste!$A$1:$W$101</definedName>
    <definedName name="_xlnm.Print_Titles" localSheetId="0">Teilnehmerliste!$16:$17</definedName>
    <definedName name="Kapazitaet">Stammdaten!$D$21</definedName>
    <definedName name="L_JaNein">Stammdaten!$E$56:$E$57</definedName>
    <definedName name="L_Status">Stammdaten!$B$56:$B$60</definedName>
    <definedName name="L_Verpflegung">Stammdaten!$D$56:$D$61</definedName>
    <definedName name="L_Zahlung">Stammdaten!$C$56:$C$59</definedName>
    <definedName name="Loeschdatum">Stammdaten!$D$28</definedName>
    <definedName name="Mindestteilnehmer">Stammdaten!$D$22</definedName>
    <definedName name="MwSt_Satz">Stammdaten!$D$24</definedName>
    <definedName name="O_Organisation">Stammdaten!$B$45:$B$52</definedName>
    <definedName name="Stichtag">Stammdaten!$D$29</definedName>
    <definedName name="T_Brutto">Stammdaten!$F$34:$F$41</definedName>
    <definedName name="T_Tarif">Stammdaten!$B$34:$B$41</definedName>
    <definedName name="T_Zertifikat">Stammdaten!$H$34:$H$41</definedName>
    <definedName name="Veranstaltungsdatum">Stammdaten!$D$14</definedName>
    <definedName name="Zahlungsfrist">Stammdaten!$D$23</definedName>
    <definedName name="Ziel_Auslastung">Stammdaten!$D$25</definedName>
    <definedName name="Ziel_Checkin">Stammdaten!$D$26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1" i="3" l="1"/>
  <c r="E41" i="3"/>
  <c r="E40" i="3"/>
  <c r="F40" i="3" s="1"/>
  <c r="E39" i="3"/>
  <c r="F39" i="3" s="1"/>
  <c r="E38" i="3"/>
  <c r="F38" i="3" s="1"/>
  <c r="F37" i="3"/>
  <c r="E37" i="3"/>
  <c r="E36" i="3"/>
  <c r="F36" i="3" s="1"/>
  <c r="E35" i="3"/>
  <c r="F35" i="3" s="1"/>
  <c r="E34" i="3"/>
  <c r="F34" i="3" s="1"/>
  <c r="D29" i="3"/>
  <c r="D28" i="3"/>
  <c r="F89" i="2" s="1"/>
  <c r="J89" i="2"/>
  <c r="H89" i="2"/>
  <c r="H88" i="2"/>
  <c r="H83" i="2"/>
  <c r="F83" i="2"/>
  <c r="J83" i="2" s="1"/>
  <c r="H82" i="2"/>
  <c r="F82" i="2"/>
  <c r="J82" i="2" s="1"/>
  <c r="H81" i="2"/>
  <c r="F81" i="2"/>
  <c r="J81" i="2" s="1"/>
  <c r="K76" i="2"/>
  <c r="I76" i="2"/>
  <c r="G76" i="2"/>
  <c r="F76" i="2"/>
  <c r="D76" i="2"/>
  <c r="C76" i="2"/>
  <c r="F75" i="2"/>
  <c r="D75" i="2"/>
  <c r="C75" i="2"/>
  <c r="H74" i="2"/>
  <c r="K74" i="2" s="1"/>
  <c r="G74" i="2"/>
  <c r="F74" i="2"/>
  <c r="D74" i="2"/>
  <c r="C74" i="2"/>
  <c r="K73" i="2"/>
  <c r="H73" i="2"/>
  <c r="I73" i="2" s="1"/>
  <c r="G73" i="2"/>
  <c r="F73" i="2"/>
  <c r="D73" i="2"/>
  <c r="C73" i="2"/>
  <c r="F72" i="2"/>
  <c r="D72" i="2"/>
  <c r="C72" i="2"/>
  <c r="G71" i="2"/>
  <c r="F71" i="2"/>
  <c r="D71" i="2"/>
  <c r="C71" i="2"/>
  <c r="F70" i="2"/>
  <c r="D70" i="2"/>
  <c r="C70" i="2"/>
  <c r="H69" i="2"/>
  <c r="K69" i="2" s="1"/>
  <c r="G69" i="2"/>
  <c r="F69" i="2"/>
  <c r="D69" i="2"/>
  <c r="C69" i="2"/>
  <c r="E64" i="2"/>
  <c r="D64" i="2"/>
  <c r="G64" i="2" s="1"/>
  <c r="L63" i="2"/>
  <c r="E63" i="2"/>
  <c r="D63" i="2"/>
  <c r="G63" i="2" s="1"/>
  <c r="G62" i="2"/>
  <c r="E62" i="2"/>
  <c r="D62" i="2"/>
  <c r="L61" i="2"/>
  <c r="G61" i="2"/>
  <c r="E61" i="2"/>
  <c r="E65" i="2" s="1"/>
  <c r="D61" i="2"/>
  <c r="L60" i="2"/>
  <c r="E60" i="2"/>
  <c r="D60" i="2"/>
  <c r="G60" i="2" s="1"/>
  <c r="L59" i="2"/>
  <c r="E59" i="2"/>
  <c r="D59" i="2"/>
  <c r="G59" i="2" s="1"/>
  <c r="I55" i="2"/>
  <c r="H55" i="2"/>
  <c r="I54" i="2"/>
  <c r="H54" i="2"/>
  <c r="F54" i="2"/>
  <c r="D54" i="2"/>
  <c r="H53" i="2"/>
  <c r="F53" i="2"/>
  <c r="D53" i="2"/>
  <c r="I53" i="2" s="1"/>
  <c r="H52" i="2"/>
  <c r="F52" i="2"/>
  <c r="D52" i="2"/>
  <c r="I52" i="2" s="1"/>
  <c r="H51" i="2"/>
  <c r="F51" i="2"/>
  <c r="D51" i="2"/>
  <c r="I51" i="2" s="1"/>
  <c r="I50" i="2"/>
  <c r="H50" i="2"/>
  <c r="F50" i="2"/>
  <c r="D50" i="2"/>
  <c r="H49" i="2"/>
  <c r="F49" i="2"/>
  <c r="D49" i="2"/>
  <c r="I49" i="2" s="1"/>
  <c r="H48" i="2"/>
  <c r="F48" i="2"/>
  <c r="D48" i="2"/>
  <c r="H47" i="2"/>
  <c r="F47" i="2"/>
  <c r="D47" i="2"/>
  <c r="H46" i="2"/>
  <c r="F46" i="2"/>
  <c r="D46" i="2"/>
  <c r="H45" i="2"/>
  <c r="F45" i="2"/>
  <c r="F55" i="2" s="1"/>
  <c r="D45" i="2"/>
  <c r="I44" i="2"/>
  <c r="H44" i="2"/>
  <c r="F44" i="2"/>
  <c r="D44" i="2"/>
  <c r="H43" i="2"/>
  <c r="F43" i="2"/>
  <c r="D43" i="2"/>
  <c r="E53" i="2" s="1"/>
  <c r="G53" i="2" s="1"/>
  <c r="I38" i="2"/>
  <c r="G38" i="2"/>
  <c r="E38" i="2"/>
  <c r="D38" i="2"/>
  <c r="J38" i="2" s="1"/>
  <c r="C38" i="2"/>
  <c r="C37" i="2"/>
  <c r="E37" i="2" s="1"/>
  <c r="I36" i="2"/>
  <c r="C36" i="2"/>
  <c r="J35" i="2"/>
  <c r="I35" i="2"/>
  <c r="D35" i="2"/>
  <c r="C35" i="2"/>
  <c r="E35" i="2" s="1"/>
  <c r="I34" i="2"/>
  <c r="G34" i="2"/>
  <c r="E34" i="2"/>
  <c r="C34" i="2"/>
  <c r="I33" i="2"/>
  <c r="E33" i="2"/>
  <c r="D33" i="2"/>
  <c r="J33" i="2" s="1"/>
  <c r="C33" i="2"/>
  <c r="C32" i="2"/>
  <c r="E32" i="2" s="1"/>
  <c r="I31" i="2"/>
  <c r="C31" i="2"/>
  <c r="J27" i="2"/>
  <c r="J26" i="2"/>
  <c r="J25" i="2"/>
  <c r="J24" i="2"/>
  <c r="J23" i="2"/>
  <c r="J22" i="2"/>
  <c r="L17" i="2"/>
  <c r="D17" i="2"/>
  <c r="G17" i="2" s="1"/>
  <c r="L16" i="2"/>
  <c r="D16" i="2"/>
  <c r="G16" i="2" s="1"/>
  <c r="L15" i="2"/>
  <c r="D15" i="2"/>
  <c r="L14" i="2"/>
  <c r="D14" i="2"/>
  <c r="G14" i="2" s="1"/>
  <c r="L13" i="2"/>
  <c r="D13" i="2"/>
  <c r="D18" i="2" s="1"/>
  <c r="J8" i="2"/>
  <c r="H8" i="2"/>
  <c r="F8" i="2"/>
  <c r="D8" i="2"/>
  <c r="B8" i="2"/>
  <c r="I3" i="2"/>
  <c r="I2" i="2"/>
  <c r="Q98" i="1"/>
  <c r="F98" i="1"/>
  <c r="W97" i="1"/>
  <c r="U97" i="1"/>
  <c r="P97" i="1"/>
  <c r="M97" i="1"/>
  <c r="K97" i="1"/>
  <c r="B97" i="1"/>
  <c r="W96" i="1"/>
  <c r="U96" i="1"/>
  <c r="P96" i="1"/>
  <c r="K96" i="1"/>
  <c r="M96" i="1" s="1"/>
  <c r="B96" i="1"/>
  <c r="W95" i="1"/>
  <c r="U95" i="1"/>
  <c r="P95" i="1"/>
  <c r="M95" i="1"/>
  <c r="K95" i="1"/>
  <c r="B95" i="1"/>
  <c r="W94" i="1"/>
  <c r="U94" i="1"/>
  <c r="P94" i="1"/>
  <c r="M94" i="1"/>
  <c r="K94" i="1"/>
  <c r="B94" i="1"/>
  <c r="W93" i="1"/>
  <c r="U93" i="1"/>
  <c r="P93" i="1"/>
  <c r="K93" i="1"/>
  <c r="M93" i="1" s="1"/>
  <c r="B93" i="1"/>
  <c r="W92" i="1"/>
  <c r="U92" i="1"/>
  <c r="P92" i="1"/>
  <c r="K92" i="1"/>
  <c r="M92" i="1" s="1"/>
  <c r="B92" i="1"/>
  <c r="W91" i="1"/>
  <c r="U91" i="1"/>
  <c r="P91" i="1"/>
  <c r="K91" i="1"/>
  <c r="M91" i="1" s="1"/>
  <c r="B91" i="1"/>
  <c r="W90" i="1"/>
  <c r="U90" i="1"/>
  <c r="P90" i="1"/>
  <c r="M90" i="1"/>
  <c r="K90" i="1"/>
  <c r="B90" i="1"/>
  <c r="W89" i="1"/>
  <c r="U89" i="1"/>
  <c r="P89" i="1"/>
  <c r="M89" i="1"/>
  <c r="K89" i="1"/>
  <c r="B89" i="1"/>
  <c r="W88" i="1"/>
  <c r="U88" i="1"/>
  <c r="P88" i="1"/>
  <c r="K88" i="1"/>
  <c r="M88" i="1" s="1"/>
  <c r="B88" i="1"/>
  <c r="W87" i="1"/>
  <c r="U87" i="1"/>
  <c r="P87" i="1"/>
  <c r="M87" i="1"/>
  <c r="K87" i="1"/>
  <c r="B87" i="1"/>
  <c r="W86" i="1"/>
  <c r="U86" i="1"/>
  <c r="P86" i="1"/>
  <c r="K86" i="1"/>
  <c r="M86" i="1" s="1"/>
  <c r="B86" i="1"/>
  <c r="W85" i="1"/>
  <c r="U85" i="1"/>
  <c r="P85" i="1"/>
  <c r="M85" i="1"/>
  <c r="K85" i="1"/>
  <c r="B85" i="1"/>
  <c r="W84" i="1"/>
  <c r="U84" i="1"/>
  <c r="P84" i="1"/>
  <c r="M84" i="1"/>
  <c r="K84" i="1"/>
  <c r="B84" i="1"/>
  <c r="W83" i="1"/>
  <c r="U83" i="1"/>
  <c r="P83" i="1"/>
  <c r="K83" i="1"/>
  <c r="M83" i="1" s="1"/>
  <c r="B83" i="1"/>
  <c r="W82" i="1"/>
  <c r="U82" i="1"/>
  <c r="P82" i="1"/>
  <c r="K82" i="1"/>
  <c r="M82" i="1" s="1"/>
  <c r="B82" i="1"/>
  <c r="W81" i="1"/>
  <c r="U81" i="1"/>
  <c r="P81" i="1"/>
  <c r="K81" i="1"/>
  <c r="M81" i="1" s="1"/>
  <c r="B81" i="1"/>
  <c r="W80" i="1"/>
  <c r="U80" i="1"/>
  <c r="P80" i="1"/>
  <c r="M80" i="1"/>
  <c r="K80" i="1"/>
  <c r="B80" i="1"/>
  <c r="W79" i="1"/>
  <c r="U79" i="1"/>
  <c r="P79" i="1"/>
  <c r="M79" i="1"/>
  <c r="K79" i="1"/>
  <c r="B79" i="1"/>
  <c r="W78" i="1"/>
  <c r="U78" i="1"/>
  <c r="P78" i="1"/>
  <c r="K78" i="1"/>
  <c r="M78" i="1" s="1"/>
  <c r="B78" i="1"/>
  <c r="W77" i="1"/>
  <c r="U77" i="1"/>
  <c r="P77" i="1"/>
  <c r="M77" i="1"/>
  <c r="K77" i="1"/>
  <c r="B77" i="1"/>
  <c r="W76" i="1"/>
  <c r="U76" i="1"/>
  <c r="P76" i="1"/>
  <c r="K76" i="1"/>
  <c r="M76" i="1" s="1"/>
  <c r="B76" i="1"/>
  <c r="W75" i="1"/>
  <c r="U75" i="1"/>
  <c r="P75" i="1"/>
  <c r="M75" i="1"/>
  <c r="K75" i="1"/>
  <c r="B75" i="1"/>
  <c r="W74" i="1"/>
  <c r="U74" i="1"/>
  <c r="P74" i="1"/>
  <c r="M74" i="1"/>
  <c r="K74" i="1"/>
  <c r="B74" i="1"/>
  <c r="W73" i="1"/>
  <c r="U73" i="1"/>
  <c r="P73" i="1"/>
  <c r="K73" i="1"/>
  <c r="M73" i="1" s="1"/>
  <c r="B73" i="1"/>
  <c r="W72" i="1"/>
  <c r="U72" i="1"/>
  <c r="P72" i="1"/>
  <c r="K72" i="1"/>
  <c r="M72" i="1" s="1"/>
  <c r="B72" i="1"/>
  <c r="W71" i="1"/>
  <c r="U71" i="1"/>
  <c r="P71" i="1"/>
  <c r="K71" i="1"/>
  <c r="M71" i="1" s="1"/>
  <c r="B71" i="1"/>
  <c r="W70" i="1"/>
  <c r="U70" i="1"/>
  <c r="P70" i="1"/>
  <c r="M70" i="1"/>
  <c r="K70" i="1"/>
  <c r="B70" i="1"/>
  <c r="W69" i="1"/>
  <c r="U69" i="1"/>
  <c r="P69" i="1"/>
  <c r="M69" i="1"/>
  <c r="K69" i="1"/>
  <c r="B69" i="1"/>
  <c r="W68" i="1"/>
  <c r="U68" i="1"/>
  <c r="P68" i="1"/>
  <c r="K68" i="1"/>
  <c r="M68" i="1" s="1"/>
  <c r="B68" i="1"/>
  <c r="W67" i="1"/>
  <c r="U67" i="1"/>
  <c r="P67" i="1"/>
  <c r="M67" i="1"/>
  <c r="K67" i="1"/>
  <c r="B67" i="1"/>
  <c r="W66" i="1"/>
  <c r="U66" i="1"/>
  <c r="P66" i="1"/>
  <c r="K66" i="1"/>
  <c r="M66" i="1" s="1"/>
  <c r="B66" i="1"/>
  <c r="W65" i="1"/>
  <c r="U65" i="1"/>
  <c r="P65" i="1"/>
  <c r="M65" i="1"/>
  <c r="K65" i="1"/>
  <c r="B65" i="1"/>
  <c r="W64" i="1"/>
  <c r="U64" i="1"/>
  <c r="P64" i="1"/>
  <c r="B64" i="1"/>
  <c r="W63" i="1"/>
  <c r="U63" i="1"/>
  <c r="P63" i="1"/>
  <c r="B63" i="1"/>
  <c r="W62" i="1"/>
  <c r="U62" i="1"/>
  <c r="P62" i="1"/>
  <c r="B62" i="1"/>
  <c r="W61" i="1"/>
  <c r="U61" i="1"/>
  <c r="P61" i="1"/>
  <c r="B61" i="1"/>
  <c r="W60" i="1"/>
  <c r="U60" i="1"/>
  <c r="P60" i="1"/>
  <c r="B60" i="1"/>
  <c r="W59" i="1"/>
  <c r="U59" i="1"/>
  <c r="P59" i="1"/>
  <c r="K59" i="1"/>
  <c r="M59" i="1" s="1"/>
  <c r="B59" i="1"/>
  <c r="W58" i="1"/>
  <c r="U58" i="1"/>
  <c r="P58" i="1"/>
  <c r="B58" i="1"/>
  <c r="W57" i="1"/>
  <c r="U57" i="1"/>
  <c r="P57" i="1"/>
  <c r="B57" i="1"/>
  <c r="W56" i="1"/>
  <c r="U56" i="1"/>
  <c r="P56" i="1"/>
  <c r="B56" i="1"/>
  <c r="W55" i="1"/>
  <c r="U55" i="1"/>
  <c r="P55" i="1"/>
  <c r="B55" i="1"/>
  <c r="W54" i="1"/>
  <c r="U54" i="1"/>
  <c r="P54" i="1"/>
  <c r="B54" i="1"/>
  <c r="W53" i="1"/>
  <c r="U53" i="1"/>
  <c r="P53" i="1"/>
  <c r="B53" i="1"/>
  <c r="W52" i="1"/>
  <c r="U52" i="1"/>
  <c r="P52" i="1"/>
  <c r="B52" i="1"/>
  <c r="W51" i="1"/>
  <c r="U51" i="1"/>
  <c r="P51" i="1"/>
  <c r="K51" i="1"/>
  <c r="M51" i="1" s="1"/>
  <c r="B51" i="1"/>
  <c r="W50" i="1"/>
  <c r="U50" i="1"/>
  <c r="P50" i="1"/>
  <c r="B50" i="1"/>
  <c r="W49" i="1"/>
  <c r="U49" i="1"/>
  <c r="P49" i="1"/>
  <c r="K49" i="1"/>
  <c r="M49" i="1" s="1"/>
  <c r="H38" i="2" s="1"/>
  <c r="B49" i="1"/>
  <c r="W48" i="1"/>
  <c r="U48" i="1"/>
  <c r="P48" i="1"/>
  <c r="B48" i="1"/>
  <c r="W47" i="1"/>
  <c r="U47" i="1"/>
  <c r="P47" i="1"/>
  <c r="B47" i="1"/>
  <c r="W46" i="1"/>
  <c r="U46" i="1"/>
  <c r="P46" i="1"/>
  <c r="B46" i="1"/>
  <c r="W45" i="1"/>
  <c r="U45" i="1"/>
  <c r="P45" i="1"/>
  <c r="B45" i="1"/>
  <c r="W44" i="1"/>
  <c r="U44" i="1"/>
  <c r="P44" i="1"/>
  <c r="B44" i="1"/>
  <c r="W43" i="1"/>
  <c r="U43" i="1"/>
  <c r="P43" i="1"/>
  <c r="M43" i="1"/>
  <c r="K43" i="1"/>
  <c r="B43" i="1"/>
  <c r="W42" i="1"/>
  <c r="U42" i="1"/>
  <c r="P42" i="1"/>
  <c r="B42" i="1"/>
  <c r="W41" i="1"/>
  <c r="U41" i="1"/>
  <c r="P41" i="1"/>
  <c r="B41" i="1"/>
  <c r="W40" i="1"/>
  <c r="U40" i="1"/>
  <c r="P40" i="1"/>
  <c r="B40" i="1"/>
  <c r="W39" i="1"/>
  <c r="U39" i="1"/>
  <c r="P39" i="1"/>
  <c r="B39" i="1"/>
  <c r="W38" i="1"/>
  <c r="U38" i="1"/>
  <c r="P38" i="1"/>
  <c r="B38" i="1"/>
  <c r="W37" i="1"/>
  <c r="U37" i="1"/>
  <c r="P37" i="1"/>
  <c r="B37" i="1"/>
  <c r="W36" i="1"/>
  <c r="U36" i="1"/>
  <c r="P36" i="1"/>
  <c r="K36" i="1"/>
  <c r="M36" i="1" s="1"/>
  <c r="B36" i="1"/>
  <c r="W35" i="1"/>
  <c r="W98" i="1" s="1"/>
  <c r="U35" i="1"/>
  <c r="P35" i="1"/>
  <c r="B35" i="1"/>
  <c r="W34" i="1"/>
  <c r="U34" i="1"/>
  <c r="P34" i="1"/>
  <c r="B34" i="1"/>
  <c r="W33" i="1"/>
  <c r="U33" i="1"/>
  <c r="P33" i="1"/>
  <c r="B33" i="1"/>
  <c r="W32" i="1"/>
  <c r="U32" i="1"/>
  <c r="P32" i="1"/>
  <c r="B32" i="1"/>
  <c r="W31" i="1"/>
  <c r="U31" i="1"/>
  <c r="P31" i="1"/>
  <c r="B31" i="1"/>
  <c r="W30" i="1"/>
  <c r="U30" i="1"/>
  <c r="P30" i="1"/>
  <c r="B30" i="1"/>
  <c r="W29" i="1"/>
  <c r="U29" i="1"/>
  <c r="P29" i="1"/>
  <c r="K29" i="1"/>
  <c r="M29" i="1" s="1"/>
  <c r="B29" i="1"/>
  <c r="W28" i="1"/>
  <c r="U28" i="1"/>
  <c r="P28" i="1"/>
  <c r="B28" i="1"/>
  <c r="W27" i="1"/>
  <c r="U27" i="1"/>
  <c r="P27" i="1"/>
  <c r="B27" i="1"/>
  <c r="W26" i="1"/>
  <c r="U26" i="1"/>
  <c r="P26" i="1"/>
  <c r="B26" i="1"/>
  <c r="W25" i="1"/>
  <c r="U25" i="1"/>
  <c r="P25" i="1"/>
  <c r="B25" i="1"/>
  <c r="W24" i="1"/>
  <c r="U24" i="1"/>
  <c r="P24" i="1"/>
  <c r="B24" i="1"/>
  <c r="W23" i="1"/>
  <c r="U23" i="1"/>
  <c r="P23" i="1"/>
  <c r="B23" i="1"/>
  <c r="W22" i="1"/>
  <c r="U22" i="1"/>
  <c r="P22" i="1"/>
  <c r="B22" i="1"/>
  <c r="W21" i="1"/>
  <c r="U21" i="1"/>
  <c r="P21" i="1"/>
  <c r="K21" i="1"/>
  <c r="M21" i="1" s="1"/>
  <c r="B21" i="1"/>
  <c r="W20" i="1"/>
  <c r="U20" i="1"/>
  <c r="P20" i="1"/>
  <c r="K20" i="1"/>
  <c r="M20" i="1" s="1"/>
  <c r="B20" i="1"/>
  <c r="W19" i="1"/>
  <c r="U19" i="1"/>
  <c r="P19" i="1"/>
  <c r="B19" i="1"/>
  <c r="W18" i="1"/>
  <c r="U18" i="1"/>
  <c r="U98" i="1" s="1"/>
  <c r="P18" i="1"/>
  <c r="H26" i="2" s="1"/>
  <c r="B18" i="1"/>
  <c r="R13" i="1"/>
  <c r="N13" i="1"/>
  <c r="J13" i="1"/>
  <c r="H13" i="1"/>
  <c r="F13" i="1"/>
  <c r="B13" i="1"/>
  <c r="V8" i="1"/>
  <c r="P8" i="1"/>
  <c r="K8" i="1"/>
  <c r="G8" i="1"/>
  <c r="D8" i="1"/>
  <c r="V7" i="1"/>
  <c r="P7" i="1"/>
  <c r="K7" i="1"/>
  <c r="G7" i="1"/>
  <c r="D7" i="1"/>
  <c r="N3" i="1"/>
  <c r="N2" i="1"/>
  <c r="F88" i="2" l="1"/>
  <c r="J88" i="2" s="1"/>
  <c r="H34" i="2"/>
  <c r="J70" i="2"/>
  <c r="E17" i="2"/>
  <c r="E13" i="2"/>
  <c r="E15" i="2"/>
  <c r="K25" i="1"/>
  <c r="M25" i="1" s="1"/>
  <c r="G33" i="2"/>
  <c r="K63" i="1"/>
  <c r="M63" i="1" s="1"/>
  <c r="K33" i="1"/>
  <c r="M33" i="1" s="1"/>
  <c r="K56" i="1"/>
  <c r="M56" i="1" s="1"/>
  <c r="K48" i="1"/>
  <c r="M48" i="1" s="1"/>
  <c r="K41" i="1"/>
  <c r="M41" i="1" s="1"/>
  <c r="K55" i="1"/>
  <c r="M55" i="1" s="1"/>
  <c r="J76" i="2" s="1"/>
  <c r="G36" i="2"/>
  <c r="K57" i="1"/>
  <c r="M57" i="1" s="1"/>
  <c r="K52" i="1"/>
  <c r="M52" i="1" s="1"/>
  <c r="K34" i="1"/>
  <c r="M34" i="1" s="1"/>
  <c r="H35" i="2" s="1"/>
  <c r="K46" i="1"/>
  <c r="M46" i="1" s="1"/>
  <c r="G35" i="2"/>
  <c r="G37" i="2"/>
  <c r="K26" i="1"/>
  <c r="M26" i="1" s="1"/>
  <c r="K38" i="1"/>
  <c r="M38" i="1" s="1"/>
  <c r="I46" i="2"/>
  <c r="J75" i="2"/>
  <c r="K28" i="1"/>
  <c r="M28" i="1" s="1"/>
  <c r="K24" i="1"/>
  <c r="M24" i="1" s="1"/>
  <c r="J73" i="2" s="1"/>
  <c r="G31" i="2"/>
  <c r="K23" i="1"/>
  <c r="M23" i="1" s="1"/>
  <c r="J72" i="2" s="1"/>
  <c r="K27" i="1"/>
  <c r="M27" i="1" s="1"/>
  <c r="K19" i="1"/>
  <c r="M19" i="1" s="1"/>
  <c r="K22" i="1"/>
  <c r="M22" i="1" s="1"/>
  <c r="K30" i="1"/>
  <c r="M30" i="1" s="1"/>
  <c r="K18" i="1"/>
  <c r="G32" i="2"/>
  <c r="K45" i="1"/>
  <c r="M45" i="1" s="1"/>
  <c r="K35" i="1"/>
  <c r="M35" i="1" s="1"/>
  <c r="K47" i="1"/>
  <c r="M47" i="1" s="1"/>
  <c r="K37" i="1"/>
  <c r="M37" i="1" s="1"/>
  <c r="K58" i="1"/>
  <c r="M58" i="1" s="1"/>
  <c r="K61" i="1"/>
  <c r="M61" i="1" s="1"/>
  <c r="K54" i="1"/>
  <c r="M54" i="1" s="1"/>
  <c r="K44" i="1"/>
  <c r="M44" i="1" s="1"/>
  <c r="K50" i="1"/>
  <c r="M50" i="1" s="1"/>
  <c r="K40" i="1"/>
  <c r="M40" i="1" s="1"/>
  <c r="K64" i="1"/>
  <c r="M64" i="1" s="1"/>
  <c r="F17" i="2" s="1"/>
  <c r="K60" i="1"/>
  <c r="M60" i="1" s="1"/>
  <c r="K53" i="1"/>
  <c r="M53" i="1" s="1"/>
  <c r="J71" i="2" s="1"/>
  <c r="K39" i="1"/>
  <c r="M39" i="1" s="1"/>
  <c r="K32" i="1"/>
  <c r="M32" i="1" s="1"/>
  <c r="H32" i="2" s="1"/>
  <c r="K62" i="1"/>
  <c r="M62" i="1" s="1"/>
  <c r="F16" i="2" s="1"/>
  <c r="K42" i="1"/>
  <c r="M42" i="1" s="1"/>
  <c r="K31" i="1"/>
  <c r="M31" i="1" s="1"/>
  <c r="I22" i="2"/>
  <c r="I26" i="2"/>
  <c r="H37" i="2"/>
  <c r="E50" i="2"/>
  <c r="G50" i="2" s="1"/>
  <c r="G70" i="2"/>
  <c r="G77" i="2" s="1"/>
  <c r="G75" i="2"/>
  <c r="G15" i="2"/>
  <c r="I32" i="2"/>
  <c r="I39" i="2" s="1"/>
  <c r="I37" i="2"/>
  <c r="H70" i="2"/>
  <c r="K70" i="2" s="1"/>
  <c r="H75" i="2"/>
  <c r="K75" i="2" s="1"/>
  <c r="D23" i="2"/>
  <c r="D27" i="2"/>
  <c r="I43" i="2"/>
  <c r="E47" i="2"/>
  <c r="F23" i="2"/>
  <c r="F27" i="2"/>
  <c r="E16" i="2"/>
  <c r="H23" i="2"/>
  <c r="H27" i="2"/>
  <c r="E44" i="2"/>
  <c r="G44" i="2" s="1"/>
  <c r="E54" i="2"/>
  <c r="I23" i="2"/>
  <c r="I27" i="2"/>
  <c r="D65" i="2"/>
  <c r="E51" i="2"/>
  <c r="G51" i="2" s="1"/>
  <c r="D24" i="2"/>
  <c r="F24" i="2"/>
  <c r="D31" i="2"/>
  <c r="D36" i="2"/>
  <c r="E48" i="2"/>
  <c r="G48" i="2" s="1"/>
  <c r="H24" i="2"/>
  <c r="E31" i="2"/>
  <c r="E36" i="2"/>
  <c r="D55" i="2"/>
  <c r="H71" i="2"/>
  <c r="H76" i="2"/>
  <c r="I24" i="2"/>
  <c r="E45" i="2"/>
  <c r="F85" i="2"/>
  <c r="J85" i="2" s="1"/>
  <c r="G13" i="2"/>
  <c r="D25" i="2"/>
  <c r="D34" i="2"/>
  <c r="E52" i="2"/>
  <c r="G52" i="2" s="1"/>
  <c r="F86" i="2"/>
  <c r="J86" i="2" s="1"/>
  <c r="F25" i="2"/>
  <c r="F77" i="2"/>
  <c r="K77" i="2" s="1"/>
  <c r="E14" i="2"/>
  <c r="H25" i="2"/>
  <c r="E49" i="2"/>
  <c r="G49" i="2" s="1"/>
  <c r="L62" i="2"/>
  <c r="I69" i="2"/>
  <c r="I74" i="2"/>
  <c r="F87" i="2"/>
  <c r="J87" i="2" s="1"/>
  <c r="I25" i="2"/>
  <c r="G18" i="2"/>
  <c r="D32" i="2"/>
  <c r="D37" i="2"/>
  <c r="E46" i="2"/>
  <c r="G46" i="2" s="1"/>
  <c r="G72" i="2"/>
  <c r="D22" i="2"/>
  <c r="D26" i="2"/>
  <c r="F59" i="2"/>
  <c r="F63" i="2"/>
  <c r="H72" i="2"/>
  <c r="K72" i="2" s="1"/>
  <c r="F22" i="2"/>
  <c r="F26" i="2"/>
  <c r="E43" i="2"/>
  <c r="G43" i="2" s="1"/>
  <c r="H22" i="2"/>
  <c r="I72" i="2" l="1"/>
  <c r="G55" i="2"/>
  <c r="E55" i="2"/>
  <c r="G54" i="2"/>
  <c r="F13" i="2"/>
  <c r="J31" i="2"/>
  <c r="D39" i="2"/>
  <c r="F34" i="2" s="1"/>
  <c r="F31" i="2"/>
  <c r="J34" i="2"/>
  <c r="F62" i="2"/>
  <c r="G65" i="2"/>
  <c r="F61" i="2"/>
  <c r="F64" i="2"/>
  <c r="F15" i="2"/>
  <c r="E18" i="2"/>
  <c r="E39" i="2"/>
  <c r="I75" i="2"/>
  <c r="I48" i="2"/>
  <c r="F65" i="2"/>
  <c r="J32" i="2"/>
  <c r="H77" i="2"/>
  <c r="I77" i="2" s="1"/>
  <c r="H36" i="2"/>
  <c r="I70" i="2"/>
  <c r="M18" i="1"/>
  <c r="K98" i="1"/>
  <c r="F37" i="2"/>
  <c r="J37" i="2"/>
  <c r="I45" i="2"/>
  <c r="G45" i="2"/>
  <c r="J74" i="2"/>
  <c r="H33" i="2"/>
  <c r="K71" i="2"/>
  <c r="I71" i="2"/>
  <c r="V13" i="1"/>
  <c r="F84" i="2"/>
  <c r="J84" i="2" s="1"/>
  <c r="F60" i="2"/>
  <c r="J36" i="2"/>
  <c r="F36" i="2"/>
  <c r="I47" i="2"/>
  <c r="G47" i="2"/>
  <c r="M98" i="1" l="1"/>
  <c r="J69" i="2"/>
  <c r="J77" i="2" s="1"/>
  <c r="F14" i="2"/>
  <c r="F18" i="2" s="1"/>
  <c r="L8" i="2"/>
  <c r="L64" i="2"/>
  <c r="H31" i="2"/>
  <c r="H39" i="2" s="1"/>
  <c r="G39" i="2" s="1"/>
  <c r="F33" i="2"/>
  <c r="F35" i="2"/>
  <c r="F38" i="2"/>
  <c r="F32" i="2"/>
  <c r="F39" i="2" s="1"/>
</calcChain>
</file>

<file path=xl/sharedStrings.xml><?xml version="1.0" encoding="utf-8"?>
<sst xmlns="http://schemas.openxmlformats.org/spreadsheetml/2006/main" count="966" uniqueCount="509">
  <si>
    <t>Anmeldung · Platzvergabe · Zahlungen · Check-in in einer Erfassung</t>
  </si>
  <si>
    <t>01</t>
  </si>
  <si>
    <t>VERANSTALTUNG &amp; RAHMENDATEN</t>
  </si>
  <si>
    <t>Automatisch aus dem Blatt Stammdaten übernommen</t>
  </si>
  <si>
    <t>Veranstalter</t>
  </si>
  <si>
    <t>Veranstaltung</t>
  </si>
  <si>
    <t>Art</t>
  </si>
  <si>
    <t>Datum</t>
  </si>
  <si>
    <t>Uhrzeit</t>
  </si>
  <si>
    <t>Ort</t>
  </si>
  <si>
    <t>Ansprechpartner/in</t>
  </si>
  <si>
    <t>Anmeldeschluss</t>
  </si>
  <si>
    <t>Plätze gesamt</t>
  </si>
  <si>
    <t>Stichtag</t>
  </si>
  <si>
    <t>02</t>
  </si>
  <si>
    <t>KENNZAHLEN ZUM ANMELDESTAND</t>
  </si>
  <si>
    <t>Alle Werte berechnen sich aus der Erfassung unten</t>
  </si>
  <si>
    <t>ANMELDUNGEN GESAMT</t>
  </si>
  <si>
    <t>BELEGTE PLÄTZE</t>
  </si>
  <si>
    <t>FREIE PLÄTZE</t>
  </si>
  <si>
    <t>AUSLASTUNG</t>
  </si>
  <si>
    <t>WARTELISTE</t>
  </si>
  <si>
    <t>CHECK-IN-QUOTE</t>
  </si>
  <si>
    <t>OFFENE FORDERUNGEN</t>
  </si>
  <si>
    <t>Einträge in der Liste</t>
  </si>
  <si>
    <t>bestätigt und angemeldet</t>
  </si>
  <si>
    <t>bis zur Kapazitätsgrenze</t>
  </si>
  <si>
    <t>Ziel laut Stammdaten</t>
  </si>
  <si>
    <t>Nachrücker in Reihenfolge</t>
  </si>
  <si>
    <t>anwesend am Veranstaltungstag</t>
  </si>
  <si>
    <t>noch nicht gezahlte Beträge</t>
  </si>
  <si>
    <t>03</t>
  </si>
  <si>
    <t>TEILNEHMERERFASSUNG</t>
  </si>
  <si>
    <t>Gelbe Spalten ausfüllen · graue Spalten berechnen sich selbst</t>
  </si>
  <si>
    <t>Nr.</t>
  </si>
  <si>
    <t>Anmelde-
datum</t>
  </si>
  <si>
    <t>Nachname</t>
  </si>
  <si>
    <t>Vorname</t>
  </si>
  <si>
    <t>Organisation</t>
  </si>
  <si>
    <t>Funktion /
Bereich</t>
  </si>
  <si>
    <t>E-Mail</t>
  </si>
  <si>
    <t>Telefon</t>
  </si>
  <si>
    <t>Tarif</t>
  </si>
  <si>
    <t>Gebühr
brutto</t>
  </si>
  <si>
    <t>Rabatt</t>
  </si>
  <si>
    <t>Zahlbetrag</t>
  </si>
  <si>
    <t>Zahlungs-
status</t>
  </si>
  <si>
    <t>Teilnahme-
status</t>
  </si>
  <si>
    <t>Rang
WL</t>
  </si>
  <si>
    <t>Check-in</t>
  </si>
  <si>
    <t>Verpflegung</t>
  </si>
  <si>
    <t>Einwil-
ligung</t>
  </si>
  <si>
    <t>Zertifikat</t>
  </si>
  <si>
    <t>Bemerkung</t>
  </si>
  <si>
    <t>Prüfhinweis</t>
  </si>
  <si>
    <t>Ahrens</t>
  </si>
  <si>
    <t>Katrin</t>
  </si>
  <si>
    <t>Nordlicht Systeme GmbH</t>
  </si>
  <si>
    <t>Projektleitung</t>
  </si>
  <si>
    <t>katrin.ahrens@nordlicht-systeme.de</t>
  </si>
  <si>
    <t>0441 5502-100</t>
  </si>
  <si>
    <t>Frühbucher</t>
  </si>
  <si>
    <t>Bezahlt</t>
  </si>
  <si>
    <t>Bestätigt</t>
  </si>
  <si>
    <t>Ja</t>
  </si>
  <si>
    <t>Standard</t>
  </si>
  <si>
    <t>Brandt</t>
  </si>
  <si>
    <t>Simon</t>
  </si>
  <si>
    <t>Fachkraft</t>
  </si>
  <si>
    <t>simon.brandt@nordlicht-systeme.de</t>
  </si>
  <si>
    <t>0441 5502-107</t>
  </si>
  <si>
    <t>Vegetarisch</t>
  </si>
  <si>
    <t>Cordes</t>
  </si>
  <si>
    <t>Miriam</t>
  </si>
  <si>
    <t>Muster Stadtwerke AG</t>
  </si>
  <si>
    <t>Teamleitung</t>
  </si>
  <si>
    <t>miriam.cordes@stadtwerke-muster.de</t>
  </si>
  <si>
    <t>0441 7710-114</t>
  </si>
  <si>
    <t>Firmenkontingent</t>
  </si>
  <si>
    <t>Dahlke</t>
  </si>
  <si>
    <t>Jonas</t>
  </si>
  <si>
    <t>Sachbearbeitung</t>
  </si>
  <si>
    <t>jonas.dahlke@stadtwerke-muster.de</t>
  </si>
  <si>
    <t>0441 7710-121</t>
  </si>
  <si>
    <t>Engel</t>
  </si>
  <si>
    <t>Petra</t>
  </si>
  <si>
    <t>Bergmann &amp; Partner mbB</t>
  </si>
  <si>
    <t>Beratung</t>
  </si>
  <si>
    <t>petra.engel@bergmann-partner.de</t>
  </si>
  <si>
    <t>0441 3348-128</t>
  </si>
  <si>
    <t>Rabatt lt. Kooperationsvereinbarung</t>
  </si>
  <si>
    <t>Falk</t>
  </si>
  <si>
    <t>Andreas</t>
  </si>
  <si>
    <t>Sonnenfeld Logistik GmbH</t>
  </si>
  <si>
    <t>Disposition</t>
  </si>
  <si>
    <t>andreas.falk@sonnenfeld-logistik.de</t>
  </si>
  <si>
    <t>0441 6620-135</t>
  </si>
  <si>
    <t>Gerber</t>
  </si>
  <si>
    <t>Nina</t>
  </si>
  <si>
    <t>Werkstoff Technik AG</t>
  </si>
  <si>
    <t>Qualitätssicherung</t>
  </si>
  <si>
    <t>nina.gerber@werkstoff-technik.de</t>
  </si>
  <si>
    <t>0441 4415-142</t>
  </si>
  <si>
    <t>Glutenfrei</t>
  </si>
  <si>
    <t>Hoffmann</t>
  </si>
  <si>
    <t>Lars</t>
  </si>
  <si>
    <t>Verwaltung Musterkreis</t>
  </si>
  <si>
    <t>Verwaltung</t>
  </si>
  <si>
    <t>lars.hoffmann@musterkreis.de</t>
  </si>
  <si>
    <t>0441 9903-149</t>
  </si>
  <si>
    <t>Mitglied</t>
  </si>
  <si>
    <t>Iversen</t>
  </si>
  <si>
    <t>Claudia</t>
  </si>
  <si>
    <t>Institut für Weiterbildung Musterstadt</t>
  </si>
  <si>
    <t>Referentin</t>
  </si>
  <si>
    <t>claudia.iversen@ifw-musterstadt.de</t>
  </si>
  <si>
    <t>0441 2274-156</t>
  </si>
  <si>
    <t>Referent/in</t>
  </si>
  <si>
    <t>Entfällt</t>
  </si>
  <si>
    <t>Programmblock A</t>
  </si>
  <si>
    <t>Jansen</t>
  </si>
  <si>
    <t>Tobias</t>
  </si>
  <si>
    <t>tobias.jansen@nordlicht-systeme.de</t>
  </si>
  <si>
    <t>0441 5502-163</t>
  </si>
  <si>
    <t>Kaufmann</t>
  </si>
  <si>
    <t>Elena</t>
  </si>
  <si>
    <t>Assistenz</t>
  </si>
  <si>
    <t>elena.kaufmann@nordlicht-systeme.de</t>
  </si>
  <si>
    <t>0441 5502-170</t>
  </si>
  <si>
    <t>Vegan</t>
  </si>
  <si>
    <t>Lindner</t>
  </si>
  <si>
    <t>Michael</t>
  </si>
  <si>
    <t>michael.lindner@stadtwerke-muster.de</t>
  </si>
  <si>
    <t>0441 7710-177</t>
  </si>
  <si>
    <t>Maurer</t>
  </si>
  <si>
    <t>Sabine</t>
  </si>
  <si>
    <t>sabine.maurer@bergmann-partner.de</t>
  </si>
  <si>
    <t>0441 3348-184</t>
  </si>
  <si>
    <t>Neumann</t>
  </si>
  <si>
    <t>Christoph</t>
  </si>
  <si>
    <t>christoph.neumann@sonnenfeld-logistik.de</t>
  </si>
  <si>
    <t>0441 6620-191</t>
  </si>
  <si>
    <t>Ortmann</t>
  </si>
  <si>
    <t>Julia</t>
  </si>
  <si>
    <t>julia.ortmann@werkstoff-technik.de</t>
  </si>
  <si>
    <t>0441 4415-198</t>
  </si>
  <si>
    <t>Peters</t>
  </si>
  <si>
    <t>Daniel</t>
  </si>
  <si>
    <t>daniel.peters@musterkreis.de</t>
  </si>
  <si>
    <t>0441 9903-205</t>
  </si>
  <si>
    <t>Quandt</t>
  </si>
  <si>
    <t>Frauke</t>
  </si>
  <si>
    <t>Privat / Freiberuflich</t>
  </si>
  <si>
    <t>Freiberuflich</t>
  </si>
  <si>
    <t>frauke.quandt@mail-muster.de</t>
  </si>
  <si>
    <t>0170 4489-212</t>
  </si>
  <si>
    <t>Ermäßigt</t>
  </si>
  <si>
    <t>Nachweis liegt vor</t>
  </si>
  <si>
    <t>Richter</t>
  </si>
  <si>
    <t>Marco</t>
  </si>
  <si>
    <t>marco.richter@nordlicht-systeme.de</t>
  </si>
  <si>
    <t>0441 5502-219</t>
  </si>
  <si>
    <t>Offen</t>
  </si>
  <si>
    <t>Rechnung an Zentraleinkauf</t>
  </si>
  <si>
    <t>Sander</t>
  </si>
  <si>
    <t>Anke</t>
  </si>
  <si>
    <t>anke.sander@stadtwerke-muster.de</t>
  </si>
  <si>
    <t>0441 7710-226</t>
  </si>
  <si>
    <t>Laktosefrei</t>
  </si>
  <si>
    <t>Thiel</t>
  </si>
  <si>
    <t>Robert</t>
  </si>
  <si>
    <t>robert.thiel@bergmann-partner.de</t>
  </si>
  <si>
    <t>0441 3348-233</t>
  </si>
  <si>
    <t>Uhlig</t>
  </si>
  <si>
    <t>Beate</t>
  </si>
  <si>
    <t>beate.uhlig@ifw-musterstadt.de</t>
  </si>
  <si>
    <t>0441 2274-240</t>
  </si>
  <si>
    <t>Programmblock C</t>
  </si>
  <si>
    <t>Vogler</t>
  </si>
  <si>
    <t>Stefan</t>
  </si>
  <si>
    <t>stefan.vogler@sonnenfeld-logistik.de</t>
  </si>
  <si>
    <t>0441 6620-247</t>
  </si>
  <si>
    <t>Wendt</t>
  </si>
  <si>
    <t>Carolin</t>
  </si>
  <si>
    <t>carolin.wendt@werkstoff-technik.de</t>
  </si>
  <si>
    <t>0441 4415-254</t>
  </si>
  <si>
    <t>Zahlungserinnerung versendet</t>
  </si>
  <si>
    <t>Zeller</t>
  </si>
  <si>
    <t>Markus</t>
  </si>
  <si>
    <t>markus.zeller@musterkreis.de</t>
  </si>
  <si>
    <t>0441 9903-261</t>
  </si>
  <si>
    <t>Albrecht</t>
  </si>
  <si>
    <t>Svenja</t>
  </si>
  <si>
    <t>svenja.albrecht@nordlicht-systeme.de</t>
  </si>
  <si>
    <t>0441 5502-268</t>
  </si>
  <si>
    <t>Nein</t>
  </si>
  <si>
    <t>Einwilligung nachfordern</t>
  </si>
  <si>
    <t>Böhm</t>
  </si>
  <si>
    <t>Timo</t>
  </si>
  <si>
    <t>timo.boehm@stadtwerke-muster.de</t>
  </si>
  <si>
    <t>0441 7710-275</t>
  </si>
  <si>
    <t>Clausen</t>
  </si>
  <si>
    <t>Martina</t>
  </si>
  <si>
    <t>martina.clausen@bergmann-partner.de</t>
  </si>
  <si>
    <t>0441 3348-282</t>
  </si>
  <si>
    <t>Deppe</t>
  </si>
  <si>
    <t>Florian</t>
  </si>
  <si>
    <t>florian.deppe@sonnenfeld-logistik.de</t>
  </si>
  <si>
    <t>0441 6620-289</t>
  </si>
  <si>
    <t>Ohne Abmeldung nicht erschienen</t>
  </si>
  <si>
    <t>Ewers</t>
  </si>
  <si>
    <t>Hanna</t>
  </si>
  <si>
    <t>Studium</t>
  </si>
  <si>
    <t>hanna.ewers@mail-muster.de</t>
  </si>
  <si>
    <t>0170 4489-296</t>
  </si>
  <si>
    <t>Frerichs</t>
  </si>
  <si>
    <t>Kai</t>
  </si>
  <si>
    <t>kai.frerichs@werkstoff-technik.de</t>
  </si>
  <si>
    <t>0441 4415-303</t>
  </si>
  <si>
    <t>Gronau</t>
  </si>
  <si>
    <t>Ines</t>
  </si>
  <si>
    <t>ines.gronau@musterkreis.de</t>
  </si>
  <si>
    <t>0441 9903-310</t>
  </si>
  <si>
    <t>Hein</t>
  </si>
  <si>
    <t>Patrick</t>
  </si>
  <si>
    <t>Fachredaktion</t>
  </si>
  <si>
    <t>patrick.hein@ifw-musterstadt.de</t>
  </si>
  <si>
    <t>0441 2274-317</t>
  </si>
  <si>
    <t>Presse</t>
  </si>
  <si>
    <t>Akkreditierung geprüft</t>
  </si>
  <si>
    <t>Jost</t>
  </si>
  <si>
    <t>Melanie</t>
  </si>
  <si>
    <t>melanie.jost@nordlicht-systeme.de</t>
  </si>
  <si>
    <t>0441 5502-324</t>
  </si>
  <si>
    <t>Kremer</t>
  </si>
  <si>
    <t>Bernd</t>
  </si>
  <si>
    <t>bernd.kremer@stadtwerke-muster.de</t>
  </si>
  <si>
    <t>0441 7710-331</t>
  </si>
  <si>
    <t>Löwe</t>
  </si>
  <si>
    <t>Antje</t>
  </si>
  <si>
    <t>antje.loewe@sonnenfeld-logistik.de</t>
  </si>
  <si>
    <t>0441 6620-338</t>
  </si>
  <si>
    <t>Tagesgast</t>
  </si>
  <si>
    <t>Nur Nachmittagsblock</t>
  </si>
  <si>
    <t>Möller</t>
  </si>
  <si>
    <t>Rainer</t>
  </si>
  <si>
    <t>rainer.moeller@bergmann-partner.de</t>
  </si>
  <si>
    <t>0441 3348-345</t>
  </si>
  <si>
    <t>Nolte</t>
  </si>
  <si>
    <t>Sarah</t>
  </si>
  <si>
    <t>sarah.nolte@werkstoff-technik.de</t>
  </si>
  <si>
    <t>0441 4415-352</t>
  </si>
  <si>
    <t>Angemeldet</t>
  </si>
  <si>
    <t>Bestätigung ausstehend</t>
  </si>
  <si>
    <t>Oswald</t>
  </si>
  <si>
    <t>Jens</t>
  </si>
  <si>
    <t>jens.oswald@mail-muster.de</t>
  </si>
  <si>
    <t>0170 4489-359</t>
  </si>
  <si>
    <t>Pape</t>
  </si>
  <si>
    <t>Lisa</t>
  </si>
  <si>
    <t>lisa.pape@musterkreis.de</t>
  </si>
  <si>
    <t>0441 9903-366</t>
  </si>
  <si>
    <t>Reimers</t>
  </si>
  <si>
    <t>Ole</t>
  </si>
  <si>
    <t>0441 6620-373</t>
  </si>
  <si>
    <t>Telefonische Anmeldung</t>
  </si>
  <si>
    <t>Sievers</t>
  </si>
  <si>
    <t>Nadja</t>
  </si>
  <si>
    <t>nadja.sievers@nordlicht-systeme.de</t>
  </si>
  <si>
    <t>0441 5502-380</t>
  </si>
  <si>
    <t>Warteliste</t>
  </si>
  <si>
    <t>Timm</t>
  </si>
  <si>
    <t>Gregor</t>
  </si>
  <si>
    <t>gregor.timm@stadtwerke-muster.de</t>
  </si>
  <si>
    <t>0441 7710-387</t>
  </si>
  <si>
    <t>Ulrich</t>
  </si>
  <si>
    <t>Marie</t>
  </si>
  <si>
    <t>marie.ulrich@werkstoff-technik.de</t>
  </si>
  <si>
    <t>0441 4415-394</t>
  </si>
  <si>
    <t>Vollmer</t>
  </si>
  <si>
    <t>Henrik</t>
  </si>
  <si>
    <t>henrik.vollmer@ifw-musterstadt.de</t>
  </si>
  <si>
    <t>0441 2274-401</t>
  </si>
  <si>
    <t>Wilke</t>
  </si>
  <si>
    <t>Sonja</t>
  </si>
  <si>
    <t>sonja.wilke@bergmann-partner.de</t>
  </si>
  <si>
    <t>0441 3348-408</t>
  </si>
  <si>
    <t>Erstattet</t>
  </si>
  <si>
    <t>Abgesagt</t>
  </si>
  <si>
    <t>Absage am 02.06.</t>
  </si>
  <si>
    <t>Xander</t>
  </si>
  <si>
    <t>Bruno</t>
  </si>
  <si>
    <t>bruno.xander@musterkreis.de</t>
  </si>
  <si>
    <t>0441 9903-415</t>
  </si>
  <si>
    <t>Absage vor Rechnungsstellung</t>
  </si>
  <si>
    <t>0441 5502-422</t>
  </si>
  <si>
    <t>Storniert</t>
  </si>
  <si>
    <t>Doppelanmeldung über Sammelliste</t>
  </si>
  <si>
    <t>GESAMT</t>
  </si>
  <si>
    <t>Abgesagt / Storniert</t>
  </si>
  <si>
    <t>Eingabefeld</t>
  </si>
  <si>
    <t>Berechnet</t>
  </si>
  <si>
    <t>Prüfhinweise entstehen automatisch: fehlende Angaben, Doppelanmeldungen, überfällige Zahlungen und Anmeldungen nach Anmeldeschluss.</t>
  </si>
  <si>
    <t>AUSWERTUNG</t>
  </si>
  <si>
    <t>Auslastung · Warteliste · Erlöse · Verpflegung · Kontingente</t>
  </si>
  <si>
    <t>KENNZAHLEN DER VERANSTALTUNG</t>
  </si>
  <si>
    <t>Stand: Stichtag im Blatt Stammdaten</t>
  </si>
  <si>
    <t>ANMELDUNGEN</t>
  </si>
  <si>
    <t>NO-SHOW-QUOTE</t>
  </si>
  <si>
    <t>ERLÖSE GESAMT</t>
  </si>
  <si>
    <t>erfasste Einträge</t>
  </si>
  <si>
    <t>Ziel: siehe Prüfhinweise</t>
  </si>
  <si>
    <t>anwesend vor Ort</t>
  </si>
  <si>
    <t>nicht erschienen</t>
  </si>
  <si>
    <t>abzüglich Rabatte, brutto</t>
  </si>
  <si>
    <t>TEILNAHMESTATUS &amp; PLATZBILANZ</t>
  </si>
  <si>
    <t>Verteilung aller erfassten Anmeldungen</t>
  </si>
  <si>
    <t>Teilnahmestatus</t>
  </si>
  <si>
    <t>Anzahl</t>
  </si>
  <si>
    <t>Anteil</t>
  </si>
  <si>
    <t>Bewertung</t>
  </si>
  <si>
    <t>Platzbilanz</t>
  </si>
  <si>
    <t>Wert</t>
  </si>
  <si>
    <t>Kapazität gesamt</t>
  </si>
  <si>
    <t>Belegte Plätze</t>
  </si>
  <si>
    <t>Freie Plätze</t>
  </si>
  <si>
    <t>Absagequote</t>
  </si>
  <si>
    <t>WARTELISTE · NACHRÜCKREIHENFOLGE</t>
  </si>
  <si>
    <t>Reihenfolge nach Eingang der Anmeldung</t>
  </si>
  <si>
    <t>Rang</t>
  </si>
  <si>
    <t>Name</t>
  </si>
  <si>
    <t>Anmeldedatum</t>
  </si>
  <si>
    <t>Nachrückstatus</t>
  </si>
  <si>
    <t>04</t>
  </si>
  <si>
    <t>TARIFE &amp; ERLÖSE</t>
  </si>
  <si>
    <t>Gebühren stammen aus dem Tarifkatalog</t>
  </si>
  <si>
    <t>Anmeldungen</t>
  </si>
  <si>
    <t>davon bestätigt</t>
  </si>
  <si>
    <t>Gebühr brutto</t>
  </si>
  <si>
    <t>Erlös</t>
  </si>
  <si>
    <t>davon offen</t>
  </si>
  <si>
    <t>Erlöse brutto nach Abzug vereinbarter Rabatte</t>
  </si>
  <si>
    <t>05</t>
  </si>
  <si>
    <t>ANMELDEVERLAUF</t>
  </si>
  <si>
    <t>Eingang der Anmeldungen im Berichtsjahr</t>
  </si>
  <si>
    <t>Monat</t>
  </si>
  <si>
    <t>kumuliert</t>
  </si>
  <si>
    <t>Absagen / Storno</t>
  </si>
  <si>
    <t>Belegung kumuliert</t>
  </si>
  <si>
    <t>Kapazität</t>
  </si>
  <si>
    <t>Hinweis</t>
  </si>
  <si>
    <t>Januar</t>
  </si>
  <si>
    <t>Februar</t>
  </si>
  <si>
    <t>März</t>
  </si>
  <si>
    <t>April</t>
  </si>
  <si>
    <t>Mai</t>
  </si>
  <si>
    <t>Juni</t>
  </si>
  <si>
    <t>Juli</t>
  </si>
  <si>
    <t>August</t>
  </si>
  <si>
    <t>September</t>
  </si>
  <si>
    <t>Oktober</t>
  </si>
  <si>
    <t>November</t>
  </si>
  <si>
    <t>Dezember</t>
  </si>
  <si>
    <t>06</t>
  </si>
  <si>
    <t>VERPFLEGUNG &amp; LOGISTIK</t>
  </si>
  <si>
    <t>Grundlage für Catering, Namensschilder und Unterlagen</t>
  </si>
  <si>
    <t>Verpflegungsart</t>
  </si>
  <si>
    <t>belegte Plätze</t>
  </si>
  <si>
    <t>eingecheckt</t>
  </si>
  <si>
    <t>Logistik-Eckwerte</t>
  </si>
  <si>
    <t>Namensschilder</t>
  </si>
  <si>
    <t>Teilnehmerunterlagen</t>
  </si>
  <si>
    <t>Mittagsverpflegung</t>
  </si>
  <si>
    <t>Teilnahmezertifikate</t>
  </si>
  <si>
    <t>No-Shows</t>
  </si>
  <si>
    <t>Ohne Verpflegung</t>
  </si>
  <si>
    <t>Ø Erlös je Teilnehmer</t>
  </si>
  <si>
    <t>07</t>
  </si>
  <si>
    <t>ORGANISATIONEN &amp; KONTINGENTE</t>
  </si>
  <si>
    <t>Abgleich der vereinbarten Platzkontingente</t>
  </si>
  <si>
    <t>Art der Anmeldung</t>
  </si>
  <si>
    <t>Kontingent</t>
  </si>
  <si>
    <t>belegt</t>
  </si>
  <si>
    <t>Auslastung</t>
  </si>
  <si>
    <t>Kontingente und Einzelanmeldungen</t>
  </si>
  <si>
    <t>08</t>
  </si>
  <si>
    <t>PRÜFHINWEISE &amp; DATENSCHUTZ</t>
  </si>
  <si>
    <t>Ampel: OK · PRÜFEN · INFO</t>
  </si>
  <si>
    <t>Prüfpunkt</t>
  </si>
  <si>
    <t>Ist</t>
  </si>
  <si>
    <t>Soll / Referenz</t>
  </si>
  <si>
    <t>Status</t>
  </si>
  <si>
    <t>Empfehlung</t>
  </si>
  <si>
    <t>Auslastung gegenüber Zielwert</t>
  </si>
  <si>
    <t>Freie Plätze aktiv bewerben</t>
  </si>
  <si>
    <t>Mindestteilnehmerzahl erreicht</t>
  </si>
  <si>
    <t>Durchführung sonst gefährdet</t>
  </si>
  <si>
    <t>Check-in-Quote</t>
  </si>
  <si>
    <t>Erinnerungsmails vor dem Termin einplanen</t>
  </si>
  <si>
    <t>Offene Forderungen</t>
  </si>
  <si>
    <t>Zahlungserinnerung versenden</t>
  </si>
  <si>
    <t>Fehlende Einwilligungen</t>
  </si>
  <si>
    <t>Einwilligung vor der Veranstaltung einholen</t>
  </si>
  <si>
    <t>Doppelte Anmeldungen</t>
  </si>
  <si>
    <t>Doppelte Einträge zusammenführen oder stornieren</t>
  </si>
  <si>
    <t>Fehlende E-Mail-Adressen</t>
  </si>
  <si>
    <t>Kontaktdaten nacherfassen</t>
  </si>
  <si>
    <t>Anmeldungen nach Anmeldeschluss</t>
  </si>
  <si>
    <t>Nachmeldungen gesondert bestätigen</t>
  </si>
  <si>
    <t>Löschfrist der Teilnehmerdaten</t>
  </si>
  <si>
    <t>Daten nach Fristablauf löschen (DSGVO)</t>
  </si>
  <si>
    <t>09</t>
  </si>
  <si>
    <t>DIAGRAMME</t>
  </si>
  <si>
    <t>STAMMDATEN</t>
  </si>
  <si>
    <t>Teilnehmerliste 2026</t>
  </si>
  <si>
    <t>Zentrale Angaben, Tarife und Auswahllisten der Teilnehmerverwaltung</t>
  </si>
  <si>
    <t>Alle gelben Felder sind Eingabefelder</t>
  </si>
  <si>
    <t>STAMMDATEN DER VERANSTALTUNG</t>
  </si>
  <si>
    <t>Diese Angaben erscheinen automatisch in den anderen Blättern</t>
  </si>
  <si>
    <t>Muster Akademie &amp; Event GmbH</t>
  </si>
  <si>
    <t>Anschrift</t>
  </si>
  <si>
    <t>Bahnhofstraße 18, 26121 Musterstadt</t>
  </si>
  <si>
    <t>S. Wiegand, Teilnehmermanagement</t>
  </si>
  <si>
    <t>E-Mail Anmeldung</t>
  </si>
  <si>
    <t>anmeldung@muster-akademie.de</t>
  </si>
  <si>
    <t>0441 5500-120</t>
  </si>
  <si>
    <t>Veranstaltungstitel</t>
  </si>
  <si>
    <t>Fachtagung 2026</t>
  </si>
  <si>
    <t>Veranstaltungsart</t>
  </si>
  <si>
    <t>Tagung</t>
  </si>
  <si>
    <t>Veranstaltungsdatum</t>
  </si>
  <si>
    <t>09:00 – 17:00 Uhr</t>
  </si>
  <si>
    <t>Veranstaltungsort</t>
  </si>
  <si>
    <t>Tagungszentrum Nordpark, Musterstadt</t>
  </si>
  <si>
    <t>Raum</t>
  </si>
  <si>
    <t>Saal B / Foyer</t>
  </si>
  <si>
    <t>PARAMETER &amp; ZIELWERTE</t>
  </si>
  <si>
    <t>Grundlage aller Berechnungen und Ampeln</t>
  </si>
  <si>
    <t>Kapazität (Plätze gesamt)</t>
  </si>
  <si>
    <t>Maximale Teilnehmerzahl der Veranstaltung</t>
  </si>
  <si>
    <t>Mindestteilnehmerzahl</t>
  </si>
  <si>
    <t>Untergrenze für die Durchführung</t>
  </si>
  <si>
    <t>Zahlungsziel (Tage)</t>
  </si>
  <si>
    <t>Tage nach Anmeldung bis zur Fälligkeit</t>
  </si>
  <si>
    <t>Umsatzsteuersatz</t>
  </si>
  <si>
    <t>Für die Berechnung der Bruttogebühren</t>
  </si>
  <si>
    <t>Ziel-Auslastung</t>
  </si>
  <si>
    <t>Zielwert für die Platzbelegung</t>
  </si>
  <si>
    <t>Ziel-Check-in-Quote</t>
  </si>
  <si>
    <t>Zielwert für die Anwesenheit</t>
  </si>
  <si>
    <t>Aufbewahrungsfrist (Tage)</t>
  </si>
  <si>
    <t>Frist bis zur Löschung der Teilnehmerdaten</t>
  </si>
  <si>
    <t>Löschdatum (berechnet)</t>
  </si>
  <si>
    <t>Veranstaltungsdatum zzgl. Aufbewahrungsfrist</t>
  </si>
  <si>
    <t>Stichtag der Auswertung</t>
  </si>
  <si>
    <t>Tagesaktuell; für Fristenprüfungen</t>
  </si>
  <si>
    <t>Berichtsjahr</t>
  </si>
  <si>
    <t>Bezugsjahr des Anmeldeverlaufs</t>
  </si>
  <si>
    <t>TARIFKATALOG</t>
  </si>
  <si>
    <t>Der gewählte Tarif zieht Gebühr, Verpflegung und Zertifikat automatisch</t>
  </si>
  <si>
    <t>Beschreibung</t>
  </si>
  <si>
    <t>Gebühr netto</t>
  </si>
  <si>
    <t>USt</t>
  </si>
  <si>
    <t>Verpflegung inkl.</t>
  </si>
  <si>
    <t>Anmeldung bis 8 Wochen vor Beginn</t>
  </si>
  <si>
    <t>Regulärer Teilnahmebeitrag</t>
  </si>
  <si>
    <t>Mitglieder kooperierender Verbände</t>
  </si>
  <si>
    <t>Abruf aus vereinbartem Firmenkontingent</t>
  </si>
  <si>
    <t>Studierende, Azubis, Nachweis erforderl.</t>
  </si>
  <si>
    <t>Teilnahme an einem Programmblock</t>
  </si>
  <si>
    <t>Mitwirkende des Programms</t>
  </si>
  <si>
    <t>Akkreditierte Medienvertretung</t>
  </si>
  <si>
    <t>Vereinbarte Platzkontingente je Organisation</t>
  </si>
  <si>
    <t>Rahmenvereinbarung, Sammelrechnung</t>
  </si>
  <si>
    <t>Kontingent je Geschäftsjahr</t>
  </si>
  <si>
    <t>Kooperationspartner</t>
  </si>
  <si>
    <t>Kooperationspartner, Rabatt vereinbart</t>
  </si>
  <si>
    <t>Sammelanmeldung über Zentrale</t>
  </si>
  <si>
    <t>Öffentliche Hand</t>
  </si>
  <si>
    <t>Abruf über Fachbereiche</t>
  </si>
  <si>
    <t>Bildungspartner</t>
  </si>
  <si>
    <t>Referenten und Fachpresse</t>
  </si>
  <si>
    <t>Einzelanmeldung</t>
  </si>
  <si>
    <t>Einzelanmeldungen ohne Kontingent</t>
  </si>
  <si>
    <t>AUSWAHLLISTEN</t>
  </si>
  <si>
    <t>Werte der Dropdowns – hier erweitern oder umbenennen</t>
  </si>
  <si>
    <t>Zahlungsstatus</t>
  </si>
  <si>
    <t>Ja / Nein</t>
  </si>
  <si>
    <t>Die Listen steuern die Dropdowns im Blatt Teilnehmerliste. Neue Werte einfach unterhalb ergänzen und den Bereich der Namen L_Status, L_Zahlung, L_Verpflegung, L_JaNein anpassen.</t>
  </si>
  <si>
    <t>Seminar</t>
  </si>
  <si>
    <t>Workshop</t>
  </si>
  <si>
    <t>Schulung</t>
  </si>
  <si>
    <t>Mitgliederversammlung</t>
  </si>
  <si>
    <t>Informationsveranstaltung</t>
  </si>
  <si>
    <t>ANWENDUNG IN SIEBEN SCHRITTEN</t>
  </si>
  <si>
    <t>Stammdaten der Veranstaltung, Kapazität und Anmeldeschluss oben eintragen.</t>
  </si>
  <si>
    <t>Tarifkatalog und Kontingente an die eigene Preis- und Kundenstruktur anpassen.</t>
  </si>
  <si>
    <t>Im Blatt Teilnehmerliste je Anmeldung eine Zeile ausfüllen – nur die gelben Spalten.</t>
  </si>
  <si>
    <t>Tarif per Dropdown wählen: Gebühr, Verpflegungsanspruch und Zertifikat werden gezogen.</t>
  </si>
  <si>
    <t>Ist die Kapazität erreicht, Status Warteliste vergeben – die Nachrückreihenfolge entsteht automatisch.</t>
  </si>
  <si>
    <t>Am Veranstaltungstag Check-in auf Ja setzen; Check-in-Quote und No-Show-Quote rechnen mit.</t>
  </si>
  <si>
    <t>Blatt Auswertung prüfen: Auslastung, Erlöse, Verpflegung, Kontingente und Prüfhinweise.</t>
  </si>
  <si>
    <t>FARBLEGENDE &amp; DATENSCHUTZHINWEIS</t>
  </si>
  <si>
    <t>Zusage / OK</t>
  </si>
  <si>
    <t>Warteliste / offen</t>
  </si>
  <si>
    <t>Absage / Prüfen</t>
  </si>
  <si>
    <t>Neutral / entfällt</t>
  </si>
  <si>
    <t>Datenschutz: Eine Teilnehmerliste enthält personenbezogene Daten. Erheben Sie nur Angaben, die für die Durchführung der Veranstaltung erforderlich sind, dokumentieren Sie die Einwilligung in der dafür vorgesehenen Spalte, beschränken Sie den Zugriff auf die Datei und löschen Sie die Daten nach Ablauf der oben hinterlegten Aufbewahrungsfrist. Alle Namen, Organisationen, Adressen und Beträge dieser Datei sind frei erfunden und dienen ausschließlich der Veranschaulichung.</t>
  </si>
  <si>
    <t>TEILNEHMERLISTE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</si>
</sst>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dd\.mm\.yyyy"/>
    <numFmt numFmtId="165" formatCode="0&quot; Plätze&quot;"/>
    <numFmt numFmtId="166" formatCode="0.0%"/>
    <numFmt numFmtId="167" formatCode="#,##0&quot; €&quot;"/>
    <numFmt numFmtId="168" formatCode="#,##0.00&quot; €&quot;"/>
    <numFmt numFmtId="169" formatCode="hh:mm"/>
    <numFmt numFmtId="170" formatCode="0&quot; Teilnehmende erfasst&quot;"/>
    <numFmt numFmtId="171" formatCode="0&quot; Check-ins&quot;"/>
    <numFmt numFmtId="172" formatCode="0&quot; Zert.&quot;"/>
    <numFmt numFmtId="173" formatCode="0&quot; Hinweise&quot;"/>
    <numFmt numFmtId="174" formatCode="0&quot; Personen&quot;"/>
    <numFmt numFmtId="175" formatCode="&quot;Rang &quot;0"/>
    <numFmt numFmtId="176" formatCode="0&quot; Stück&quot;"/>
    <numFmt numFmtId="177" formatCode="0&quot; Sätze&quot;"/>
    <numFmt numFmtId="178" formatCode="0&quot; Portionen&quot;"/>
    <numFmt numFmtId="179" formatCode="0&quot; Tage&quot;"/>
  </numFmts>
  <fonts count="44" x14ac:knownFonts="1">
    <font>
      <sz val="11"/>
      <color theme="1"/>
      <name val="Calibri"/>
      <family val="2"/>
      <charset val="1"/>
    </font>
    <font>
      <b/>
      <sz val="21"/>
      <color rgb="FFFFFFFF"/>
      <name val="Calibri"/>
      <charset val="1"/>
    </font>
    <font>
      <b/>
      <sz val="12.5"/>
      <color rgb="FF0F2438"/>
      <name val="Calibri"/>
      <charset val="1"/>
    </font>
    <font>
      <i/>
      <sz val="10"/>
      <color rgb="FFC3D2DE"/>
      <name val="Calibri"/>
      <charset val="1"/>
    </font>
    <font>
      <i/>
      <sz val="9.5"/>
      <color rgb="FF6E7A85"/>
      <name val="Calibri"/>
      <charset val="1"/>
    </font>
    <font>
      <b/>
      <sz val="10"/>
      <color rgb="FFFFFFFF"/>
      <name val="Calibri"/>
      <charset val="1"/>
    </font>
    <font>
      <b/>
      <sz val="10.5"/>
      <color rgb="FF0F2438"/>
      <name val="Calibri"/>
      <charset val="1"/>
    </font>
    <font>
      <i/>
      <sz val="8.5"/>
      <color rgb="FF6E7A85"/>
      <name val="Calibri"/>
      <charset val="1"/>
    </font>
    <font>
      <sz val="8.5"/>
      <color rgb="FF6E7A85"/>
      <name val="Calibri"/>
      <charset val="1"/>
    </font>
    <font>
      <b/>
      <sz val="9.5"/>
      <color rgb="FF0F2438"/>
      <name val="Calibri"/>
      <charset val="1"/>
    </font>
    <font>
      <b/>
      <sz val="7.5"/>
      <color rgb="FF6E7A85"/>
      <name val="Calibri"/>
      <charset val="1"/>
    </font>
    <font>
      <b/>
      <sz val="14.5"/>
      <color rgb="FF27506F"/>
      <name val="Calibri"/>
      <charset val="1"/>
    </font>
    <font>
      <b/>
      <sz val="16"/>
      <color rgb="FF2F8C6E"/>
      <name val="Calibri"/>
      <charset val="1"/>
    </font>
    <font>
      <b/>
      <sz val="14.5"/>
      <color rgb="FFE0742F"/>
      <name val="Calibri"/>
      <charset val="1"/>
    </font>
    <font>
      <b/>
      <sz val="14.5"/>
      <color rgb="FFB8860F"/>
      <name val="Calibri"/>
      <charset val="1"/>
    </font>
    <font>
      <b/>
      <sz val="14.5"/>
      <color rgb="FFB23A2E"/>
      <name val="Calibri"/>
      <charset val="1"/>
    </font>
    <font>
      <i/>
      <sz val="7.5"/>
      <color rgb="FF6E7A85"/>
      <name val="Calibri"/>
      <charset val="1"/>
    </font>
    <font>
      <b/>
      <sz val="8.5"/>
      <color rgb="FFFFFFFF"/>
      <name val="Calibri"/>
      <charset val="1"/>
    </font>
    <font>
      <sz val="9"/>
      <color rgb="FF1B2A36"/>
      <name val="Calibri"/>
      <charset val="1"/>
    </font>
    <font>
      <b/>
      <sz val="9"/>
      <color rgb="FF0F2438"/>
      <name val="Calibri"/>
      <charset val="1"/>
    </font>
    <font>
      <sz val="8.5"/>
      <color rgb="FF1B2A36"/>
      <name val="Calibri"/>
      <charset val="1"/>
    </font>
    <font>
      <sz val="9"/>
      <color rgb="FF6E7A85"/>
      <name val="Calibri"/>
      <charset val="1"/>
    </font>
    <font>
      <b/>
      <sz val="8.5"/>
      <color rgb="FF1B2A36"/>
      <name val="Calibri"/>
      <charset val="1"/>
    </font>
    <font>
      <b/>
      <sz val="9"/>
      <color rgb="FFB8860F"/>
      <name val="Calibri"/>
      <charset val="1"/>
    </font>
    <font>
      <b/>
      <sz val="9"/>
      <color rgb="FFFFFFFF"/>
      <name val="Calibri"/>
      <charset val="1"/>
    </font>
    <font>
      <b/>
      <sz val="9.5"/>
      <color rgb="FFFFFFFF"/>
      <name val="Calibri"/>
      <charset val="1"/>
    </font>
    <font>
      <b/>
      <sz val="9"/>
      <color rgb="FFC3D2DE"/>
      <name val="Calibri"/>
      <charset val="1"/>
    </font>
    <font>
      <b/>
      <sz val="9.5"/>
      <color rgb="FFFBD9C2"/>
      <name val="Calibri"/>
      <charset val="1"/>
    </font>
    <font>
      <b/>
      <sz val="8"/>
      <color rgb="FF2F8C6E"/>
      <name val="Calibri"/>
      <charset val="1"/>
    </font>
    <font>
      <b/>
      <sz val="8"/>
      <color rgb="FF27506F"/>
      <name val="Calibri"/>
      <charset val="1"/>
    </font>
    <font>
      <b/>
      <sz val="8"/>
      <color rgb="FFB8860F"/>
      <name val="Calibri"/>
      <charset val="1"/>
    </font>
    <font>
      <b/>
      <sz val="8"/>
      <color rgb="FFB23A2E"/>
      <name val="Calibri"/>
      <charset val="1"/>
    </font>
    <font>
      <b/>
      <sz val="8"/>
      <color rgb="FF0F2438"/>
      <name val="Calibri"/>
      <charset val="1"/>
    </font>
    <font>
      <b/>
      <sz val="8"/>
      <color rgb="FF6E7A85"/>
      <name val="Calibri"/>
      <charset val="1"/>
    </font>
    <font>
      <b/>
      <sz val="16"/>
      <color rgb="FFE0742F"/>
      <name val="Calibri"/>
      <charset val="1"/>
    </font>
    <font>
      <b/>
      <sz val="16"/>
      <color rgb="FF0F2438"/>
      <name val="Calibri"/>
      <charset val="1"/>
    </font>
    <font>
      <sz val="9.5"/>
      <color rgb="FF1B2A36"/>
      <name val="Calibri"/>
      <charset val="1"/>
    </font>
    <font>
      <b/>
      <sz val="10"/>
      <color rgb="FF0F2438"/>
      <name val="Calibri"/>
      <charset val="1"/>
    </font>
    <font>
      <b/>
      <sz val="9.5"/>
      <color rgb="FFB85A20"/>
      <name val="Calibri"/>
      <charset val="1"/>
    </font>
    <font>
      <i/>
      <sz val="9"/>
      <color rgb="FF6E7A85"/>
      <name val="Calibri"/>
      <charset val="1"/>
    </font>
    <font>
      <sz val="9"/>
      <color rgb="FFB23A2E"/>
      <name val="Calibri"/>
      <charset val="1"/>
    </font>
    <font>
      <sz val="9.5"/>
      <color rgb="FF0F2438"/>
      <name val="Calibri"/>
      <charset val="1"/>
    </font>
    <font>
      <b/>
      <sz val="10"/>
      <color rgb="FFB85A20"/>
      <name val="Calibri"/>
      <charset val="1"/>
    </font>
    <font>
      <sz val="9.5"/>
      <color rgb="FF6E7A85"/>
      <name val="Calibri"/>
      <charset val="1"/>
    </font>
  </fonts>
  <fills count="13">
    <fill>
      <patternFill patternType="none"/>
    </fill>
    <fill>
      <patternFill patternType="gray125"/>
    </fill>
    <fill>
      <patternFill patternType="solid">
        <fgColor rgb="FF0F2438"/>
        <bgColor rgb="FF1B2A36"/>
      </patternFill>
    </fill>
    <fill>
      <patternFill patternType="solid">
        <fgColor rgb="FFF1EDE4"/>
        <bgColor rgb="FFEFF1F3"/>
      </patternFill>
    </fill>
    <fill>
      <patternFill patternType="solid">
        <fgColor rgb="FFE0742F"/>
        <bgColor rgb="FFB8860F"/>
      </patternFill>
    </fill>
    <fill>
      <patternFill patternType="solid">
        <fgColor rgb="FFFCFBF7"/>
        <bgColor rgb="FFFFFFFF"/>
      </patternFill>
    </fill>
    <fill>
      <patternFill patternType="solid">
        <fgColor rgb="FFEFF1F3"/>
        <bgColor rgb="FFF1EDE4"/>
      </patternFill>
    </fill>
    <fill>
      <patternFill patternType="solid">
        <fgColor rgb="FFFFF8E4"/>
        <bgColor rgb="FFFCFBF7"/>
      </patternFill>
    </fill>
    <fill>
      <patternFill patternType="solid">
        <fgColor rgb="FFDEEDE7"/>
        <bgColor rgb="FFDCE5EC"/>
      </patternFill>
    </fill>
    <fill>
      <patternFill patternType="solid">
        <fgColor rgb="FFDCE5EC"/>
        <bgColor rgb="FFDEEDE7"/>
      </patternFill>
    </fill>
    <fill>
      <patternFill patternType="solid">
        <fgColor rgb="FFFBEFCF"/>
        <bgColor rgb="FFF1EDE4"/>
      </patternFill>
    </fill>
    <fill>
      <patternFill patternType="solid">
        <fgColor rgb="FFF7DFDA"/>
        <bgColor rgb="FFFBD9C2"/>
      </patternFill>
    </fill>
    <fill>
      <patternFill patternType="solid">
        <fgColor rgb="FF27506F"/>
        <bgColor rgb="FF1B2A36"/>
      </patternFill>
    </fill>
  </fills>
  <borders count="14">
    <border>
      <left/>
      <right/>
      <top/>
      <bottom/>
      <diagonal/>
    </border>
    <border>
      <left style="thick">
        <color rgb="FFE0742F"/>
      </left>
      <right/>
      <top/>
      <bottom/>
      <diagonal/>
    </border>
    <border>
      <left/>
      <right/>
      <top/>
      <bottom style="medium">
        <color rgb="FF0F2438"/>
      </bottom>
      <diagonal/>
    </border>
    <border>
      <left style="thin">
        <color rgb="FFC7CFD6"/>
      </left>
      <right style="thin">
        <color rgb="FFC7CFD6"/>
      </right>
      <top style="thin">
        <color rgb="FFC7CFD6"/>
      </top>
      <bottom style="thin">
        <color rgb="FFC7CFD6"/>
      </bottom>
      <diagonal/>
    </border>
    <border>
      <left style="thin">
        <color rgb="FFC7CFD6"/>
      </left>
      <right style="thin">
        <color rgb="FFC7CFD6"/>
      </right>
      <top style="thin">
        <color rgb="FFC7CFD6"/>
      </top>
      <bottom/>
      <diagonal/>
    </border>
    <border>
      <left style="thin">
        <color rgb="FFC7CFD6"/>
      </left>
      <right style="thin">
        <color rgb="FFC7CFD6"/>
      </right>
      <top/>
      <bottom/>
      <diagonal/>
    </border>
    <border>
      <left style="thin">
        <color rgb="FFC7CFD6"/>
      </left>
      <right style="thin">
        <color rgb="FFC7CFD6"/>
      </right>
      <top/>
      <bottom style="thick">
        <color rgb="FF27506F"/>
      </bottom>
      <diagonal/>
    </border>
    <border>
      <left style="thin">
        <color rgb="FFC7CFD6"/>
      </left>
      <right style="thin">
        <color rgb="FFC7CFD6"/>
      </right>
      <top/>
      <bottom style="thick">
        <color rgb="FF2F8C6E"/>
      </bottom>
      <diagonal/>
    </border>
    <border>
      <left style="thin">
        <color rgb="FFC7CFD6"/>
      </left>
      <right style="thin">
        <color rgb="FFC7CFD6"/>
      </right>
      <top/>
      <bottom style="thick">
        <color rgb="FFE0742F"/>
      </bottom>
      <diagonal/>
    </border>
    <border>
      <left style="thin">
        <color rgb="FFC7CFD6"/>
      </left>
      <right style="thin">
        <color rgb="FFC7CFD6"/>
      </right>
      <top/>
      <bottom style="thick">
        <color rgb="FFB8860F"/>
      </bottom>
      <diagonal/>
    </border>
    <border>
      <left style="thin">
        <color rgb="FFC7CFD6"/>
      </left>
      <right style="thin">
        <color rgb="FFC7CFD6"/>
      </right>
      <top/>
      <bottom style="thick">
        <color rgb="FFB23A2E"/>
      </bottom>
      <diagonal/>
    </border>
    <border>
      <left style="thin">
        <color rgb="FF27506F"/>
      </left>
      <right style="thin">
        <color rgb="FF27506F"/>
      </right>
      <top/>
      <bottom style="medium">
        <color rgb="FFE0742F"/>
      </bottom>
      <diagonal/>
    </border>
    <border>
      <left/>
      <right/>
      <top style="medium">
        <color rgb="FFE0742F"/>
      </top>
      <bottom/>
      <diagonal/>
    </border>
    <border>
      <left style="thin">
        <color rgb="FFC7CFD6"/>
      </left>
      <right style="thin">
        <color rgb="FFC7CFD6"/>
      </right>
      <top/>
      <bottom style="thick">
        <color rgb="FF0F2438"/>
      </bottom>
      <diagonal/>
    </border>
  </borders>
  <cellStyleXfs count="1">
    <xf numFmtId="0" fontId="0" fillId="0" borderId="0"/>
  </cellStyleXfs>
  <cellXfs count="131">
    <xf numFmtId="0" fontId="0" fillId="0" borderId="0" xfId="0"/>
    <xf numFmtId="1" fontId="13" fillId="5" borderId="5" xfId="0" applyNumberFormat="1" applyFont="1" applyFill="1" applyBorder="1" applyAlignment="1">
      <alignment horizontal="left" vertical="center" indent="1"/>
    </xf>
    <xf numFmtId="1" fontId="12" fillId="5" borderId="5" xfId="0" applyNumberFormat="1" applyFont="1" applyFill="1" applyBorder="1" applyAlignment="1">
      <alignment horizontal="left" vertical="center" indent="1"/>
    </xf>
    <xf numFmtId="1" fontId="11" fillId="5" borderId="5" xfId="0" applyNumberFormat="1" applyFont="1" applyFill="1" applyBorder="1" applyAlignment="1">
      <alignment horizontal="left" vertical="center" indent="1"/>
    </xf>
    <xf numFmtId="0" fontId="10" fillId="5" borderId="4" xfId="0" applyFont="1" applyFill="1" applyBorder="1" applyAlignment="1">
      <alignment horizontal="left" vertical="center" indent="1"/>
    </xf>
    <xf numFmtId="165" fontId="9" fillId="6" borderId="3" xfId="0" applyNumberFormat="1" applyFont="1" applyFill="1" applyBorder="1" applyAlignment="1">
      <alignment horizontal="left" vertical="center" indent="1"/>
    </xf>
    <xf numFmtId="164" fontId="9" fillId="6" borderId="3" xfId="0" applyNumberFormat="1" applyFont="1" applyFill="1" applyBorder="1" applyAlignment="1">
      <alignment horizontal="left" vertical="center" indent="1"/>
    </xf>
    <xf numFmtId="0" fontId="9" fillId="6" borderId="3" xfId="0" applyFont="1" applyFill="1" applyBorder="1" applyAlignment="1">
      <alignment horizontal="left" vertical="center" indent="1"/>
    </xf>
    <xf numFmtId="0" fontId="8" fillId="5" borderId="0" xfId="0" applyFont="1" applyFill="1" applyAlignment="1">
      <alignment horizontal="right" vertical="center" indent="1"/>
    </xf>
    <xf numFmtId="0" fontId="7" fillId="3" borderId="2" xfId="0" applyFont="1" applyFill="1" applyBorder="1" applyAlignment="1">
      <alignment horizontal="right" vertical="center" indent="1"/>
    </xf>
    <xf numFmtId="0" fontId="6" fillId="3" borderId="2" xfId="0" applyFont="1" applyFill="1" applyBorder="1" applyAlignment="1">
      <alignment horizontal="left" vertical="center" indent="1"/>
    </xf>
    <xf numFmtId="0" fontId="4" fillId="3" borderId="1" xfId="0" applyFont="1" applyFill="1" applyBorder="1" applyAlignment="1">
      <alignment horizontal="left" vertical="center" indent="1"/>
    </xf>
    <xf numFmtId="0" fontId="3" fillId="2" borderId="0" xfId="0" applyFont="1" applyFill="1" applyAlignment="1">
      <alignment horizontal="left" vertical="center" indent="1"/>
    </xf>
    <xf numFmtId="0" fontId="2" fillId="3" borderId="1" xfId="0" applyFont="1" applyFill="1" applyBorder="1" applyAlignment="1">
      <alignment horizontal="left" vertical="center" indent="1"/>
    </xf>
    <xf numFmtId="0" fontId="1" fillId="2" borderId="0" xfId="0" applyFont="1" applyFill="1" applyAlignment="1">
      <alignment horizontal="left" vertical="center" indent="1"/>
    </xf>
    <xf numFmtId="0" fontId="0" fillId="4" borderId="0" xfId="0" applyFill="1"/>
    <xf numFmtId="0" fontId="0" fillId="3" borderId="0" xfId="0" applyFill="1"/>
    <xf numFmtId="0" fontId="5" fillId="4" borderId="2" xfId="0" applyFont="1" applyFill="1" applyBorder="1" applyAlignment="1">
      <alignment horizontal="center" vertical="center"/>
    </xf>
    <xf numFmtId="0" fontId="8" fillId="5" borderId="0" xfId="0" applyFont="1" applyFill="1" applyAlignment="1">
      <alignment horizontal="right" vertical="center" indent="1"/>
    </xf>
    <xf numFmtId="0" fontId="17" fillId="2" borderId="11" xfId="0" applyFont="1" applyFill="1" applyBorder="1" applyAlignment="1">
      <alignment horizontal="center" vertical="center" wrapText="1"/>
    </xf>
    <xf numFmtId="1" fontId="8" fillId="6" borderId="3" xfId="0" applyNumberFormat="1" applyFont="1" applyFill="1" applyBorder="1" applyAlignment="1">
      <alignment horizontal="center" vertical="center"/>
    </xf>
    <xf numFmtId="164" fontId="18" fillId="7" borderId="3" xfId="0" applyNumberFormat="1" applyFont="1" applyFill="1" applyBorder="1" applyAlignment="1">
      <alignment horizontal="center" vertical="center"/>
    </xf>
    <xf numFmtId="0" fontId="19" fillId="7" borderId="3" xfId="0" applyFont="1" applyFill="1" applyBorder="1" applyAlignment="1">
      <alignment horizontal="left" vertical="center" indent="1"/>
    </xf>
    <xf numFmtId="0" fontId="18" fillId="7" borderId="3" xfId="0" applyFont="1" applyFill="1" applyBorder="1" applyAlignment="1">
      <alignment horizontal="left" vertical="center" indent="1"/>
    </xf>
    <xf numFmtId="0" fontId="20" fillId="7" borderId="3" xfId="0" applyFont="1" applyFill="1" applyBorder="1" applyAlignment="1">
      <alignment horizontal="left" vertical="center" indent="1"/>
    </xf>
    <xf numFmtId="168" fontId="21" fillId="6" borderId="3" xfId="0" applyNumberFormat="1" applyFont="1" applyFill="1" applyBorder="1" applyAlignment="1">
      <alignment horizontal="right" vertical="center"/>
    </xf>
    <xf numFmtId="9" fontId="18" fillId="7" borderId="3" xfId="0" applyNumberFormat="1" applyFont="1" applyFill="1" applyBorder="1" applyAlignment="1">
      <alignment horizontal="center" vertical="center"/>
    </xf>
    <xf numFmtId="168" fontId="19" fillId="6" borderId="3" xfId="0" applyNumberFormat="1" applyFont="1" applyFill="1" applyBorder="1" applyAlignment="1">
      <alignment horizontal="right" vertical="center"/>
    </xf>
    <xf numFmtId="0" fontId="20" fillId="7" borderId="3" xfId="0" applyFont="1" applyFill="1" applyBorder="1" applyAlignment="1">
      <alignment horizontal="center" vertical="center"/>
    </xf>
    <xf numFmtId="0" fontId="22" fillId="7" borderId="3" xfId="0" applyFont="1" applyFill="1" applyBorder="1" applyAlignment="1">
      <alignment horizontal="center" vertical="center"/>
    </xf>
    <xf numFmtId="1" fontId="23" fillId="6" borderId="3" xfId="0" applyNumberFormat="1" applyFont="1" applyFill="1" applyBorder="1" applyAlignment="1">
      <alignment horizontal="center" vertical="center"/>
    </xf>
    <xf numFmtId="169" fontId="20" fillId="7" borderId="3" xfId="0" applyNumberFormat="1" applyFont="1" applyFill="1" applyBorder="1" applyAlignment="1">
      <alignment horizontal="center" vertical="center"/>
    </xf>
    <xf numFmtId="0" fontId="8" fillId="6" borderId="3" xfId="0" applyFont="1" applyFill="1" applyBorder="1" applyAlignment="1">
      <alignment horizontal="center" vertical="center"/>
    </xf>
    <xf numFmtId="0" fontId="7" fillId="7" borderId="3" xfId="0" applyFont="1" applyFill="1" applyBorder="1" applyAlignment="1">
      <alignment horizontal="left" vertical="center" indent="1"/>
    </xf>
    <xf numFmtId="0" fontId="20" fillId="6" borderId="3" xfId="0" applyFont="1" applyFill="1" applyBorder="1" applyAlignment="1">
      <alignment horizontal="left" vertical="center" indent="1"/>
    </xf>
    <xf numFmtId="0" fontId="24" fillId="2" borderId="12" xfId="0" applyFont="1" applyFill="1" applyBorder="1" applyAlignment="1">
      <alignment horizontal="center" vertical="center"/>
    </xf>
    <xf numFmtId="170" fontId="25" fillId="2" borderId="12" xfId="0" applyNumberFormat="1" applyFont="1" applyFill="1" applyBorder="1" applyAlignment="1">
      <alignment horizontal="left" vertical="center"/>
    </xf>
    <xf numFmtId="168" fontId="26" fillId="2" borderId="12" xfId="0" applyNumberFormat="1" applyFont="1" applyFill="1" applyBorder="1" applyAlignment="1">
      <alignment horizontal="right" vertical="center"/>
    </xf>
    <xf numFmtId="168" fontId="5" fillId="2" borderId="12" xfId="0" applyNumberFormat="1" applyFont="1" applyFill="1" applyBorder="1" applyAlignment="1">
      <alignment horizontal="right" vertical="center"/>
    </xf>
    <xf numFmtId="171" fontId="25" fillId="2" borderId="12" xfId="0" applyNumberFormat="1" applyFont="1" applyFill="1" applyBorder="1" applyAlignment="1">
      <alignment horizontal="center" vertical="center"/>
    </xf>
    <xf numFmtId="172" fontId="24" fillId="2" borderId="12" xfId="0" applyNumberFormat="1" applyFont="1" applyFill="1" applyBorder="1" applyAlignment="1">
      <alignment horizontal="center" vertical="center"/>
    </xf>
    <xf numFmtId="173" fontId="27" fillId="2" borderId="12" xfId="0" applyNumberFormat="1" applyFont="1" applyFill="1" applyBorder="1" applyAlignment="1">
      <alignment horizontal="center" vertical="center"/>
    </xf>
    <xf numFmtId="0" fontId="28" fillId="8" borderId="3" xfId="0" applyFont="1" applyFill="1" applyBorder="1" applyAlignment="1">
      <alignment horizontal="center" vertical="center"/>
    </xf>
    <xf numFmtId="0" fontId="29" fillId="9" borderId="3" xfId="0" applyFont="1" applyFill="1" applyBorder="1" applyAlignment="1">
      <alignment horizontal="center" vertical="center"/>
    </xf>
    <xf numFmtId="0" fontId="30" fillId="10" borderId="3" xfId="0" applyFont="1" applyFill="1" applyBorder="1" applyAlignment="1">
      <alignment horizontal="center" vertical="center"/>
    </xf>
    <xf numFmtId="0" fontId="31" fillId="11" borderId="3" xfId="0" applyFont="1" applyFill="1" applyBorder="1" applyAlignment="1">
      <alignment horizontal="center" vertical="center"/>
    </xf>
    <xf numFmtId="0" fontId="32" fillId="7" borderId="3" xfId="0" applyFont="1" applyFill="1" applyBorder="1" applyAlignment="1">
      <alignment horizontal="center" vertical="center"/>
    </xf>
    <xf numFmtId="0" fontId="33" fillId="6" borderId="3" xfId="0" applyFont="1" applyFill="1" applyBorder="1" applyAlignment="1">
      <alignment horizontal="center" vertical="center"/>
    </xf>
    <xf numFmtId="0" fontId="9" fillId="5" borderId="3" xfId="0" applyFont="1" applyFill="1" applyBorder="1" applyAlignment="1">
      <alignment horizontal="left" vertical="center" indent="1"/>
    </xf>
    <xf numFmtId="1" fontId="36" fillId="5" borderId="3" xfId="0" applyNumberFormat="1" applyFont="1" applyFill="1" applyBorder="1" applyAlignment="1">
      <alignment horizontal="center" vertical="center"/>
    </xf>
    <xf numFmtId="166" fontId="21" fillId="5" borderId="3" xfId="0" applyNumberFormat="1" applyFont="1" applyFill="1" applyBorder="1" applyAlignment="1">
      <alignment horizontal="center" vertical="center"/>
    </xf>
    <xf numFmtId="168" fontId="18" fillId="5" borderId="3" xfId="0" applyNumberFormat="1" applyFont="1" applyFill="1" applyBorder="1" applyAlignment="1">
      <alignment horizontal="right" vertical="center"/>
    </xf>
    <xf numFmtId="0" fontId="0" fillId="2" borderId="12" xfId="0" applyFill="1" applyBorder="1"/>
    <xf numFmtId="0" fontId="25" fillId="2" borderId="12" xfId="0" applyFont="1" applyFill="1" applyBorder="1" applyAlignment="1">
      <alignment horizontal="left" vertical="center" indent="1"/>
    </xf>
    <xf numFmtId="1" fontId="25" fillId="2" borderId="12" xfId="0" applyNumberFormat="1" applyFont="1" applyFill="1" applyBorder="1" applyAlignment="1">
      <alignment horizontal="center" vertical="center"/>
    </xf>
    <xf numFmtId="166" fontId="25" fillId="2" borderId="12" xfId="0" applyNumberFormat="1" applyFont="1" applyFill="1" applyBorder="1" applyAlignment="1">
      <alignment horizontal="center" vertical="center"/>
    </xf>
    <xf numFmtId="168" fontId="25" fillId="2" borderId="12" xfId="0" applyNumberFormat="1" applyFont="1" applyFill="1" applyBorder="1" applyAlignment="1">
      <alignment horizontal="right" vertical="center"/>
    </xf>
    <xf numFmtId="175" fontId="38" fillId="5" borderId="3" xfId="0" applyNumberFormat="1" applyFont="1" applyFill="1" applyBorder="1" applyAlignment="1">
      <alignment horizontal="center" vertical="center"/>
    </xf>
    <xf numFmtId="164" fontId="18" fillId="5" borderId="3" xfId="0" applyNumberFormat="1" applyFont="1" applyFill="1" applyBorder="1" applyAlignment="1">
      <alignment horizontal="center" vertical="center"/>
    </xf>
    <xf numFmtId="0" fontId="18" fillId="5" borderId="3" xfId="0" applyFont="1" applyFill="1" applyBorder="1" applyAlignment="1">
      <alignment horizontal="center" vertical="center"/>
    </xf>
    <xf numFmtId="1" fontId="18" fillId="5" borderId="3" xfId="0" applyNumberFormat="1" applyFont="1" applyFill="1" applyBorder="1" applyAlignment="1">
      <alignment horizontal="center" vertical="center"/>
    </xf>
    <xf numFmtId="168" fontId="21" fillId="5" borderId="3" xfId="0" applyNumberFormat="1" applyFont="1" applyFill="1" applyBorder="1" applyAlignment="1">
      <alignment horizontal="right" vertical="center"/>
    </xf>
    <xf numFmtId="168" fontId="9" fillId="5" borderId="3" xfId="0" applyNumberFormat="1" applyFont="1" applyFill="1" applyBorder="1" applyAlignment="1">
      <alignment horizontal="right" vertical="center"/>
    </xf>
    <xf numFmtId="168" fontId="40" fillId="5" borderId="3" xfId="0" applyNumberFormat="1" applyFont="1" applyFill="1" applyBorder="1" applyAlignment="1">
      <alignment horizontal="right" vertical="center"/>
    </xf>
    <xf numFmtId="1" fontId="21" fillId="5" borderId="3" xfId="0" applyNumberFormat="1" applyFont="1" applyFill="1" applyBorder="1" applyAlignment="1">
      <alignment horizontal="center" vertical="center"/>
    </xf>
    <xf numFmtId="1" fontId="40" fillId="5" borderId="3" xfId="0" applyNumberFormat="1" applyFont="1" applyFill="1" applyBorder="1" applyAlignment="1">
      <alignment horizontal="center" vertical="center"/>
    </xf>
    <xf numFmtId="166" fontId="18" fillId="5" borderId="3" xfId="0" applyNumberFormat="1" applyFont="1" applyFill="1" applyBorder="1" applyAlignment="1">
      <alignment horizontal="center" vertical="center"/>
    </xf>
    <xf numFmtId="1" fontId="9" fillId="5" borderId="3" xfId="0" applyNumberFormat="1" applyFont="1" applyFill="1" applyBorder="1" applyAlignment="1">
      <alignment horizontal="center" vertical="center"/>
    </xf>
    <xf numFmtId="0" fontId="9" fillId="7" borderId="3" xfId="0" applyFont="1" applyFill="1" applyBorder="1" applyAlignment="1">
      <alignment horizontal="left" vertical="center" indent="1"/>
    </xf>
    <xf numFmtId="168" fontId="36" fillId="7" borderId="3" xfId="0" applyNumberFormat="1" applyFont="1" applyFill="1" applyBorder="1" applyAlignment="1">
      <alignment horizontal="right" vertical="center"/>
    </xf>
    <xf numFmtId="168" fontId="43" fillId="6" borderId="3" xfId="0" applyNumberFormat="1" applyFont="1" applyFill="1" applyBorder="1" applyAlignment="1">
      <alignment horizontal="right" vertical="center"/>
    </xf>
    <xf numFmtId="168" fontId="38" fillId="6" borderId="3" xfId="0" applyNumberFormat="1" applyFont="1" applyFill="1" applyBorder="1" applyAlignment="1">
      <alignment horizontal="right" vertical="center"/>
    </xf>
    <xf numFmtId="0" fontId="36" fillId="7" borderId="3" xfId="0" applyFont="1" applyFill="1" applyBorder="1" applyAlignment="1">
      <alignment horizontal="center" vertical="center"/>
    </xf>
    <xf numFmtId="165" fontId="36" fillId="7" borderId="3" xfId="0" applyNumberFormat="1" applyFont="1" applyFill="1" applyBorder="1" applyAlignment="1">
      <alignment horizontal="center" vertical="center"/>
    </xf>
    <xf numFmtId="0" fontId="17" fillId="12" borderId="3" xfId="0" applyFont="1" applyFill="1" applyBorder="1" applyAlignment="1">
      <alignment horizontal="center" vertical="center" wrapText="1"/>
    </xf>
    <xf numFmtId="0" fontId="24" fillId="4" borderId="0" xfId="0" applyFont="1" applyFill="1" applyAlignment="1">
      <alignment horizontal="center" vertical="center"/>
    </xf>
    <xf numFmtId="166" fontId="12" fillId="5" borderId="5" xfId="0" applyNumberFormat="1" applyFont="1" applyFill="1" applyBorder="1" applyAlignment="1">
      <alignment horizontal="left" vertical="center" indent="1"/>
    </xf>
    <xf numFmtId="1" fontId="14" fillId="5" borderId="5" xfId="0" applyNumberFormat="1" applyFont="1" applyFill="1" applyBorder="1" applyAlignment="1">
      <alignment horizontal="left" vertical="center" indent="1"/>
    </xf>
    <xf numFmtId="167" fontId="15" fillId="5" borderId="5" xfId="0" applyNumberFormat="1" applyFont="1" applyFill="1" applyBorder="1" applyAlignment="1">
      <alignment horizontal="left" vertical="center" indent="1"/>
    </xf>
    <xf numFmtId="0" fontId="16" fillId="5" borderId="6" xfId="0" applyFont="1" applyFill="1" applyBorder="1" applyAlignment="1">
      <alignment horizontal="left" vertical="center" indent="1"/>
    </xf>
    <xf numFmtId="0" fontId="16" fillId="5" borderId="7" xfId="0" applyFont="1" applyFill="1" applyBorder="1" applyAlignment="1">
      <alignment horizontal="left" vertical="center" indent="1"/>
    </xf>
    <xf numFmtId="0" fontId="16" fillId="5" borderId="8" xfId="0" applyFont="1" applyFill="1" applyBorder="1" applyAlignment="1">
      <alignment horizontal="left" vertical="center" indent="1"/>
    </xf>
    <xf numFmtId="0" fontId="16" fillId="5" borderId="9" xfId="0" applyFont="1" applyFill="1" applyBorder="1" applyAlignment="1">
      <alignment horizontal="left" vertical="center" indent="1"/>
    </xf>
    <xf numFmtId="0" fontId="16" fillId="5" borderId="10" xfId="0" applyFont="1" applyFill="1" applyBorder="1" applyAlignment="1">
      <alignment horizontal="left" vertical="center" indent="1"/>
    </xf>
    <xf numFmtId="0" fontId="5" fillId="2" borderId="12" xfId="0" applyFont="1" applyFill="1" applyBorder="1" applyAlignment="1">
      <alignment horizontal="left" vertical="center" indent="1"/>
    </xf>
    <xf numFmtId="0" fontId="28" fillId="8" borderId="3" xfId="0" applyFont="1" applyFill="1" applyBorder="1" applyAlignment="1">
      <alignment horizontal="center" vertical="center"/>
    </xf>
    <xf numFmtId="0" fontId="29" fillId="9" borderId="3" xfId="0" applyFont="1" applyFill="1" applyBorder="1" applyAlignment="1">
      <alignment horizontal="center" vertical="center"/>
    </xf>
    <xf numFmtId="0" fontId="30" fillId="10" borderId="3" xfId="0" applyFont="1" applyFill="1" applyBorder="1" applyAlignment="1">
      <alignment horizontal="center" vertical="center"/>
    </xf>
    <xf numFmtId="0" fontId="31" fillId="11" borderId="3" xfId="0" applyFont="1" applyFill="1" applyBorder="1" applyAlignment="1">
      <alignment horizontal="center" vertical="center"/>
    </xf>
    <xf numFmtId="0" fontId="32" fillId="7" borderId="3" xfId="0" applyFont="1" applyFill="1" applyBorder="1" applyAlignment="1">
      <alignment horizontal="center" vertical="center"/>
    </xf>
    <xf numFmtId="0" fontId="33" fillId="6" borderId="3" xfId="0" applyFont="1" applyFill="1" applyBorder="1" applyAlignment="1">
      <alignment horizontal="center" vertical="center"/>
    </xf>
    <xf numFmtId="0" fontId="7" fillId="5" borderId="0" xfId="0" applyFont="1" applyFill="1" applyAlignment="1">
      <alignment horizontal="left" vertical="center" indent="1"/>
    </xf>
    <xf numFmtId="166" fontId="34" fillId="5" borderId="5" xfId="0" applyNumberFormat="1" applyFont="1" applyFill="1" applyBorder="1" applyAlignment="1">
      <alignment horizontal="left" vertical="center" indent="1"/>
    </xf>
    <xf numFmtId="166" fontId="15" fillId="5" borderId="5" xfId="0" applyNumberFormat="1" applyFont="1" applyFill="1" applyBorder="1" applyAlignment="1">
      <alignment horizontal="left" vertical="center" indent="1"/>
    </xf>
    <xf numFmtId="167" fontId="35" fillId="5" borderId="5" xfId="0" applyNumberFormat="1" applyFont="1" applyFill="1" applyBorder="1" applyAlignment="1">
      <alignment horizontal="left" vertical="center" indent="1"/>
    </xf>
    <xf numFmtId="0" fontId="16" fillId="5" borderId="13" xfId="0" applyFont="1" applyFill="1" applyBorder="1" applyAlignment="1">
      <alignment horizontal="left" vertical="center" indent="1"/>
    </xf>
    <xf numFmtId="0" fontId="17" fillId="2" borderId="11" xfId="0" applyFont="1" applyFill="1" applyBorder="1" applyAlignment="1">
      <alignment horizontal="center" vertical="center" wrapText="1"/>
    </xf>
    <xf numFmtId="0" fontId="7" fillId="5" borderId="3" xfId="0" applyFont="1" applyFill="1" applyBorder="1" applyAlignment="1">
      <alignment horizontal="left" vertical="center" indent="1"/>
    </xf>
    <xf numFmtId="0" fontId="21" fillId="5" borderId="3" xfId="0" applyFont="1" applyFill="1" applyBorder="1" applyAlignment="1">
      <alignment horizontal="right" vertical="center"/>
    </xf>
    <xf numFmtId="165" fontId="37" fillId="5" borderId="3" xfId="0" applyNumberFormat="1" applyFont="1" applyFill="1" applyBorder="1" applyAlignment="1">
      <alignment horizontal="center" vertical="center"/>
    </xf>
    <xf numFmtId="174" fontId="37" fillId="5" borderId="3" xfId="0" applyNumberFormat="1" applyFont="1" applyFill="1" applyBorder="1" applyAlignment="1">
      <alignment horizontal="center" vertical="center"/>
    </xf>
    <xf numFmtId="166" fontId="37" fillId="5" borderId="3" xfId="0" applyNumberFormat="1" applyFont="1" applyFill="1" applyBorder="1" applyAlignment="1">
      <alignment horizontal="center" vertical="center"/>
    </xf>
    <xf numFmtId="0" fontId="25" fillId="2" borderId="12" xfId="0" applyFont="1" applyFill="1" applyBorder="1" applyAlignment="1">
      <alignment horizontal="left" vertical="center" indent="1"/>
    </xf>
    <xf numFmtId="0" fontId="9" fillId="5" borderId="3" xfId="0" applyFont="1" applyFill="1" applyBorder="1" applyAlignment="1">
      <alignment horizontal="left" vertical="center" indent="1"/>
    </xf>
    <xf numFmtId="0" fontId="18" fillId="5" borderId="3" xfId="0" applyFont="1" applyFill="1" applyBorder="1" applyAlignment="1">
      <alignment horizontal="left" vertical="center" indent="1"/>
    </xf>
    <xf numFmtId="0" fontId="39" fillId="5" borderId="3" xfId="0" applyFont="1" applyFill="1" applyBorder="1" applyAlignment="1">
      <alignment horizontal="left" vertical="center" indent="1"/>
    </xf>
    <xf numFmtId="176" fontId="37" fillId="5" borderId="3" xfId="0" applyNumberFormat="1" applyFont="1" applyFill="1" applyBorder="1" applyAlignment="1">
      <alignment horizontal="center" vertical="center"/>
    </xf>
    <xf numFmtId="177" fontId="37" fillId="5" borderId="3" xfId="0" applyNumberFormat="1" applyFont="1" applyFill="1" applyBorder="1" applyAlignment="1">
      <alignment horizontal="center" vertical="center"/>
    </xf>
    <xf numFmtId="178" fontId="37" fillId="5" borderId="3" xfId="0" applyNumberFormat="1" applyFont="1" applyFill="1" applyBorder="1" applyAlignment="1">
      <alignment horizontal="center" vertical="center"/>
    </xf>
    <xf numFmtId="168" fontId="37" fillId="5" borderId="3" xfId="0" applyNumberFormat="1" applyFont="1" applyFill="1" applyBorder="1" applyAlignment="1">
      <alignment horizontal="center" vertical="center"/>
    </xf>
    <xf numFmtId="0" fontId="21" fillId="5" borderId="3" xfId="0" applyFont="1" applyFill="1" applyBorder="1" applyAlignment="1">
      <alignment horizontal="left" vertical="center" indent="1"/>
    </xf>
    <xf numFmtId="0" fontId="41" fillId="5" borderId="3" xfId="0" applyFont="1" applyFill="1" applyBorder="1" applyAlignment="1">
      <alignment horizontal="left" vertical="center" indent="1"/>
    </xf>
    <xf numFmtId="166" fontId="21" fillId="5" borderId="3" xfId="0" applyNumberFormat="1" applyFont="1" applyFill="1" applyBorder="1" applyAlignment="1">
      <alignment horizontal="center" vertical="center"/>
    </xf>
    <xf numFmtId="0" fontId="9" fillId="5" borderId="3" xfId="0" applyFont="1" applyFill="1" applyBorder="1" applyAlignment="1">
      <alignment horizontal="center" vertical="center"/>
    </xf>
    <xf numFmtId="1" fontId="37" fillId="5" borderId="3" xfId="0" applyNumberFormat="1" applyFont="1" applyFill="1" applyBorder="1" applyAlignment="1">
      <alignment horizontal="center" vertical="center"/>
    </xf>
    <xf numFmtId="1" fontId="21" fillId="5" borderId="3" xfId="0" applyNumberFormat="1" applyFont="1" applyFill="1" applyBorder="1" applyAlignment="1">
      <alignment horizontal="center" vertical="center"/>
    </xf>
    <xf numFmtId="168" fontId="21" fillId="5" borderId="3" xfId="0" applyNumberFormat="1" applyFont="1" applyFill="1" applyBorder="1" applyAlignment="1">
      <alignment horizontal="center" vertical="center"/>
    </xf>
    <xf numFmtId="164" fontId="21" fillId="5" borderId="3" xfId="0" applyNumberFormat="1" applyFont="1" applyFill="1" applyBorder="1" applyAlignment="1">
      <alignment horizontal="center" vertical="center"/>
    </xf>
    <xf numFmtId="164" fontId="37" fillId="5" borderId="3" xfId="0" applyNumberFormat="1" applyFont="1" applyFill="1" applyBorder="1" applyAlignment="1">
      <alignment horizontal="center" vertical="center"/>
    </xf>
    <xf numFmtId="0" fontId="21" fillId="5" borderId="0" xfId="0" applyFont="1" applyFill="1" applyAlignment="1">
      <alignment horizontal="right" vertical="center" indent="1"/>
    </xf>
    <xf numFmtId="0" fontId="37" fillId="7" borderId="3" xfId="0" applyFont="1" applyFill="1" applyBorder="1" applyAlignment="1">
      <alignment horizontal="left" vertical="center" indent="1"/>
    </xf>
    <xf numFmtId="164" fontId="37" fillId="7" borderId="3" xfId="0" applyNumberFormat="1" applyFont="1" applyFill="1" applyBorder="1" applyAlignment="1">
      <alignment horizontal="left" vertical="center" indent="1"/>
    </xf>
    <xf numFmtId="165" fontId="37" fillId="7" borderId="3" xfId="0" applyNumberFormat="1" applyFont="1" applyFill="1" applyBorder="1" applyAlignment="1">
      <alignment horizontal="center" vertical="center"/>
    </xf>
    <xf numFmtId="179" fontId="37" fillId="7" borderId="3" xfId="0" applyNumberFormat="1" applyFont="1" applyFill="1" applyBorder="1" applyAlignment="1">
      <alignment horizontal="center" vertical="center"/>
    </xf>
    <xf numFmtId="9" fontId="37" fillId="7" borderId="3" xfId="0" applyNumberFormat="1" applyFont="1" applyFill="1" applyBorder="1" applyAlignment="1">
      <alignment horizontal="center" vertical="center"/>
    </xf>
    <xf numFmtId="164" fontId="42" fillId="6" borderId="3" xfId="0" applyNumberFormat="1" applyFont="1" applyFill="1" applyBorder="1" applyAlignment="1">
      <alignment horizontal="center" vertical="center"/>
    </xf>
    <xf numFmtId="1" fontId="37" fillId="7" borderId="3" xfId="0" applyNumberFormat="1" applyFont="1" applyFill="1" applyBorder="1" applyAlignment="1">
      <alignment horizontal="center" vertical="center"/>
    </xf>
    <xf numFmtId="0" fontId="17" fillId="12" borderId="3" xfId="0" applyFont="1" applyFill="1" applyBorder="1" applyAlignment="1">
      <alignment horizontal="center" vertical="center"/>
    </xf>
    <xf numFmtId="0" fontId="7" fillId="5" borderId="0" xfId="0" applyFont="1" applyFill="1" applyAlignment="1">
      <alignment horizontal="left" vertical="center" wrapText="1" indent="1"/>
    </xf>
    <xf numFmtId="0" fontId="18" fillId="5" borderId="0" xfId="0" applyFont="1" applyFill="1" applyAlignment="1">
      <alignment horizontal="left" vertical="center" indent="1"/>
    </xf>
    <xf numFmtId="0" fontId="7" fillId="3" borderId="3" xfId="0" applyFont="1" applyFill="1" applyBorder="1" applyAlignment="1">
      <alignment horizontal="left" vertical="center" wrapText="1" indent="1"/>
    </xf>
  </cellXfs>
  <cellStyles count="1">
    <cellStyle name="Standard" xfId="0" builtinId="0"/>
  </cellStyles>
  <dxfs count="28">
    <dxf>
      <font>
        <b/>
        <sz val="8"/>
        <color rgb="FF2F8C6E"/>
        <name val="Calibri"/>
        <charset val="1"/>
      </font>
      <fill>
        <patternFill>
          <bgColor rgb="FFDEEDE7"/>
        </patternFill>
      </fill>
    </dxf>
    <dxf>
      <font>
        <b/>
        <sz val="8"/>
        <color rgb="FFB23A2E"/>
        <name val="Calibri"/>
        <charset val="1"/>
      </font>
      <fill>
        <patternFill>
          <bgColor rgb="FFF7DFDA"/>
        </patternFill>
      </fill>
    </dxf>
    <dxf>
      <font>
        <b/>
        <sz val="8"/>
        <color rgb="FFB8860F"/>
        <name val="Calibri"/>
        <charset val="1"/>
      </font>
      <fill>
        <patternFill>
          <bgColor rgb="FFFBEFCF"/>
        </patternFill>
      </fill>
    </dxf>
    <dxf>
      <font>
        <sz val="9"/>
        <color rgb="FFB8860F"/>
        <name val="Calibri"/>
        <charset val="1"/>
      </font>
      <fill>
        <patternFill>
          <bgColor rgb="FFFBEFCF"/>
        </patternFill>
      </fill>
    </dxf>
    <dxf>
      <font>
        <b/>
        <sz val="9"/>
        <color rgb="FF2F8C6E"/>
        <name val="Calibri"/>
        <charset val="1"/>
      </font>
      <fill>
        <patternFill>
          <bgColor rgb="FFDEEDE7"/>
        </patternFill>
      </fill>
    </dxf>
    <dxf>
      <font>
        <b/>
        <sz val="9"/>
        <color rgb="FFB8860F"/>
        <name val="Calibri"/>
        <charset val="1"/>
      </font>
      <fill>
        <patternFill>
          <bgColor rgb="FFFBEFCF"/>
        </patternFill>
      </fill>
    </dxf>
    <dxf>
      <font>
        <b/>
        <sz val="9"/>
        <color rgb="FFB23A2E"/>
        <name val="Calibri"/>
        <charset val="1"/>
      </font>
      <fill>
        <patternFill>
          <bgColor rgb="FFF7DFDA"/>
        </patternFill>
      </fill>
    </dxf>
    <dxf>
      <font>
        <b/>
        <sz val="9"/>
        <color rgb="FF2F8C6E"/>
        <name val="Calibri"/>
        <charset val="1"/>
      </font>
      <fill>
        <patternFill>
          <bgColor rgb="FFDEEDE7"/>
        </patternFill>
      </fill>
    </dxf>
    <dxf>
      <font>
        <b/>
        <sz val="9"/>
        <color rgb="FFB23A2E"/>
        <name val="Calibri"/>
        <charset val="1"/>
      </font>
      <fill>
        <patternFill>
          <bgColor rgb="FFF7DFDA"/>
        </patternFill>
      </fill>
    </dxf>
    <dxf>
      <font>
        <b/>
        <sz val="9"/>
        <color rgb="FFB8860F"/>
        <name val="Calibri"/>
        <charset val="1"/>
      </font>
      <fill>
        <patternFill>
          <bgColor rgb="FFFBEFCF"/>
        </patternFill>
      </fill>
    </dxf>
    <dxf>
      <font>
        <b/>
        <sz val="9"/>
        <color rgb="FF2F8C6E"/>
        <name val="Calibri"/>
        <charset val="1"/>
      </font>
      <fill>
        <patternFill>
          <bgColor rgb="FFDEEDE7"/>
        </patternFill>
      </fill>
    </dxf>
    <dxf>
      <font>
        <b/>
        <i/>
        <sz val="8"/>
        <color rgb="FFB23A2E"/>
        <name val="Calibri"/>
        <charset val="1"/>
      </font>
      <fill>
        <patternFill>
          <bgColor rgb="FFF7DFDA"/>
        </patternFill>
      </fill>
    </dxf>
    <dxf>
      <font>
        <sz val="8"/>
        <color rgb="FF2F8C6E"/>
        <name val="Calibri"/>
        <charset val="1"/>
      </font>
      <fill>
        <patternFill>
          <bgColor rgb="FFDEEDE7"/>
        </patternFill>
      </fill>
    </dxf>
    <dxf>
      <font>
        <sz val="8"/>
        <color rgb="FF2F8C6E"/>
        <name val="Calibri"/>
        <charset val="1"/>
      </font>
      <fill>
        <patternFill>
          <bgColor rgb="FFDEEDE7"/>
        </patternFill>
      </fill>
    </dxf>
    <dxf>
      <font>
        <b/>
        <sz val="8"/>
        <color rgb="FFB23A2E"/>
        <name val="Calibri"/>
        <charset val="1"/>
      </font>
      <fill>
        <patternFill>
          <bgColor rgb="FFF7DFDA"/>
        </patternFill>
      </fill>
    </dxf>
    <dxf>
      <font>
        <sz val="8"/>
        <color rgb="FFB23A2E"/>
        <name val="Calibri"/>
        <charset val="1"/>
      </font>
      <fill>
        <patternFill>
          <bgColor rgb="FFF7DFDA"/>
        </patternFill>
      </fill>
    </dxf>
    <dxf>
      <font>
        <b/>
        <sz val="8"/>
        <color rgb="FF2F8C6E"/>
        <name val="Calibri"/>
        <charset val="1"/>
      </font>
      <fill>
        <patternFill>
          <bgColor rgb="FFDEEDE7"/>
        </patternFill>
      </fill>
    </dxf>
    <dxf>
      <font>
        <b/>
        <sz val="8"/>
        <color rgb="FFB23A2E"/>
        <name val="Calibri"/>
        <charset val="1"/>
      </font>
      <fill>
        <patternFill>
          <bgColor rgb="FFF7DFDA"/>
        </patternFill>
      </fill>
    </dxf>
    <dxf>
      <font>
        <b/>
        <sz val="8"/>
        <color rgb="FFB23A2E"/>
        <name val="Calibri"/>
        <charset val="1"/>
      </font>
      <fill>
        <patternFill>
          <bgColor rgb="FFF7DFDA"/>
        </patternFill>
      </fill>
    </dxf>
    <dxf>
      <font>
        <b/>
        <sz val="8"/>
        <color rgb="FFB8860F"/>
        <name val="Calibri"/>
        <charset val="1"/>
      </font>
      <fill>
        <patternFill>
          <bgColor rgb="FFFBEFCF"/>
        </patternFill>
      </fill>
    </dxf>
    <dxf>
      <font>
        <b/>
        <sz val="8"/>
        <color rgb="FF27506F"/>
        <name val="Calibri"/>
        <charset val="1"/>
      </font>
      <fill>
        <patternFill>
          <bgColor rgb="FFDCE5EC"/>
        </patternFill>
      </fill>
    </dxf>
    <dxf>
      <font>
        <b/>
        <sz val="8"/>
        <color rgb="FF2F8C6E"/>
        <name val="Calibri"/>
        <charset val="1"/>
      </font>
      <fill>
        <patternFill>
          <bgColor rgb="FFDEEDE7"/>
        </patternFill>
      </fill>
    </dxf>
    <dxf>
      <font>
        <sz val="8"/>
        <color rgb="FF6E7A85"/>
        <name val="Calibri"/>
        <charset val="1"/>
      </font>
      <fill>
        <patternFill>
          <bgColor rgb="FFEFF1F3"/>
        </patternFill>
      </fill>
    </dxf>
    <dxf>
      <font>
        <sz val="8"/>
        <color rgb="FF27506F"/>
        <name val="Calibri"/>
        <charset val="1"/>
      </font>
      <fill>
        <patternFill>
          <bgColor rgb="FFDCE5EC"/>
        </patternFill>
      </fill>
    </dxf>
    <dxf>
      <font>
        <sz val="8"/>
        <color rgb="FFB8860F"/>
        <name val="Calibri"/>
        <charset val="1"/>
      </font>
      <fill>
        <patternFill>
          <bgColor rgb="FFFBEFCF"/>
        </patternFill>
      </fill>
    </dxf>
    <dxf>
      <font>
        <sz val="8"/>
        <color rgb="FF2F8C6E"/>
        <name val="Calibri"/>
        <charset val="1"/>
      </font>
      <fill>
        <patternFill>
          <bgColor rgb="FFDEEDE7"/>
        </patternFill>
      </fill>
    </dxf>
    <dxf>
      <font>
        <sz val="8"/>
        <color rgb="FFB23A2E"/>
        <name val="Calibri"/>
        <charset val="1"/>
      </font>
      <fill>
        <patternFill>
          <bgColor rgb="FFF7DFDA"/>
        </patternFill>
      </fill>
    </dxf>
    <dxf>
      <font>
        <i/>
        <sz val="9"/>
        <color rgb="FFB8860F"/>
        <name val="Calibri"/>
        <charset val="1"/>
      </font>
      <fill>
        <patternFill>
          <bgColor rgb="FFFBEFC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8860F"/>
      <rgbColor rgb="FF800080"/>
      <rgbColor rgb="FF008080"/>
      <rgbColor rgb="FFC7CFD6"/>
      <rgbColor rgb="FF878787"/>
      <rgbColor rgb="FF9999FF"/>
      <rgbColor rgb="FFB85A20"/>
      <rgbColor rgb="FFFFF8E4"/>
      <rgbColor rgb="FFDEEDE7"/>
      <rgbColor rgb="FF660066"/>
      <rgbColor rgb="FFFF8080"/>
      <rgbColor rgb="FF0066CC"/>
      <rgbColor rgb="FFC3D2DE"/>
      <rgbColor rgb="FF000080"/>
      <rgbColor rgb="FFFF00FF"/>
      <rgbColor rgb="FFFFFF00"/>
      <rgbColor rgb="FF00FFFF"/>
      <rgbColor rgb="FF800080"/>
      <rgbColor rgb="FF800000"/>
      <rgbColor rgb="FF008080"/>
      <rgbColor rgb="FF0000FF"/>
      <rgbColor rgb="FF00CCFF"/>
      <rgbColor rgb="FFEFF1F3"/>
      <rgbColor rgb="FFDCE5EC"/>
      <rgbColor rgb="FFFBEFCF"/>
      <rgbColor rgb="FFF1EDE4"/>
      <rgbColor rgb="FFF7DFDA"/>
      <rgbColor rgb="FFFCFBF7"/>
      <rgbColor rgb="FFFBD9C2"/>
      <rgbColor rgb="FF4F81BD"/>
      <rgbColor rgb="FF33CCCC"/>
      <rgbColor rgb="FF99CC00"/>
      <rgbColor rgb="FFFFCC00"/>
      <rgbColor rgb="FFFF9900"/>
      <rgbColor rgb="FFE0742F"/>
      <rgbColor rgb="FF6E7A85"/>
      <rgbColor rgb="FF5D7E99"/>
      <rgbColor rgb="FF0F2438"/>
      <rgbColor rgb="FF2F8C6E"/>
      <rgbColor rgb="FF003300"/>
      <rgbColor rgb="FF333300"/>
      <rgbColor rgb="FFB23A2E"/>
      <rgbColor rgb="FF993366"/>
      <rgbColor rgb="FF27506F"/>
      <rgbColor rgb="FF1B2A3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000" b="1" strike="noStrike" spc="-1">
                <a:solidFill>
                  <a:srgbClr val="0F2438"/>
                </a:solidFill>
                <a:latin typeface="Calibri"/>
              </a:defRPr>
            </a:pPr>
            <a:r>
              <a:rPr sz="1000" b="1" strike="noStrike" spc="-1">
                <a:solidFill>
                  <a:srgbClr val="0F2438"/>
                </a:solidFill>
                <a:latin typeface="Calibri"/>
              </a:rPr>
              <a:t>Anmeldungen je Tarif</a:t>
            </a:r>
          </a:p>
        </c:rich>
      </c:tx>
      <c:overlay val="0"/>
      <c:spPr>
        <a:noFill/>
        <a:ln w="0">
          <a:noFill/>
        </a:ln>
      </c:spPr>
    </c:title>
    <c:autoTitleDeleted val="0"/>
    <c:plotArea>
      <c:layout/>
      <c:barChart>
        <c:barDir val="col"/>
        <c:grouping val="clustered"/>
        <c:varyColors val="0"/>
        <c:ser>
          <c:idx val="0"/>
          <c:order val="0"/>
          <c:tx>
            <c:strRef>
              <c:f>Auswertung!$D$30</c:f>
              <c:strCache>
                <c:ptCount val="1"/>
                <c:pt idx="0">
                  <c:v>Anmeldungen</c:v>
                </c:pt>
              </c:strCache>
            </c:strRef>
          </c:tx>
          <c:spPr>
            <a:solidFill>
              <a:srgbClr val="27506F"/>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Auswertung!$C$31:$C$38</c:f>
              <c:strCache>
                <c:ptCount val="8"/>
                <c:pt idx="0">
                  <c:v>Frühbucher</c:v>
                </c:pt>
                <c:pt idx="1">
                  <c:v>Standard</c:v>
                </c:pt>
                <c:pt idx="2">
                  <c:v>Mitglied</c:v>
                </c:pt>
                <c:pt idx="3">
                  <c:v>Firmenkontingent</c:v>
                </c:pt>
                <c:pt idx="4">
                  <c:v>Ermäßigt</c:v>
                </c:pt>
                <c:pt idx="5">
                  <c:v>Tagesgast</c:v>
                </c:pt>
                <c:pt idx="6">
                  <c:v>Referent/in</c:v>
                </c:pt>
                <c:pt idx="7">
                  <c:v>Presse</c:v>
                </c:pt>
              </c:strCache>
            </c:strRef>
          </c:cat>
          <c:val>
            <c:numRef>
              <c:f>Auswertung!$D$31:$D$38</c:f>
              <c:numCache>
                <c:formatCode>0</c:formatCode>
                <c:ptCount val="8"/>
                <c:pt idx="0">
                  <c:v>8</c:v>
                </c:pt>
                <c:pt idx="1">
                  <c:v>18</c:v>
                </c:pt>
                <c:pt idx="2">
                  <c:v>6</c:v>
                </c:pt>
                <c:pt idx="3">
                  <c:v>7</c:v>
                </c:pt>
                <c:pt idx="4">
                  <c:v>2</c:v>
                </c:pt>
                <c:pt idx="5">
                  <c:v>3</c:v>
                </c:pt>
                <c:pt idx="6">
                  <c:v>2</c:v>
                </c:pt>
                <c:pt idx="7">
                  <c:v>1</c:v>
                </c:pt>
              </c:numCache>
            </c:numRef>
          </c:val>
          <c:extLst>
            <c:ext xmlns:c16="http://schemas.microsoft.com/office/drawing/2014/chart" uri="{C3380CC4-5D6E-409C-BE32-E72D297353CC}">
              <c16:uniqueId val="{00000000-AE0D-422E-8506-542F07713E57}"/>
            </c:ext>
          </c:extLst>
        </c:ser>
        <c:dLbls>
          <c:showLegendKey val="0"/>
          <c:showVal val="0"/>
          <c:showCatName val="0"/>
          <c:showSerName val="0"/>
          <c:showPercent val="0"/>
          <c:showBubbleSize val="0"/>
        </c:dLbls>
        <c:gapWidth val="60"/>
        <c:axId val="59974248"/>
        <c:axId val="54317864"/>
      </c:barChart>
      <c:catAx>
        <c:axId val="5997424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4317864"/>
        <c:crosses val="autoZero"/>
        <c:auto val="1"/>
        <c:lblAlgn val="ctr"/>
        <c:lblOffset val="100"/>
        <c:noMultiLvlLbl val="0"/>
      </c:catAx>
      <c:valAx>
        <c:axId val="54317864"/>
        <c:scaling>
          <c:orientation val="minMax"/>
        </c:scaling>
        <c:delete val="0"/>
        <c:axPos val="l"/>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9974248"/>
        <c:crosses val="autoZero"/>
        <c:crossBetween val="between"/>
      </c:valAx>
      <c:spPr>
        <a:noFill/>
        <a:ln w="0">
          <a:noFill/>
        </a:ln>
      </c:spPr>
    </c:plotArea>
    <c:plotVisOnly val="1"/>
    <c:dispBlanksAs val="gap"/>
    <c:showDLblsOverMax val="1"/>
  </c:chart>
  <c:spPr>
    <a:solidFill>
      <a:srgbClr val="FCFBF7"/>
    </a:solidFill>
    <a:ln w="9360">
      <a:solidFill>
        <a:srgbClr val="C7CFD6"/>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000" b="1" strike="noStrike" spc="-1">
                <a:solidFill>
                  <a:srgbClr val="0F2438"/>
                </a:solidFill>
                <a:latin typeface="Calibri"/>
              </a:defRPr>
            </a:pPr>
            <a:r>
              <a:rPr sz="1000" b="1" strike="noStrike" spc="-1">
                <a:solidFill>
                  <a:srgbClr val="0F2438"/>
                </a:solidFill>
                <a:latin typeface="Calibri"/>
              </a:rPr>
              <a:t>Anmeldeverlauf gegenüber Kapazität</a:t>
            </a:r>
          </a:p>
        </c:rich>
      </c:tx>
      <c:overlay val="0"/>
      <c:spPr>
        <a:noFill/>
        <a:ln w="0">
          <a:noFill/>
        </a:ln>
      </c:spPr>
    </c:title>
    <c:autoTitleDeleted val="0"/>
    <c:plotArea>
      <c:layout/>
      <c:lineChart>
        <c:grouping val="standard"/>
        <c:varyColors val="0"/>
        <c:ser>
          <c:idx val="0"/>
          <c:order val="0"/>
          <c:tx>
            <c:strRef>
              <c:f>Auswertung!$E$42</c:f>
              <c:strCache>
                <c:ptCount val="1"/>
                <c:pt idx="0">
                  <c:v>kumuliert</c:v>
                </c:pt>
              </c:strCache>
            </c:strRef>
          </c:tx>
          <c:spPr>
            <a:ln w="29880">
              <a:solidFill>
                <a:srgbClr val="2F8C6E"/>
              </a:solidFill>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Auswertung!$C$43:$C$54</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Auswertung!$E$43:$E$54</c:f>
              <c:numCache>
                <c:formatCode>0</c:formatCode>
                <c:ptCount val="12"/>
                <c:pt idx="0">
                  <c:v>0</c:v>
                </c:pt>
                <c:pt idx="1">
                  <c:v>0</c:v>
                </c:pt>
                <c:pt idx="2">
                  <c:v>13</c:v>
                </c:pt>
                <c:pt idx="3">
                  <c:v>24</c:v>
                </c:pt>
                <c:pt idx="4">
                  <c:v>39</c:v>
                </c:pt>
                <c:pt idx="5">
                  <c:v>47</c:v>
                </c:pt>
                <c:pt idx="6">
                  <c:v>47</c:v>
                </c:pt>
                <c:pt idx="7">
                  <c:v>47</c:v>
                </c:pt>
                <c:pt idx="8">
                  <c:v>47</c:v>
                </c:pt>
                <c:pt idx="9">
                  <c:v>47</c:v>
                </c:pt>
                <c:pt idx="10">
                  <c:v>47</c:v>
                </c:pt>
                <c:pt idx="11">
                  <c:v>47</c:v>
                </c:pt>
              </c:numCache>
            </c:numRef>
          </c:val>
          <c:smooth val="1"/>
          <c:extLst>
            <c:ext xmlns:c16="http://schemas.microsoft.com/office/drawing/2014/chart" uri="{C3380CC4-5D6E-409C-BE32-E72D297353CC}">
              <c16:uniqueId val="{00000000-8EA3-4BDC-AC75-D87FC5849A34}"/>
            </c:ext>
          </c:extLst>
        </c:ser>
        <c:ser>
          <c:idx val="1"/>
          <c:order val="1"/>
          <c:tx>
            <c:strRef>
              <c:f>Auswertung!$H$42</c:f>
              <c:strCache>
                <c:ptCount val="1"/>
                <c:pt idx="0">
                  <c:v>Kapazität</c:v>
                </c:pt>
              </c:strCache>
            </c:strRef>
          </c:tx>
          <c:spPr>
            <a:ln w="20160">
              <a:solidFill>
                <a:srgbClr val="E0742F"/>
              </a:solidFill>
              <a:prstDash val="dash"/>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Auswertung!$C$43:$C$54</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Auswertung!$H$43:$H$54</c:f>
              <c:numCache>
                <c:formatCode>0</c:formatCode>
                <c:ptCount val="12"/>
                <c:pt idx="0">
                  <c:v>40</c:v>
                </c:pt>
                <c:pt idx="1">
                  <c:v>40</c:v>
                </c:pt>
                <c:pt idx="2">
                  <c:v>40</c:v>
                </c:pt>
                <c:pt idx="3">
                  <c:v>40</c:v>
                </c:pt>
                <c:pt idx="4">
                  <c:v>40</c:v>
                </c:pt>
                <c:pt idx="5">
                  <c:v>40</c:v>
                </c:pt>
                <c:pt idx="6">
                  <c:v>40</c:v>
                </c:pt>
                <c:pt idx="7">
                  <c:v>40</c:v>
                </c:pt>
                <c:pt idx="8">
                  <c:v>40</c:v>
                </c:pt>
                <c:pt idx="9">
                  <c:v>40</c:v>
                </c:pt>
                <c:pt idx="10">
                  <c:v>40</c:v>
                </c:pt>
                <c:pt idx="11">
                  <c:v>40</c:v>
                </c:pt>
              </c:numCache>
            </c:numRef>
          </c:val>
          <c:smooth val="1"/>
          <c:extLst>
            <c:ext xmlns:c16="http://schemas.microsoft.com/office/drawing/2014/chart" uri="{C3380CC4-5D6E-409C-BE32-E72D297353CC}">
              <c16:uniqueId val="{00000001-8EA3-4BDC-AC75-D87FC5849A34}"/>
            </c:ext>
          </c:extLst>
        </c:ser>
        <c:dLbls>
          <c:showLegendKey val="0"/>
          <c:showVal val="0"/>
          <c:showCatName val="0"/>
          <c:showSerName val="0"/>
          <c:showPercent val="0"/>
          <c:showBubbleSize val="0"/>
        </c:dLbls>
        <c:hiLowLines>
          <c:spPr>
            <a:ln w="0">
              <a:noFill/>
            </a:ln>
          </c:spPr>
        </c:hiLowLines>
        <c:smooth val="0"/>
        <c:axId val="47093413"/>
        <c:axId val="39030194"/>
      </c:lineChart>
      <c:catAx>
        <c:axId val="47093413"/>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39030194"/>
        <c:crosses val="autoZero"/>
        <c:auto val="1"/>
        <c:lblAlgn val="ctr"/>
        <c:lblOffset val="100"/>
        <c:noMultiLvlLbl val="0"/>
      </c:catAx>
      <c:valAx>
        <c:axId val="39030194"/>
        <c:scaling>
          <c:orientation val="minMax"/>
        </c:scaling>
        <c:delete val="0"/>
        <c:axPos val="l"/>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47093413"/>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CFBF7"/>
    </a:solidFill>
    <a:ln w="9360">
      <a:solidFill>
        <a:srgbClr val="C7CFD6"/>
      </a:solidFill>
      <a:roun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000" b="1" strike="noStrike" spc="-1">
                <a:solidFill>
                  <a:srgbClr val="0F2438"/>
                </a:solidFill>
                <a:latin typeface="Calibri"/>
              </a:defRPr>
            </a:pPr>
            <a:r>
              <a:rPr sz="1000" b="1" strike="noStrike" spc="-1">
                <a:solidFill>
                  <a:srgbClr val="0F2438"/>
                </a:solidFill>
                <a:latin typeface="Calibri"/>
              </a:rPr>
              <a:t>Verteilung der Teilnahmestatus</a:t>
            </a:r>
          </a:p>
        </c:rich>
      </c:tx>
      <c:overlay val="0"/>
      <c:spPr>
        <a:noFill/>
        <a:ln w="0">
          <a:noFill/>
        </a:ln>
      </c:spPr>
    </c:title>
    <c:autoTitleDeleted val="0"/>
    <c:plotArea>
      <c:layout/>
      <c:pieChart>
        <c:varyColors val="1"/>
        <c:ser>
          <c:idx val="0"/>
          <c:order val="0"/>
          <c:tx>
            <c:strRef>
              <c:f>Auswertung!$D$12</c:f>
              <c:strCache>
                <c:ptCount val="1"/>
                <c:pt idx="0">
                  <c:v>Anzahl</c:v>
                </c:pt>
              </c:strCache>
            </c:strRef>
          </c:tx>
          <c:spPr>
            <a:solidFill>
              <a:srgbClr val="4F81BD"/>
            </a:solidFill>
            <a:ln w="0">
              <a:noFill/>
            </a:ln>
          </c:spPr>
          <c:dPt>
            <c:idx val="0"/>
            <c:bubble3D val="0"/>
            <c:spPr>
              <a:solidFill>
                <a:srgbClr val="2F8C6E"/>
              </a:solidFill>
              <a:ln w="0">
                <a:noFill/>
              </a:ln>
            </c:spPr>
            <c:extLst>
              <c:ext xmlns:c16="http://schemas.microsoft.com/office/drawing/2014/chart" uri="{C3380CC4-5D6E-409C-BE32-E72D297353CC}">
                <c16:uniqueId val="{00000001-4D8A-4AFD-BF4D-005C0F665EE4}"/>
              </c:ext>
            </c:extLst>
          </c:dPt>
          <c:dPt>
            <c:idx val="1"/>
            <c:bubble3D val="0"/>
            <c:spPr>
              <a:solidFill>
                <a:srgbClr val="27506F"/>
              </a:solidFill>
              <a:ln w="0">
                <a:noFill/>
              </a:ln>
            </c:spPr>
            <c:extLst>
              <c:ext xmlns:c16="http://schemas.microsoft.com/office/drawing/2014/chart" uri="{C3380CC4-5D6E-409C-BE32-E72D297353CC}">
                <c16:uniqueId val="{00000003-4D8A-4AFD-BF4D-005C0F665EE4}"/>
              </c:ext>
            </c:extLst>
          </c:dPt>
          <c:dPt>
            <c:idx val="2"/>
            <c:bubble3D val="0"/>
            <c:spPr>
              <a:solidFill>
                <a:srgbClr val="B8860F"/>
              </a:solidFill>
              <a:ln w="0">
                <a:noFill/>
              </a:ln>
            </c:spPr>
            <c:extLst>
              <c:ext xmlns:c16="http://schemas.microsoft.com/office/drawing/2014/chart" uri="{C3380CC4-5D6E-409C-BE32-E72D297353CC}">
                <c16:uniqueId val="{00000005-4D8A-4AFD-BF4D-005C0F665EE4}"/>
              </c:ext>
            </c:extLst>
          </c:dPt>
          <c:dPt>
            <c:idx val="3"/>
            <c:bubble3D val="0"/>
            <c:spPr>
              <a:solidFill>
                <a:srgbClr val="B23A2E"/>
              </a:solidFill>
              <a:ln w="0">
                <a:noFill/>
              </a:ln>
            </c:spPr>
            <c:extLst>
              <c:ext xmlns:c16="http://schemas.microsoft.com/office/drawing/2014/chart" uri="{C3380CC4-5D6E-409C-BE32-E72D297353CC}">
                <c16:uniqueId val="{00000007-4D8A-4AFD-BF4D-005C0F665EE4}"/>
              </c:ext>
            </c:extLst>
          </c:dPt>
          <c:dPt>
            <c:idx val="4"/>
            <c:bubble3D val="0"/>
            <c:spPr>
              <a:solidFill>
                <a:srgbClr val="5D7E99"/>
              </a:solidFill>
              <a:ln w="0">
                <a:noFill/>
              </a:ln>
            </c:spPr>
            <c:extLst>
              <c:ext xmlns:c16="http://schemas.microsoft.com/office/drawing/2014/chart" uri="{C3380CC4-5D6E-409C-BE32-E72D297353CC}">
                <c16:uniqueId val="{00000009-4D8A-4AFD-BF4D-005C0F665EE4}"/>
              </c:ext>
            </c:extLst>
          </c:dPt>
          <c:dLbls>
            <c:dLbl>
              <c:idx val="0"/>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1-4D8A-4AFD-BF4D-005C0F665EE4}"/>
                </c:ext>
              </c:extLst>
            </c:dLbl>
            <c:dLbl>
              <c:idx val="1"/>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3-4D8A-4AFD-BF4D-005C0F665EE4}"/>
                </c:ext>
              </c:extLst>
            </c:dLbl>
            <c:dLbl>
              <c:idx val="2"/>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5-4D8A-4AFD-BF4D-005C0F665EE4}"/>
                </c:ext>
              </c:extLst>
            </c:dLbl>
            <c:dLbl>
              <c:idx val="3"/>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7-4D8A-4AFD-BF4D-005C0F665EE4}"/>
                </c:ext>
              </c:extLst>
            </c:dLbl>
            <c:dLbl>
              <c:idx val="4"/>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9-4D8A-4AFD-BF4D-005C0F665EE4}"/>
                </c:ext>
              </c:extLst>
            </c:dLbl>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1"/>
            <c:extLst>
              <c:ext xmlns:c15="http://schemas.microsoft.com/office/drawing/2012/chart" uri="{CE6537A1-D6FC-4f65-9D91-7224C49458BB}"/>
            </c:extLst>
          </c:dLbls>
          <c:cat>
            <c:strRef>
              <c:f>Auswertung!$C$13:$C$17</c:f>
              <c:strCache>
                <c:ptCount val="5"/>
                <c:pt idx="0">
                  <c:v>Angemeldet</c:v>
                </c:pt>
                <c:pt idx="1">
                  <c:v>Bestätigt</c:v>
                </c:pt>
                <c:pt idx="2">
                  <c:v>Warteliste</c:v>
                </c:pt>
                <c:pt idx="3">
                  <c:v>Abgesagt</c:v>
                </c:pt>
                <c:pt idx="4">
                  <c:v>Storniert</c:v>
                </c:pt>
              </c:strCache>
            </c:strRef>
          </c:cat>
          <c:val>
            <c:numRef>
              <c:f>Auswertung!$D$13:$D$17</c:f>
              <c:numCache>
                <c:formatCode>0</c:formatCode>
                <c:ptCount val="5"/>
                <c:pt idx="0">
                  <c:v>4</c:v>
                </c:pt>
                <c:pt idx="1">
                  <c:v>36</c:v>
                </c:pt>
                <c:pt idx="2">
                  <c:v>4</c:v>
                </c:pt>
                <c:pt idx="3">
                  <c:v>2</c:v>
                </c:pt>
                <c:pt idx="4">
                  <c:v>1</c:v>
                </c:pt>
              </c:numCache>
            </c:numRef>
          </c:val>
          <c:extLst>
            <c:ext xmlns:c16="http://schemas.microsoft.com/office/drawing/2014/chart" uri="{C3380CC4-5D6E-409C-BE32-E72D297353CC}">
              <c16:uniqueId val="{0000000A-4D8A-4AFD-BF4D-005C0F665EE4}"/>
            </c:ext>
          </c:extLst>
        </c:ser>
        <c:dLbls>
          <c:showLegendKey val="0"/>
          <c:showVal val="0"/>
          <c:showCatName val="0"/>
          <c:showSerName val="0"/>
          <c:showPercent val="0"/>
          <c:showBubbleSize val="0"/>
          <c:showLeaderLines val="1"/>
        </c:dLbls>
        <c:firstSliceAng val="0"/>
      </c:pieChart>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CFBF7"/>
    </a:solidFill>
    <a:ln w="9360">
      <a:solidFill>
        <a:srgbClr val="C7CFD6"/>
      </a:solidFill>
      <a:round/>
    </a:ln>
  </c:sp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000" b="1" strike="noStrike" spc="-1">
                <a:solidFill>
                  <a:srgbClr val="0F2438"/>
                </a:solidFill>
                <a:latin typeface="Calibri"/>
              </a:defRPr>
            </a:pPr>
            <a:r>
              <a:rPr sz="1000" b="1" strike="noStrike" spc="-1">
                <a:solidFill>
                  <a:srgbClr val="0F2438"/>
                </a:solidFill>
                <a:latin typeface="Calibri"/>
              </a:rPr>
              <a:t>Belegte Plätze je Organisation</a:t>
            </a:r>
          </a:p>
        </c:rich>
      </c:tx>
      <c:overlay val="0"/>
      <c:spPr>
        <a:noFill/>
        <a:ln w="0">
          <a:noFill/>
        </a:ln>
      </c:spPr>
    </c:title>
    <c:autoTitleDeleted val="0"/>
    <c:plotArea>
      <c:layout/>
      <c:barChart>
        <c:barDir val="bar"/>
        <c:grouping val="clustered"/>
        <c:varyColors val="0"/>
        <c:ser>
          <c:idx val="0"/>
          <c:order val="0"/>
          <c:tx>
            <c:strRef>
              <c:f>Auswertung!$H$68</c:f>
              <c:strCache>
                <c:ptCount val="1"/>
                <c:pt idx="0">
                  <c:v>belegt</c:v>
                </c:pt>
              </c:strCache>
            </c:strRef>
          </c:tx>
          <c:spPr>
            <a:solidFill>
              <a:srgbClr val="E0742F"/>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Auswertung!$C$69:$C$76</c:f>
              <c:strCache>
                <c:ptCount val="8"/>
                <c:pt idx="0">
                  <c:v>Nordlicht Systeme GmbH</c:v>
                </c:pt>
                <c:pt idx="1">
                  <c:v>Muster Stadtwerke AG</c:v>
                </c:pt>
                <c:pt idx="2">
                  <c:v>Bergmann &amp; Partner mbB</c:v>
                </c:pt>
                <c:pt idx="3">
                  <c:v>Sonnenfeld Logistik GmbH</c:v>
                </c:pt>
                <c:pt idx="4">
                  <c:v>Werkstoff Technik AG</c:v>
                </c:pt>
                <c:pt idx="5">
                  <c:v>Verwaltung Musterkreis</c:v>
                </c:pt>
                <c:pt idx="6">
                  <c:v>Institut für Weiterbildung Musterstadt</c:v>
                </c:pt>
                <c:pt idx="7">
                  <c:v>Privat / Freiberuflich</c:v>
                </c:pt>
              </c:strCache>
            </c:strRef>
          </c:cat>
          <c:val>
            <c:numRef>
              <c:f>Auswertung!$H$69:$H$76</c:f>
              <c:numCache>
                <c:formatCode>0</c:formatCode>
                <c:ptCount val="8"/>
                <c:pt idx="0">
                  <c:v>7</c:v>
                </c:pt>
                <c:pt idx="1">
                  <c:v>6</c:v>
                </c:pt>
                <c:pt idx="2">
                  <c:v>5</c:v>
                </c:pt>
                <c:pt idx="3">
                  <c:v>6</c:v>
                </c:pt>
                <c:pt idx="4">
                  <c:v>5</c:v>
                </c:pt>
                <c:pt idx="5">
                  <c:v>5</c:v>
                </c:pt>
                <c:pt idx="6">
                  <c:v>3</c:v>
                </c:pt>
                <c:pt idx="7">
                  <c:v>3</c:v>
                </c:pt>
              </c:numCache>
            </c:numRef>
          </c:val>
          <c:extLst>
            <c:ext xmlns:c16="http://schemas.microsoft.com/office/drawing/2014/chart" uri="{C3380CC4-5D6E-409C-BE32-E72D297353CC}">
              <c16:uniqueId val="{00000000-6D3C-4E99-8CF5-7517EE6E5CE4}"/>
            </c:ext>
          </c:extLst>
        </c:ser>
        <c:dLbls>
          <c:showLegendKey val="0"/>
          <c:showVal val="0"/>
          <c:showCatName val="0"/>
          <c:showSerName val="0"/>
          <c:showPercent val="0"/>
          <c:showBubbleSize val="0"/>
        </c:dLbls>
        <c:gapWidth val="150"/>
        <c:axId val="72653973"/>
        <c:axId val="13742064"/>
      </c:barChart>
      <c:catAx>
        <c:axId val="72653973"/>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13742064"/>
        <c:crosses val="autoZero"/>
        <c:auto val="1"/>
        <c:lblAlgn val="ctr"/>
        <c:lblOffset val="100"/>
        <c:noMultiLvlLbl val="0"/>
      </c:catAx>
      <c:valAx>
        <c:axId val="13742064"/>
        <c:scaling>
          <c:orientation val="minMax"/>
        </c:scaling>
        <c:delete val="0"/>
        <c:axPos val="b"/>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72653973"/>
        <c:crosses val="autoZero"/>
        <c:crossBetween val="between"/>
      </c:valAx>
      <c:spPr>
        <a:noFill/>
        <a:ln w="0">
          <a:noFill/>
        </a:ln>
      </c:spPr>
    </c:plotArea>
    <c:plotVisOnly val="1"/>
    <c:dispBlanksAs val="gap"/>
    <c:showDLblsOverMax val="1"/>
  </c:chart>
  <c:spPr>
    <a:solidFill>
      <a:srgbClr val="FCFBF7"/>
    </a:solidFill>
    <a:ln w="9360">
      <a:solidFill>
        <a:srgbClr val="C7CFD6"/>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91</xdr:row>
      <xdr:rowOff>0</xdr:rowOff>
    </xdr:from>
    <xdr:to>
      <xdr:col>6</xdr:col>
      <xdr:colOff>309600</xdr:colOff>
      <xdr:row>105</xdr:row>
      <xdr:rowOff>68760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91</xdr:row>
      <xdr:rowOff>0</xdr:rowOff>
    </xdr:from>
    <xdr:to>
      <xdr:col>13</xdr:col>
      <xdr:colOff>504720</xdr:colOff>
      <xdr:row>105</xdr:row>
      <xdr:rowOff>68760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111</xdr:row>
      <xdr:rowOff>0</xdr:rowOff>
    </xdr:from>
    <xdr:to>
      <xdr:col>6</xdr:col>
      <xdr:colOff>309600</xdr:colOff>
      <xdr:row>125</xdr:row>
      <xdr:rowOff>68760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0</xdr:colOff>
      <xdr:row>111</xdr:row>
      <xdr:rowOff>0</xdr:rowOff>
    </xdr:from>
    <xdr:to>
      <xdr:col>13</xdr:col>
      <xdr:colOff>504720</xdr:colOff>
      <xdr:row>125</xdr:row>
      <xdr:rowOff>68760</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W101"/>
  <sheetViews>
    <sheetView showGridLines="0" tabSelected="1" zoomScaleNormal="100" workbookViewId="0">
      <pane xSplit="5" ySplit="17" topLeftCell="F18" activePane="bottomRight" state="frozen"/>
      <selection pane="topRight" activeCell="F1" sqref="F1"/>
      <selection pane="bottomLeft" activeCell="A18" sqref="A18"/>
      <selection pane="bottomRight" activeCell="H80" sqref="H80"/>
    </sheetView>
  </sheetViews>
  <sheetFormatPr baseColWidth="10" defaultColWidth="8.7109375" defaultRowHeight="15" x14ac:dyDescent="0.25"/>
  <cols>
    <col min="1" max="1" width="1.5703125" customWidth="1"/>
    <col min="2" max="2" width="5" customWidth="1"/>
    <col min="3" max="3" width="12" customWidth="1"/>
    <col min="4" max="4" width="15" customWidth="1"/>
    <col min="5" max="5" width="13" customWidth="1"/>
    <col min="6" max="6" width="24" customWidth="1"/>
    <col min="7" max="7" width="18" customWidth="1"/>
    <col min="8" max="8" width="27" customWidth="1"/>
    <col min="9" max="9" width="14" customWidth="1"/>
    <col min="10" max="10" width="16" customWidth="1"/>
    <col min="11" max="11" width="11" customWidth="1"/>
    <col min="12" max="12" width="8" customWidth="1"/>
    <col min="13" max="13" width="12" customWidth="1"/>
    <col min="14" max="15" width="13" customWidth="1"/>
    <col min="16" max="16" width="7" customWidth="1"/>
    <col min="17" max="17" width="9" customWidth="1"/>
    <col min="18" max="18" width="7.42578125" customWidth="1"/>
    <col min="19" max="19" width="14" customWidth="1"/>
    <col min="20" max="20" width="9" customWidth="1"/>
    <col min="21" max="21" width="10" customWidth="1"/>
    <col min="22" max="22" width="22" customWidth="1"/>
    <col min="23" max="23" width="21" customWidth="1"/>
  </cols>
  <sheetData>
    <row r="2" spans="2:23" ht="30" customHeight="1" x14ac:dyDescent="0.25">
      <c r="B2" s="14" t="s">
        <v>508</v>
      </c>
      <c r="C2" s="14"/>
      <c r="D2" s="14"/>
      <c r="E2" s="14"/>
      <c r="F2" s="14"/>
      <c r="G2" s="14"/>
      <c r="H2" s="14"/>
      <c r="I2" s="14"/>
      <c r="J2" s="14"/>
      <c r="K2" s="14"/>
      <c r="L2" s="14"/>
      <c r="M2" s="14"/>
      <c r="N2" s="13" t="str">
        <f>Stammdaten!$D$12</f>
        <v>Fachtagung 2026</v>
      </c>
      <c r="O2" s="13"/>
      <c r="P2" s="13"/>
      <c r="Q2" s="13"/>
      <c r="R2" s="13"/>
      <c r="S2" s="13"/>
      <c r="T2" s="13"/>
      <c r="U2" s="13"/>
      <c r="V2" s="13"/>
      <c r="W2" s="13"/>
    </row>
    <row r="3" spans="2:23" ht="18.75" customHeight="1" x14ac:dyDescent="0.25">
      <c r="B3" s="12" t="s">
        <v>0</v>
      </c>
      <c r="C3" s="12"/>
      <c r="D3" s="12"/>
      <c r="E3" s="12"/>
      <c r="F3" s="12"/>
      <c r="G3" s="12"/>
      <c r="H3" s="12"/>
      <c r="I3" s="12"/>
      <c r="J3" s="12"/>
      <c r="K3" s="12"/>
      <c r="L3" s="12"/>
      <c r="M3" s="12"/>
      <c r="N3" s="11" t="str">
        <f>Stammdaten!$D$16</f>
        <v>Tagungszentrum Nordpark, Musterstadt</v>
      </c>
      <c r="O3" s="11"/>
      <c r="P3" s="11"/>
      <c r="Q3" s="11"/>
      <c r="R3" s="11"/>
      <c r="S3" s="11"/>
      <c r="T3" s="11"/>
      <c r="U3" s="11"/>
      <c r="V3" s="11"/>
      <c r="W3" s="11"/>
    </row>
    <row r="4" spans="2:23" ht="6" customHeight="1" x14ac:dyDescent="0.25">
      <c r="B4" s="15"/>
      <c r="C4" s="16"/>
      <c r="D4" s="15"/>
      <c r="E4" s="16"/>
      <c r="F4" s="15"/>
      <c r="G4" s="16"/>
      <c r="H4" s="15"/>
      <c r="I4" s="16"/>
      <c r="J4" s="15"/>
      <c r="K4" s="16"/>
      <c r="L4" s="15"/>
      <c r="M4" s="16"/>
      <c r="N4" s="15"/>
      <c r="O4" s="16"/>
      <c r="P4" s="15"/>
      <c r="Q4" s="16"/>
      <c r="R4" s="15"/>
      <c r="S4" s="16"/>
      <c r="T4" s="15"/>
      <c r="U4" s="16"/>
      <c r="V4" s="15"/>
      <c r="W4" s="16"/>
    </row>
    <row r="6" spans="2:23" ht="19.5" customHeight="1" x14ac:dyDescent="0.25">
      <c r="B6" s="17" t="s">
        <v>1</v>
      </c>
      <c r="C6" s="10" t="s">
        <v>2</v>
      </c>
      <c r="D6" s="10"/>
      <c r="E6" s="10"/>
      <c r="F6" s="10"/>
      <c r="G6" s="10"/>
      <c r="H6" s="10"/>
      <c r="I6" s="10"/>
      <c r="J6" s="10"/>
      <c r="K6" s="10"/>
      <c r="L6" s="10"/>
      <c r="M6" s="9" t="s">
        <v>3</v>
      </c>
      <c r="N6" s="9"/>
      <c r="O6" s="9"/>
      <c r="P6" s="9"/>
      <c r="Q6" s="9"/>
      <c r="R6" s="9"/>
      <c r="S6" s="9"/>
      <c r="T6" s="9"/>
      <c r="U6" s="9"/>
      <c r="V6" s="9"/>
      <c r="W6" s="9"/>
    </row>
    <row r="7" spans="2:23" ht="16.5" customHeight="1" x14ac:dyDescent="0.25">
      <c r="B7" s="8" t="s">
        <v>4</v>
      </c>
      <c r="C7" s="8"/>
      <c r="D7" s="7" t="str">
        <f>Stammdaten!$D$7</f>
        <v>Muster Akademie &amp; Event GmbH</v>
      </c>
      <c r="E7" s="7"/>
      <c r="F7" s="18" t="s">
        <v>5</v>
      </c>
      <c r="G7" s="7" t="str">
        <f>Stammdaten!$D$12</f>
        <v>Fachtagung 2026</v>
      </c>
      <c r="H7" s="7"/>
      <c r="I7" s="8" t="s">
        <v>6</v>
      </c>
      <c r="J7" s="8"/>
      <c r="K7" s="7" t="str">
        <f>Stammdaten!$D$13</f>
        <v>Tagung</v>
      </c>
      <c r="L7" s="7"/>
      <c r="M7" s="7"/>
      <c r="N7" s="8" t="s">
        <v>7</v>
      </c>
      <c r="O7" s="8"/>
      <c r="P7" s="6">
        <f>Stammdaten!$D$14</f>
        <v>46191</v>
      </c>
      <c r="Q7" s="6"/>
      <c r="R7" s="6"/>
      <c r="S7" s="6"/>
      <c r="T7" s="8" t="s">
        <v>8</v>
      </c>
      <c r="U7" s="8"/>
      <c r="V7" s="7" t="str">
        <f>Stammdaten!$D$15</f>
        <v>09:00 – 17:00 Uhr</v>
      </c>
      <c r="W7" s="7"/>
    </row>
    <row r="8" spans="2:23" ht="16.5" customHeight="1" x14ac:dyDescent="0.25">
      <c r="B8" s="8" t="s">
        <v>9</v>
      </c>
      <c r="C8" s="8"/>
      <c r="D8" s="7" t="str">
        <f>Stammdaten!$D$16</f>
        <v>Tagungszentrum Nordpark, Musterstadt</v>
      </c>
      <c r="E8" s="7"/>
      <c r="F8" s="18" t="s">
        <v>10</v>
      </c>
      <c r="G8" s="7" t="str">
        <f>Stammdaten!$D$9</f>
        <v>S. Wiegand, Teilnehmermanagement</v>
      </c>
      <c r="H8" s="7"/>
      <c r="I8" s="8" t="s">
        <v>11</v>
      </c>
      <c r="J8" s="8"/>
      <c r="K8" s="6">
        <f>Stammdaten!$D$18</f>
        <v>46178</v>
      </c>
      <c r="L8" s="6"/>
      <c r="M8" s="6"/>
      <c r="N8" s="8" t="s">
        <v>12</v>
      </c>
      <c r="O8" s="8"/>
      <c r="P8" s="5">
        <f>Kapazitaet</f>
        <v>40</v>
      </c>
      <c r="Q8" s="5"/>
      <c r="R8" s="5"/>
      <c r="S8" s="5"/>
      <c r="T8" s="8" t="s">
        <v>13</v>
      </c>
      <c r="U8" s="8"/>
      <c r="V8" s="6">
        <f ca="1">Stichtag</f>
        <v>46227</v>
      </c>
      <c r="W8" s="6"/>
    </row>
    <row r="11" spans="2:23" ht="19.5" customHeight="1" x14ac:dyDescent="0.25">
      <c r="B11" s="17" t="s">
        <v>14</v>
      </c>
      <c r="C11" s="10" t="s">
        <v>15</v>
      </c>
      <c r="D11" s="10"/>
      <c r="E11" s="10"/>
      <c r="F11" s="10"/>
      <c r="G11" s="10"/>
      <c r="H11" s="10"/>
      <c r="I11" s="10"/>
      <c r="J11" s="10"/>
      <c r="K11" s="10"/>
      <c r="L11" s="10"/>
      <c r="M11" s="9" t="s">
        <v>16</v>
      </c>
      <c r="N11" s="9"/>
      <c r="O11" s="9"/>
      <c r="P11" s="9"/>
      <c r="Q11" s="9"/>
      <c r="R11" s="9"/>
      <c r="S11" s="9"/>
      <c r="T11" s="9"/>
      <c r="U11" s="9"/>
      <c r="V11" s="9"/>
      <c r="W11" s="9"/>
    </row>
    <row r="12" spans="2:23" ht="13.5" customHeight="1" x14ac:dyDescent="0.25">
      <c r="B12" s="4" t="s">
        <v>17</v>
      </c>
      <c r="C12" s="4"/>
      <c r="D12" s="4"/>
      <c r="E12" s="4"/>
      <c r="F12" s="4" t="s">
        <v>18</v>
      </c>
      <c r="G12" s="4"/>
      <c r="H12" s="4" t="s">
        <v>19</v>
      </c>
      <c r="I12" s="4"/>
      <c r="J12" s="4" t="s">
        <v>20</v>
      </c>
      <c r="K12" s="4"/>
      <c r="L12" s="4"/>
      <c r="M12" s="4"/>
      <c r="N12" s="4" t="s">
        <v>21</v>
      </c>
      <c r="O12" s="4"/>
      <c r="P12" s="4"/>
      <c r="Q12" s="4"/>
      <c r="R12" s="4" t="s">
        <v>22</v>
      </c>
      <c r="S12" s="4"/>
      <c r="T12" s="4"/>
      <c r="U12" s="4"/>
      <c r="V12" s="4" t="s">
        <v>23</v>
      </c>
      <c r="W12" s="4"/>
    </row>
    <row r="13" spans="2:23" ht="21.75" customHeight="1" x14ac:dyDescent="0.25">
      <c r="B13" s="3">
        <f>COUNTA($D$18:$D$97)</f>
        <v>47</v>
      </c>
      <c r="C13" s="3"/>
      <c r="D13" s="3"/>
      <c r="E13" s="3"/>
      <c r="F13" s="2">
        <f>COUNTIF(O18:O97,"Bestätigt")+COUNTIF(O18:O97,"Angemeldet")</f>
        <v>40</v>
      </c>
      <c r="G13" s="2"/>
      <c r="H13" s="1">
        <f>MAX(0,Kapazitaet-(COUNTIF(O18:O97,"Bestätigt")+COUNTIF(O18:O97,"Angemeldet")))</f>
        <v>0</v>
      </c>
      <c r="I13" s="1"/>
      <c r="J13" s="76">
        <f>IFERROR((COUNTIF(O18:O97,"Bestätigt")+COUNTIF(O18:O97,"Angemeldet"))/Kapazitaet,0)</f>
        <v>1</v>
      </c>
      <c r="K13" s="76"/>
      <c r="L13" s="76"/>
      <c r="M13" s="76"/>
      <c r="N13" s="77">
        <f>COUNTIF($O$18:$O$97,"Warteliste")</f>
        <v>4</v>
      </c>
      <c r="O13" s="77"/>
      <c r="P13" s="77"/>
      <c r="Q13" s="77"/>
      <c r="R13" s="76">
        <f>IFERROR(COUNTIF(Q18:Q97,"Ja")/(COUNTIF(O18:O97,"Bestätigt")+COUNTIF(O18:O97,"Angemeldet")),0)</f>
        <v>0.9</v>
      </c>
      <c r="S13" s="76"/>
      <c r="T13" s="76"/>
      <c r="U13" s="76"/>
      <c r="V13" s="78">
        <f>SUMIF($N$18:$N$97,"Offen",$M$18:$M$97)</f>
        <v>1856.4</v>
      </c>
      <c r="W13" s="78"/>
    </row>
    <row r="14" spans="2:23" ht="12.75" customHeight="1" x14ac:dyDescent="0.25">
      <c r="B14" s="79" t="s">
        <v>24</v>
      </c>
      <c r="C14" s="79"/>
      <c r="D14" s="79"/>
      <c r="E14" s="79"/>
      <c r="F14" s="80" t="s">
        <v>25</v>
      </c>
      <c r="G14" s="80"/>
      <c r="H14" s="81" t="s">
        <v>26</v>
      </c>
      <c r="I14" s="81"/>
      <c r="J14" s="80" t="s">
        <v>27</v>
      </c>
      <c r="K14" s="80"/>
      <c r="L14" s="80"/>
      <c r="M14" s="80"/>
      <c r="N14" s="82" t="s">
        <v>28</v>
      </c>
      <c r="O14" s="82"/>
      <c r="P14" s="82"/>
      <c r="Q14" s="82"/>
      <c r="R14" s="80" t="s">
        <v>29</v>
      </c>
      <c r="S14" s="80"/>
      <c r="T14" s="80"/>
      <c r="U14" s="80"/>
      <c r="V14" s="83" t="s">
        <v>30</v>
      </c>
      <c r="W14" s="83"/>
    </row>
    <row r="16" spans="2:23" ht="19.5" customHeight="1" x14ac:dyDescent="0.25">
      <c r="B16" s="17" t="s">
        <v>31</v>
      </c>
      <c r="C16" s="10" t="s">
        <v>32</v>
      </c>
      <c r="D16" s="10"/>
      <c r="E16" s="10"/>
      <c r="F16" s="10"/>
      <c r="G16" s="10"/>
      <c r="H16" s="10"/>
      <c r="I16" s="10"/>
      <c r="J16" s="10"/>
      <c r="K16" s="10"/>
      <c r="L16" s="10"/>
      <c r="M16" s="9" t="s">
        <v>33</v>
      </c>
      <c r="N16" s="9"/>
      <c r="O16" s="9"/>
      <c r="P16" s="9"/>
      <c r="Q16" s="9"/>
      <c r="R16" s="9"/>
      <c r="S16" s="9"/>
      <c r="T16" s="9"/>
      <c r="U16" s="9"/>
      <c r="V16" s="9"/>
      <c r="W16" s="9"/>
    </row>
    <row r="17" spans="2:23" ht="30" customHeight="1" x14ac:dyDescent="0.25">
      <c r="B17" s="19" t="s">
        <v>34</v>
      </c>
      <c r="C17" s="19" t="s">
        <v>35</v>
      </c>
      <c r="D17" s="19" t="s">
        <v>36</v>
      </c>
      <c r="E17" s="19" t="s">
        <v>37</v>
      </c>
      <c r="F17" s="19" t="s">
        <v>38</v>
      </c>
      <c r="G17" s="19" t="s">
        <v>39</v>
      </c>
      <c r="H17" s="19" t="s">
        <v>40</v>
      </c>
      <c r="I17" s="19" t="s">
        <v>41</v>
      </c>
      <c r="J17" s="19" t="s">
        <v>42</v>
      </c>
      <c r="K17" s="19" t="s">
        <v>43</v>
      </c>
      <c r="L17" s="19" t="s">
        <v>44</v>
      </c>
      <c r="M17" s="19" t="s">
        <v>45</v>
      </c>
      <c r="N17" s="19" t="s">
        <v>46</v>
      </c>
      <c r="O17" s="19" t="s">
        <v>47</v>
      </c>
      <c r="P17" s="19" t="s">
        <v>48</v>
      </c>
      <c r="Q17" s="19" t="s">
        <v>49</v>
      </c>
      <c r="R17" s="19" t="s">
        <v>8</v>
      </c>
      <c r="S17" s="19" t="s">
        <v>50</v>
      </c>
      <c r="T17" s="19" t="s">
        <v>51</v>
      </c>
      <c r="U17" s="19" t="s">
        <v>52</v>
      </c>
      <c r="V17" s="19" t="s">
        <v>53</v>
      </c>
      <c r="W17" s="19" t="s">
        <v>54</v>
      </c>
    </row>
    <row r="18" spans="2:23" ht="15" customHeight="1" x14ac:dyDescent="0.25">
      <c r="B18" s="20">
        <f>IF($D18="","",COUNTA($D$18:$D18))</f>
        <v>1</v>
      </c>
      <c r="C18" s="21">
        <v>46087</v>
      </c>
      <c r="D18" s="22" t="s">
        <v>55</v>
      </c>
      <c r="E18" s="23" t="s">
        <v>56</v>
      </c>
      <c r="F18" s="23" t="s">
        <v>57</v>
      </c>
      <c r="G18" s="24" t="s">
        <v>58</v>
      </c>
      <c r="H18" s="24" t="s">
        <v>59</v>
      </c>
      <c r="I18" s="24" t="s">
        <v>60</v>
      </c>
      <c r="J18" s="23" t="s">
        <v>61</v>
      </c>
      <c r="K18" s="25">
        <f>IF($J18="","",IFERROR(INDEX(Stammdaten!$F$34:$F$41,MATCH($J18,Stammdaten!$B$34:$B$41,0)),""))</f>
        <v>380.8</v>
      </c>
      <c r="L18" s="26">
        <v>0</v>
      </c>
      <c r="M18" s="27">
        <f t="shared" ref="M18:M49" si="0">IF($K18="","",IF(OR($O18="Abgesagt",$O18="Storniert",$O18="Warteliste"),0,ROUND($K18*(1-$L18),2)))</f>
        <v>380.8</v>
      </c>
      <c r="N18" s="28" t="s">
        <v>62</v>
      </c>
      <c r="O18" s="29" t="s">
        <v>63</v>
      </c>
      <c r="P18" s="30" t="str">
        <f t="shared" ref="P18:P49" si="1">IF($O18&lt;&gt;"Warteliste","",COUNTIFS($O$18:$O$97,"Warteliste",$C$18:$C$97,"&lt;="&amp;$C18))</f>
        <v/>
      </c>
      <c r="Q18" s="28" t="s">
        <v>64</v>
      </c>
      <c r="R18" s="31">
        <v>0.36249999999999999</v>
      </c>
      <c r="S18" s="24" t="s">
        <v>65</v>
      </c>
      <c r="T18" s="28" t="s">
        <v>64</v>
      </c>
      <c r="U18" s="32" t="str">
        <f>IF($D18="","",IF($Q18&lt;&gt;"Ja","–",IFERROR(INDEX(Stammdaten!$H$34:$H$41,MATCH($J18,Stammdaten!$B$34:$B$41,0)),"–")))</f>
        <v>Ja</v>
      </c>
      <c r="V18" s="33"/>
      <c r="W18" s="34" t="str">
        <f t="shared" ref="W18:W49" si="2">IF($D18="","",IF($J18="","Tarif fehlt",IF($H18="","E-Mail fehlt",IF(COUNTIF($H$18:$H$97,$H18)&gt;1,"Doppelte Anmeldung",IF($T18&lt;&gt;"Ja","Einwilligung fehlt",IF(IF($N18&lt;&gt;"Offen",0,IF($C18="",0,IF($C18+Zahlungsfrist&lt;Stichtag,1,0)))=1,"Zahlung überfällig",IF(IF($C18="",0,IF($C18&gt;Anmeldeschluss,1,0))=1,"Nach Anmeldeschluss",IF(IF($O18="Warteliste",1,0)+IF($Q18="Ja",1,0)=2,"Warteliste eingecheckt","OK"))))))))</f>
        <v>OK</v>
      </c>
    </row>
    <row r="19" spans="2:23" ht="15" customHeight="1" x14ac:dyDescent="0.25">
      <c r="B19" s="20">
        <f>IF($D19="","",COUNTA($D$18:$D19))</f>
        <v>2</v>
      </c>
      <c r="C19" s="21">
        <v>46087</v>
      </c>
      <c r="D19" s="22" t="s">
        <v>66</v>
      </c>
      <c r="E19" s="23" t="s">
        <v>67</v>
      </c>
      <c r="F19" s="23" t="s">
        <v>57</v>
      </c>
      <c r="G19" s="24" t="s">
        <v>68</v>
      </c>
      <c r="H19" s="24" t="s">
        <v>69</v>
      </c>
      <c r="I19" s="24" t="s">
        <v>70</v>
      </c>
      <c r="J19" s="23" t="s">
        <v>61</v>
      </c>
      <c r="K19" s="25">
        <f>IF($J19="","",IFERROR(INDEX(Stammdaten!$F$34:$F$41,MATCH($J19,Stammdaten!$B$34:$B$41,0)),""))</f>
        <v>380.8</v>
      </c>
      <c r="L19" s="26">
        <v>0</v>
      </c>
      <c r="M19" s="27">
        <f t="shared" si="0"/>
        <v>380.8</v>
      </c>
      <c r="N19" s="28" t="s">
        <v>62</v>
      </c>
      <c r="O19" s="29" t="s">
        <v>63</v>
      </c>
      <c r="P19" s="30" t="str">
        <f t="shared" si="1"/>
        <v/>
      </c>
      <c r="Q19" s="28" t="s">
        <v>64</v>
      </c>
      <c r="R19" s="31">
        <v>0.36388888888888898</v>
      </c>
      <c r="S19" s="24" t="s">
        <v>71</v>
      </c>
      <c r="T19" s="28" t="s">
        <v>64</v>
      </c>
      <c r="U19" s="32" t="str">
        <f>IF($D19="","",IF($Q19&lt;&gt;"Ja","–",IFERROR(INDEX(Stammdaten!$H$34:$H$41,MATCH($J19,Stammdaten!$B$34:$B$41,0)),"–")))</f>
        <v>Ja</v>
      </c>
      <c r="V19" s="33"/>
      <c r="W19" s="34" t="str">
        <f t="shared" si="2"/>
        <v>OK</v>
      </c>
    </row>
    <row r="20" spans="2:23" ht="15" customHeight="1" x14ac:dyDescent="0.25">
      <c r="B20" s="20">
        <f>IF($D20="","",COUNTA($D$18:$D20))</f>
        <v>3</v>
      </c>
      <c r="C20" s="21">
        <v>46090</v>
      </c>
      <c r="D20" s="22" t="s">
        <v>72</v>
      </c>
      <c r="E20" s="23" t="s">
        <v>73</v>
      </c>
      <c r="F20" s="23" t="s">
        <v>74</v>
      </c>
      <c r="G20" s="24" t="s">
        <v>75</v>
      </c>
      <c r="H20" s="24" t="s">
        <v>76</v>
      </c>
      <c r="I20" s="24" t="s">
        <v>77</v>
      </c>
      <c r="J20" s="23" t="s">
        <v>78</v>
      </c>
      <c r="K20" s="25">
        <f>IF($J20="","",IFERROR(INDEX(Stammdaten!$F$34:$F$41,MATCH($J20,Stammdaten!$B$34:$B$41,0)),""))</f>
        <v>416.5</v>
      </c>
      <c r="L20" s="26">
        <v>0</v>
      </c>
      <c r="M20" s="27">
        <f t="shared" si="0"/>
        <v>416.5</v>
      </c>
      <c r="N20" s="28" t="s">
        <v>62</v>
      </c>
      <c r="O20" s="29" t="s">
        <v>63</v>
      </c>
      <c r="P20" s="30" t="str">
        <f t="shared" si="1"/>
        <v/>
      </c>
      <c r="Q20" s="28" t="s">
        <v>64</v>
      </c>
      <c r="R20" s="31">
        <v>0.36875000000000002</v>
      </c>
      <c r="S20" s="24" t="s">
        <v>65</v>
      </c>
      <c r="T20" s="28" t="s">
        <v>64</v>
      </c>
      <c r="U20" s="32" t="str">
        <f>IF($D20="","",IF($Q20&lt;&gt;"Ja","–",IFERROR(INDEX(Stammdaten!$H$34:$H$41,MATCH($J20,Stammdaten!$B$34:$B$41,0)),"–")))</f>
        <v>Ja</v>
      </c>
      <c r="V20" s="33"/>
      <c r="W20" s="34" t="str">
        <f t="shared" si="2"/>
        <v>OK</v>
      </c>
    </row>
    <row r="21" spans="2:23" ht="15" customHeight="1" x14ac:dyDescent="0.25">
      <c r="B21" s="20">
        <f>IF($D21="","",COUNTA($D$18:$D21))</f>
        <v>4</v>
      </c>
      <c r="C21" s="21">
        <v>46092</v>
      </c>
      <c r="D21" s="22" t="s">
        <v>79</v>
      </c>
      <c r="E21" s="23" t="s">
        <v>80</v>
      </c>
      <c r="F21" s="23" t="s">
        <v>74</v>
      </c>
      <c r="G21" s="24" t="s">
        <v>81</v>
      </c>
      <c r="H21" s="24" t="s">
        <v>82</v>
      </c>
      <c r="I21" s="24" t="s">
        <v>83</v>
      </c>
      <c r="J21" s="23" t="s">
        <v>78</v>
      </c>
      <c r="K21" s="25">
        <f>IF($J21="","",IFERROR(INDEX(Stammdaten!$F$34:$F$41,MATCH($J21,Stammdaten!$B$34:$B$41,0)),""))</f>
        <v>416.5</v>
      </c>
      <c r="L21" s="26">
        <v>0</v>
      </c>
      <c r="M21" s="27">
        <f t="shared" si="0"/>
        <v>416.5</v>
      </c>
      <c r="N21" s="28" t="s">
        <v>62</v>
      </c>
      <c r="O21" s="29" t="s">
        <v>63</v>
      </c>
      <c r="P21" s="30" t="str">
        <f t="shared" si="1"/>
        <v/>
      </c>
      <c r="Q21" s="28" t="s">
        <v>64</v>
      </c>
      <c r="R21" s="31">
        <v>0.37152777777777801</v>
      </c>
      <c r="S21" s="24" t="s">
        <v>65</v>
      </c>
      <c r="T21" s="28" t="s">
        <v>64</v>
      </c>
      <c r="U21" s="32" t="str">
        <f>IF($D21="","",IF($Q21&lt;&gt;"Ja","–",IFERROR(INDEX(Stammdaten!$H$34:$H$41,MATCH($J21,Stammdaten!$B$34:$B$41,0)),"–")))</f>
        <v>Ja</v>
      </c>
      <c r="V21" s="33"/>
      <c r="W21" s="34" t="str">
        <f t="shared" si="2"/>
        <v>OK</v>
      </c>
    </row>
    <row r="22" spans="2:23" ht="15" customHeight="1" x14ac:dyDescent="0.25">
      <c r="B22" s="20">
        <f>IF($D22="","",COUNTA($D$18:$D22))</f>
        <v>5</v>
      </c>
      <c r="C22" s="21">
        <v>46093</v>
      </c>
      <c r="D22" s="22" t="s">
        <v>84</v>
      </c>
      <c r="E22" s="23" t="s">
        <v>85</v>
      </c>
      <c r="F22" s="23" t="s">
        <v>86</v>
      </c>
      <c r="G22" s="24" t="s">
        <v>87</v>
      </c>
      <c r="H22" s="24" t="s">
        <v>88</v>
      </c>
      <c r="I22" s="24" t="s">
        <v>89</v>
      </c>
      <c r="J22" s="23" t="s">
        <v>61</v>
      </c>
      <c r="K22" s="25">
        <f>IF($J22="","",IFERROR(INDEX(Stammdaten!$F$34:$F$41,MATCH($J22,Stammdaten!$B$34:$B$41,0)),""))</f>
        <v>380.8</v>
      </c>
      <c r="L22" s="26">
        <v>0.1</v>
      </c>
      <c r="M22" s="27">
        <f t="shared" si="0"/>
        <v>342.72</v>
      </c>
      <c r="N22" s="28" t="s">
        <v>62</v>
      </c>
      <c r="O22" s="29" t="s">
        <v>63</v>
      </c>
      <c r="P22" s="30" t="str">
        <f t="shared" si="1"/>
        <v/>
      </c>
      <c r="Q22" s="28" t="s">
        <v>64</v>
      </c>
      <c r="R22" s="31">
        <v>0.37638888888888899</v>
      </c>
      <c r="S22" s="24" t="s">
        <v>71</v>
      </c>
      <c r="T22" s="28" t="s">
        <v>64</v>
      </c>
      <c r="U22" s="32" t="str">
        <f>IF($D22="","",IF($Q22&lt;&gt;"Ja","–",IFERROR(INDEX(Stammdaten!$H$34:$H$41,MATCH($J22,Stammdaten!$B$34:$B$41,0)),"–")))</f>
        <v>Ja</v>
      </c>
      <c r="V22" s="33" t="s">
        <v>90</v>
      </c>
      <c r="W22" s="34" t="str">
        <f t="shared" si="2"/>
        <v>OK</v>
      </c>
    </row>
    <row r="23" spans="2:23" ht="15" customHeight="1" x14ac:dyDescent="0.25">
      <c r="B23" s="20">
        <f>IF($D23="","",COUNTA($D$18:$D23))</f>
        <v>6</v>
      </c>
      <c r="C23" s="21">
        <v>46097</v>
      </c>
      <c r="D23" s="22" t="s">
        <v>91</v>
      </c>
      <c r="E23" s="23" t="s">
        <v>92</v>
      </c>
      <c r="F23" s="23" t="s">
        <v>93</v>
      </c>
      <c r="G23" s="24" t="s">
        <v>94</v>
      </c>
      <c r="H23" s="24" t="s">
        <v>95</v>
      </c>
      <c r="I23" s="24" t="s">
        <v>96</v>
      </c>
      <c r="J23" s="23" t="s">
        <v>61</v>
      </c>
      <c r="K23" s="25">
        <f>IF($J23="","",IFERROR(INDEX(Stammdaten!$F$34:$F$41,MATCH($J23,Stammdaten!$B$34:$B$41,0)),""))</f>
        <v>380.8</v>
      </c>
      <c r="L23" s="26">
        <v>0</v>
      </c>
      <c r="M23" s="27">
        <f t="shared" si="0"/>
        <v>380.8</v>
      </c>
      <c r="N23" s="28" t="s">
        <v>62</v>
      </c>
      <c r="O23" s="29" t="s">
        <v>63</v>
      </c>
      <c r="P23" s="30" t="str">
        <f t="shared" si="1"/>
        <v/>
      </c>
      <c r="Q23" s="28" t="s">
        <v>64</v>
      </c>
      <c r="R23" s="31">
        <v>0.359722222222222</v>
      </c>
      <c r="S23" s="24" t="s">
        <v>65</v>
      </c>
      <c r="T23" s="28" t="s">
        <v>64</v>
      </c>
      <c r="U23" s="32" t="str">
        <f>IF($D23="","",IF($Q23&lt;&gt;"Ja","–",IFERROR(INDEX(Stammdaten!$H$34:$H$41,MATCH($J23,Stammdaten!$B$34:$B$41,0)),"–")))</f>
        <v>Ja</v>
      </c>
      <c r="V23" s="33"/>
      <c r="W23" s="34" t="str">
        <f t="shared" si="2"/>
        <v>OK</v>
      </c>
    </row>
    <row r="24" spans="2:23" ht="15" customHeight="1" x14ac:dyDescent="0.25">
      <c r="B24" s="20">
        <f>IF($D24="","",COUNTA($D$18:$D24))</f>
        <v>7</v>
      </c>
      <c r="C24" s="21">
        <v>46099</v>
      </c>
      <c r="D24" s="22" t="s">
        <v>97</v>
      </c>
      <c r="E24" s="23" t="s">
        <v>98</v>
      </c>
      <c r="F24" s="23" t="s">
        <v>99</v>
      </c>
      <c r="G24" s="24" t="s">
        <v>100</v>
      </c>
      <c r="H24" s="24" t="s">
        <v>101</v>
      </c>
      <c r="I24" s="24" t="s">
        <v>102</v>
      </c>
      <c r="J24" s="23" t="s">
        <v>61</v>
      </c>
      <c r="K24" s="25">
        <f>IF($J24="","",IFERROR(INDEX(Stammdaten!$F$34:$F$41,MATCH($J24,Stammdaten!$B$34:$B$41,0)),""))</f>
        <v>380.8</v>
      </c>
      <c r="L24" s="26">
        <v>0</v>
      </c>
      <c r="M24" s="27">
        <f t="shared" si="0"/>
        <v>380.8</v>
      </c>
      <c r="N24" s="28" t="s">
        <v>62</v>
      </c>
      <c r="O24" s="29" t="s">
        <v>63</v>
      </c>
      <c r="P24" s="30" t="str">
        <f t="shared" si="1"/>
        <v/>
      </c>
      <c r="Q24" s="28" t="s">
        <v>64</v>
      </c>
      <c r="R24" s="31">
        <v>0.36597222222222198</v>
      </c>
      <c r="S24" s="24" t="s">
        <v>103</v>
      </c>
      <c r="T24" s="28" t="s">
        <v>64</v>
      </c>
      <c r="U24" s="32" t="str">
        <f>IF($D24="","",IF($Q24&lt;&gt;"Ja","–",IFERROR(INDEX(Stammdaten!$H$34:$H$41,MATCH($J24,Stammdaten!$B$34:$B$41,0)),"–")))</f>
        <v>Ja</v>
      </c>
      <c r="V24" s="33"/>
      <c r="W24" s="34" t="str">
        <f t="shared" si="2"/>
        <v>OK</v>
      </c>
    </row>
    <row r="25" spans="2:23" ht="15" customHeight="1" x14ac:dyDescent="0.25">
      <c r="B25" s="20">
        <f>IF($D25="","",COUNTA($D$18:$D25))</f>
        <v>8</v>
      </c>
      <c r="C25" s="21">
        <v>46100</v>
      </c>
      <c r="D25" s="22" t="s">
        <v>104</v>
      </c>
      <c r="E25" s="23" t="s">
        <v>105</v>
      </c>
      <c r="F25" s="23" t="s">
        <v>106</v>
      </c>
      <c r="G25" s="24" t="s">
        <v>107</v>
      </c>
      <c r="H25" s="24" t="s">
        <v>108</v>
      </c>
      <c r="I25" s="24" t="s">
        <v>109</v>
      </c>
      <c r="J25" s="23" t="s">
        <v>110</v>
      </c>
      <c r="K25" s="25">
        <f>IF($J25="","",IFERROR(INDEX(Stammdaten!$F$34:$F$41,MATCH($J25,Stammdaten!$B$34:$B$41,0)),""))</f>
        <v>345.1</v>
      </c>
      <c r="L25" s="26">
        <v>0</v>
      </c>
      <c r="M25" s="27">
        <f t="shared" si="0"/>
        <v>345.1</v>
      </c>
      <c r="N25" s="28" t="s">
        <v>62</v>
      </c>
      <c r="O25" s="29" t="s">
        <v>63</v>
      </c>
      <c r="P25" s="30" t="str">
        <f t="shared" si="1"/>
        <v/>
      </c>
      <c r="Q25" s="28" t="s">
        <v>64</v>
      </c>
      <c r="R25" s="31">
        <v>0.37847222222222199</v>
      </c>
      <c r="S25" s="24" t="s">
        <v>65</v>
      </c>
      <c r="T25" s="28" t="s">
        <v>64</v>
      </c>
      <c r="U25" s="32" t="str">
        <f>IF($D25="","",IF($Q25&lt;&gt;"Ja","–",IFERROR(INDEX(Stammdaten!$H$34:$H$41,MATCH($J25,Stammdaten!$B$34:$B$41,0)),"–")))</f>
        <v>Ja</v>
      </c>
      <c r="V25" s="33"/>
      <c r="W25" s="34" t="str">
        <f t="shared" si="2"/>
        <v>OK</v>
      </c>
    </row>
    <row r="26" spans="2:23" ht="15" customHeight="1" x14ac:dyDescent="0.25">
      <c r="B26" s="20">
        <f>IF($D26="","",COUNTA($D$18:$D26))</f>
        <v>9</v>
      </c>
      <c r="C26" s="21">
        <v>46104</v>
      </c>
      <c r="D26" s="22" t="s">
        <v>111</v>
      </c>
      <c r="E26" s="23" t="s">
        <v>112</v>
      </c>
      <c r="F26" s="23" t="s">
        <v>113</v>
      </c>
      <c r="G26" s="24" t="s">
        <v>114</v>
      </c>
      <c r="H26" s="24" t="s">
        <v>115</v>
      </c>
      <c r="I26" s="24" t="s">
        <v>116</v>
      </c>
      <c r="J26" s="23" t="s">
        <v>117</v>
      </c>
      <c r="K26" s="25">
        <f>IF($J26="","",IFERROR(INDEX(Stammdaten!$F$34:$F$41,MATCH($J26,Stammdaten!$B$34:$B$41,0)),""))</f>
        <v>0</v>
      </c>
      <c r="L26" s="26">
        <v>0</v>
      </c>
      <c r="M26" s="27">
        <f t="shared" si="0"/>
        <v>0</v>
      </c>
      <c r="N26" s="28" t="s">
        <v>118</v>
      </c>
      <c r="O26" s="29" t="s">
        <v>63</v>
      </c>
      <c r="P26" s="30" t="str">
        <f t="shared" si="1"/>
        <v/>
      </c>
      <c r="Q26" s="28" t="s">
        <v>64</v>
      </c>
      <c r="R26" s="31">
        <v>0.34375</v>
      </c>
      <c r="S26" s="24" t="s">
        <v>71</v>
      </c>
      <c r="T26" s="28" t="s">
        <v>64</v>
      </c>
      <c r="U26" s="32" t="str">
        <f>IF($D26="","",IF($Q26&lt;&gt;"Ja","–",IFERROR(INDEX(Stammdaten!$H$34:$H$41,MATCH($J26,Stammdaten!$B$34:$B$41,0)),"–")))</f>
        <v>Ja</v>
      </c>
      <c r="V26" s="33" t="s">
        <v>119</v>
      </c>
      <c r="W26" s="34" t="str">
        <f t="shared" si="2"/>
        <v>OK</v>
      </c>
    </row>
    <row r="27" spans="2:23" ht="15" customHeight="1" x14ac:dyDescent="0.25">
      <c r="B27" s="20">
        <f>IF($D27="","",COUNTA($D$18:$D27))</f>
        <v>10</v>
      </c>
      <c r="C27" s="21">
        <v>46106</v>
      </c>
      <c r="D27" s="22" t="s">
        <v>120</v>
      </c>
      <c r="E27" s="23" t="s">
        <v>121</v>
      </c>
      <c r="F27" s="23" t="s">
        <v>57</v>
      </c>
      <c r="G27" s="24" t="s">
        <v>75</v>
      </c>
      <c r="H27" s="24" t="s">
        <v>122</v>
      </c>
      <c r="I27" s="24" t="s">
        <v>123</v>
      </c>
      <c r="J27" s="23" t="s">
        <v>61</v>
      </c>
      <c r="K27" s="25">
        <f>IF($J27="","",IFERROR(INDEX(Stammdaten!$F$34:$F$41,MATCH($J27,Stammdaten!$B$34:$B$41,0)),""))</f>
        <v>380.8</v>
      </c>
      <c r="L27" s="26">
        <v>0</v>
      </c>
      <c r="M27" s="27">
        <f t="shared" si="0"/>
        <v>380.8</v>
      </c>
      <c r="N27" s="28" t="s">
        <v>62</v>
      </c>
      <c r="O27" s="29" t="s">
        <v>63</v>
      </c>
      <c r="P27" s="30" t="str">
        <f t="shared" si="1"/>
        <v/>
      </c>
      <c r="Q27" s="28" t="s">
        <v>64</v>
      </c>
      <c r="R27" s="31">
        <v>0.36736111111111103</v>
      </c>
      <c r="S27" s="24" t="s">
        <v>65</v>
      </c>
      <c r="T27" s="28" t="s">
        <v>64</v>
      </c>
      <c r="U27" s="32" t="str">
        <f>IF($D27="","",IF($Q27&lt;&gt;"Ja","–",IFERROR(INDEX(Stammdaten!$H$34:$H$41,MATCH($J27,Stammdaten!$B$34:$B$41,0)),"–")))</f>
        <v>Ja</v>
      </c>
      <c r="V27" s="33"/>
      <c r="W27" s="34" t="str">
        <f t="shared" si="2"/>
        <v>OK</v>
      </c>
    </row>
    <row r="28" spans="2:23" ht="15" customHeight="1" x14ac:dyDescent="0.25">
      <c r="B28" s="20">
        <f>IF($D28="","",COUNTA($D$18:$D28))</f>
        <v>11</v>
      </c>
      <c r="C28" s="21">
        <v>46107</v>
      </c>
      <c r="D28" s="22" t="s">
        <v>124</v>
      </c>
      <c r="E28" s="23" t="s">
        <v>125</v>
      </c>
      <c r="F28" s="23" t="s">
        <v>57</v>
      </c>
      <c r="G28" s="24" t="s">
        <v>126</v>
      </c>
      <c r="H28" s="24" t="s">
        <v>127</v>
      </c>
      <c r="I28" s="24" t="s">
        <v>128</v>
      </c>
      <c r="J28" s="23" t="s">
        <v>61</v>
      </c>
      <c r="K28" s="25">
        <f>IF($J28="","",IFERROR(INDEX(Stammdaten!$F$34:$F$41,MATCH($J28,Stammdaten!$B$34:$B$41,0)),""))</f>
        <v>380.8</v>
      </c>
      <c r="L28" s="26">
        <v>0</v>
      </c>
      <c r="M28" s="27">
        <f t="shared" si="0"/>
        <v>380.8</v>
      </c>
      <c r="N28" s="28" t="s">
        <v>62</v>
      </c>
      <c r="O28" s="29" t="s">
        <v>63</v>
      </c>
      <c r="P28" s="30" t="str">
        <f t="shared" si="1"/>
        <v/>
      </c>
      <c r="Q28" s="28" t="s">
        <v>64</v>
      </c>
      <c r="R28" s="31">
        <v>0.36944444444444502</v>
      </c>
      <c r="S28" s="24" t="s">
        <v>129</v>
      </c>
      <c r="T28" s="28" t="s">
        <v>64</v>
      </c>
      <c r="U28" s="32" t="str">
        <f>IF($D28="","",IF($Q28&lt;&gt;"Ja","–",IFERROR(INDEX(Stammdaten!$H$34:$H$41,MATCH($J28,Stammdaten!$B$34:$B$41,0)),"–")))</f>
        <v>Ja</v>
      </c>
      <c r="V28" s="33"/>
      <c r="W28" s="34" t="str">
        <f t="shared" si="2"/>
        <v>OK</v>
      </c>
    </row>
    <row r="29" spans="2:23" ht="15" customHeight="1" x14ac:dyDescent="0.25">
      <c r="B29" s="20">
        <f>IF($D29="","",COUNTA($D$18:$D29))</f>
        <v>12</v>
      </c>
      <c r="C29" s="21">
        <v>46111</v>
      </c>
      <c r="D29" s="22" t="s">
        <v>130</v>
      </c>
      <c r="E29" s="23" t="s">
        <v>131</v>
      </c>
      <c r="F29" s="23" t="s">
        <v>74</v>
      </c>
      <c r="G29" s="24" t="s">
        <v>68</v>
      </c>
      <c r="H29" s="24" t="s">
        <v>132</v>
      </c>
      <c r="I29" s="24" t="s">
        <v>133</v>
      </c>
      <c r="J29" s="23" t="s">
        <v>78</v>
      </c>
      <c r="K29" s="25">
        <f>IF($J29="","",IFERROR(INDEX(Stammdaten!$F$34:$F$41,MATCH($J29,Stammdaten!$B$34:$B$41,0)),""))</f>
        <v>416.5</v>
      </c>
      <c r="L29" s="26">
        <v>0</v>
      </c>
      <c r="M29" s="27">
        <f t="shared" si="0"/>
        <v>416.5</v>
      </c>
      <c r="N29" s="28" t="s">
        <v>62</v>
      </c>
      <c r="O29" s="29" t="s">
        <v>63</v>
      </c>
      <c r="P29" s="30" t="str">
        <f t="shared" si="1"/>
        <v/>
      </c>
      <c r="Q29" s="28" t="s">
        <v>64</v>
      </c>
      <c r="R29" s="31">
        <v>0.38263888888888897</v>
      </c>
      <c r="S29" s="24" t="s">
        <v>65</v>
      </c>
      <c r="T29" s="28" t="s">
        <v>64</v>
      </c>
      <c r="U29" s="32" t="str">
        <f>IF($D29="","",IF($Q29&lt;&gt;"Ja","–",IFERROR(INDEX(Stammdaten!$H$34:$H$41,MATCH($J29,Stammdaten!$B$34:$B$41,0)),"–")))</f>
        <v>Ja</v>
      </c>
      <c r="V29" s="33"/>
      <c r="W29" s="34" t="str">
        <f t="shared" si="2"/>
        <v>OK</v>
      </c>
    </row>
    <row r="30" spans="2:23" ht="15" customHeight="1" x14ac:dyDescent="0.25">
      <c r="B30" s="20">
        <f>IF($D30="","",COUNTA($D$18:$D30))</f>
        <v>13</v>
      </c>
      <c r="C30" s="21">
        <v>46112</v>
      </c>
      <c r="D30" s="22" t="s">
        <v>134</v>
      </c>
      <c r="E30" s="23" t="s">
        <v>135</v>
      </c>
      <c r="F30" s="23" t="s">
        <v>86</v>
      </c>
      <c r="G30" s="24" t="s">
        <v>126</v>
      </c>
      <c r="H30" s="24" t="s">
        <v>136</v>
      </c>
      <c r="I30" s="24" t="s">
        <v>137</v>
      </c>
      <c r="J30" s="23" t="s">
        <v>61</v>
      </c>
      <c r="K30" s="25">
        <f>IF($J30="","",IFERROR(INDEX(Stammdaten!$F$34:$F$41,MATCH($J30,Stammdaten!$B$34:$B$41,0)),""))</f>
        <v>380.8</v>
      </c>
      <c r="L30" s="26">
        <v>0</v>
      </c>
      <c r="M30" s="27">
        <f t="shared" si="0"/>
        <v>380.8</v>
      </c>
      <c r="N30" s="28" t="s">
        <v>62</v>
      </c>
      <c r="O30" s="29" t="s">
        <v>63</v>
      </c>
      <c r="P30" s="30" t="str">
        <f t="shared" si="1"/>
        <v/>
      </c>
      <c r="Q30" s="28" t="s">
        <v>64</v>
      </c>
      <c r="R30" s="31">
        <v>0.37361111111111101</v>
      </c>
      <c r="S30" s="24" t="s">
        <v>65</v>
      </c>
      <c r="T30" s="28" t="s">
        <v>64</v>
      </c>
      <c r="U30" s="32" t="str">
        <f>IF($D30="","",IF($Q30&lt;&gt;"Ja","–",IFERROR(INDEX(Stammdaten!$H$34:$H$41,MATCH($J30,Stammdaten!$B$34:$B$41,0)),"–")))</f>
        <v>Ja</v>
      </c>
      <c r="V30" s="33"/>
      <c r="W30" s="34" t="str">
        <f t="shared" si="2"/>
        <v>OK</v>
      </c>
    </row>
    <row r="31" spans="2:23" ht="15" customHeight="1" x14ac:dyDescent="0.25">
      <c r="B31" s="20">
        <f>IF($D31="","",COUNTA($D$18:$D31))</f>
        <v>14</v>
      </c>
      <c r="C31" s="21">
        <v>46114</v>
      </c>
      <c r="D31" s="22" t="s">
        <v>138</v>
      </c>
      <c r="E31" s="23" t="s">
        <v>139</v>
      </c>
      <c r="F31" s="23" t="s">
        <v>93</v>
      </c>
      <c r="G31" s="24" t="s">
        <v>75</v>
      </c>
      <c r="H31" s="24" t="s">
        <v>140</v>
      </c>
      <c r="I31" s="24" t="s">
        <v>141</v>
      </c>
      <c r="J31" s="23" t="s">
        <v>65</v>
      </c>
      <c r="K31" s="25">
        <f>IF($J31="","",IFERROR(INDEX(Stammdaten!$F$34:$F$41,MATCH($J31,Stammdaten!$B$34:$B$41,0)),""))</f>
        <v>464.1</v>
      </c>
      <c r="L31" s="26">
        <v>0</v>
      </c>
      <c r="M31" s="27">
        <f t="shared" si="0"/>
        <v>464.1</v>
      </c>
      <c r="N31" s="28" t="s">
        <v>62</v>
      </c>
      <c r="O31" s="29" t="s">
        <v>63</v>
      </c>
      <c r="P31" s="30" t="str">
        <f t="shared" si="1"/>
        <v/>
      </c>
      <c r="Q31" s="28" t="s">
        <v>64</v>
      </c>
      <c r="R31" s="31">
        <v>0.375</v>
      </c>
      <c r="S31" s="24" t="s">
        <v>65</v>
      </c>
      <c r="T31" s="28" t="s">
        <v>64</v>
      </c>
      <c r="U31" s="32" t="str">
        <f>IF($D31="","",IF($Q31&lt;&gt;"Ja","–",IFERROR(INDEX(Stammdaten!$H$34:$H$41,MATCH($J31,Stammdaten!$B$34:$B$41,0)),"–")))</f>
        <v>Ja</v>
      </c>
      <c r="V31" s="33"/>
      <c r="W31" s="34" t="str">
        <f t="shared" si="2"/>
        <v>OK</v>
      </c>
    </row>
    <row r="32" spans="2:23" ht="15" customHeight="1" x14ac:dyDescent="0.25">
      <c r="B32" s="20">
        <f>IF($D32="","",COUNTA($D$18:$D32))</f>
        <v>15</v>
      </c>
      <c r="C32" s="21">
        <v>46119</v>
      </c>
      <c r="D32" s="22" t="s">
        <v>142</v>
      </c>
      <c r="E32" s="23" t="s">
        <v>143</v>
      </c>
      <c r="F32" s="23" t="s">
        <v>99</v>
      </c>
      <c r="G32" s="24" t="s">
        <v>58</v>
      </c>
      <c r="H32" s="24" t="s">
        <v>144</v>
      </c>
      <c r="I32" s="24" t="s">
        <v>145</v>
      </c>
      <c r="J32" s="23" t="s">
        <v>65</v>
      </c>
      <c r="K32" s="25">
        <f>IF($J32="","",IFERROR(INDEX(Stammdaten!$F$34:$F$41,MATCH($J32,Stammdaten!$B$34:$B$41,0)),""))</f>
        <v>464.1</v>
      </c>
      <c r="L32" s="26">
        <v>0</v>
      </c>
      <c r="M32" s="27">
        <f t="shared" si="0"/>
        <v>464.1</v>
      </c>
      <c r="N32" s="28" t="s">
        <v>62</v>
      </c>
      <c r="O32" s="29" t="s">
        <v>63</v>
      </c>
      <c r="P32" s="30" t="str">
        <f t="shared" si="1"/>
        <v/>
      </c>
      <c r="Q32" s="28" t="s">
        <v>64</v>
      </c>
      <c r="R32" s="31">
        <v>0.36180555555555599</v>
      </c>
      <c r="S32" s="24" t="s">
        <v>71</v>
      </c>
      <c r="T32" s="28" t="s">
        <v>64</v>
      </c>
      <c r="U32" s="32" t="str">
        <f>IF($D32="","",IF($Q32&lt;&gt;"Ja","–",IFERROR(INDEX(Stammdaten!$H$34:$H$41,MATCH($J32,Stammdaten!$B$34:$B$41,0)),"–")))</f>
        <v>Ja</v>
      </c>
      <c r="V32" s="33"/>
      <c r="W32" s="34" t="str">
        <f t="shared" si="2"/>
        <v>OK</v>
      </c>
    </row>
    <row r="33" spans="2:23" ht="15" customHeight="1" x14ac:dyDescent="0.25">
      <c r="B33" s="20">
        <f>IF($D33="","",COUNTA($D$18:$D33))</f>
        <v>16</v>
      </c>
      <c r="C33" s="21">
        <v>46121</v>
      </c>
      <c r="D33" s="22" t="s">
        <v>146</v>
      </c>
      <c r="E33" s="23" t="s">
        <v>147</v>
      </c>
      <c r="F33" s="23" t="s">
        <v>106</v>
      </c>
      <c r="G33" s="24" t="s">
        <v>81</v>
      </c>
      <c r="H33" s="24" t="s">
        <v>148</v>
      </c>
      <c r="I33" s="24" t="s">
        <v>149</v>
      </c>
      <c r="J33" s="23" t="s">
        <v>110</v>
      </c>
      <c r="K33" s="25">
        <f>IF($J33="","",IFERROR(INDEX(Stammdaten!$F$34:$F$41,MATCH($J33,Stammdaten!$B$34:$B$41,0)),""))</f>
        <v>345.1</v>
      </c>
      <c r="L33" s="26">
        <v>0</v>
      </c>
      <c r="M33" s="27">
        <f t="shared" si="0"/>
        <v>345.1</v>
      </c>
      <c r="N33" s="28" t="s">
        <v>62</v>
      </c>
      <c r="O33" s="29" t="s">
        <v>63</v>
      </c>
      <c r="P33" s="30" t="str">
        <f t="shared" si="1"/>
        <v/>
      </c>
      <c r="Q33" s="28" t="s">
        <v>64</v>
      </c>
      <c r="R33" s="31">
        <v>0.37986111111111098</v>
      </c>
      <c r="S33" s="24" t="s">
        <v>65</v>
      </c>
      <c r="T33" s="28" t="s">
        <v>64</v>
      </c>
      <c r="U33" s="32" t="str">
        <f>IF($D33="","",IF($Q33&lt;&gt;"Ja","–",IFERROR(INDEX(Stammdaten!$H$34:$H$41,MATCH($J33,Stammdaten!$B$34:$B$41,0)),"–")))</f>
        <v>Ja</v>
      </c>
      <c r="V33" s="33"/>
      <c r="W33" s="34" t="str">
        <f t="shared" si="2"/>
        <v>OK</v>
      </c>
    </row>
    <row r="34" spans="2:23" ht="15" customHeight="1" x14ac:dyDescent="0.25">
      <c r="B34" s="20">
        <f>IF($D34="","",COUNTA($D$18:$D34))</f>
        <v>17</v>
      </c>
      <c r="C34" s="21">
        <v>46126</v>
      </c>
      <c r="D34" s="22" t="s">
        <v>150</v>
      </c>
      <c r="E34" s="23" t="s">
        <v>151</v>
      </c>
      <c r="F34" s="23" t="s">
        <v>152</v>
      </c>
      <c r="G34" s="24" t="s">
        <v>153</v>
      </c>
      <c r="H34" s="24" t="s">
        <v>154</v>
      </c>
      <c r="I34" s="24" t="s">
        <v>155</v>
      </c>
      <c r="J34" s="23" t="s">
        <v>156</v>
      </c>
      <c r="K34" s="25">
        <f>IF($J34="","",IFERROR(INDEX(Stammdaten!$F$34:$F$41,MATCH($J34,Stammdaten!$B$34:$B$41,0)),""))</f>
        <v>172.55</v>
      </c>
      <c r="L34" s="26">
        <v>0</v>
      </c>
      <c r="M34" s="27">
        <f t="shared" si="0"/>
        <v>172.55</v>
      </c>
      <c r="N34" s="28" t="s">
        <v>62</v>
      </c>
      <c r="O34" s="29" t="s">
        <v>63</v>
      </c>
      <c r="P34" s="30" t="str">
        <f t="shared" si="1"/>
        <v/>
      </c>
      <c r="Q34" s="28" t="s">
        <v>64</v>
      </c>
      <c r="R34" s="31">
        <v>0.37222222222222201</v>
      </c>
      <c r="S34" s="24" t="s">
        <v>71</v>
      </c>
      <c r="T34" s="28" t="s">
        <v>64</v>
      </c>
      <c r="U34" s="32" t="str">
        <f>IF($D34="","",IF($Q34&lt;&gt;"Ja","–",IFERROR(INDEX(Stammdaten!$H$34:$H$41,MATCH($J34,Stammdaten!$B$34:$B$41,0)),"–")))</f>
        <v>Ja</v>
      </c>
      <c r="V34" s="33" t="s">
        <v>157</v>
      </c>
      <c r="W34" s="34" t="str">
        <f t="shared" si="2"/>
        <v>OK</v>
      </c>
    </row>
    <row r="35" spans="2:23" ht="15" customHeight="1" x14ac:dyDescent="0.25">
      <c r="B35" s="20">
        <f>IF($D35="","",COUNTA($D$18:$D35))</f>
        <v>18</v>
      </c>
      <c r="C35" s="21">
        <v>46128</v>
      </c>
      <c r="D35" s="22" t="s">
        <v>158</v>
      </c>
      <c r="E35" s="23" t="s">
        <v>159</v>
      </c>
      <c r="F35" s="23" t="s">
        <v>57</v>
      </c>
      <c r="G35" s="24" t="s">
        <v>68</v>
      </c>
      <c r="H35" s="24" t="s">
        <v>160</v>
      </c>
      <c r="I35" s="24" t="s">
        <v>161</v>
      </c>
      <c r="J35" s="23" t="s">
        <v>65</v>
      </c>
      <c r="K35" s="25">
        <f>IF($J35="","",IFERROR(INDEX(Stammdaten!$F$34:$F$41,MATCH($J35,Stammdaten!$B$34:$B$41,0)),""))</f>
        <v>464.1</v>
      </c>
      <c r="L35" s="26">
        <v>0</v>
      </c>
      <c r="M35" s="27">
        <f t="shared" si="0"/>
        <v>464.1</v>
      </c>
      <c r="N35" s="28" t="s">
        <v>162</v>
      </c>
      <c r="O35" s="29" t="s">
        <v>63</v>
      </c>
      <c r="P35" s="30" t="str">
        <f t="shared" si="1"/>
        <v/>
      </c>
      <c r="Q35" s="28" t="s">
        <v>64</v>
      </c>
      <c r="R35" s="31">
        <v>0.38472222222222202</v>
      </c>
      <c r="S35" s="24" t="s">
        <v>65</v>
      </c>
      <c r="T35" s="28" t="s">
        <v>64</v>
      </c>
      <c r="U35" s="32" t="str">
        <f>IF($D35="","",IF($Q35&lt;&gt;"Ja","–",IFERROR(INDEX(Stammdaten!$H$34:$H$41,MATCH($J35,Stammdaten!$B$34:$B$41,0)),"–")))</f>
        <v>Ja</v>
      </c>
      <c r="V35" s="33" t="s">
        <v>163</v>
      </c>
      <c r="W35" s="34" t="str">
        <f t="shared" ca="1" si="2"/>
        <v>Zahlung überfällig</v>
      </c>
    </row>
    <row r="36" spans="2:23" ht="15" customHeight="1" x14ac:dyDescent="0.25">
      <c r="B36" s="20">
        <f>IF($D36="","",COUNTA($D$18:$D36))</f>
        <v>19</v>
      </c>
      <c r="C36" s="21">
        <v>46132</v>
      </c>
      <c r="D36" s="22" t="s">
        <v>164</v>
      </c>
      <c r="E36" s="23" t="s">
        <v>165</v>
      </c>
      <c r="F36" s="23" t="s">
        <v>74</v>
      </c>
      <c r="G36" s="24" t="s">
        <v>107</v>
      </c>
      <c r="H36" s="24" t="s">
        <v>166</v>
      </c>
      <c r="I36" s="24" t="s">
        <v>167</v>
      </c>
      <c r="J36" s="23" t="s">
        <v>78</v>
      </c>
      <c r="K36" s="25">
        <f>IF($J36="","",IFERROR(INDEX(Stammdaten!$F$34:$F$41,MATCH($J36,Stammdaten!$B$34:$B$41,0)),""))</f>
        <v>416.5</v>
      </c>
      <c r="L36" s="26">
        <v>0</v>
      </c>
      <c r="M36" s="27">
        <f t="shared" si="0"/>
        <v>416.5</v>
      </c>
      <c r="N36" s="28" t="s">
        <v>62</v>
      </c>
      <c r="O36" s="29" t="s">
        <v>63</v>
      </c>
      <c r="P36" s="30" t="str">
        <f t="shared" si="1"/>
        <v/>
      </c>
      <c r="Q36" s="28" t="s">
        <v>64</v>
      </c>
      <c r="R36" s="31">
        <v>0.36527777777777798</v>
      </c>
      <c r="S36" s="24" t="s">
        <v>168</v>
      </c>
      <c r="T36" s="28" t="s">
        <v>64</v>
      </c>
      <c r="U36" s="32" t="str">
        <f>IF($D36="","",IF($Q36&lt;&gt;"Ja","–",IFERROR(INDEX(Stammdaten!$H$34:$H$41,MATCH($J36,Stammdaten!$B$34:$B$41,0)),"–")))</f>
        <v>Ja</v>
      </c>
      <c r="V36" s="33"/>
      <c r="W36" s="34" t="str">
        <f t="shared" si="2"/>
        <v>OK</v>
      </c>
    </row>
    <row r="37" spans="2:23" ht="15" customHeight="1" x14ac:dyDescent="0.25">
      <c r="B37" s="20">
        <f>IF($D37="","",COUNTA($D$18:$D37))</f>
        <v>20</v>
      </c>
      <c r="C37" s="21">
        <v>46134</v>
      </c>
      <c r="D37" s="22" t="s">
        <v>169</v>
      </c>
      <c r="E37" s="23" t="s">
        <v>170</v>
      </c>
      <c r="F37" s="23" t="s">
        <v>86</v>
      </c>
      <c r="G37" s="24" t="s">
        <v>87</v>
      </c>
      <c r="H37" s="24" t="s">
        <v>171</v>
      </c>
      <c r="I37" s="24" t="s">
        <v>172</v>
      </c>
      <c r="J37" s="23" t="s">
        <v>65</v>
      </c>
      <c r="K37" s="25">
        <f>IF($J37="","",IFERROR(INDEX(Stammdaten!$F$34:$F$41,MATCH($J37,Stammdaten!$B$34:$B$41,0)),""))</f>
        <v>464.1</v>
      </c>
      <c r="L37" s="26">
        <v>0</v>
      </c>
      <c r="M37" s="27">
        <f t="shared" si="0"/>
        <v>464.1</v>
      </c>
      <c r="N37" s="28" t="s">
        <v>62</v>
      </c>
      <c r="O37" s="29" t="s">
        <v>63</v>
      </c>
      <c r="P37" s="30" t="str">
        <f t="shared" si="1"/>
        <v/>
      </c>
      <c r="Q37" s="28" t="s">
        <v>64</v>
      </c>
      <c r="R37" s="31">
        <v>0.37708333333333299</v>
      </c>
      <c r="S37" s="24" t="s">
        <v>65</v>
      </c>
      <c r="T37" s="28" t="s">
        <v>64</v>
      </c>
      <c r="U37" s="32" t="str">
        <f>IF($D37="","",IF($Q37&lt;&gt;"Ja","–",IFERROR(INDEX(Stammdaten!$H$34:$H$41,MATCH($J37,Stammdaten!$B$34:$B$41,0)),"–")))</f>
        <v>Ja</v>
      </c>
      <c r="V37" s="33"/>
      <c r="W37" s="34" t="str">
        <f t="shared" si="2"/>
        <v>OK</v>
      </c>
    </row>
    <row r="38" spans="2:23" ht="15" customHeight="1" x14ac:dyDescent="0.25">
      <c r="B38" s="20">
        <f>IF($D38="","",COUNTA($D$18:$D38))</f>
        <v>21</v>
      </c>
      <c r="C38" s="21">
        <v>46136</v>
      </c>
      <c r="D38" s="22" t="s">
        <v>173</v>
      </c>
      <c r="E38" s="23" t="s">
        <v>174</v>
      </c>
      <c r="F38" s="23" t="s">
        <v>113</v>
      </c>
      <c r="G38" s="24" t="s">
        <v>114</v>
      </c>
      <c r="H38" s="24" t="s">
        <v>175</v>
      </c>
      <c r="I38" s="24" t="s">
        <v>176</v>
      </c>
      <c r="J38" s="23" t="s">
        <v>117</v>
      </c>
      <c r="K38" s="25">
        <f>IF($J38="","",IFERROR(INDEX(Stammdaten!$F$34:$F$41,MATCH($J38,Stammdaten!$B$34:$B$41,0)),""))</f>
        <v>0</v>
      </c>
      <c r="L38" s="26">
        <v>0</v>
      </c>
      <c r="M38" s="27">
        <f t="shared" si="0"/>
        <v>0</v>
      </c>
      <c r="N38" s="28" t="s">
        <v>118</v>
      </c>
      <c r="O38" s="29" t="s">
        <v>63</v>
      </c>
      <c r="P38" s="30" t="str">
        <f t="shared" si="1"/>
        <v/>
      </c>
      <c r="Q38" s="28" t="s">
        <v>64</v>
      </c>
      <c r="R38" s="31">
        <v>0.34722222222222199</v>
      </c>
      <c r="S38" s="24" t="s">
        <v>71</v>
      </c>
      <c r="T38" s="28" t="s">
        <v>64</v>
      </c>
      <c r="U38" s="32" t="str">
        <f>IF($D38="","",IF($Q38&lt;&gt;"Ja","–",IFERROR(INDEX(Stammdaten!$H$34:$H$41,MATCH($J38,Stammdaten!$B$34:$B$41,0)),"–")))</f>
        <v>Ja</v>
      </c>
      <c r="V38" s="33" t="s">
        <v>177</v>
      </c>
      <c r="W38" s="34" t="str">
        <f t="shared" si="2"/>
        <v>OK</v>
      </c>
    </row>
    <row r="39" spans="2:23" ht="15" customHeight="1" x14ac:dyDescent="0.25">
      <c r="B39" s="20">
        <f>IF($D39="","",COUNTA($D$18:$D39))</f>
        <v>22</v>
      </c>
      <c r="C39" s="21">
        <v>46140</v>
      </c>
      <c r="D39" s="22" t="s">
        <v>178</v>
      </c>
      <c r="E39" s="23" t="s">
        <v>179</v>
      </c>
      <c r="F39" s="23" t="s">
        <v>93</v>
      </c>
      <c r="G39" s="24" t="s">
        <v>68</v>
      </c>
      <c r="H39" s="24" t="s">
        <v>180</v>
      </c>
      <c r="I39" s="24" t="s">
        <v>181</v>
      </c>
      <c r="J39" s="23" t="s">
        <v>65</v>
      </c>
      <c r="K39" s="25">
        <f>IF($J39="","",IFERROR(INDEX(Stammdaten!$F$34:$F$41,MATCH($J39,Stammdaten!$B$34:$B$41,0)),""))</f>
        <v>464.1</v>
      </c>
      <c r="L39" s="26">
        <v>0</v>
      </c>
      <c r="M39" s="27">
        <f t="shared" si="0"/>
        <v>464.1</v>
      </c>
      <c r="N39" s="28" t="s">
        <v>62</v>
      </c>
      <c r="O39" s="29" t="s">
        <v>63</v>
      </c>
      <c r="P39" s="30" t="str">
        <f t="shared" si="1"/>
        <v/>
      </c>
      <c r="Q39" s="28" t="s">
        <v>64</v>
      </c>
      <c r="R39" s="31">
        <v>0.38124999999999998</v>
      </c>
      <c r="S39" s="24" t="s">
        <v>65</v>
      </c>
      <c r="T39" s="28" t="s">
        <v>64</v>
      </c>
      <c r="U39" s="32" t="str">
        <f>IF($D39="","",IF($Q39&lt;&gt;"Ja","–",IFERROR(INDEX(Stammdaten!$H$34:$H$41,MATCH($J39,Stammdaten!$B$34:$B$41,0)),"–")))</f>
        <v>Ja</v>
      </c>
      <c r="V39" s="33"/>
      <c r="W39" s="34" t="str">
        <f t="shared" si="2"/>
        <v>OK</v>
      </c>
    </row>
    <row r="40" spans="2:23" ht="15" customHeight="1" x14ac:dyDescent="0.25">
      <c r="B40" s="20">
        <f>IF($D40="","",COUNTA($D$18:$D40))</f>
        <v>23</v>
      </c>
      <c r="C40" s="21">
        <v>46142</v>
      </c>
      <c r="D40" s="22" t="s">
        <v>182</v>
      </c>
      <c r="E40" s="23" t="s">
        <v>183</v>
      </c>
      <c r="F40" s="23" t="s">
        <v>99</v>
      </c>
      <c r="G40" s="24" t="s">
        <v>81</v>
      </c>
      <c r="H40" s="24" t="s">
        <v>184</v>
      </c>
      <c r="I40" s="24" t="s">
        <v>185</v>
      </c>
      <c r="J40" s="23" t="s">
        <v>65</v>
      </c>
      <c r="K40" s="25">
        <f>IF($J40="","",IFERROR(INDEX(Stammdaten!$F$34:$F$41,MATCH($J40,Stammdaten!$B$34:$B$41,0)),""))</f>
        <v>464.1</v>
      </c>
      <c r="L40" s="26">
        <v>0</v>
      </c>
      <c r="M40" s="27">
        <f t="shared" si="0"/>
        <v>464.1</v>
      </c>
      <c r="N40" s="28" t="s">
        <v>162</v>
      </c>
      <c r="O40" s="29" t="s">
        <v>63</v>
      </c>
      <c r="P40" s="30" t="str">
        <f t="shared" si="1"/>
        <v/>
      </c>
      <c r="Q40" s="28" t="s">
        <v>64</v>
      </c>
      <c r="R40" s="31">
        <v>0.374305555555556</v>
      </c>
      <c r="S40" s="24" t="s">
        <v>71</v>
      </c>
      <c r="T40" s="28" t="s">
        <v>64</v>
      </c>
      <c r="U40" s="32" t="str">
        <f>IF($D40="","",IF($Q40&lt;&gt;"Ja","–",IFERROR(INDEX(Stammdaten!$H$34:$H$41,MATCH($J40,Stammdaten!$B$34:$B$41,0)),"–")))</f>
        <v>Ja</v>
      </c>
      <c r="V40" s="33" t="s">
        <v>186</v>
      </c>
      <c r="W40" s="34" t="str">
        <f t="shared" ca="1" si="2"/>
        <v>Zahlung überfällig</v>
      </c>
    </row>
    <row r="41" spans="2:23" ht="15" customHeight="1" x14ac:dyDescent="0.25">
      <c r="B41" s="20">
        <f>IF($D41="","",COUNTA($D$18:$D41))</f>
        <v>24</v>
      </c>
      <c r="C41" s="21">
        <v>46146</v>
      </c>
      <c r="D41" s="22" t="s">
        <v>187</v>
      </c>
      <c r="E41" s="23" t="s">
        <v>188</v>
      </c>
      <c r="F41" s="23" t="s">
        <v>106</v>
      </c>
      <c r="G41" s="24" t="s">
        <v>75</v>
      </c>
      <c r="H41" s="24" t="s">
        <v>189</v>
      </c>
      <c r="I41" s="24" t="s">
        <v>190</v>
      </c>
      <c r="J41" s="23" t="s">
        <v>110</v>
      </c>
      <c r="K41" s="25">
        <f>IF($J41="","",IFERROR(INDEX(Stammdaten!$F$34:$F$41,MATCH($J41,Stammdaten!$B$34:$B$41,0)),""))</f>
        <v>345.1</v>
      </c>
      <c r="L41" s="26">
        <v>0</v>
      </c>
      <c r="M41" s="27">
        <f t="shared" si="0"/>
        <v>345.1</v>
      </c>
      <c r="N41" s="28" t="s">
        <v>62</v>
      </c>
      <c r="O41" s="29" t="s">
        <v>63</v>
      </c>
      <c r="P41" s="30" t="str">
        <f t="shared" si="1"/>
        <v/>
      </c>
      <c r="Q41" s="28" t="s">
        <v>64</v>
      </c>
      <c r="R41" s="31">
        <v>0.38333333333333303</v>
      </c>
      <c r="S41" s="24" t="s">
        <v>65</v>
      </c>
      <c r="T41" s="28" t="s">
        <v>64</v>
      </c>
      <c r="U41" s="32" t="str">
        <f>IF($D41="","",IF($Q41&lt;&gt;"Ja","–",IFERROR(INDEX(Stammdaten!$H$34:$H$41,MATCH($J41,Stammdaten!$B$34:$B$41,0)),"–")))</f>
        <v>Ja</v>
      </c>
      <c r="V41" s="33"/>
      <c r="W41" s="34" t="str">
        <f t="shared" si="2"/>
        <v>OK</v>
      </c>
    </row>
    <row r="42" spans="2:23" ht="15" customHeight="1" x14ac:dyDescent="0.25">
      <c r="B42" s="20">
        <f>IF($D42="","",COUNTA($D$18:$D42))</f>
        <v>25</v>
      </c>
      <c r="C42" s="21">
        <v>46148</v>
      </c>
      <c r="D42" s="22" t="s">
        <v>191</v>
      </c>
      <c r="E42" s="23" t="s">
        <v>192</v>
      </c>
      <c r="F42" s="23" t="s">
        <v>57</v>
      </c>
      <c r="G42" s="24" t="s">
        <v>81</v>
      </c>
      <c r="H42" s="24" t="s">
        <v>193</v>
      </c>
      <c r="I42" s="24" t="s">
        <v>194</v>
      </c>
      <c r="J42" s="23" t="s">
        <v>65</v>
      </c>
      <c r="K42" s="25">
        <f>IF($J42="","",IFERROR(INDEX(Stammdaten!$F$34:$F$41,MATCH($J42,Stammdaten!$B$34:$B$41,0)),""))</f>
        <v>464.1</v>
      </c>
      <c r="L42" s="26">
        <v>0</v>
      </c>
      <c r="M42" s="27">
        <f t="shared" si="0"/>
        <v>464.1</v>
      </c>
      <c r="N42" s="28" t="s">
        <v>62</v>
      </c>
      <c r="O42" s="29" t="s">
        <v>63</v>
      </c>
      <c r="P42" s="30" t="str">
        <f t="shared" si="1"/>
        <v/>
      </c>
      <c r="Q42" s="28" t="s">
        <v>64</v>
      </c>
      <c r="R42" s="31">
        <v>0.37013888888888902</v>
      </c>
      <c r="S42" s="24" t="s">
        <v>65</v>
      </c>
      <c r="T42" s="28" t="s">
        <v>195</v>
      </c>
      <c r="U42" s="32" t="str">
        <f>IF($D42="","",IF($Q42&lt;&gt;"Ja","–",IFERROR(INDEX(Stammdaten!$H$34:$H$41,MATCH($J42,Stammdaten!$B$34:$B$41,0)),"–")))</f>
        <v>Ja</v>
      </c>
      <c r="V42" s="33" t="s">
        <v>196</v>
      </c>
      <c r="W42" s="34" t="str">
        <f t="shared" si="2"/>
        <v>Einwilligung fehlt</v>
      </c>
    </row>
    <row r="43" spans="2:23" ht="15" customHeight="1" x14ac:dyDescent="0.25">
      <c r="B43" s="20">
        <f>IF($D43="","",COUNTA($D$18:$D43))</f>
        <v>26</v>
      </c>
      <c r="C43" s="21">
        <v>46150</v>
      </c>
      <c r="D43" s="22" t="s">
        <v>197</v>
      </c>
      <c r="E43" s="23" t="s">
        <v>198</v>
      </c>
      <c r="F43" s="23" t="s">
        <v>74</v>
      </c>
      <c r="G43" s="24" t="s">
        <v>68</v>
      </c>
      <c r="H43" s="24" t="s">
        <v>199</v>
      </c>
      <c r="I43" s="24" t="s">
        <v>200</v>
      </c>
      <c r="J43" s="23" t="s">
        <v>78</v>
      </c>
      <c r="K43" s="25">
        <f>IF($J43="","",IFERROR(INDEX(Stammdaten!$F$34:$F$41,MATCH($J43,Stammdaten!$B$34:$B$41,0)),""))</f>
        <v>416.5</v>
      </c>
      <c r="L43" s="26">
        <v>0</v>
      </c>
      <c r="M43" s="27">
        <f t="shared" si="0"/>
        <v>416.5</v>
      </c>
      <c r="N43" s="28" t="s">
        <v>62</v>
      </c>
      <c r="O43" s="29" t="s">
        <v>63</v>
      </c>
      <c r="P43" s="30" t="str">
        <f t="shared" si="1"/>
        <v/>
      </c>
      <c r="Q43" s="28" t="s">
        <v>64</v>
      </c>
      <c r="R43" s="31">
        <v>0.38611111111111102</v>
      </c>
      <c r="S43" s="24" t="s">
        <v>65</v>
      </c>
      <c r="T43" s="28" t="s">
        <v>64</v>
      </c>
      <c r="U43" s="32" t="str">
        <f>IF($D43="","",IF($Q43&lt;&gt;"Ja","–",IFERROR(INDEX(Stammdaten!$H$34:$H$41,MATCH($J43,Stammdaten!$B$34:$B$41,0)),"–")))</f>
        <v>Ja</v>
      </c>
      <c r="V43" s="33"/>
      <c r="W43" s="34" t="str">
        <f t="shared" si="2"/>
        <v>OK</v>
      </c>
    </row>
    <row r="44" spans="2:23" ht="15" customHeight="1" x14ac:dyDescent="0.25">
      <c r="B44" s="20">
        <f>IF($D44="","",COUNTA($D$18:$D44))</f>
        <v>27</v>
      </c>
      <c r="C44" s="21">
        <v>46153</v>
      </c>
      <c r="D44" s="22" t="s">
        <v>201</v>
      </c>
      <c r="E44" s="23" t="s">
        <v>202</v>
      </c>
      <c r="F44" s="23" t="s">
        <v>86</v>
      </c>
      <c r="G44" s="24" t="s">
        <v>107</v>
      </c>
      <c r="H44" s="24" t="s">
        <v>203</v>
      </c>
      <c r="I44" s="24" t="s">
        <v>204</v>
      </c>
      <c r="J44" s="23" t="s">
        <v>65</v>
      </c>
      <c r="K44" s="25">
        <f>IF($J44="","",IFERROR(INDEX(Stammdaten!$F$34:$F$41,MATCH($J44,Stammdaten!$B$34:$B$41,0)),""))</f>
        <v>464.1</v>
      </c>
      <c r="L44" s="26">
        <v>0</v>
      </c>
      <c r="M44" s="27">
        <f t="shared" si="0"/>
        <v>464.1</v>
      </c>
      <c r="N44" s="28" t="s">
        <v>62</v>
      </c>
      <c r="O44" s="29" t="s">
        <v>63</v>
      </c>
      <c r="P44" s="30" t="str">
        <f t="shared" si="1"/>
        <v/>
      </c>
      <c r="Q44" s="28" t="s">
        <v>64</v>
      </c>
      <c r="R44" s="31">
        <v>0.36388888888888898</v>
      </c>
      <c r="S44" s="24" t="s">
        <v>103</v>
      </c>
      <c r="T44" s="28" t="s">
        <v>64</v>
      </c>
      <c r="U44" s="32" t="str">
        <f>IF($D44="","",IF($Q44&lt;&gt;"Ja","–",IFERROR(INDEX(Stammdaten!$H$34:$H$41,MATCH($J44,Stammdaten!$B$34:$B$41,0)),"–")))</f>
        <v>Ja</v>
      </c>
      <c r="V44" s="33"/>
      <c r="W44" s="34" t="str">
        <f t="shared" si="2"/>
        <v>OK</v>
      </c>
    </row>
    <row r="45" spans="2:23" ht="15" customHeight="1" x14ac:dyDescent="0.25">
      <c r="B45" s="20">
        <f>IF($D45="","",COUNTA($D$18:$D45))</f>
        <v>28</v>
      </c>
      <c r="C45" s="21">
        <v>46155</v>
      </c>
      <c r="D45" s="22" t="s">
        <v>205</v>
      </c>
      <c r="E45" s="23" t="s">
        <v>206</v>
      </c>
      <c r="F45" s="23" t="s">
        <v>93</v>
      </c>
      <c r="G45" s="24" t="s">
        <v>94</v>
      </c>
      <c r="H45" s="24" t="s">
        <v>207</v>
      </c>
      <c r="I45" s="24" t="s">
        <v>208</v>
      </c>
      <c r="J45" s="23" t="s">
        <v>65</v>
      </c>
      <c r="K45" s="25">
        <f>IF($J45="","",IFERROR(INDEX(Stammdaten!$F$34:$F$41,MATCH($J45,Stammdaten!$B$34:$B$41,0)),""))</f>
        <v>464.1</v>
      </c>
      <c r="L45" s="26">
        <v>0</v>
      </c>
      <c r="M45" s="27">
        <f t="shared" si="0"/>
        <v>464.1</v>
      </c>
      <c r="N45" s="28" t="s">
        <v>62</v>
      </c>
      <c r="O45" s="29" t="s">
        <v>63</v>
      </c>
      <c r="P45" s="30" t="str">
        <f t="shared" si="1"/>
        <v/>
      </c>
      <c r="Q45" s="28" t="s">
        <v>195</v>
      </c>
      <c r="R45" s="31"/>
      <c r="S45" s="24" t="s">
        <v>65</v>
      </c>
      <c r="T45" s="28" t="s">
        <v>64</v>
      </c>
      <c r="U45" s="32" t="str">
        <f>IF($D45="","",IF($Q45&lt;&gt;"Ja","–",IFERROR(INDEX(Stammdaten!$H$34:$H$41,MATCH($J45,Stammdaten!$B$34:$B$41,0)),"–")))</f>
        <v>–</v>
      </c>
      <c r="V45" s="33" t="s">
        <v>209</v>
      </c>
      <c r="W45" s="34" t="str">
        <f t="shared" si="2"/>
        <v>OK</v>
      </c>
    </row>
    <row r="46" spans="2:23" ht="15" customHeight="1" x14ac:dyDescent="0.25">
      <c r="B46" s="20">
        <f>IF($D46="","",COUNTA($D$18:$D46))</f>
        <v>29</v>
      </c>
      <c r="C46" s="21">
        <v>46157</v>
      </c>
      <c r="D46" s="22" t="s">
        <v>210</v>
      </c>
      <c r="E46" s="23" t="s">
        <v>211</v>
      </c>
      <c r="F46" s="23" t="s">
        <v>152</v>
      </c>
      <c r="G46" s="24" t="s">
        <v>212</v>
      </c>
      <c r="H46" s="24" t="s">
        <v>213</v>
      </c>
      <c r="I46" s="24" t="s">
        <v>214</v>
      </c>
      <c r="J46" s="23" t="s">
        <v>156</v>
      </c>
      <c r="K46" s="25">
        <f>IF($J46="","",IFERROR(INDEX(Stammdaten!$F$34:$F$41,MATCH($J46,Stammdaten!$B$34:$B$41,0)),""))</f>
        <v>172.55</v>
      </c>
      <c r="L46" s="26">
        <v>0</v>
      </c>
      <c r="M46" s="27">
        <f t="shared" si="0"/>
        <v>172.55</v>
      </c>
      <c r="N46" s="28" t="s">
        <v>62</v>
      </c>
      <c r="O46" s="29" t="s">
        <v>63</v>
      </c>
      <c r="P46" s="30" t="str">
        <f t="shared" si="1"/>
        <v/>
      </c>
      <c r="Q46" s="28" t="s">
        <v>64</v>
      </c>
      <c r="R46" s="31">
        <v>0.375694444444444</v>
      </c>
      <c r="S46" s="24" t="s">
        <v>129</v>
      </c>
      <c r="T46" s="28" t="s">
        <v>64</v>
      </c>
      <c r="U46" s="32" t="str">
        <f>IF($D46="","",IF($Q46&lt;&gt;"Ja","–",IFERROR(INDEX(Stammdaten!$H$34:$H$41,MATCH($J46,Stammdaten!$B$34:$B$41,0)),"–")))</f>
        <v>Ja</v>
      </c>
      <c r="V46" s="33"/>
      <c r="W46" s="34" t="str">
        <f t="shared" si="2"/>
        <v>OK</v>
      </c>
    </row>
    <row r="47" spans="2:23" ht="15" customHeight="1" x14ac:dyDescent="0.25">
      <c r="B47" s="20">
        <f>IF($D47="","",COUNTA($D$18:$D47))</f>
        <v>30</v>
      </c>
      <c r="C47" s="21">
        <v>46160</v>
      </c>
      <c r="D47" s="22" t="s">
        <v>215</v>
      </c>
      <c r="E47" s="23" t="s">
        <v>216</v>
      </c>
      <c r="F47" s="23" t="s">
        <v>99</v>
      </c>
      <c r="G47" s="24" t="s">
        <v>68</v>
      </c>
      <c r="H47" s="24" t="s">
        <v>217</v>
      </c>
      <c r="I47" s="24" t="s">
        <v>218</v>
      </c>
      <c r="J47" s="23" t="s">
        <v>65</v>
      </c>
      <c r="K47" s="25">
        <f>IF($J47="","",IFERROR(INDEX(Stammdaten!$F$34:$F$41,MATCH($J47,Stammdaten!$B$34:$B$41,0)),""))</f>
        <v>464.1</v>
      </c>
      <c r="L47" s="26">
        <v>0</v>
      </c>
      <c r="M47" s="27">
        <f t="shared" si="0"/>
        <v>464.1</v>
      </c>
      <c r="N47" s="28" t="s">
        <v>162</v>
      </c>
      <c r="O47" s="29" t="s">
        <v>63</v>
      </c>
      <c r="P47" s="30" t="str">
        <f t="shared" si="1"/>
        <v/>
      </c>
      <c r="Q47" s="28" t="s">
        <v>64</v>
      </c>
      <c r="R47" s="31">
        <v>0.38750000000000001</v>
      </c>
      <c r="S47" s="24" t="s">
        <v>65</v>
      </c>
      <c r="T47" s="28" t="s">
        <v>64</v>
      </c>
      <c r="U47" s="32" t="str">
        <f>IF($D47="","",IF($Q47&lt;&gt;"Ja","–",IFERROR(INDEX(Stammdaten!$H$34:$H$41,MATCH($J47,Stammdaten!$B$34:$B$41,0)),"–")))</f>
        <v>Ja</v>
      </c>
      <c r="V47" s="33"/>
      <c r="W47" s="34" t="str">
        <f t="shared" ca="1" si="2"/>
        <v>Zahlung überfällig</v>
      </c>
    </row>
    <row r="48" spans="2:23" ht="15" customHeight="1" x14ac:dyDescent="0.25">
      <c r="B48" s="20">
        <f>IF($D48="","",COUNTA($D$18:$D48))</f>
        <v>31</v>
      </c>
      <c r="C48" s="21">
        <v>46162</v>
      </c>
      <c r="D48" s="22" t="s">
        <v>219</v>
      </c>
      <c r="E48" s="23" t="s">
        <v>220</v>
      </c>
      <c r="F48" s="23" t="s">
        <v>106</v>
      </c>
      <c r="G48" s="24" t="s">
        <v>107</v>
      </c>
      <c r="H48" s="24" t="s">
        <v>221</v>
      </c>
      <c r="I48" s="24" t="s">
        <v>222</v>
      </c>
      <c r="J48" s="23" t="s">
        <v>110</v>
      </c>
      <c r="K48" s="25">
        <f>IF($J48="","",IFERROR(INDEX(Stammdaten!$F$34:$F$41,MATCH($J48,Stammdaten!$B$34:$B$41,0)),""))</f>
        <v>345.1</v>
      </c>
      <c r="L48" s="26">
        <v>0</v>
      </c>
      <c r="M48" s="27">
        <f t="shared" si="0"/>
        <v>345.1</v>
      </c>
      <c r="N48" s="28" t="s">
        <v>62</v>
      </c>
      <c r="O48" s="29" t="s">
        <v>63</v>
      </c>
      <c r="P48" s="30" t="str">
        <f t="shared" si="1"/>
        <v/>
      </c>
      <c r="Q48" s="28" t="s">
        <v>64</v>
      </c>
      <c r="R48" s="31">
        <v>0.36805555555555602</v>
      </c>
      <c r="S48" s="24" t="s">
        <v>65</v>
      </c>
      <c r="T48" s="28" t="s">
        <v>64</v>
      </c>
      <c r="U48" s="32" t="str">
        <f>IF($D48="","",IF($Q48&lt;&gt;"Ja","–",IFERROR(INDEX(Stammdaten!$H$34:$H$41,MATCH($J48,Stammdaten!$B$34:$B$41,0)),"–")))</f>
        <v>Ja</v>
      </c>
      <c r="V48" s="33"/>
      <c r="W48" s="34" t="str">
        <f t="shared" si="2"/>
        <v>OK</v>
      </c>
    </row>
    <row r="49" spans="2:23" ht="15" customHeight="1" x14ac:dyDescent="0.25">
      <c r="B49" s="20">
        <f>IF($D49="","",COUNTA($D$18:$D49))</f>
        <v>32</v>
      </c>
      <c r="C49" s="21">
        <v>46164</v>
      </c>
      <c r="D49" s="22" t="s">
        <v>223</v>
      </c>
      <c r="E49" s="23" t="s">
        <v>224</v>
      </c>
      <c r="F49" s="23" t="s">
        <v>113</v>
      </c>
      <c r="G49" s="24" t="s">
        <v>225</v>
      </c>
      <c r="H49" s="24" t="s">
        <v>226</v>
      </c>
      <c r="I49" s="24" t="s">
        <v>227</v>
      </c>
      <c r="J49" s="23" t="s">
        <v>228</v>
      </c>
      <c r="K49" s="25">
        <f>IF($J49="","",IFERROR(INDEX(Stammdaten!$F$34:$F$41,MATCH($J49,Stammdaten!$B$34:$B$41,0)),""))</f>
        <v>0</v>
      </c>
      <c r="L49" s="26">
        <v>0</v>
      </c>
      <c r="M49" s="27">
        <f t="shared" si="0"/>
        <v>0</v>
      </c>
      <c r="N49" s="28" t="s">
        <v>118</v>
      </c>
      <c r="O49" s="29" t="s">
        <v>63</v>
      </c>
      <c r="P49" s="30" t="str">
        <f t="shared" si="1"/>
        <v/>
      </c>
      <c r="Q49" s="28" t="s">
        <v>64</v>
      </c>
      <c r="R49" s="31">
        <v>0.35416666666666702</v>
      </c>
      <c r="S49" s="24" t="s">
        <v>65</v>
      </c>
      <c r="T49" s="28" t="s">
        <v>64</v>
      </c>
      <c r="U49" s="32" t="str">
        <f>IF($D49="","",IF($Q49&lt;&gt;"Ja","–",IFERROR(INDEX(Stammdaten!$H$34:$H$41,MATCH($J49,Stammdaten!$B$34:$B$41,0)),"–")))</f>
        <v>Nein</v>
      </c>
      <c r="V49" s="33" t="s">
        <v>229</v>
      </c>
      <c r="W49" s="34" t="str">
        <f t="shared" si="2"/>
        <v>OK</v>
      </c>
    </row>
    <row r="50" spans="2:23" ht="15" customHeight="1" x14ac:dyDescent="0.25">
      <c r="B50" s="20">
        <f>IF($D50="","",COUNTA($D$18:$D50))</f>
        <v>33</v>
      </c>
      <c r="C50" s="21">
        <v>46168</v>
      </c>
      <c r="D50" s="22" t="s">
        <v>230</v>
      </c>
      <c r="E50" s="23" t="s">
        <v>231</v>
      </c>
      <c r="F50" s="23" t="s">
        <v>57</v>
      </c>
      <c r="G50" s="24" t="s">
        <v>58</v>
      </c>
      <c r="H50" s="24" t="s">
        <v>232</v>
      </c>
      <c r="I50" s="24" t="s">
        <v>233</v>
      </c>
      <c r="J50" s="23" t="s">
        <v>65</v>
      </c>
      <c r="K50" s="25">
        <f>IF($J50="","",IFERROR(INDEX(Stammdaten!$F$34:$F$41,MATCH($J50,Stammdaten!$B$34:$B$41,0)),""))</f>
        <v>464.1</v>
      </c>
      <c r="L50" s="26">
        <v>0</v>
      </c>
      <c r="M50" s="27">
        <f t="shared" ref="M50:M81" si="3">IF($K50="","",IF(OR($O50="Abgesagt",$O50="Storniert",$O50="Warteliste"),0,ROUND($K50*(1-$L50),2)))</f>
        <v>464.1</v>
      </c>
      <c r="N50" s="28" t="s">
        <v>62</v>
      </c>
      <c r="O50" s="29" t="s">
        <v>63</v>
      </c>
      <c r="P50" s="30" t="str">
        <f t="shared" ref="P50:P81" si="4">IF($O50&lt;&gt;"Warteliste","",COUNTIFS($O$18:$O$97,"Warteliste",$C$18:$C$97,"&lt;="&amp;$C50))</f>
        <v/>
      </c>
      <c r="Q50" s="28" t="s">
        <v>64</v>
      </c>
      <c r="R50" s="31">
        <v>0.37916666666666698</v>
      </c>
      <c r="S50" s="24" t="s">
        <v>71</v>
      </c>
      <c r="T50" s="28" t="s">
        <v>64</v>
      </c>
      <c r="U50" s="32" t="str">
        <f>IF($D50="","",IF($Q50&lt;&gt;"Ja","–",IFERROR(INDEX(Stammdaten!$H$34:$H$41,MATCH($J50,Stammdaten!$B$34:$B$41,0)),"–")))</f>
        <v>Ja</v>
      </c>
      <c r="V50" s="33"/>
      <c r="W50" s="34" t="str">
        <f t="shared" ref="W50:W81" si="5">IF($D50="","",IF($J50="","Tarif fehlt",IF($H50="","E-Mail fehlt",IF(COUNTIF($H$18:$H$97,$H50)&gt;1,"Doppelte Anmeldung",IF($T50&lt;&gt;"Ja","Einwilligung fehlt",IF(IF($N50&lt;&gt;"Offen",0,IF($C50="",0,IF($C50+Zahlungsfrist&lt;Stichtag,1,0)))=1,"Zahlung überfällig",IF(IF($C50="",0,IF($C50&gt;Anmeldeschluss,1,0))=1,"Nach Anmeldeschluss",IF(IF($O50="Warteliste",1,0)+IF($Q50="Ja",1,0)=2,"Warteliste eingecheckt","OK"))))))))</f>
        <v>Doppelte Anmeldung</v>
      </c>
    </row>
    <row r="51" spans="2:23" ht="15" customHeight="1" x14ac:dyDescent="0.25">
      <c r="B51" s="20">
        <f>IF($D51="","",COUNTA($D$18:$D51))</f>
        <v>34</v>
      </c>
      <c r="C51" s="21">
        <v>46169</v>
      </c>
      <c r="D51" s="22" t="s">
        <v>234</v>
      </c>
      <c r="E51" s="23" t="s">
        <v>235</v>
      </c>
      <c r="F51" s="23" t="s">
        <v>74</v>
      </c>
      <c r="G51" s="24" t="s">
        <v>81</v>
      </c>
      <c r="H51" s="24" t="s">
        <v>236</v>
      </c>
      <c r="I51" s="24" t="s">
        <v>237</v>
      </c>
      <c r="J51" s="23" t="s">
        <v>78</v>
      </c>
      <c r="K51" s="25">
        <f>IF($J51="","",IFERROR(INDEX(Stammdaten!$F$34:$F$41,MATCH($J51,Stammdaten!$B$34:$B$41,0)),""))</f>
        <v>416.5</v>
      </c>
      <c r="L51" s="26">
        <v>0</v>
      </c>
      <c r="M51" s="27">
        <f t="shared" si="3"/>
        <v>416.5</v>
      </c>
      <c r="N51" s="28" t="s">
        <v>62</v>
      </c>
      <c r="O51" s="29" t="s">
        <v>63</v>
      </c>
      <c r="P51" s="30" t="str">
        <f t="shared" si="4"/>
        <v/>
      </c>
      <c r="Q51" s="28" t="s">
        <v>64</v>
      </c>
      <c r="R51" s="31">
        <v>0.38888888888888901</v>
      </c>
      <c r="S51" s="24" t="s">
        <v>65</v>
      </c>
      <c r="T51" s="28" t="s">
        <v>64</v>
      </c>
      <c r="U51" s="32" t="str">
        <f>IF($D51="","",IF($Q51&lt;&gt;"Ja","–",IFERROR(INDEX(Stammdaten!$H$34:$H$41,MATCH($J51,Stammdaten!$B$34:$B$41,0)),"–")))</f>
        <v>Ja</v>
      </c>
      <c r="V51" s="33"/>
      <c r="W51" s="34" t="str">
        <f t="shared" si="5"/>
        <v>OK</v>
      </c>
    </row>
    <row r="52" spans="2:23" ht="15" customHeight="1" x14ac:dyDescent="0.25">
      <c r="B52" s="20">
        <f>IF($D52="","",COUNTA($D$18:$D52))</f>
        <v>35</v>
      </c>
      <c r="C52" s="21">
        <v>46170</v>
      </c>
      <c r="D52" s="22" t="s">
        <v>238</v>
      </c>
      <c r="E52" s="23" t="s">
        <v>239</v>
      </c>
      <c r="F52" s="23" t="s">
        <v>93</v>
      </c>
      <c r="G52" s="24" t="s">
        <v>126</v>
      </c>
      <c r="H52" s="24" t="s">
        <v>240</v>
      </c>
      <c r="I52" s="24" t="s">
        <v>241</v>
      </c>
      <c r="J52" s="23" t="s">
        <v>242</v>
      </c>
      <c r="K52" s="25">
        <f>IF($J52="","",IFERROR(INDEX(Stammdaten!$F$34:$F$41,MATCH($J52,Stammdaten!$B$34:$B$41,0)),""))</f>
        <v>249.9</v>
      </c>
      <c r="L52" s="26">
        <v>0</v>
      </c>
      <c r="M52" s="27">
        <f t="shared" si="3"/>
        <v>249.9</v>
      </c>
      <c r="N52" s="28" t="s">
        <v>62</v>
      </c>
      <c r="O52" s="29" t="s">
        <v>63</v>
      </c>
      <c r="P52" s="30" t="str">
        <f t="shared" si="4"/>
        <v/>
      </c>
      <c r="Q52" s="28" t="s">
        <v>64</v>
      </c>
      <c r="R52" s="31">
        <v>0.53125</v>
      </c>
      <c r="S52" s="24" t="s">
        <v>65</v>
      </c>
      <c r="T52" s="28" t="s">
        <v>64</v>
      </c>
      <c r="U52" s="32" t="str">
        <f>IF($D52="","",IF($Q52&lt;&gt;"Ja","–",IFERROR(INDEX(Stammdaten!$H$34:$H$41,MATCH($J52,Stammdaten!$B$34:$B$41,0)),"–")))</f>
        <v>Nein</v>
      </c>
      <c r="V52" s="33" t="s">
        <v>243</v>
      </c>
      <c r="W52" s="34" t="str">
        <f t="shared" si="5"/>
        <v>OK</v>
      </c>
    </row>
    <row r="53" spans="2:23" ht="15" customHeight="1" x14ac:dyDescent="0.25">
      <c r="B53" s="20">
        <f>IF($D53="","",COUNTA($D$18:$D53))</f>
        <v>36</v>
      </c>
      <c r="C53" s="21">
        <v>46171</v>
      </c>
      <c r="D53" s="22" t="s">
        <v>244</v>
      </c>
      <c r="E53" s="23" t="s">
        <v>245</v>
      </c>
      <c r="F53" s="23" t="s">
        <v>86</v>
      </c>
      <c r="G53" s="24" t="s">
        <v>87</v>
      </c>
      <c r="H53" s="24" t="s">
        <v>246</v>
      </c>
      <c r="I53" s="24" t="s">
        <v>247</v>
      </c>
      <c r="J53" s="23" t="s">
        <v>65</v>
      </c>
      <c r="K53" s="25">
        <f>IF($J53="","",IFERROR(INDEX(Stammdaten!$F$34:$F$41,MATCH($J53,Stammdaten!$B$34:$B$41,0)),""))</f>
        <v>464.1</v>
      </c>
      <c r="L53" s="26">
        <v>0</v>
      </c>
      <c r="M53" s="27">
        <f t="shared" si="3"/>
        <v>464.1</v>
      </c>
      <c r="N53" s="28" t="s">
        <v>62</v>
      </c>
      <c r="O53" s="29" t="s">
        <v>63</v>
      </c>
      <c r="P53" s="30" t="str">
        <f t="shared" si="4"/>
        <v/>
      </c>
      <c r="Q53" s="28" t="s">
        <v>64</v>
      </c>
      <c r="R53" s="31">
        <v>0.37291666666666701</v>
      </c>
      <c r="S53" s="24" t="s">
        <v>65</v>
      </c>
      <c r="T53" s="28" t="s">
        <v>64</v>
      </c>
      <c r="U53" s="32" t="str">
        <f>IF($D53="","",IF($Q53&lt;&gt;"Ja","–",IFERROR(INDEX(Stammdaten!$H$34:$H$41,MATCH($J53,Stammdaten!$B$34:$B$41,0)),"–")))</f>
        <v>Ja</v>
      </c>
      <c r="V53" s="33"/>
      <c r="W53" s="34" t="str">
        <f t="shared" si="5"/>
        <v>OK</v>
      </c>
    </row>
    <row r="54" spans="2:23" ht="15" customHeight="1" x14ac:dyDescent="0.25">
      <c r="B54" s="20">
        <f>IF($D54="","",COUNTA($D$18:$D54))</f>
        <v>37</v>
      </c>
      <c r="C54" s="21">
        <v>46174</v>
      </c>
      <c r="D54" s="22" t="s">
        <v>248</v>
      </c>
      <c r="E54" s="23" t="s">
        <v>249</v>
      </c>
      <c r="F54" s="23" t="s">
        <v>99</v>
      </c>
      <c r="G54" s="24" t="s">
        <v>81</v>
      </c>
      <c r="H54" s="24" t="s">
        <v>250</v>
      </c>
      <c r="I54" s="24" t="s">
        <v>251</v>
      </c>
      <c r="J54" s="23" t="s">
        <v>65</v>
      </c>
      <c r="K54" s="25">
        <f>IF($J54="","",IFERROR(INDEX(Stammdaten!$F$34:$F$41,MATCH($J54,Stammdaten!$B$34:$B$41,0)),""))</f>
        <v>464.1</v>
      </c>
      <c r="L54" s="26">
        <v>0</v>
      </c>
      <c r="M54" s="27">
        <f t="shared" si="3"/>
        <v>464.1</v>
      </c>
      <c r="N54" s="28" t="s">
        <v>162</v>
      </c>
      <c r="O54" s="29" t="s">
        <v>252</v>
      </c>
      <c r="P54" s="30" t="str">
        <f t="shared" si="4"/>
        <v/>
      </c>
      <c r="Q54" s="28" t="s">
        <v>195</v>
      </c>
      <c r="R54" s="31"/>
      <c r="S54" s="24" t="s">
        <v>65</v>
      </c>
      <c r="T54" s="28" t="s">
        <v>64</v>
      </c>
      <c r="U54" s="32" t="str">
        <f>IF($D54="","",IF($Q54&lt;&gt;"Ja","–",IFERROR(INDEX(Stammdaten!$H$34:$H$41,MATCH($J54,Stammdaten!$B$34:$B$41,0)),"–")))</f>
        <v>–</v>
      </c>
      <c r="V54" s="33" t="s">
        <v>253</v>
      </c>
      <c r="W54" s="34" t="str">
        <f t="shared" ca="1" si="5"/>
        <v>Zahlung überfällig</v>
      </c>
    </row>
    <row r="55" spans="2:23" ht="15" customHeight="1" x14ac:dyDescent="0.25">
      <c r="B55" s="20">
        <f>IF($D55="","",COUNTA($D$18:$D55))</f>
        <v>38</v>
      </c>
      <c r="C55" s="21">
        <v>46175</v>
      </c>
      <c r="D55" s="22" t="s">
        <v>254</v>
      </c>
      <c r="E55" s="23" t="s">
        <v>255</v>
      </c>
      <c r="F55" s="23" t="s">
        <v>152</v>
      </c>
      <c r="G55" s="24" t="s">
        <v>153</v>
      </c>
      <c r="H55" s="24" t="s">
        <v>256</v>
      </c>
      <c r="I55" s="24" t="s">
        <v>257</v>
      </c>
      <c r="J55" s="23" t="s">
        <v>242</v>
      </c>
      <c r="K55" s="25">
        <f>IF($J55="","",IFERROR(INDEX(Stammdaten!$F$34:$F$41,MATCH($J55,Stammdaten!$B$34:$B$41,0)),""))</f>
        <v>249.9</v>
      </c>
      <c r="L55" s="26">
        <v>0</v>
      </c>
      <c r="M55" s="27">
        <f t="shared" si="3"/>
        <v>249.9</v>
      </c>
      <c r="N55" s="28" t="s">
        <v>62</v>
      </c>
      <c r="O55" s="29" t="s">
        <v>252</v>
      </c>
      <c r="P55" s="30" t="str">
        <f t="shared" si="4"/>
        <v/>
      </c>
      <c r="Q55" s="28" t="s">
        <v>64</v>
      </c>
      <c r="R55" s="31">
        <v>0.54305555555555596</v>
      </c>
      <c r="S55" s="24" t="s">
        <v>65</v>
      </c>
      <c r="T55" s="28" t="s">
        <v>64</v>
      </c>
      <c r="U55" s="32" t="str">
        <f>IF($D55="","",IF($Q55&lt;&gt;"Ja","–",IFERROR(INDEX(Stammdaten!$H$34:$H$41,MATCH($J55,Stammdaten!$B$34:$B$41,0)),"–")))</f>
        <v>Nein</v>
      </c>
      <c r="V55" s="33"/>
      <c r="W55" s="34" t="str">
        <f t="shared" si="5"/>
        <v>OK</v>
      </c>
    </row>
    <row r="56" spans="2:23" ht="15" customHeight="1" x14ac:dyDescent="0.25">
      <c r="B56" s="20">
        <f>IF($D56="","",COUNTA($D$18:$D56))</f>
        <v>39</v>
      </c>
      <c r="C56" s="21">
        <v>46176</v>
      </c>
      <c r="D56" s="22" t="s">
        <v>258</v>
      </c>
      <c r="E56" s="23" t="s">
        <v>259</v>
      </c>
      <c r="F56" s="23" t="s">
        <v>106</v>
      </c>
      <c r="G56" s="24" t="s">
        <v>107</v>
      </c>
      <c r="H56" s="24" t="s">
        <v>260</v>
      </c>
      <c r="I56" s="24" t="s">
        <v>261</v>
      </c>
      <c r="J56" s="23" t="s">
        <v>110</v>
      </c>
      <c r="K56" s="25">
        <f>IF($J56="","",IFERROR(INDEX(Stammdaten!$F$34:$F$41,MATCH($J56,Stammdaten!$B$34:$B$41,0)),""))</f>
        <v>345.1</v>
      </c>
      <c r="L56" s="26">
        <v>0</v>
      </c>
      <c r="M56" s="27">
        <f t="shared" si="3"/>
        <v>345.1</v>
      </c>
      <c r="N56" s="28" t="s">
        <v>62</v>
      </c>
      <c r="O56" s="29" t="s">
        <v>252</v>
      </c>
      <c r="P56" s="30" t="str">
        <f t="shared" si="4"/>
        <v/>
      </c>
      <c r="Q56" s="28" t="s">
        <v>195</v>
      </c>
      <c r="R56" s="31"/>
      <c r="S56" s="24" t="s">
        <v>65</v>
      </c>
      <c r="T56" s="28" t="s">
        <v>64</v>
      </c>
      <c r="U56" s="32" t="str">
        <f>IF($D56="","",IF($Q56&lt;&gt;"Ja","–",IFERROR(INDEX(Stammdaten!$H$34:$H$41,MATCH($J56,Stammdaten!$B$34:$B$41,0)),"–")))</f>
        <v>–</v>
      </c>
      <c r="V56" s="33"/>
      <c r="W56" s="34" t="str">
        <f t="shared" si="5"/>
        <v>OK</v>
      </c>
    </row>
    <row r="57" spans="2:23" ht="15" customHeight="1" x14ac:dyDescent="0.25">
      <c r="B57" s="20">
        <f>IF($D57="","",COUNTA($D$18:$D57))</f>
        <v>40</v>
      </c>
      <c r="C57" s="21">
        <v>46177</v>
      </c>
      <c r="D57" s="22" t="s">
        <v>262</v>
      </c>
      <c r="E57" s="23" t="s">
        <v>263</v>
      </c>
      <c r="F57" s="23" t="s">
        <v>93</v>
      </c>
      <c r="G57" s="24" t="s">
        <v>68</v>
      </c>
      <c r="H57" s="24"/>
      <c r="I57" s="24" t="s">
        <v>264</v>
      </c>
      <c r="J57" s="23" t="s">
        <v>242</v>
      </c>
      <c r="K57" s="25">
        <f>IF($J57="","",IFERROR(INDEX(Stammdaten!$F$34:$F$41,MATCH($J57,Stammdaten!$B$34:$B$41,0)),""))</f>
        <v>249.9</v>
      </c>
      <c r="L57" s="26">
        <v>0</v>
      </c>
      <c r="M57" s="27">
        <f t="shared" si="3"/>
        <v>249.9</v>
      </c>
      <c r="N57" s="28" t="s">
        <v>62</v>
      </c>
      <c r="O57" s="29" t="s">
        <v>252</v>
      </c>
      <c r="P57" s="30" t="str">
        <f t="shared" si="4"/>
        <v/>
      </c>
      <c r="Q57" s="28" t="s">
        <v>195</v>
      </c>
      <c r="R57" s="31"/>
      <c r="S57" s="24" t="s">
        <v>65</v>
      </c>
      <c r="T57" s="28" t="s">
        <v>64</v>
      </c>
      <c r="U57" s="32" t="str">
        <f>IF($D57="","",IF($Q57&lt;&gt;"Ja","–",IFERROR(INDEX(Stammdaten!$H$34:$H$41,MATCH($J57,Stammdaten!$B$34:$B$41,0)),"–")))</f>
        <v>–</v>
      </c>
      <c r="V57" s="33" t="s">
        <v>265</v>
      </c>
      <c r="W57" s="34" t="str">
        <f t="shared" si="5"/>
        <v>E-Mail fehlt</v>
      </c>
    </row>
    <row r="58" spans="2:23" ht="15" customHeight="1" x14ac:dyDescent="0.25">
      <c r="B58" s="20">
        <f>IF($D58="","",COUNTA($D$18:$D58))</f>
        <v>41</v>
      </c>
      <c r="C58" s="21">
        <v>46176</v>
      </c>
      <c r="D58" s="22" t="s">
        <v>266</v>
      </c>
      <c r="E58" s="23" t="s">
        <v>267</v>
      </c>
      <c r="F58" s="23" t="s">
        <v>57</v>
      </c>
      <c r="G58" s="24" t="s">
        <v>68</v>
      </c>
      <c r="H58" s="24" t="s">
        <v>268</v>
      </c>
      <c r="I58" s="24" t="s">
        <v>269</v>
      </c>
      <c r="J58" s="23" t="s">
        <v>65</v>
      </c>
      <c r="K58" s="25">
        <f>IF($J58="","",IFERROR(INDEX(Stammdaten!$F$34:$F$41,MATCH($J58,Stammdaten!$B$34:$B$41,0)),""))</f>
        <v>464.1</v>
      </c>
      <c r="L58" s="26">
        <v>0</v>
      </c>
      <c r="M58" s="27">
        <f t="shared" si="3"/>
        <v>0</v>
      </c>
      <c r="N58" s="28" t="s">
        <v>118</v>
      </c>
      <c r="O58" s="29" t="s">
        <v>270</v>
      </c>
      <c r="P58" s="30">
        <f t="shared" si="4"/>
        <v>1</v>
      </c>
      <c r="Q58" s="28" t="s">
        <v>195</v>
      </c>
      <c r="R58" s="31"/>
      <c r="S58" s="24" t="s">
        <v>65</v>
      </c>
      <c r="T58" s="28" t="s">
        <v>64</v>
      </c>
      <c r="U58" s="32" t="str">
        <f>IF($D58="","",IF($Q58&lt;&gt;"Ja","–",IFERROR(INDEX(Stammdaten!$H$34:$H$41,MATCH($J58,Stammdaten!$B$34:$B$41,0)),"–")))</f>
        <v>–</v>
      </c>
      <c r="V58" s="33"/>
      <c r="W58" s="34" t="str">
        <f t="shared" si="5"/>
        <v>OK</v>
      </c>
    </row>
    <row r="59" spans="2:23" ht="15" customHeight="1" x14ac:dyDescent="0.25">
      <c r="B59" s="20">
        <f>IF($D59="","",COUNTA($D$18:$D59))</f>
        <v>42</v>
      </c>
      <c r="C59" s="21">
        <v>46178</v>
      </c>
      <c r="D59" s="22" t="s">
        <v>271</v>
      </c>
      <c r="E59" s="23" t="s">
        <v>272</v>
      </c>
      <c r="F59" s="23" t="s">
        <v>74</v>
      </c>
      <c r="G59" s="24" t="s">
        <v>75</v>
      </c>
      <c r="H59" s="24" t="s">
        <v>273</v>
      </c>
      <c r="I59" s="24" t="s">
        <v>274</v>
      </c>
      <c r="J59" s="23" t="s">
        <v>78</v>
      </c>
      <c r="K59" s="25">
        <f>IF($J59="","",IFERROR(INDEX(Stammdaten!$F$34:$F$41,MATCH($J59,Stammdaten!$B$34:$B$41,0)),""))</f>
        <v>416.5</v>
      </c>
      <c r="L59" s="26">
        <v>0</v>
      </c>
      <c r="M59" s="27">
        <f t="shared" si="3"/>
        <v>0</v>
      </c>
      <c r="N59" s="28" t="s">
        <v>118</v>
      </c>
      <c r="O59" s="29" t="s">
        <v>270</v>
      </c>
      <c r="P59" s="30">
        <f t="shared" si="4"/>
        <v>2</v>
      </c>
      <c r="Q59" s="28" t="s">
        <v>195</v>
      </c>
      <c r="R59" s="31"/>
      <c r="S59" s="24" t="s">
        <v>65</v>
      </c>
      <c r="T59" s="28" t="s">
        <v>64</v>
      </c>
      <c r="U59" s="32" t="str">
        <f>IF($D59="","",IF($Q59&lt;&gt;"Ja","–",IFERROR(INDEX(Stammdaten!$H$34:$H$41,MATCH($J59,Stammdaten!$B$34:$B$41,0)),"–")))</f>
        <v>–</v>
      </c>
      <c r="V59" s="33"/>
      <c r="W59" s="34" t="str">
        <f t="shared" si="5"/>
        <v>OK</v>
      </c>
    </row>
    <row r="60" spans="2:23" ht="15" customHeight="1" x14ac:dyDescent="0.25">
      <c r="B60" s="20">
        <f>IF($D60="","",COUNTA($D$18:$D60))</f>
        <v>43</v>
      </c>
      <c r="C60" s="21">
        <v>46181</v>
      </c>
      <c r="D60" s="22" t="s">
        <v>275</v>
      </c>
      <c r="E60" s="23" t="s">
        <v>276</v>
      </c>
      <c r="F60" s="23" t="s">
        <v>99</v>
      </c>
      <c r="G60" s="24" t="s">
        <v>58</v>
      </c>
      <c r="H60" s="24" t="s">
        <v>277</v>
      </c>
      <c r="I60" s="24" t="s">
        <v>278</v>
      </c>
      <c r="J60" s="23" t="s">
        <v>65</v>
      </c>
      <c r="K60" s="25">
        <f>IF($J60="","",IFERROR(INDEX(Stammdaten!$F$34:$F$41,MATCH($J60,Stammdaten!$B$34:$B$41,0)),""))</f>
        <v>464.1</v>
      </c>
      <c r="L60" s="26">
        <v>0</v>
      </c>
      <c r="M60" s="27">
        <f t="shared" si="3"/>
        <v>0</v>
      </c>
      <c r="N60" s="28" t="s">
        <v>118</v>
      </c>
      <c r="O60" s="29" t="s">
        <v>270</v>
      </c>
      <c r="P60" s="30">
        <f t="shared" si="4"/>
        <v>3</v>
      </c>
      <c r="Q60" s="28" t="s">
        <v>195</v>
      </c>
      <c r="R60" s="31"/>
      <c r="S60" s="24" t="s">
        <v>71</v>
      </c>
      <c r="T60" s="28" t="s">
        <v>64</v>
      </c>
      <c r="U60" s="32" t="str">
        <f>IF($D60="","",IF($Q60&lt;&gt;"Ja","–",IFERROR(INDEX(Stammdaten!$H$34:$H$41,MATCH($J60,Stammdaten!$B$34:$B$41,0)),"–")))</f>
        <v>–</v>
      </c>
      <c r="V60" s="33"/>
      <c r="W60" s="34" t="str">
        <f t="shared" si="5"/>
        <v>Nach Anmeldeschluss</v>
      </c>
    </row>
    <row r="61" spans="2:23" ht="15" customHeight="1" x14ac:dyDescent="0.25">
      <c r="B61" s="20">
        <f>IF($D61="","",COUNTA($D$18:$D61))</f>
        <v>44</v>
      </c>
      <c r="C61" s="21">
        <v>46185</v>
      </c>
      <c r="D61" s="22" t="s">
        <v>279</v>
      </c>
      <c r="E61" s="23" t="s">
        <v>280</v>
      </c>
      <c r="F61" s="23" t="s">
        <v>113</v>
      </c>
      <c r="G61" s="24" t="s">
        <v>68</v>
      </c>
      <c r="H61" s="24" t="s">
        <v>281</v>
      </c>
      <c r="I61" s="24" t="s">
        <v>282</v>
      </c>
      <c r="J61" s="23" t="s">
        <v>65</v>
      </c>
      <c r="K61" s="25">
        <f>IF($J61="","",IFERROR(INDEX(Stammdaten!$F$34:$F$41,MATCH($J61,Stammdaten!$B$34:$B$41,0)),""))</f>
        <v>464.1</v>
      </c>
      <c r="L61" s="26">
        <v>0</v>
      </c>
      <c r="M61" s="27">
        <f t="shared" si="3"/>
        <v>0</v>
      </c>
      <c r="N61" s="28" t="s">
        <v>118</v>
      </c>
      <c r="O61" s="29" t="s">
        <v>270</v>
      </c>
      <c r="P61" s="30">
        <f t="shared" si="4"/>
        <v>4</v>
      </c>
      <c r="Q61" s="28" t="s">
        <v>195</v>
      </c>
      <c r="R61" s="31"/>
      <c r="S61" s="24" t="s">
        <v>65</v>
      </c>
      <c r="T61" s="28" t="s">
        <v>64</v>
      </c>
      <c r="U61" s="32" t="str">
        <f>IF($D61="","",IF($Q61&lt;&gt;"Ja","–",IFERROR(INDEX(Stammdaten!$H$34:$H$41,MATCH($J61,Stammdaten!$B$34:$B$41,0)),"–")))</f>
        <v>–</v>
      </c>
      <c r="V61" s="33"/>
      <c r="W61" s="34" t="str">
        <f t="shared" si="5"/>
        <v>Nach Anmeldeschluss</v>
      </c>
    </row>
    <row r="62" spans="2:23" ht="15" customHeight="1" x14ac:dyDescent="0.25">
      <c r="B62" s="20">
        <f>IF($D62="","",COUNTA($D$18:$D62))</f>
        <v>45</v>
      </c>
      <c r="C62" s="21">
        <v>46122</v>
      </c>
      <c r="D62" s="22" t="s">
        <v>283</v>
      </c>
      <c r="E62" s="23" t="s">
        <v>284</v>
      </c>
      <c r="F62" s="23" t="s">
        <v>86</v>
      </c>
      <c r="G62" s="24" t="s">
        <v>87</v>
      </c>
      <c r="H62" s="24" t="s">
        <v>285</v>
      </c>
      <c r="I62" s="24" t="s">
        <v>286</v>
      </c>
      <c r="J62" s="23" t="s">
        <v>65</v>
      </c>
      <c r="K62" s="25">
        <f>IF($J62="","",IFERROR(INDEX(Stammdaten!$F$34:$F$41,MATCH($J62,Stammdaten!$B$34:$B$41,0)),""))</f>
        <v>464.1</v>
      </c>
      <c r="L62" s="26">
        <v>0</v>
      </c>
      <c r="M62" s="27">
        <f t="shared" si="3"/>
        <v>0</v>
      </c>
      <c r="N62" s="28" t="s">
        <v>287</v>
      </c>
      <c r="O62" s="29" t="s">
        <v>288</v>
      </c>
      <c r="P62" s="30" t="str">
        <f t="shared" si="4"/>
        <v/>
      </c>
      <c r="Q62" s="28" t="s">
        <v>195</v>
      </c>
      <c r="R62" s="31"/>
      <c r="S62" s="24" t="s">
        <v>65</v>
      </c>
      <c r="T62" s="28" t="s">
        <v>64</v>
      </c>
      <c r="U62" s="32" t="str">
        <f>IF($D62="","",IF($Q62&lt;&gt;"Ja","–",IFERROR(INDEX(Stammdaten!$H$34:$H$41,MATCH($J62,Stammdaten!$B$34:$B$41,0)),"–")))</f>
        <v>–</v>
      </c>
      <c r="V62" s="33" t="s">
        <v>289</v>
      </c>
      <c r="W62" s="34" t="str">
        <f t="shared" si="5"/>
        <v>OK</v>
      </c>
    </row>
    <row r="63" spans="2:23" ht="15" customHeight="1" x14ac:dyDescent="0.25">
      <c r="B63" s="20">
        <f>IF($D63="","",COUNTA($D$18:$D63))</f>
        <v>46</v>
      </c>
      <c r="C63" s="21">
        <v>46163</v>
      </c>
      <c r="D63" s="22" t="s">
        <v>290</v>
      </c>
      <c r="E63" s="23" t="s">
        <v>291</v>
      </c>
      <c r="F63" s="23" t="s">
        <v>106</v>
      </c>
      <c r="G63" s="24" t="s">
        <v>107</v>
      </c>
      <c r="H63" s="24" t="s">
        <v>292</v>
      </c>
      <c r="I63" s="24" t="s">
        <v>293</v>
      </c>
      <c r="J63" s="23" t="s">
        <v>110</v>
      </c>
      <c r="K63" s="25">
        <f>IF($J63="","",IFERROR(INDEX(Stammdaten!$F$34:$F$41,MATCH($J63,Stammdaten!$B$34:$B$41,0)),""))</f>
        <v>345.1</v>
      </c>
      <c r="L63" s="26">
        <v>0</v>
      </c>
      <c r="M63" s="27">
        <f t="shared" si="3"/>
        <v>0</v>
      </c>
      <c r="N63" s="28" t="s">
        <v>118</v>
      </c>
      <c r="O63" s="29" t="s">
        <v>288</v>
      </c>
      <c r="P63" s="30" t="str">
        <f t="shared" si="4"/>
        <v/>
      </c>
      <c r="Q63" s="28" t="s">
        <v>195</v>
      </c>
      <c r="R63" s="31"/>
      <c r="S63" s="24" t="s">
        <v>65</v>
      </c>
      <c r="T63" s="28" t="s">
        <v>64</v>
      </c>
      <c r="U63" s="32" t="str">
        <f>IF($D63="","",IF($Q63&lt;&gt;"Ja","–",IFERROR(INDEX(Stammdaten!$H$34:$H$41,MATCH($J63,Stammdaten!$B$34:$B$41,0)),"–")))</f>
        <v>–</v>
      </c>
      <c r="V63" s="33" t="s">
        <v>294</v>
      </c>
      <c r="W63" s="34" t="str">
        <f t="shared" si="5"/>
        <v>OK</v>
      </c>
    </row>
    <row r="64" spans="2:23" ht="15" customHeight="1" x14ac:dyDescent="0.25">
      <c r="B64" s="20">
        <f>IF($D64="","",COUNTA($D$18:$D64))</f>
        <v>47</v>
      </c>
      <c r="C64" s="21">
        <v>46170</v>
      </c>
      <c r="D64" s="22" t="s">
        <v>230</v>
      </c>
      <c r="E64" s="23" t="s">
        <v>231</v>
      </c>
      <c r="F64" s="23" t="s">
        <v>57</v>
      </c>
      <c r="G64" s="24" t="s">
        <v>58</v>
      </c>
      <c r="H64" s="24" t="s">
        <v>232</v>
      </c>
      <c r="I64" s="24" t="s">
        <v>295</v>
      </c>
      <c r="J64" s="23" t="s">
        <v>65</v>
      </c>
      <c r="K64" s="25">
        <f>IF($J64="","",IFERROR(INDEX(Stammdaten!$F$34:$F$41,MATCH($J64,Stammdaten!$B$34:$B$41,0)),""))</f>
        <v>464.1</v>
      </c>
      <c r="L64" s="26">
        <v>0</v>
      </c>
      <c r="M64" s="27">
        <f t="shared" si="3"/>
        <v>0</v>
      </c>
      <c r="N64" s="28" t="s">
        <v>118</v>
      </c>
      <c r="O64" s="29" t="s">
        <v>296</v>
      </c>
      <c r="P64" s="30" t="str">
        <f t="shared" si="4"/>
        <v/>
      </c>
      <c r="Q64" s="28" t="s">
        <v>195</v>
      </c>
      <c r="R64" s="31"/>
      <c r="S64" s="24" t="s">
        <v>71</v>
      </c>
      <c r="T64" s="28" t="s">
        <v>64</v>
      </c>
      <c r="U64" s="32" t="str">
        <f>IF($D64="","",IF($Q64&lt;&gt;"Ja","–",IFERROR(INDEX(Stammdaten!$H$34:$H$41,MATCH($J64,Stammdaten!$B$34:$B$41,0)),"–")))</f>
        <v>–</v>
      </c>
      <c r="V64" s="33" t="s">
        <v>297</v>
      </c>
      <c r="W64" s="34" t="str">
        <f t="shared" si="5"/>
        <v>Doppelte Anmeldung</v>
      </c>
    </row>
    <row r="65" spans="2:23" ht="15" customHeight="1" x14ac:dyDescent="0.25">
      <c r="B65" s="20" t="str">
        <f>IF($D65="","",COUNTA($D$18:$D65))</f>
        <v/>
      </c>
      <c r="C65" s="21"/>
      <c r="D65" s="22"/>
      <c r="E65" s="23"/>
      <c r="F65" s="23"/>
      <c r="G65" s="24"/>
      <c r="H65" s="24"/>
      <c r="I65" s="24"/>
      <c r="J65" s="23"/>
      <c r="K65" s="25" t="str">
        <f>IF($J65="","",IFERROR(INDEX(Stammdaten!$F$34:$F$41,MATCH($J65,Stammdaten!$B$34:$B$41,0)),""))</f>
        <v/>
      </c>
      <c r="L65" s="26"/>
      <c r="M65" s="27" t="str">
        <f t="shared" si="3"/>
        <v/>
      </c>
      <c r="N65" s="28"/>
      <c r="O65" s="29"/>
      <c r="P65" s="30" t="str">
        <f t="shared" si="4"/>
        <v/>
      </c>
      <c r="Q65" s="28"/>
      <c r="R65" s="31"/>
      <c r="S65" s="24"/>
      <c r="T65" s="28"/>
      <c r="U65" s="32" t="str">
        <f>IF($D65="","",IF($Q65&lt;&gt;"Ja","–",IFERROR(INDEX(Stammdaten!$H$34:$H$41,MATCH($J65,Stammdaten!$B$34:$B$41,0)),"–")))</f>
        <v/>
      </c>
      <c r="V65" s="33"/>
      <c r="W65" s="34" t="str">
        <f t="shared" si="5"/>
        <v/>
      </c>
    </row>
    <row r="66" spans="2:23" ht="15" customHeight="1" x14ac:dyDescent="0.25">
      <c r="B66" s="20" t="str">
        <f>IF($D66="","",COUNTA($D$18:$D66))</f>
        <v/>
      </c>
      <c r="C66" s="21"/>
      <c r="D66" s="22"/>
      <c r="E66" s="23"/>
      <c r="F66" s="23"/>
      <c r="G66" s="24"/>
      <c r="H66" s="24"/>
      <c r="I66" s="24"/>
      <c r="J66" s="23"/>
      <c r="K66" s="25" t="str">
        <f>IF($J66="","",IFERROR(INDEX(Stammdaten!$F$34:$F$41,MATCH($J66,Stammdaten!$B$34:$B$41,0)),""))</f>
        <v/>
      </c>
      <c r="L66" s="26"/>
      <c r="M66" s="27" t="str">
        <f t="shared" si="3"/>
        <v/>
      </c>
      <c r="N66" s="28"/>
      <c r="O66" s="29"/>
      <c r="P66" s="30" t="str">
        <f t="shared" si="4"/>
        <v/>
      </c>
      <c r="Q66" s="28"/>
      <c r="R66" s="31"/>
      <c r="S66" s="24"/>
      <c r="T66" s="28"/>
      <c r="U66" s="32" t="str">
        <f>IF($D66="","",IF($Q66&lt;&gt;"Ja","–",IFERROR(INDEX(Stammdaten!$H$34:$H$41,MATCH($J66,Stammdaten!$B$34:$B$41,0)),"–")))</f>
        <v/>
      </c>
      <c r="V66" s="33"/>
      <c r="W66" s="34" t="str">
        <f t="shared" si="5"/>
        <v/>
      </c>
    </row>
    <row r="67" spans="2:23" ht="15" customHeight="1" x14ac:dyDescent="0.25">
      <c r="B67" s="20" t="str">
        <f>IF($D67="","",COUNTA($D$18:$D67))</f>
        <v/>
      </c>
      <c r="C67" s="21"/>
      <c r="D67" s="22"/>
      <c r="E67" s="23"/>
      <c r="F67" s="23"/>
      <c r="G67" s="24"/>
      <c r="H67" s="24"/>
      <c r="I67" s="24"/>
      <c r="J67" s="23"/>
      <c r="K67" s="25" t="str">
        <f>IF($J67="","",IFERROR(INDEX(Stammdaten!$F$34:$F$41,MATCH($J67,Stammdaten!$B$34:$B$41,0)),""))</f>
        <v/>
      </c>
      <c r="L67" s="26"/>
      <c r="M67" s="27" t="str">
        <f t="shared" si="3"/>
        <v/>
      </c>
      <c r="N67" s="28"/>
      <c r="O67" s="29"/>
      <c r="P67" s="30" t="str">
        <f t="shared" si="4"/>
        <v/>
      </c>
      <c r="Q67" s="28"/>
      <c r="R67" s="31"/>
      <c r="S67" s="24"/>
      <c r="T67" s="28"/>
      <c r="U67" s="32" t="str">
        <f>IF($D67="","",IF($Q67&lt;&gt;"Ja","–",IFERROR(INDEX(Stammdaten!$H$34:$H$41,MATCH($J67,Stammdaten!$B$34:$B$41,0)),"–")))</f>
        <v/>
      </c>
      <c r="V67" s="33"/>
      <c r="W67" s="34" t="str">
        <f t="shared" si="5"/>
        <v/>
      </c>
    </row>
    <row r="68" spans="2:23" ht="15" customHeight="1" x14ac:dyDescent="0.25">
      <c r="B68" s="20" t="str">
        <f>IF($D68="","",COUNTA($D$18:$D68))</f>
        <v/>
      </c>
      <c r="C68" s="21"/>
      <c r="D68" s="22"/>
      <c r="E68" s="23"/>
      <c r="F68" s="23"/>
      <c r="G68" s="24"/>
      <c r="H68" s="24"/>
      <c r="I68" s="24"/>
      <c r="J68" s="23"/>
      <c r="K68" s="25" t="str">
        <f>IF($J68="","",IFERROR(INDEX(Stammdaten!$F$34:$F$41,MATCH($J68,Stammdaten!$B$34:$B$41,0)),""))</f>
        <v/>
      </c>
      <c r="L68" s="26"/>
      <c r="M68" s="27" t="str">
        <f t="shared" si="3"/>
        <v/>
      </c>
      <c r="N68" s="28"/>
      <c r="O68" s="29"/>
      <c r="P68" s="30" t="str">
        <f t="shared" si="4"/>
        <v/>
      </c>
      <c r="Q68" s="28"/>
      <c r="R68" s="31"/>
      <c r="S68" s="24"/>
      <c r="T68" s="28"/>
      <c r="U68" s="32" t="str">
        <f>IF($D68="","",IF($Q68&lt;&gt;"Ja","–",IFERROR(INDEX(Stammdaten!$H$34:$H$41,MATCH($J68,Stammdaten!$B$34:$B$41,0)),"–")))</f>
        <v/>
      </c>
      <c r="V68" s="33"/>
      <c r="W68" s="34" t="str">
        <f t="shared" si="5"/>
        <v/>
      </c>
    </row>
    <row r="69" spans="2:23" ht="15" customHeight="1" x14ac:dyDescent="0.25">
      <c r="B69" s="20" t="str">
        <f>IF($D69="","",COUNTA($D$18:$D69))</f>
        <v/>
      </c>
      <c r="C69" s="21"/>
      <c r="D69" s="22"/>
      <c r="E69" s="23"/>
      <c r="F69" s="23"/>
      <c r="G69" s="24"/>
      <c r="H69" s="24"/>
      <c r="I69" s="24"/>
      <c r="J69" s="23"/>
      <c r="K69" s="25" t="str">
        <f>IF($J69="","",IFERROR(INDEX(Stammdaten!$F$34:$F$41,MATCH($J69,Stammdaten!$B$34:$B$41,0)),""))</f>
        <v/>
      </c>
      <c r="L69" s="26"/>
      <c r="M69" s="27" t="str">
        <f t="shared" si="3"/>
        <v/>
      </c>
      <c r="N69" s="28"/>
      <c r="O69" s="29"/>
      <c r="P69" s="30" t="str">
        <f t="shared" si="4"/>
        <v/>
      </c>
      <c r="Q69" s="28"/>
      <c r="R69" s="31"/>
      <c r="S69" s="24"/>
      <c r="T69" s="28"/>
      <c r="U69" s="32" t="str">
        <f>IF($D69="","",IF($Q69&lt;&gt;"Ja","–",IFERROR(INDEX(Stammdaten!$H$34:$H$41,MATCH($J69,Stammdaten!$B$34:$B$41,0)),"–")))</f>
        <v/>
      </c>
      <c r="V69" s="33"/>
      <c r="W69" s="34" t="str">
        <f t="shared" si="5"/>
        <v/>
      </c>
    </row>
    <row r="70" spans="2:23" ht="15" customHeight="1" x14ac:dyDescent="0.25">
      <c r="B70" s="20" t="str">
        <f>IF($D70="","",COUNTA($D$18:$D70))</f>
        <v/>
      </c>
      <c r="C70" s="21"/>
      <c r="D70" s="22"/>
      <c r="E70" s="23"/>
      <c r="F70" s="23"/>
      <c r="G70" s="24"/>
      <c r="H70" s="24"/>
      <c r="I70" s="24"/>
      <c r="J70" s="23"/>
      <c r="K70" s="25" t="str">
        <f>IF($J70="","",IFERROR(INDEX(Stammdaten!$F$34:$F$41,MATCH($J70,Stammdaten!$B$34:$B$41,0)),""))</f>
        <v/>
      </c>
      <c r="L70" s="26"/>
      <c r="M70" s="27" t="str">
        <f t="shared" si="3"/>
        <v/>
      </c>
      <c r="N70" s="28"/>
      <c r="O70" s="29"/>
      <c r="P70" s="30" t="str">
        <f t="shared" si="4"/>
        <v/>
      </c>
      <c r="Q70" s="28"/>
      <c r="R70" s="31"/>
      <c r="S70" s="24"/>
      <c r="T70" s="28"/>
      <c r="U70" s="32" t="str">
        <f>IF($D70="","",IF($Q70&lt;&gt;"Ja","–",IFERROR(INDEX(Stammdaten!$H$34:$H$41,MATCH($J70,Stammdaten!$B$34:$B$41,0)),"–")))</f>
        <v/>
      </c>
      <c r="V70" s="33"/>
      <c r="W70" s="34" t="str">
        <f t="shared" si="5"/>
        <v/>
      </c>
    </row>
    <row r="71" spans="2:23" ht="15" customHeight="1" x14ac:dyDescent="0.25">
      <c r="B71" s="20" t="str">
        <f>IF($D71="","",COUNTA($D$18:$D71))</f>
        <v/>
      </c>
      <c r="C71" s="21"/>
      <c r="D71" s="22"/>
      <c r="E71" s="23"/>
      <c r="F71" s="23"/>
      <c r="G71" s="24"/>
      <c r="H71" s="24"/>
      <c r="I71" s="24"/>
      <c r="J71" s="23"/>
      <c r="K71" s="25" t="str">
        <f>IF($J71="","",IFERROR(INDEX(Stammdaten!$F$34:$F$41,MATCH($J71,Stammdaten!$B$34:$B$41,0)),""))</f>
        <v/>
      </c>
      <c r="L71" s="26"/>
      <c r="M71" s="27" t="str">
        <f t="shared" si="3"/>
        <v/>
      </c>
      <c r="N71" s="28"/>
      <c r="O71" s="29"/>
      <c r="P71" s="30" t="str">
        <f t="shared" si="4"/>
        <v/>
      </c>
      <c r="Q71" s="28"/>
      <c r="R71" s="31"/>
      <c r="S71" s="24"/>
      <c r="T71" s="28"/>
      <c r="U71" s="32" t="str">
        <f>IF($D71="","",IF($Q71&lt;&gt;"Ja","–",IFERROR(INDEX(Stammdaten!$H$34:$H$41,MATCH($J71,Stammdaten!$B$34:$B$41,0)),"–")))</f>
        <v/>
      </c>
      <c r="V71" s="33"/>
      <c r="W71" s="34" t="str">
        <f t="shared" si="5"/>
        <v/>
      </c>
    </row>
    <row r="72" spans="2:23" ht="15" customHeight="1" x14ac:dyDescent="0.25">
      <c r="B72" s="20" t="str">
        <f>IF($D72="","",COUNTA($D$18:$D72))</f>
        <v/>
      </c>
      <c r="C72" s="21"/>
      <c r="D72" s="22"/>
      <c r="E72" s="23"/>
      <c r="F72" s="23"/>
      <c r="G72" s="24"/>
      <c r="H72" s="24"/>
      <c r="I72" s="24"/>
      <c r="J72" s="23"/>
      <c r="K72" s="25" t="str">
        <f>IF($J72="","",IFERROR(INDEX(Stammdaten!$F$34:$F$41,MATCH($J72,Stammdaten!$B$34:$B$41,0)),""))</f>
        <v/>
      </c>
      <c r="L72" s="26"/>
      <c r="M72" s="27" t="str">
        <f t="shared" si="3"/>
        <v/>
      </c>
      <c r="N72" s="28"/>
      <c r="O72" s="29"/>
      <c r="P72" s="30" t="str">
        <f t="shared" si="4"/>
        <v/>
      </c>
      <c r="Q72" s="28"/>
      <c r="R72" s="31"/>
      <c r="S72" s="24"/>
      <c r="T72" s="28"/>
      <c r="U72" s="32" t="str">
        <f>IF($D72="","",IF($Q72&lt;&gt;"Ja","–",IFERROR(INDEX(Stammdaten!$H$34:$H$41,MATCH($J72,Stammdaten!$B$34:$B$41,0)),"–")))</f>
        <v/>
      </c>
      <c r="V72" s="33"/>
      <c r="W72" s="34" t="str">
        <f t="shared" si="5"/>
        <v/>
      </c>
    </row>
    <row r="73" spans="2:23" ht="15" customHeight="1" x14ac:dyDescent="0.25">
      <c r="B73" s="20" t="str">
        <f>IF($D73="","",COUNTA($D$18:$D73))</f>
        <v/>
      </c>
      <c r="C73" s="21"/>
      <c r="D73" s="22"/>
      <c r="E73" s="23"/>
      <c r="F73" s="23"/>
      <c r="G73" s="24"/>
      <c r="H73" s="24"/>
      <c r="I73" s="24"/>
      <c r="J73" s="23"/>
      <c r="K73" s="25" t="str">
        <f>IF($J73="","",IFERROR(INDEX(Stammdaten!$F$34:$F$41,MATCH($J73,Stammdaten!$B$34:$B$41,0)),""))</f>
        <v/>
      </c>
      <c r="L73" s="26"/>
      <c r="M73" s="27" t="str">
        <f t="shared" si="3"/>
        <v/>
      </c>
      <c r="N73" s="28"/>
      <c r="O73" s="29"/>
      <c r="P73" s="30" t="str">
        <f t="shared" si="4"/>
        <v/>
      </c>
      <c r="Q73" s="28"/>
      <c r="R73" s="31"/>
      <c r="S73" s="24"/>
      <c r="T73" s="28"/>
      <c r="U73" s="32" t="str">
        <f>IF($D73="","",IF($Q73&lt;&gt;"Ja","–",IFERROR(INDEX(Stammdaten!$H$34:$H$41,MATCH($J73,Stammdaten!$B$34:$B$41,0)),"–")))</f>
        <v/>
      </c>
      <c r="V73" s="33"/>
      <c r="W73" s="34" t="str">
        <f t="shared" si="5"/>
        <v/>
      </c>
    </row>
    <row r="74" spans="2:23" ht="15" customHeight="1" x14ac:dyDescent="0.25">
      <c r="B74" s="20" t="str">
        <f>IF($D74="","",COUNTA($D$18:$D74))</f>
        <v/>
      </c>
      <c r="C74" s="21"/>
      <c r="D74" s="22"/>
      <c r="E74" s="23"/>
      <c r="F74" s="23"/>
      <c r="G74" s="24"/>
      <c r="H74" s="24"/>
      <c r="I74" s="24"/>
      <c r="J74" s="23"/>
      <c r="K74" s="25" t="str">
        <f>IF($J74="","",IFERROR(INDEX(Stammdaten!$F$34:$F$41,MATCH($J74,Stammdaten!$B$34:$B$41,0)),""))</f>
        <v/>
      </c>
      <c r="L74" s="26"/>
      <c r="M74" s="27" t="str">
        <f t="shared" si="3"/>
        <v/>
      </c>
      <c r="N74" s="28"/>
      <c r="O74" s="29"/>
      <c r="P74" s="30" t="str">
        <f t="shared" si="4"/>
        <v/>
      </c>
      <c r="Q74" s="28"/>
      <c r="R74" s="31"/>
      <c r="S74" s="24"/>
      <c r="T74" s="28"/>
      <c r="U74" s="32" t="str">
        <f>IF($D74="","",IF($Q74&lt;&gt;"Ja","–",IFERROR(INDEX(Stammdaten!$H$34:$H$41,MATCH($J74,Stammdaten!$B$34:$B$41,0)),"–")))</f>
        <v/>
      </c>
      <c r="V74" s="33"/>
      <c r="W74" s="34" t="str">
        <f t="shared" si="5"/>
        <v/>
      </c>
    </row>
    <row r="75" spans="2:23" ht="15" customHeight="1" x14ac:dyDescent="0.25">
      <c r="B75" s="20" t="str">
        <f>IF($D75="","",COUNTA($D$18:$D75))</f>
        <v/>
      </c>
      <c r="C75" s="21"/>
      <c r="D75" s="22"/>
      <c r="E75" s="23"/>
      <c r="F75" s="23"/>
      <c r="G75" s="24"/>
      <c r="H75" s="24"/>
      <c r="I75" s="24"/>
      <c r="J75" s="23"/>
      <c r="K75" s="25" t="str">
        <f>IF($J75="","",IFERROR(INDEX(Stammdaten!$F$34:$F$41,MATCH($J75,Stammdaten!$B$34:$B$41,0)),""))</f>
        <v/>
      </c>
      <c r="L75" s="26"/>
      <c r="M75" s="27" t="str">
        <f t="shared" si="3"/>
        <v/>
      </c>
      <c r="N75" s="28"/>
      <c r="O75" s="29"/>
      <c r="P75" s="30" t="str">
        <f t="shared" si="4"/>
        <v/>
      </c>
      <c r="Q75" s="28"/>
      <c r="R75" s="31"/>
      <c r="S75" s="24"/>
      <c r="T75" s="28"/>
      <c r="U75" s="32" t="str">
        <f>IF($D75="","",IF($Q75&lt;&gt;"Ja","–",IFERROR(INDEX(Stammdaten!$H$34:$H$41,MATCH($J75,Stammdaten!$B$34:$B$41,0)),"–")))</f>
        <v/>
      </c>
      <c r="V75" s="33"/>
      <c r="W75" s="34" t="str">
        <f t="shared" si="5"/>
        <v/>
      </c>
    </row>
    <row r="76" spans="2:23" ht="15" customHeight="1" x14ac:dyDescent="0.25">
      <c r="B76" s="20" t="str">
        <f>IF($D76="","",COUNTA($D$18:$D76))</f>
        <v/>
      </c>
      <c r="C76" s="21"/>
      <c r="D76" s="22"/>
      <c r="E76" s="23"/>
      <c r="F76" s="23"/>
      <c r="G76" s="24"/>
      <c r="H76" s="24"/>
      <c r="I76" s="24"/>
      <c r="J76" s="23"/>
      <c r="K76" s="25" t="str">
        <f>IF($J76="","",IFERROR(INDEX(Stammdaten!$F$34:$F$41,MATCH($J76,Stammdaten!$B$34:$B$41,0)),""))</f>
        <v/>
      </c>
      <c r="L76" s="26"/>
      <c r="M76" s="27" t="str">
        <f t="shared" si="3"/>
        <v/>
      </c>
      <c r="N76" s="28"/>
      <c r="O76" s="29"/>
      <c r="P76" s="30" t="str">
        <f t="shared" si="4"/>
        <v/>
      </c>
      <c r="Q76" s="28"/>
      <c r="R76" s="31"/>
      <c r="S76" s="24"/>
      <c r="T76" s="28"/>
      <c r="U76" s="32" t="str">
        <f>IF($D76="","",IF($Q76&lt;&gt;"Ja","–",IFERROR(INDEX(Stammdaten!$H$34:$H$41,MATCH($J76,Stammdaten!$B$34:$B$41,0)),"–")))</f>
        <v/>
      </c>
      <c r="V76" s="33"/>
      <c r="W76" s="34" t="str">
        <f t="shared" si="5"/>
        <v/>
      </c>
    </row>
    <row r="77" spans="2:23" ht="15" customHeight="1" x14ac:dyDescent="0.25">
      <c r="B77" s="20" t="str">
        <f>IF($D77="","",COUNTA($D$18:$D77))</f>
        <v/>
      </c>
      <c r="C77" s="21"/>
      <c r="D77" s="22"/>
      <c r="E77" s="23"/>
      <c r="F77" s="23"/>
      <c r="G77" s="24"/>
      <c r="H77" s="24"/>
      <c r="I77" s="24"/>
      <c r="J77" s="23"/>
      <c r="K77" s="25" t="str">
        <f>IF($J77="","",IFERROR(INDEX(Stammdaten!$F$34:$F$41,MATCH($J77,Stammdaten!$B$34:$B$41,0)),""))</f>
        <v/>
      </c>
      <c r="L77" s="26"/>
      <c r="M77" s="27" t="str">
        <f t="shared" si="3"/>
        <v/>
      </c>
      <c r="N77" s="28"/>
      <c r="O77" s="29"/>
      <c r="P77" s="30" t="str">
        <f t="shared" si="4"/>
        <v/>
      </c>
      <c r="Q77" s="28"/>
      <c r="R77" s="31"/>
      <c r="S77" s="24"/>
      <c r="T77" s="28"/>
      <c r="U77" s="32" t="str">
        <f>IF($D77="","",IF($Q77&lt;&gt;"Ja","–",IFERROR(INDEX(Stammdaten!$H$34:$H$41,MATCH($J77,Stammdaten!$B$34:$B$41,0)),"–")))</f>
        <v/>
      </c>
      <c r="V77" s="33"/>
      <c r="W77" s="34" t="str">
        <f t="shared" si="5"/>
        <v/>
      </c>
    </row>
    <row r="78" spans="2:23" ht="15" customHeight="1" x14ac:dyDescent="0.25">
      <c r="B78" s="20" t="str">
        <f>IF($D78="","",COUNTA($D$18:$D78))</f>
        <v/>
      </c>
      <c r="C78" s="21"/>
      <c r="D78" s="22"/>
      <c r="E78" s="23"/>
      <c r="F78" s="23"/>
      <c r="G78" s="24"/>
      <c r="H78" s="24"/>
      <c r="I78" s="24"/>
      <c r="J78" s="23"/>
      <c r="K78" s="25" t="str">
        <f>IF($J78="","",IFERROR(INDEX(Stammdaten!$F$34:$F$41,MATCH($J78,Stammdaten!$B$34:$B$41,0)),""))</f>
        <v/>
      </c>
      <c r="L78" s="26"/>
      <c r="M78" s="27" t="str">
        <f t="shared" si="3"/>
        <v/>
      </c>
      <c r="N78" s="28"/>
      <c r="O78" s="29"/>
      <c r="P78" s="30" t="str">
        <f t="shared" si="4"/>
        <v/>
      </c>
      <c r="Q78" s="28"/>
      <c r="R78" s="31"/>
      <c r="S78" s="24"/>
      <c r="T78" s="28"/>
      <c r="U78" s="32" t="str">
        <f>IF($D78="","",IF($Q78&lt;&gt;"Ja","–",IFERROR(INDEX(Stammdaten!$H$34:$H$41,MATCH($J78,Stammdaten!$B$34:$B$41,0)),"–")))</f>
        <v/>
      </c>
      <c r="V78" s="33"/>
      <c r="W78" s="34" t="str">
        <f t="shared" si="5"/>
        <v/>
      </c>
    </row>
    <row r="79" spans="2:23" ht="15" customHeight="1" x14ac:dyDescent="0.25">
      <c r="B79" s="20" t="str">
        <f>IF($D79="","",COUNTA($D$18:$D79))</f>
        <v/>
      </c>
      <c r="C79" s="21"/>
      <c r="D79" s="22"/>
      <c r="E79" s="23"/>
      <c r="F79" s="23"/>
      <c r="G79" s="24"/>
      <c r="H79" s="24"/>
      <c r="I79" s="24"/>
      <c r="J79" s="23"/>
      <c r="K79" s="25" t="str">
        <f>IF($J79="","",IFERROR(INDEX(Stammdaten!$F$34:$F$41,MATCH($J79,Stammdaten!$B$34:$B$41,0)),""))</f>
        <v/>
      </c>
      <c r="L79" s="26"/>
      <c r="M79" s="27" t="str">
        <f t="shared" si="3"/>
        <v/>
      </c>
      <c r="N79" s="28"/>
      <c r="O79" s="29"/>
      <c r="P79" s="30" t="str">
        <f t="shared" si="4"/>
        <v/>
      </c>
      <c r="Q79" s="28"/>
      <c r="R79" s="31"/>
      <c r="S79" s="24"/>
      <c r="T79" s="28"/>
      <c r="U79" s="32" t="str">
        <f>IF($D79="","",IF($Q79&lt;&gt;"Ja","–",IFERROR(INDEX(Stammdaten!$H$34:$H$41,MATCH($J79,Stammdaten!$B$34:$B$41,0)),"–")))</f>
        <v/>
      </c>
      <c r="V79" s="33"/>
      <c r="W79" s="34" t="str">
        <f t="shared" si="5"/>
        <v/>
      </c>
    </row>
    <row r="80" spans="2:23" ht="15" customHeight="1" x14ac:dyDescent="0.25">
      <c r="B80" s="20" t="str">
        <f>IF($D80="","",COUNTA($D$18:$D80))</f>
        <v/>
      </c>
      <c r="C80" s="21"/>
      <c r="D80" s="22"/>
      <c r="E80" s="23"/>
      <c r="F80" s="23"/>
      <c r="G80" s="24"/>
      <c r="H80" s="24"/>
      <c r="I80" s="24"/>
      <c r="J80" s="23"/>
      <c r="K80" s="25" t="str">
        <f>IF($J80="","",IFERROR(INDEX(Stammdaten!$F$34:$F$41,MATCH($J80,Stammdaten!$B$34:$B$41,0)),""))</f>
        <v/>
      </c>
      <c r="L80" s="26"/>
      <c r="M80" s="27" t="str">
        <f t="shared" si="3"/>
        <v/>
      </c>
      <c r="N80" s="28"/>
      <c r="O80" s="29"/>
      <c r="P80" s="30" t="str">
        <f t="shared" si="4"/>
        <v/>
      </c>
      <c r="Q80" s="28"/>
      <c r="R80" s="31"/>
      <c r="S80" s="24"/>
      <c r="T80" s="28"/>
      <c r="U80" s="32" t="str">
        <f>IF($D80="","",IF($Q80&lt;&gt;"Ja","–",IFERROR(INDEX(Stammdaten!$H$34:$H$41,MATCH($J80,Stammdaten!$B$34:$B$41,0)),"–")))</f>
        <v/>
      </c>
      <c r="V80" s="33"/>
      <c r="W80" s="34" t="str">
        <f t="shared" si="5"/>
        <v/>
      </c>
    </row>
    <row r="81" spans="2:23" ht="15" customHeight="1" x14ac:dyDescent="0.25">
      <c r="B81" s="20" t="str">
        <f>IF($D81="","",COUNTA($D$18:$D81))</f>
        <v/>
      </c>
      <c r="C81" s="21"/>
      <c r="D81" s="22"/>
      <c r="E81" s="23"/>
      <c r="F81" s="23"/>
      <c r="G81" s="24"/>
      <c r="H81" s="24"/>
      <c r="I81" s="24"/>
      <c r="J81" s="23"/>
      <c r="K81" s="25" t="str">
        <f>IF($J81="","",IFERROR(INDEX(Stammdaten!$F$34:$F$41,MATCH($J81,Stammdaten!$B$34:$B$41,0)),""))</f>
        <v/>
      </c>
      <c r="L81" s="26"/>
      <c r="M81" s="27" t="str">
        <f t="shared" si="3"/>
        <v/>
      </c>
      <c r="N81" s="28"/>
      <c r="O81" s="29"/>
      <c r="P81" s="30" t="str">
        <f t="shared" si="4"/>
        <v/>
      </c>
      <c r="Q81" s="28"/>
      <c r="R81" s="31"/>
      <c r="S81" s="24"/>
      <c r="T81" s="28"/>
      <c r="U81" s="32" t="str">
        <f>IF($D81="","",IF($Q81&lt;&gt;"Ja","–",IFERROR(INDEX(Stammdaten!$H$34:$H$41,MATCH($J81,Stammdaten!$B$34:$B$41,0)),"–")))</f>
        <v/>
      </c>
      <c r="V81" s="33"/>
      <c r="W81" s="34" t="str">
        <f t="shared" si="5"/>
        <v/>
      </c>
    </row>
    <row r="82" spans="2:23" ht="15" customHeight="1" x14ac:dyDescent="0.25">
      <c r="B82" s="20" t="str">
        <f>IF($D82="","",COUNTA($D$18:$D82))</f>
        <v/>
      </c>
      <c r="C82" s="21"/>
      <c r="D82" s="22"/>
      <c r="E82" s="23"/>
      <c r="F82" s="23"/>
      <c r="G82" s="24"/>
      <c r="H82" s="24"/>
      <c r="I82" s="24"/>
      <c r="J82" s="23"/>
      <c r="K82" s="25" t="str">
        <f>IF($J82="","",IFERROR(INDEX(Stammdaten!$F$34:$F$41,MATCH($J82,Stammdaten!$B$34:$B$41,0)),""))</f>
        <v/>
      </c>
      <c r="L82" s="26"/>
      <c r="M82" s="27" t="str">
        <f t="shared" ref="M82:M97" si="6">IF($K82="","",IF(OR($O82="Abgesagt",$O82="Storniert",$O82="Warteliste"),0,ROUND($K82*(1-$L82),2)))</f>
        <v/>
      </c>
      <c r="N82" s="28"/>
      <c r="O82" s="29"/>
      <c r="P82" s="30" t="str">
        <f t="shared" ref="P82:P97" si="7">IF($O82&lt;&gt;"Warteliste","",COUNTIFS($O$18:$O$97,"Warteliste",$C$18:$C$97,"&lt;="&amp;$C82))</f>
        <v/>
      </c>
      <c r="Q82" s="28"/>
      <c r="R82" s="31"/>
      <c r="S82" s="24"/>
      <c r="T82" s="28"/>
      <c r="U82" s="32" t="str">
        <f>IF($D82="","",IF($Q82&lt;&gt;"Ja","–",IFERROR(INDEX(Stammdaten!$H$34:$H$41,MATCH($J82,Stammdaten!$B$34:$B$41,0)),"–")))</f>
        <v/>
      </c>
      <c r="V82" s="33"/>
      <c r="W82" s="34" t="str">
        <f t="shared" ref="W82:W97" si="8">IF($D82="","",IF($J82="","Tarif fehlt",IF($H82="","E-Mail fehlt",IF(COUNTIF($H$18:$H$97,$H82)&gt;1,"Doppelte Anmeldung",IF($T82&lt;&gt;"Ja","Einwilligung fehlt",IF(IF($N82&lt;&gt;"Offen",0,IF($C82="",0,IF($C82+Zahlungsfrist&lt;Stichtag,1,0)))=1,"Zahlung überfällig",IF(IF($C82="",0,IF($C82&gt;Anmeldeschluss,1,0))=1,"Nach Anmeldeschluss",IF(IF($O82="Warteliste",1,0)+IF($Q82="Ja",1,0)=2,"Warteliste eingecheckt","OK"))))))))</f>
        <v/>
      </c>
    </row>
    <row r="83" spans="2:23" ht="15" customHeight="1" x14ac:dyDescent="0.25">
      <c r="B83" s="20" t="str">
        <f>IF($D83="","",COUNTA($D$18:$D83))</f>
        <v/>
      </c>
      <c r="C83" s="21"/>
      <c r="D83" s="22"/>
      <c r="E83" s="23"/>
      <c r="F83" s="23"/>
      <c r="G83" s="24"/>
      <c r="H83" s="24"/>
      <c r="I83" s="24"/>
      <c r="J83" s="23"/>
      <c r="K83" s="25" t="str">
        <f>IF($J83="","",IFERROR(INDEX(Stammdaten!$F$34:$F$41,MATCH($J83,Stammdaten!$B$34:$B$41,0)),""))</f>
        <v/>
      </c>
      <c r="L83" s="26"/>
      <c r="M83" s="27" t="str">
        <f t="shared" si="6"/>
        <v/>
      </c>
      <c r="N83" s="28"/>
      <c r="O83" s="29"/>
      <c r="P83" s="30" t="str">
        <f t="shared" si="7"/>
        <v/>
      </c>
      <c r="Q83" s="28"/>
      <c r="R83" s="31"/>
      <c r="S83" s="24"/>
      <c r="T83" s="28"/>
      <c r="U83" s="32" t="str">
        <f>IF($D83="","",IF($Q83&lt;&gt;"Ja","–",IFERROR(INDEX(Stammdaten!$H$34:$H$41,MATCH($J83,Stammdaten!$B$34:$B$41,0)),"–")))</f>
        <v/>
      </c>
      <c r="V83" s="33"/>
      <c r="W83" s="34" t="str">
        <f t="shared" si="8"/>
        <v/>
      </c>
    </row>
    <row r="84" spans="2:23" ht="15" customHeight="1" x14ac:dyDescent="0.25">
      <c r="B84" s="20" t="str">
        <f>IF($D84="","",COUNTA($D$18:$D84))</f>
        <v/>
      </c>
      <c r="C84" s="21"/>
      <c r="D84" s="22"/>
      <c r="E84" s="23"/>
      <c r="F84" s="23"/>
      <c r="G84" s="24"/>
      <c r="H84" s="24"/>
      <c r="I84" s="24"/>
      <c r="J84" s="23"/>
      <c r="K84" s="25" t="str">
        <f>IF($J84="","",IFERROR(INDEX(Stammdaten!$F$34:$F$41,MATCH($J84,Stammdaten!$B$34:$B$41,0)),""))</f>
        <v/>
      </c>
      <c r="L84" s="26"/>
      <c r="M84" s="27" t="str">
        <f t="shared" si="6"/>
        <v/>
      </c>
      <c r="N84" s="28"/>
      <c r="O84" s="29"/>
      <c r="P84" s="30" t="str">
        <f t="shared" si="7"/>
        <v/>
      </c>
      <c r="Q84" s="28"/>
      <c r="R84" s="31"/>
      <c r="S84" s="24"/>
      <c r="T84" s="28"/>
      <c r="U84" s="32" t="str">
        <f>IF($D84="","",IF($Q84&lt;&gt;"Ja","–",IFERROR(INDEX(Stammdaten!$H$34:$H$41,MATCH($J84,Stammdaten!$B$34:$B$41,0)),"–")))</f>
        <v/>
      </c>
      <c r="V84" s="33"/>
      <c r="W84" s="34" t="str">
        <f t="shared" si="8"/>
        <v/>
      </c>
    </row>
    <row r="85" spans="2:23" ht="15" customHeight="1" x14ac:dyDescent="0.25">
      <c r="B85" s="20" t="str">
        <f>IF($D85="","",COUNTA($D$18:$D85))</f>
        <v/>
      </c>
      <c r="C85" s="21"/>
      <c r="D85" s="22"/>
      <c r="E85" s="23"/>
      <c r="F85" s="23"/>
      <c r="G85" s="24"/>
      <c r="H85" s="24"/>
      <c r="I85" s="24"/>
      <c r="J85" s="23"/>
      <c r="K85" s="25" t="str">
        <f>IF($J85="","",IFERROR(INDEX(Stammdaten!$F$34:$F$41,MATCH($J85,Stammdaten!$B$34:$B$41,0)),""))</f>
        <v/>
      </c>
      <c r="L85" s="26"/>
      <c r="M85" s="27" t="str">
        <f t="shared" si="6"/>
        <v/>
      </c>
      <c r="N85" s="28"/>
      <c r="O85" s="29"/>
      <c r="P85" s="30" t="str">
        <f t="shared" si="7"/>
        <v/>
      </c>
      <c r="Q85" s="28"/>
      <c r="R85" s="31"/>
      <c r="S85" s="24"/>
      <c r="T85" s="28"/>
      <c r="U85" s="32" t="str">
        <f>IF($D85="","",IF($Q85&lt;&gt;"Ja","–",IFERROR(INDEX(Stammdaten!$H$34:$H$41,MATCH($J85,Stammdaten!$B$34:$B$41,0)),"–")))</f>
        <v/>
      </c>
      <c r="V85" s="33"/>
      <c r="W85" s="34" t="str">
        <f t="shared" si="8"/>
        <v/>
      </c>
    </row>
    <row r="86" spans="2:23" ht="15" customHeight="1" x14ac:dyDescent="0.25">
      <c r="B86" s="20" t="str">
        <f>IF($D86="","",COUNTA($D$18:$D86))</f>
        <v/>
      </c>
      <c r="C86" s="21"/>
      <c r="D86" s="22"/>
      <c r="E86" s="23"/>
      <c r="F86" s="23"/>
      <c r="G86" s="24"/>
      <c r="H86" s="24"/>
      <c r="I86" s="24"/>
      <c r="J86" s="23"/>
      <c r="K86" s="25" t="str">
        <f>IF($J86="","",IFERROR(INDEX(Stammdaten!$F$34:$F$41,MATCH($J86,Stammdaten!$B$34:$B$41,0)),""))</f>
        <v/>
      </c>
      <c r="L86" s="26"/>
      <c r="M86" s="27" t="str">
        <f t="shared" si="6"/>
        <v/>
      </c>
      <c r="N86" s="28"/>
      <c r="O86" s="29"/>
      <c r="P86" s="30" t="str">
        <f t="shared" si="7"/>
        <v/>
      </c>
      <c r="Q86" s="28"/>
      <c r="R86" s="31"/>
      <c r="S86" s="24"/>
      <c r="T86" s="28"/>
      <c r="U86" s="32" t="str">
        <f>IF($D86="","",IF($Q86&lt;&gt;"Ja","–",IFERROR(INDEX(Stammdaten!$H$34:$H$41,MATCH($J86,Stammdaten!$B$34:$B$41,0)),"–")))</f>
        <v/>
      </c>
      <c r="V86" s="33"/>
      <c r="W86" s="34" t="str">
        <f t="shared" si="8"/>
        <v/>
      </c>
    </row>
    <row r="87" spans="2:23" ht="15" customHeight="1" x14ac:dyDescent="0.25">
      <c r="B87" s="20" t="str">
        <f>IF($D87="","",COUNTA($D$18:$D87))</f>
        <v/>
      </c>
      <c r="C87" s="21"/>
      <c r="D87" s="22"/>
      <c r="E87" s="23"/>
      <c r="F87" s="23"/>
      <c r="G87" s="24"/>
      <c r="H87" s="24"/>
      <c r="I87" s="24"/>
      <c r="J87" s="23"/>
      <c r="K87" s="25" t="str">
        <f>IF($J87="","",IFERROR(INDEX(Stammdaten!$F$34:$F$41,MATCH($J87,Stammdaten!$B$34:$B$41,0)),""))</f>
        <v/>
      </c>
      <c r="L87" s="26"/>
      <c r="M87" s="27" t="str">
        <f t="shared" si="6"/>
        <v/>
      </c>
      <c r="N87" s="28"/>
      <c r="O87" s="29"/>
      <c r="P87" s="30" t="str">
        <f t="shared" si="7"/>
        <v/>
      </c>
      <c r="Q87" s="28"/>
      <c r="R87" s="31"/>
      <c r="S87" s="24"/>
      <c r="T87" s="28"/>
      <c r="U87" s="32" t="str">
        <f>IF($D87="","",IF($Q87&lt;&gt;"Ja","–",IFERROR(INDEX(Stammdaten!$H$34:$H$41,MATCH($J87,Stammdaten!$B$34:$B$41,0)),"–")))</f>
        <v/>
      </c>
      <c r="V87" s="33"/>
      <c r="W87" s="34" t="str">
        <f t="shared" si="8"/>
        <v/>
      </c>
    </row>
    <row r="88" spans="2:23" ht="15" customHeight="1" x14ac:dyDescent="0.25">
      <c r="B88" s="20" t="str">
        <f>IF($D88="","",COUNTA($D$18:$D88))</f>
        <v/>
      </c>
      <c r="C88" s="21"/>
      <c r="D88" s="22"/>
      <c r="E88" s="23"/>
      <c r="F88" s="23"/>
      <c r="G88" s="24"/>
      <c r="H88" s="24"/>
      <c r="I88" s="24"/>
      <c r="J88" s="23"/>
      <c r="K88" s="25" t="str">
        <f>IF($J88="","",IFERROR(INDEX(Stammdaten!$F$34:$F$41,MATCH($J88,Stammdaten!$B$34:$B$41,0)),""))</f>
        <v/>
      </c>
      <c r="L88" s="26"/>
      <c r="M88" s="27" t="str">
        <f t="shared" si="6"/>
        <v/>
      </c>
      <c r="N88" s="28"/>
      <c r="O88" s="29"/>
      <c r="P88" s="30" t="str">
        <f t="shared" si="7"/>
        <v/>
      </c>
      <c r="Q88" s="28"/>
      <c r="R88" s="31"/>
      <c r="S88" s="24"/>
      <c r="T88" s="28"/>
      <c r="U88" s="32" t="str">
        <f>IF($D88="","",IF($Q88&lt;&gt;"Ja","–",IFERROR(INDEX(Stammdaten!$H$34:$H$41,MATCH($J88,Stammdaten!$B$34:$B$41,0)),"–")))</f>
        <v/>
      </c>
      <c r="V88" s="33"/>
      <c r="W88" s="34" t="str">
        <f t="shared" si="8"/>
        <v/>
      </c>
    </row>
    <row r="89" spans="2:23" ht="15" customHeight="1" x14ac:dyDescent="0.25">
      <c r="B89" s="20" t="str">
        <f>IF($D89="","",COUNTA($D$18:$D89))</f>
        <v/>
      </c>
      <c r="C89" s="21"/>
      <c r="D89" s="22"/>
      <c r="E89" s="23"/>
      <c r="F89" s="23"/>
      <c r="G89" s="24"/>
      <c r="H89" s="24"/>
      <c r="I89" s="24"/>
      <c r="J89" s="23"/>
      <c r="K89" s="25" t="str">
        <f>IF($J89="","",IFERROR(INDEX(Stammdaten!$F$34:$F$41,MATCH($J89,Stammdaten!$B$34:$B$41,0)),""))</f>
        <v/>
      </c>
      <c r="L89" s="26"/>
      <c r="M89" s="27" t="str">
        <f t="shared" si="6"/>
        <v/>
      </c>
      <c r="N89" s="28"/>
      <c r="O89" s="29"/>
      <c r="P89" s="30" t="str">
        <f t="shared" si="7"/>
        <v/>
      </c>
      <c r="Q89" s="28"/>
      <c r="R89" s="31"/>
      <c r="S89" s="24"/>
      <c r="T89" s="28"/>
      <c r="U89" s="32" t="str">
        <f>IF($D89="","",IF($Q89&lt;&gt;"Ja","–",IFERROR(INDEX(Stammdaten!$H$34:$H$41,MATCH($J89,Stammdaten!$B$34:$B$41,0)),"–")))</f>
        <v/>
      </c>
      <c r="V89" s="33"/>
      <c r="W89" s="34" t="str">
        <f t="shared" si="8"/>
        <v/>
      </c>
    </row>
    <row r="90" spans="2:23" ht="15" customHeight="1" x14ac:dyDescent="0.25">
      <c r="B90" s="20" t="str">
        <f>IF($D90="","",COUNTA($D$18:$D90))</f>
        <v/>
      </c>
      <c r="C90" s="21"/>
      <c r="D90" s="22"/>
      <c r="E90" s="23"/>
      <c r="F90" s="23"/>
      <c r="G90" s="24"/>
      <c r="H90" s="24"/>
      <c r="I90" s="24"/>
      <c r="J90" s="23"/>
      <c r="K90" s="25" t="str">
        <f>IF($J90="","",IFERROR(INDEX(Stammdaten!$F$34:$F$41,MATCH($J90,Stammdaten!$B$34:$B$41,0)),""))</f>
        <v/>
      </c>
      <c r="L90" s="26"/>
      <c r="M90" s="27" t="str">
        <f t="shared" si="6"/>
        <v/>
      </c>
      <c r="N90" s="28"/>
      <c r="O90" s="29"/>
      <c r="P90" s="30" t="str">
        <f t="shared" si="7"/>
        <v/>
      </c>
      <c r="Q90" s="28"/>
      <c r="R90" s="31"/>
      <c r="S90" s="24"/>
      <c r="T90" s="28"/>
      <c r="U90" s="32" t="str">
        <f>IF($D90="","",IF($Q90&lt;&gt;"Ja","–",IFERROR(INDEX(Stammdaten!$H$34:$H$41,MATCH($J90,Stammdaten!$B$34:$B$41,0)),"–")))</f>
        <v/>
      </c>
      <c r="V90" s="33"/>
      <c r="W90" s="34" t="str">
        <f t="shared" si="8"/>
        <v/>
      </c>
    </row>
    <row r="91" spans="2:23" ht="15" customHeight="1" x14ac:dyDescent="0.25">
      <c r="B91" s="20" t="str">
        <f>IF($D91="","",COUNTA($D$18:$D91))</f>
        <v/>
      </c>
      <c r="C91" s="21"/>
      <c r="D91" s="22"/>
      <c r="E91" s="23"/>
      <c r="F91" s="23"/>
      <c r="G91" s="24"/>
      <c r="H91" s="24"/>
      <c r="I91" s="24"/>
      <c r="J91" s="23"/>
      <c r="K91" s="25" t="str">
        <f>IF($J91="","",IFERROR(INDEX(Stammdaten!$F$34:$F$41,MATCH($J91,Stammdaten!$B$34:$B$41,0)),""))</f>
        <v/>
      </c>
      <c r="L91" s="26"/>
      <c r="M91" s="27" t="str">
        <f t="shared" si="6"/>
        <v/>
      </c>
      <c r="N91" s="28"/>
      <c r="O91" s="29"/>
      <c r="P91" s="30" t="str">
        <f t="shared" si="7"/>
        <v/>
      </c>
      <c r="Q91" s="28"/>
      <c r="R91" s="31"/>
      <c r="S91" s="24"/>
      <c r="T91" s="28"/>
      <c r="U91" s="32" t="str">
        <f>IF($D91="","",IF($Q91&lt;&gt;"Ja","–",IFERROR(INDEX(Stammdaten!$H$34:$H$41,MATCH($J91,Stammdaten!$B$34:$B$41,0)),"–")))</f>
        <v/>
      </c>
      <c r="V91" s="33"/>
      <c r="W91" s="34" t="str">
        <f t="shared" si="8"/>
        <v/>
      </c>
    </row>
    <row r="92" spans="2:23" ht="15" customHeight="1" x14ac:dyDescent="0.25">
      <c r="B92" s="20" t="str">
        <f>IF($D92="","",COUNTA($D$18:$D92))</f>
        <v/>
      </c>
      <c r="C92" s="21"/>
      <c r="D92" s="22"/>
      <c r="E92" s="23"/>
      <c r="F92" s="23"/>
      <c r="G92" s="24"/>
      <c r="H92" s="24"/>
      <c r="I92" s="24"/>
      <c r="J92" s="23"/>
      <c r="K92" s="25" t="str">
        <f>IF($J92="","",IFERROR(INDEX(Stammdaten!$F$34:$F$41,MATCH($J92,Stammdaten!$B$34:$B$41,0)),""))</f>
        <v/>
      </c>
      <c r="L92" s="26"/>
      <c r="M92" s="27" t="str">
        <f t="shared" si="6"/>
        <v/>
      </c>
      <c r="N92" s="28"/>
      <c r="O92" s="29"/>
      <c r="P92" s="30" t="str">
        <f t="shared" si="7"/>
        <v/>
      </c>
      <c r="Q92" s="28"/>
      <c r="R92" s="31"/>
      <c r="S92" s="24"/>
      <c r="T92" s="28"/>
      <c r="U92" s="32" t="str">
        <f>IF($D92="","",IF($Q92&lt;&gt;"Ja","–",IFERROR(INDEX(Stammdaten!$H$34:$H$41,MATCH($J92,Stammdaten!$B$34:$B$41,0)),"–")))</f>
        <v/>
      </c>
      <c r="V92" s="33"/>
      <c r="W92" s="34" t="str">
        <f t="shared" si="8"/>
        <v/>
      </c>
    </row>
    <row r="93" spans="2:23" ht="15" customHeight="1" x14ac:dyDescent="0.25">
      <c r="B93" s="20" t="str">
        <f>IF($D93="","",COUNTA($D$18:$D93))</f>
        <v/>
      </c>
      <c r="C93" s="21"/>
      <c r="D93" s="22"/>
      <c r="E93" s="23"/>
      <c r="F93" s="23"/>
      <c r="G93" s="24"/>
      <c r="H93" s="24"/>
      <c r="I93" s="24"/>
      <c r="J93" s="23"/>
      <c r="K93" s="25" t="str">
        <f>IF($J93="","",IFERROR(INDEX(Stammdaten!$F$34:$F$41,MATCH($J93,Stammdaten!$B$34:$B$41,0)),""))</f>
        <v/>
      </c>
      <c r="L93" s="26"/>
      <c r="M93" s="27" t="str">
        <f t="shared" si="6"/>
        <v/>
      </c>
      <c r="N93" s="28"/>
      <c r="O93" s="29"/>
      <c r="P93" s="30" t="str">
        <f t="shared" si="7"/>
        <v/>
      </c>
      <c r="Q93" s="28"/>
      <c r="R93" s="31"/>
      <c r="S93" s="24"/>
      <c r="T93" s="28"/>
      <c r="U93" s="32" t="str">
        <f>IF($D93="","",IF($Q93&lt;&gt;"Ja","–",IFERROR(INDEX(Stammdaten!$H$34:$H$41,MATCH($J93,Stammdaten!$B$34:$B$41,0)),"–")))</f>
        <v/>
      </c>
      <c r="V93" s="33"/>
      <c r="W93" s="34" t="str">
        <f t="shared" si="8"/>
        <v/>
      </c>
    </row>
    <row r="94" spans="2:23" ht="15" customHeight="1" x14ac:dyDescent="0.25">
      <c r="B94" s="20" t="str">
        <f>IF($D94="","",COUNTA($D$18:$D94))</f>
        <v/>
      </c>
      <c r="C94" s="21"/>
      <c r="D94" s="22"/>
      <c r="E94" s="23"/>
      <c r="F94" s="23"/>
      <c r="G94" s="24"/>
      <c r="H94" s="24"/>
      <c r="I94" s="24"/>
      <c r="J94" s="23"/>
      <c r="K94" s="25" t="str">
        <f>IF($J94="","",IFERROR(INDEX(Stammdaten!$F$34:$F$41,MATCH($J94,Stammdaten!$B$34:$B$41,0)),""))</f>
        <v/>
      </c>
      <c r="L94" s="26"/>
      <c r="M94" s="27" t="str">
        <f t="shared" si="6"/>
        <v/>
      </c>
      <c r="N94" s="28"/>
      <c r="O94" s="29"/>
      <c r="P94" s="30" t="str">
        <f t="shared" si="7"/>
        <v/>
      </c>
      <c r="Q94" s="28"/>
      <c r="R94" s="31"/>
      <c r="S94" s="24"/>
      <c r="T94" s="28"/>
      <c r="U94" s="32" t="str">
        <f>IF($D94="","",IF($Q94&lt;&gt;"Ja","–",IFERROR(INDEX(Stammdaten!$H$34:$H$41,MATCH($J94,Stammdaten!$B$34:$B$41,0)),"–")))</f>
        <v/>
      </c>
      <c r="V94" s="33"/>
      <c r="W94" s="34" t="str">
        <f t="shared" si="8"/>
        <v/>
      </c>
    </row>
    <row r="95" spans="2:23" ht="15" customHeight="1" x14ac:dyDescent="0.25">
      <c r="B95" s="20" t="str">
        <f>IF($D95="","",COUNTA($D$18:$D95))</f>
        <v/>
      </c>
      <c r="C95" s="21"/>
      <c r="D95" s="22"/>
      <c r="E95" s="23"/>
      <c r="F95" s="23"/>
      <c r="G95" s="24"/>
      <c r="H95" s="24"/>
      <c r="I95" s="24"/>
      <c r="J95" s="23"/>
      <c r="K95" s="25" t="str">
        <f>IF($J95="","",IFERROR(INDEX(Stammdaten!$F$34:$F$41,MATCH($J95,Stammdaten!$B$34:$B$41,0)),""))</f>
        <v/>
      </c>
      <c r="L95" s="26"/>
      <c r="M95" s="27" t="str">
        <f t="shared" si="6"/>
        <v/>
      </c>
      <c r="N95" s="28"/>
      <c r="O95" s="29"/>
      <c r="P95" s="30" t="str">
        <f t="shared" si="7"/>
        <v/>
      </c>
      <c r="Q95" s="28"/>
      <c r="R95" s="31"/>
      <c r="S95" s="24"/>
      <c r="T95" s="28"/>
      <c r="U95" s="32" t="str">
        <f>IF($D95="","",IF($Q95&lt;&gt;"Ja","–",IFERROR(INDEX(Stammdaten!$H$34:$H$41,MATCH($J95,Stammdaten!$B$34:$B$41,0)),"–")))</f>
        <v/>
      </c>
      <c r="V95" s="33"/>
      <c r="W95" s="34" t="str">
        <f t="shared" si="8"/>
        <v/>
      </c>
    </row>
    <row r="96" spans="2:23" ht="15" customHeight="1" x14ac:dyDescent="0.25">
      <c r="B96" s="20" t="str">
        <f>IF($D96="","",COUNTA($D$18:$D96))</f>
        <v/>
      </c>
      <c r="C96" s="21"/>
      <c r="D96" s="22"/>
      <c r="E96" s="23"/>
      <c r="F96" s="23"/>
      <c r="G96" s="24"/>
      <c r="H96" s="24"/>
      <c r="I96" s="24"/>
      <c r="J96" s="23"/>
      <c r="K96" s="25" t="str">
        <f>IF($J96="","",IFERROR(INDEX(Stammdaten!$F$34:$F$41,MATCH($J96,Stammdaten!$B$34:$B$41,0)),""))</f>
        <v/>
      </c>
      <c r="L96" s="26"/>
      <c r="M96" s="27" t="str">
        <f t="shared" si="6"/>
        <v/>
      </c>
      <c r="N96" s="28"/>
      <c r="O96" s="29"/>
      <c r="P96" s="30" t="str">
        <f t="shared" si="7"/>
        <v/>
      </c>
      <c r="Q96" s="28"/>
      <c r="R96" s="31"/>
      <c r="S96" s="24"/>
      <c r="T96" s="28"/>
      <c r="U96" s="32" t="str">
        <f>IF($D96="","",IF($Q96&lt;&gt;"Ja","–",IFERROR(INDEX(Stammdaten!$H$34:$H$41,MATCH($J96,Stammdaten!$B$34:$B$41,0)),"–")))</f>
        <v/>
      </c>
      <c r="V96" s="33"/>
      <c r="W96" s="34" t="str">
        <f t="shared" si="8"/>
        <v/>
      </c>
    </row>
    <row r="97" spans="2:23" ht="15" customHeight="1" x14ac:dyDescent="0.25">
      <c r="B97" s="20" t="str">
        <f>IF($D97="","",COUNTA($D$18:$D97))</f>
        <v/>
      </c>
      <c r="C97" s="21"/>
      <c r="D97" s="22"/>
      <c r="E97" s="23"/>
      <c r="F97" s="23"/>
      <c r="G97" s="24"/>
      <c r="H97" s="24"/>
      <c r="I97" s="24"/>
      <c r="J97" s="23"/>
      <c r="K97" s="25" t="str">
        <f>IF($J97="","",IFERROR(INDEX(Stammdaten!$F$34:$F$41,MATCH($J97,Stammdaten!$B$34:$B$41,0)),""))</f>
        <v/>
      </c>
      <c r="L97" s="26"/>
      <c r="M97" s="27" t="str">
        <f t="shared" si="6"/>
        <v/>
      </c>
      <c r="N97" s="28"/>
      <c r="O97" s="29"/>
      <c r="P97" s="30" t="str">
        <f t="shared" si="7"/>
        <v/>
      </c>
      <c r="Q97" s="28"/>
      <c r="R97" s="31"/>
      <c r="S97" s="24"/>
      <c r="T97" s="28"/>
      <c r="U97" s="32" t="str">
        <f>IF($D97="","",IF($Q97&lt;&gt;"Ja","–",IFERROR(INDEX(Stammdaten!$H$34:$H$41,MATCH($J97,Stammdaten!$B$34:$B$41,0)),"–")))</f>
        <v/>
      </c>
      <c r="V97" s="33"/>
      <c r="W97" s="34" t="str">
        <f t="shared" si="8"/>
        <v/>
      </c>
    </row>
    <row r="98" spans="2:23" ht="19.5" customHeight="1" x14ac:dyDescent="0.25">
      <c r="B98" s="84" t="s">
        <v>298</v>
      </c>
      <c r="C98" s="84"/>
      <c r="D98" s="84"/>
      <c r="E98" s="35"/>
      <c r="F98" s="36">
        <f>COUNTA($D$18:$D$97)</f>
        <v>47</v>
      </c>
      <c r="G98" s="35"/>
      <c r="H98" s="35"/>
      <c r="I98" s="35"/>
      <c r="J98" s="35"/>
      <c r="K98" s="37">
        <f>IFERROR(AVERAGE($K$18:$K$97),0)</f>
        <v>371.93829787234046</v>
      </c>
      <c r="L98" s="35"/>
      <c r="M98" s="38">
        <f>SUM($M$18:$M$97)</f>
        <v>14360.920000000006</v>
      </c>
      <c r="N98" s="35"/>
      <c r="O98" s="35"/>
      <c r="P98" s="35"/>
      <c r="Q98" s="39">
        <f>COUNTIF(Q18:Q97,"Ja")</f>
        <v>36</v>
      </c>
      <c r="R98" s="35"/>
      <c r="S98" s="35"/>
      <c r="T98" s="35"/>
      <c r="U98" s="40">
        <f>COUNTIF($U$18:$U$97,"Ja")</f>
        <v>33</v>
      </c>
      <c r="V98" s="35"/>
      <c r="W98" s="41">
        <f ca="1">SUMPRODUCT(($W$18:$W$97&lt;&gt;"")*($W$18:$W$97&lt;&gt;"OK"))</f>
        <v>10</v>
      </c>
    </row>
    <row r="100" spans="2:23" ht="6" customHeight="1" x14ac:dyDescent="0.25"/>
    <row r="101" spans="2:23" ht="15.75" customHeight="1" x14ac:dyDescent="0.25">
      <c r="B101" s="85" t="s">
        <v>63</v>
      </c>
      <c r="C101" s="85"/>
      <c r="D101" s="86" t="s">
        <v>252</v>
      </c>
      <c r="E101" s="86"/>
      <c r="F101" s="87" t="s">
        <v>270</v>
      </c>
      <c r="G101" s="87"/>
      <c r="H101" s="88" t="s">
        <v>299</v>
      </c>
      <c r="I101" s="88"/>
      <c r="J101" s="89" t="s">
        <v>300</v>
      </c>
      <c r="K101" s="89"/>
      <c r="L101" s="90" t="s">
        <v>301</v>
      </c>
      <c r="M101" s="90"/>
      <c r="P101" s="91" t="s">
        <v>302</v>
      </c>
      <c r="Q101" s="91"/>
      <c r="R101" s="91"/>
      <c r="S101" s="91"/>
      <c r="T101" s="91"/>
      <c r="U101" s="91"/>
      <c r="V101" s="91"/>
      <c r="W101" s="91"/>
    </row>
  </sheetData>
  <autoFilter ref="B17:W97" xr:uid="{00000000-0009-0000-0000-000000000000}"/>
  <mergeCells count="57">
    <mergeCell ref="C16:L16"/>
    <mergeCell ref="M16:W16"/>
    <mergeCell ref="B98:D98"/>
    <mergeCell ref="B101:C101"/>
    <mergeCell ref="D101:E101"/>
    <mergeCell ref="F101:G101"/>
    <mergeCell ref="H101:I101"/>
    <mergeCell ref="J101:K101"/>
    <mergeCell ref="L101:M101"/>
    <mergeCell ref="P101:W101"/>
    <mergeCell ref="R13:U13"/>
    <mergeCell ref="V13:W13"/>
    <mergeCell ref="B14:E14"/>
    <mergeCell ref="F14:G14"/>
    <mergeCell ref="H14:I14"/>
    <mergeCell ref="J14:M14"/>
    <mergeCell ref="N14:Q14"/>
    <mergeCell ref="R14:U14"/>
    <mergeCell ref="V14:W14"/>
    <mergeCell ref="B13:E13"/>
    <mergeCell ref="F13:G13"/>
    <mergeCell ref="H13:I13"/>
    <mergeCell ref="J13:M13"/>
    <mergeCell ref="N13:Q13"/>
    <mergeCell ref="C11:L11"/>
    <mergeCell ref="M11:W11"/>
    <mergeCell ref="B12:E12"/>
    <mergeCell ref="F12:G12"/>
    <mergeCell ref="H12:I12"/>
    <mergeCell ref="J12:M12"/>
    <mergeCell ref="N12:Q12"/>
    <mergeCell ref="R12:U12"/>
    <mergeCell ref="V12:W12"/>
    <mergeCell ref="N7:O7"/>
    <mergeCell ref="P7:S7"/>
    <mergeCell ref="T7:U7"/>
    <mergeCell ref="V7:W7"/>
    <mergeCell ref="B8:C8"/>
    <mergeCell ref="D8:E8"/>
    <mergeCell ref="G8:H8"/>
    <mergeCell ref="I8:J8"/>
    <mergeCell ref="K8:M8"/>
    <mergeCell ref="N8:O8"/>
    <mergeCell ref="P8:S8"/>
    <mergeCell ref="T8:U8"/>
    <mergeCell ref="V8:W8"/>
    <mergeCell ref="B7:C7"/>
    <mergeCell ref="D7:E7"/>
    <mergeCell ref="G7:H7"/>
    <mergeCell ref="I7:J7"/>
    <mergeCell ref="K7:M7"/>
    <mergeCell ref="B2:M2"/>
    <mergeCell ref="N2:W2"/>
    <mergeCell ref="B3:M3"/>
    <mergeCell ref="N3:W3"/>
    <mergeCell ref="C6:L6"/>
    <mergeCell ref="M6:W6"/>
  </mergeCells>
  <conditionalFormatting sqref="C18:C97">
    <cfRule type="expression" dxfId="27" priority="18">
      <formula>IF($C18="",0,IF($C18&gt;Anmeldeschluss,1,0))</formula>
    </cfRule>
  </conditionalFormatting>
  <conditionalFormatting sqref="H18:H97">
    <cfRule type="expression" dxfId="26" priority="17">
      <formula>IF($H18="",0,IF(COUNTIF($H$18:$H$97,$H18)&gt;1,1,0))</formula>
    </cfRule>
  </conditionalFormatting>
  <conditionalFormatting sqref="M18:M97">
    <cfRule type="dataBar" priority="19">
      <dataBar>
        <cfvo type="num" val="0"/>
        <cfvo type="max"/>
        <color rgb="FF5D7E99"/>
      </dataBar>
      <extLst>
        <ext xmlns:x14="http://schemas.microsoft.com/office/spreadsheetml/2009/9/main" uri="{B025F937-C7B1-47D3-B67F-A62EFF666E3E}">
          <x14:id>{BF8715A6-CB9C-41AA-941D-32E0333E4E56}</x14:id>
        </ext>
      </extLst>
    </cfRule>
  </conditionalFormatting>
  <conditionalFormatting sqref="N18:N97">
    <cfRule type="cellIs" dxfId="25" priority="7" operator="equal">
      <formula>"Bezahlt"</formula>
    </cfRule>
    <cfRule type="cellIs" dxfId="24" priority="8" operator="equal">
      <formula>"Offen"</formula>
    </cfRule>
    <cfRule type="cellIs" dxfId="23" priority="9" operator="equal">
      <formula>"Erstattet"</formula>
    </cfRule>
    <cfRule type="cellIs" dxfId="22" priority="10" operator="equal">
      <formula>"Entfällt"</formula>
    </cfRule>
  </conditionalFormatting>
  <conditionalFormatting sqref="O18:O97">
    <cfRule type="cellIs" dxfId="21" priority="2" operator="equal">
      <formula>"Bestätigt"</formula>
    </cfRule>
    <cfRule type="cellIs" dxfId="20" priority="3" operator="equal">
      <formula>"Angemeldet"</formula>
    </cfRule>
    <cfRule type="cellIs" dxfId="19" priority="4" operator="equal">
      <formula>"Warteliste"</formula>
    </cfRule>
    <cfRule type="cellIs" dxfId="18" priority="5" operator="equal">
      <formula>"Abgesagt"</formula>
    </cfRule>
    <cfRule type="cellIs" dxfId="17" priority="6" operator="equal">
      <formula>"Storniert"</formula>
    </cfRule>
  </conditionalFormatting>
  <conditionalFormatting sqref="Q18:Q97">
    <cfRule type="cellIs" dxfId="16" priority="11" operator="equal">
      <formula>"Ja"</formula>
    </cfRule>
    <cfRule type="cellIs" dxfId="15" priority="12" operator="equal">
      <formula>"Nein"</formula>
    </cfRule>
  </conditionalFormatting>
  <conditionalFormatting sqref="T18:T97">
    <cfRule type="cellIs" dxfId="14" priority="13" operator="equal">
      <formula>"Nein"</formula>
    </cfRule>
  </conditionalFormatting>
  <conditionalFormatting sqref="U18:U97">
    <cfRule type="cellIs" dxfId="13" priority="14" operator="equal">
      <formula>"Ja"</formula>
    </cfRule>
  </conditionalFormatting>
  <conditionalFormatting sqref="W18:W97">
    <cfRule type="expression" dxfId="12" priority="15">
      <formula>$W18="OK"</formula>
    </cfRule>
    <cfRule type="expression" dxfId="11" priority="16">
      <formula>IF($W18="",0,IF($W18="OK",0,1))</formula>
    </cfRule>
  </conditionalFormatting>
  <dataValidations count="7">
    <dataValidation type="list" allowBlank="1" showErrorMessage="1" sqref="O18:O97" xr:uid="{00000000-0002-0000-0000-000000000000}">
      <formula1>L_Status</formula1>
      <formula2>0</formula2>
    </dataValidation>
    <dataValidation type="list" allowBlank="1" showErrorMessage="1" sqref="N18:N97" xr:uid="{00000000-0002-0000-0000-000001000000}">
      <formula1>L_Zahlung</formula1>
      <formula2>0</formula2>
    </dataValidation>
    <dataValidation type="list" allowBlank="1" showErrorMessage="1" sqref="S18:S97" xr:uid="{00000000-0002-0000-0000-000002000000}">
      <formula1>L_Verpflegung</formula1>
      <formula2>0</formula2>
    </dataValidation>
    <dataValidation type="list" allowBlank="1" showErrorMessage="1" sqref="Q18:Q97 T18:T97" xr:uid="{00000000-0002-0000-0000-000003000000}">
      <formula1>L_JaNein</formula1>
      <formula2>0</formula2>
    </dataValidation>
    <dataValidation type="list" allowBlank="1" showErrorMessage="1" sqref="J18:J97" xr:uid="{00000000-0002-0000-0000-000005000000}">
      <formula1>T_Tarif</formula1>
      <formula2>0</formula2>
    </dataValidation>
    <dataValidation type="list" allowBlank="1" sqref="F18:F97" xr:uid="{00000000-0002-0000-0000-000006000000}">
      <formula1>O_Organisation</formula1>
      <formula2>0</formula2>
    </dataValidation>
    <dataValidation type="decimal" allowBlank="1" showErrorMessage="1" errorTitle="Rabatt" error="Bitte einen Wert zwischen 0% und 100% eingeben." sqref="L18:L97" xr:uid="{00000000-0002-0000-0000-000007000000}">
      <formula1>0</formula1>
      <formula2>1</formula2>
    </dataValidation>
  </dataValidations>
  <pageMargins left="0.75" right="0.75" top="1" bottom="1" header="0.511811023622047" footer="0.511811023622047"/>
  <pageSetup paperSize="8" fitToHeight="3" orientation="landscape" horizontalDpi="300" verticalDpi="300"/>
  <extLst>
    <ext xmlns:x14="http://schemas.microsoft.com/office/spreadsheetml/2009/9/main" uri="{78C0D931-6437-407d-A8EE-F0AAD7539E65}">
      <x14:conditionalFormattings>
        <x14:conditionalFormatting xmlns:xm="http://schemas.microsoft.com/office/excel/2006/main">
          <x14:cfRule type="dataBar" id="{BF8715A6-CB9C-41AA-941D-32E0333E4E56}">
            <x14:dataBar axisPosition="none">
              <x14:cfvo type="num">
                <xm:f>0</xm:f>
              </x14:cfvo>
              <x14:cfvo type="max"/>
              <x14:negativeFillColor rgb="FF5D7E99"/>
            </x14:dataBar>
          </x14:cfRule>
          <xm:sqref>M18:M97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N12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baseColWidth="10" defaultColWidth="8.7109375" defaultRowHeight="15" x14ac:dyDescent="0.25"/>
  <cols>
    <col min="1" max="1" width="1.5703125" customWidth="1"/>
    <col min="2" max="2" width="4.42578125" customWidth="1"/>
    <col min="3" max="3" width="26" customWidth="1"/>
    <col min="4" max="13" width="12" customWidth="1"/>
    <col min="14" max="14" width="14" customWidth="1"/>
  </cols>
  <sheetData>
    <row r="2" spans="2:14" ht="30" customHeight="1" x14ac:dyDescent="0.25">
      <c r="B2" s="14" t="s">
        <v>303</v>
      </c>
      <c r="C2" s="14"/>
      <c r="D2" s="14"/>
      <c r="E2" s="14"/>
      <c r="F2" s="14"/>
      <c r="G2" s="14"/>
      <c r="H2" s="14"/>
      <c r="I2" s="13" t="str">
        <f>Stammdaten!$D$12</f>
        <v>Fachtagung 2026</v>
      </c>
      <c r="J2" s="13"/>
      <c r="K2" s="13"/>
      <c r="L2" s="13"/>
      <c r="M2" s="13"/>
      <c r="N2" s="13"/>
    </row>
    <row r="3" spans="2:14" ht="18.75" customHeight="1" x14ac:dyDescent="0.25">
      <c r="B3" s="12" t="s">
        <v>304</v>
      </c>
      <c r="C3" s="12"/>
      <c r="D3" s="12"/>
      <c r="E3" s="12"/>
      <c r="F3" s="12"/>
      <c r="G3" s="12"/>
      <c r="H3" s="12"/>
      <c r="I3" s="11" t="str">
        <f>Stammdaten!$D$16</f>
        <v>Tagungszentrum Nordpark, Musterstadt</v>
      </c>
      <c r="J3" s="11"/>
      <c r="K3" s="11"/>
      <c r="L3" s="11"/>
      <c r="M3" s="11"/>
      <c r="N3" s="11"/>
    </row>
    <row r="4" spans="2:14" ht="6" customHeight="1" x14ac:dyDescent="0.25">
      <c r="B4" s="15"/>
      <c r="C4" s="16"/>
      <c r="D4" s="15"/>
      <c r="E4" s="16"/>
      <c r="F4" s="15"/>
      <c r="G4" s="16"/>
      <c r="H4" s="15"/>
      <c r="I4" s="16"/>
      <c r="J4" s="15"/>
      <c r="K4" s="16"/>
      <c r="L4" s="15"/>
      <c r="M4" s="16"/>
      <c r="N4" s="15"/>
    </row>
    <row r="6" spans="2:14" ht="19.5" customHeight="1" x14ac:dyDescent="0.25">
      <c r="B6" s="17" t="s">
        <v>1</v>
      </c>
      <c r="C6" s="10" t="s">
        <v>305</v>
      </c>
      <c r="D6" s="10"/>
      <c r="E6" s="10"/>
      <c r="F6" s="10"/>
      <c r="G6" s="10"/>
      <c r="H6" s="10"/>
      <c r="I6" s="9" t="s">
        <v>306</v>
      </c>
      <c r="J6" s="9"/>
      <c r="K6" s="9"/>
      <c r="L6" s="9"/>
      <c r="M6" s="9"/>
      <c r="N6" s="9"/>
    </row>
    <row r="7" spans="2:14" ht="13.5" customHeight="1" x14ac:dyDescent="0.25">
      <c r="B7" s="4" t="s">
        <v>307</v>
      </c>
      <c r="C7" s="4"/>
      <c r="D7" s="4" t="s">
        <v>18</v>
      </c>
      <c r="E7" s="4"/>
      <c r="F7" s="4" t="s">
        <v>20</v>
      </c>
      <c r="G7" s="4"/>
      <c r="H7" s="4" t="s">
        <v>22</v>
      </c>
      <c r="I7" s="4"/>
      <c r="J7" s="4" t="s">
        <v>308</v>
      </c>
      <c r="K7" s="4"/>
      <c r="L7" s="4" t="s">
        <v>309</v>
      </c>
      <c r="M7" s="4"/>
      <c r="N7" s="4"/>
    </row>
    <row r="8" spans="2:14" ht="21.75" customHeight="1" x14ac:dyDescent="0.25">
      <c r="B8" s="3">
        <f>COUNTA(Teilnehmerliste!$D$18:$D$97)</f>
        <v>47</v>
      </c>
      <c r="C8" s="3"/>
      <c r="D8" s="2">
        <f>COUNTIF(Teilnehmerliste!$O$18:$O$97,"Bestätigt")+COUNTIF(Teilnehmerliste!$O$18:$O$97,"Angemeldet")</f>
        <v>40</v>
      </c>
      <c r="E8" s="2"/>
      <c r="F8" s="76">
        <f>IFERROR((COUNTIF(Teilnehmerliste!$O$18:$O$97,"Bestätigt")+COUNTIF(Teilnehmerliste!$O$18:$O$97,"Angemeldet"))/Kapazitaet,0)</f>
        <v>1</v>
      </c>
      <c r="G8" s="76"/>
      <c r="H8" s="92">
        <f>IFERROR(COUNTIF(Teilnehmerliste!$Q$18:$Q$97,"Ja")/(COUNTIF(Teilnehmerliste!$O$18:$O$97,"Bestätigt")+COUNTIF(Teilnehmerliste!$O$18:$O$97,"Angemeldet")),0)</f>
        <v>0.9</v>
      </c>
      <c r="I8" s="92"/>
      <c r="J8" s="93">
        <f>IFERROR(1-COUNTIF(Teilnehmerliste!$Q$18:$Q$97,"Ja")/(COUNTIF(Teilnehmerliste!$O$18:$O$97,"Bestätigt")+COUNTIF(Teilnehmerliste!$O$18:$O$97,"Angemeldet")),0)</f>
        <v>9.9999999999999978E-2</v>
      </c>
      <c r="K8" s="93"/>
      <c r="L8" s="94">
        <f>SUM(Teilnehmerliste!$M$18:$M$97)</f>
        <v>14360.920000000006</v>
      </c>
      <c r="M8" s="94"/>
      <c r="N8" s="94"/>
    </row>
    <row r="9" spans="2:14" ht="12.75" customHeight="1" x14ac:dyDescent="0.25">
      <c r="B9" s="79" t="s">
        <v>310</v>
      </c>
      <c r="C9" s="79"/>
      <c r="D9" s="80" t="s">
        <v>25</v>
      </c>
      <c r="E9" s="80"/>
      <c r="F9" s="80" t="s">
        <v>311</v>
      </c>
      <c r="G9" s="80"/>
      <c r="H9" s="81" t="s">
        <v>312</v>
      </c>
      <c r="I9" s="81"/>
      <c r="J9" s="83" t="s">
        <v>313</v>
      </c>
      <c r="K9" s="83"/>
      <c r="L9" s="95" t="s">
        <v>314</v>
      </c>
      <c r="M9" s="95"/>
      <c r="N9" s="95"/>
    </row>
    <row r="11" spans="2:14" ht="19.5" customHeight="1" x14ac:dyDescent="0.25">
      <c r="B11" s="17" t="s">
        <v>14</v>
      </c>
      <c r="C11" s="10" t="s">
        <v>315</v>
      </c>
      <c r="D11" s="10"/>
      <c r="E11" s="10"/>
      <c r="F11" s="10"/>
      <c r="G11" s="10"/>
      <c r="H11" s="10"/>
      <c r="I11" s="9" t="s">
        <v>316</v>
      </c>
      <c r="J11" s="9"/>
      <c r="K11" s="9"/>
      <c r="L11" s="9"/>
      <c r="M11" s="9"/>
      <c r="N11" s="9"/>
    </row>
    <row r="12" spans="2:14" ht="25.5" customHeight="1" x14ac:dyDescent="0.25">
      <c r="C12" s="19" t="s">
        <v>317</v>
      </c>
      <c r="D12" s="19" t="s">
        <v>318</v>
      </c>
      <c r="E12" s="19" t="s">
        <v>319</v>
      </c>
      <c r="F12" s="19" t="s">
        <v>45</v>
      </c>
      <c r="G12" s="96" t="s">
        <v>320</v>
      </c>
      <c r="H12" s="96"/>
      <c r="I12" s="96"/>
      <c r="J12" s="96" t="s">
        <v>321</v>
      </c>
      <c r="K12" s="96"/>
      <c r="L12" s="96" t="s">
        <v>322</v>
      </c>
      <c r="M12" s="96"/>
      <c r="N12" s="96"/>
    </row>
    <row r="13" spans="2:14" ht="15.75" customHeight="1" x14ac:dyDescent="0.25">
      <c r="C13" s="48" t="s">
        <v>252</v>
      </c>
      <c r="D13" s="49">
        <f>COUNTIF(Teilnehmerliste!$O$18:$O$97,"Angemeldet")</f>
        <v>4</v>
      </c>
      <c r="E13" s="50">
        <f>IFERROR(D13/$D$18,0)</f>
        <v>8.5106382978723402E-2</v>
      </c>
      <c r="F13" s="51">
        <f>SUMIF(Teilnehmerliste!$O$18:$O$97,"Angemeldet",Teilnehmerliste!$M$18:$M$97)</f>
        <v>1309</v>
      </c>
      <c r="G13" s="97" t="str">
        <f>IF(D13=0,"–","Bestätigung noch offen")</f>
        <v>Bestätigung noch offen</v>
      </c>
      <c r="H13" s="97"/>
      <c r="I13" s="97"/>
      <c r="J13" s="98" t="s">
        <v>323</v>
      </c>
      <c r="K13" s="98"/>
      <c r="L13" s="99">
        <f>Kapazitaet</f>
        <v>40</v>
      </c>
      <c r="M13" s="99"/>
      <c r="N13" s="99"/>
    </row>
    <row r="14" spans="2:14" ht="15.75" customHeight="1" x14ac:dyDescent="0.25">
      <c r="C14" s="48" t="s">
        <v>63</v>
      </c>
      <c r="D14" s="49">
        <f>COUNTIF(Teilnehmerliste!$O$18:$O$97,"Bestätigt")</f>
        <v>36</v>
      </c>
      <c r="E14" s="50">
        <f>IFERROR(D14/$D$18,0)</f>
        <v>0.76595744680851063</v>
      </c>
      <c r="F14" s="51">
        <f>SUMIF(Teilnehmerliste!$O$18:$O$97,"Bestätigt",Teilnehmerliste!$M$18:$M$97)</f>
        <v>13051.920000000006</v>
      </c>
      <c r="G14" s="97" t="str">
        <f>IF(D14&gt;=Mindestteilnehmer,"Mindestteilnehmerzahl erreicht","unter Mindestteilnehmerzahl")</f>
        <v>Mindestteilnehmerzahl erreicht</v>
      </c>
      <c r="H14" s="97"/>
      <c r="I14" s="97"/>
      <c r="J14" s="98" t="s">
        <v>324</v>
      </c>
      <c r="K14" s="98"/>
      <c r="L14" s="99">
        <f>COUNTIF(Teilnehmerliste!$O$18:$O$97,"Bestätigt")+COUNTIF(Teilnehmerliste!$O$18:$O$97,"Angemeldet")</f>
        <v>40</v>
      </c>
      <c r="M14" s="99"/>
      <c r="N14" s="99"/>
    </row>
    <row r="15" spans="2:14" ht="15.75" customHeight="1" x14ac:dyDescent="0.25">
      <c r="C15" s="48" t="s">
        <v>270</v>
      </c>
      <c r="D15" s="49">
        <f>COUNTIF(Teilnehmerliste!$O$18:$O$97,"Warteliste")</f>
        <v>4</v>
      </c>
      <c r="E15" s="50">
        <f>IFERROR(D15/$D$18,0)</f>
        <v>8.5106382978723402E-2</v>
      </c>
      <c r="F15" s="51">
        <f>SUMIF(Teilnehmerliste!$O$18:$O$97,"Warteliste",Teilnehmerliste!$M$18:$M$97)</f>
        <v>0</v>
      </c>
      <c r="G15" s="97" t="str">
        <f>IF(D15=0,"keine Warteliste","Nachrücken bei Absagen möglich")</f>
        <v>Nachrücken bei Absagen möglich</v>
      </c>
      <c r="H15" s="97"/>
      <c r="I15" s="97"/>
      <c r="J15" s="98" t="s">
        <v>325</v>
      </c>
      <c r="K15" s="98"/>
      <c r="L15" s="99">
        <f>MAX(0,Kapazitaet-(COUNTIF(Teilnehmerliste!$O$18:$O$97,"Bestätigt")+COUNTIF(Teilnehmerliste!$O$18:$O$97,"Angemeldet")))</f>
        <v>0</v>
      </c>
      <c r="M15" s="99"/>
      <c r="N15" s="99"/>
    </row>
    <row r="16" spans="2:14" ht="15.75" customHeight="1" x14ac:dyDescent="0.25">
      <c r="C16" s="48" t="s">
        <v>288</v>
      </c>
      <c r="D16" s="49">
        <f>COUNTIF(Teilnehmerliste!$O$18:$O$97,"Abgesagt")</f>
        <v>2</v>
      </c>
      <c r="E16" s="50">
        <f>IFERROR(D16/$D$18,0)</f>
        <v>4.2553191489361701E-2</v>
      </c>
      <c r="F16" s="51">
        <f>SUMIF(Teilnehmerliste!$O$18:$O$97,"Abgesagt",Teilnehmerliste!$M$18:$M$97)</f>
        <v>0</v>
      </c>
      <c r="G16" s="97" t="str">
        <f>IF(D16=0,"–","Plätze wieder frei geworden")</f>
        <v>Plätze wieder frei geworden</v>
      </c>
      <c r="H16" s="97"/>
      <c r="I16" s="97"/>
      <c r="J16" s="98" t="s">
        <v>270</v>
      </c>
      <c r="K16" s="98"/>
      <c r="L16" s="100">
        <f>COUNTIF(Teilnehmerliste!$O$18:$O$97,"Warteliste")</f>
        <v>4</v>
      </c>
      <c r="M16" s="100"/>
      <c r="N16" s="100"/>
    </row>
    <row r="17" spans="2:14" ht="15.75" customHeight="1" x14ac:dyDescent="0.25">
      <c r="C17" s="48" t="s">
        <v>296</v>
      </c>
      <c r="D17" s="49">
        <f>COUNTIF(Teilnehmerliste!$O$18:$O$97,"Storniert")</f>
        <v>1</v>
      </c>
      <c r="E17" s="50">
        <f>IFERROR(D17/$D$18,0)</f>
        <v>2.1276595744680851E-2</v>
      </c>
      <c r="F17" s="51">
        <f>SUMIF(Teilnehmerliste!$O$18:$O$97,"Storniert",Teilnehmerliste!$M$18:$M$97)</f>
        <v>0</v>
      </c>
      <c r="G17" s="97" t="str">
        <f>IF(D17=0,"–","Stornoregelung anwenden")</f>
        <v>Stornoregelung anwenden</v>
      </c>
      <c r="H17" s="97"/>
      <c r="I17" s="97"/>
      <c r="J17" s="98" t="s">
        <v>326</v>
      </c>
      <c r="K17" s="98"/>
      <c r="L17" s="101">
        <f>IFERROR((COUNTIF(Teilnehmerliste!$O$18:$O$97,"Abgesagt")+COUNTIF(Teilnehmerliste!$O$18:$O$97,"Storniert"))/COUNTA(Teilnehmerliste!$D$18:$D$97),0)</f>
        <v>6.3829787234042548E-2</v>
      </c>
      <c r="M17" s="101"/>
      <c r="N17" s="101"/>
    </row>
    <row r="18" spans="2:14" ht="18" customHeight="1" x14ac:dyDescent="0.25">
      <c r="B18" s="52"/>
      <c r="C18" s="53" t="s">
        <v>298</v>
      </c>
      <c r="D18" s="54">
        <f>SUM(D13:D17)</f>
        <v>47</v>
      </c>
      <c r="E18" s="55">
        <f>SUM(E13:E17)</f>
        <v>1</v>
      </c>
      <c r="F18" s="56">
        <f>SUM(F13:F17)</f>
        <v>14360.920000000006</v>
      </c>
      <c r="G18" s="102" t="str">
        <f ca="1">COUNTIF(Teilnehmerliste!$W$18:$W$97,"OK")&amp;" von "&amp;COUNTA(Teilnehmerliste!$D$18:$D$97)&amp;" Einträgen ohne Prüfhinweis"</f>
        <v>37 von 47 Einträgen ohne Prüfhinweis</v>
      </c>
      <c r="H18" s="102"/>
      <c r="I18" s="102"/>
      <c r="J18" s="102"/>
      <c r="K18" s="102"/>
      <c r="L18" s="102"/>
      <c r="M18" s="102"/>
      <c r="N18" s="102"/>
    </row>
    <row r="20" spans="2:14" ht="19.5" customHeight="1" x14ac:dyDescent="0.25">
      <c r="B20" s="17" t="s">
        <v>31</v>
      </c>
      <c r="C20" s="10" t="s">
        <v>327</v>
      </c>
      <c r="D20" s="10"/>
      <c r="E20" s="10"/>
      <c r="F20" s="10"/>
      <c r="G20" s="10"/>
      <c r="H20" s="10"/>
      <c r="I20" s="9" t="s">
        <v>328</v>
      </c>
      <c r="J20" s="9"/>
      <c r="K20" s="9"/>
      <c r="L20" s="9"/>
      <c r="M20" s="9"/>
      <c r="N20" s="9"/>
    </row>
    <row r="21" spans="2:14" ht="25.5" customHeight="1" x14ac:dyDescent="0.25">
      <c r="C21" s="19" t="s">
        <v>329</v>
      </c>
      <c r="D21" s="96" t="s">
        <v>330</v>
      </c>
      <c r="E21" s="96"/>
      <c r="F21" s="96" t="s">
        <v>38</v>
      </c>
      <c r="G21" s="96"/>
      <c r="H21" s="19" t="s">
        <v>331</v>
      </c>
      <c r="I21" s="19" t="s">
        <v>42</v>
      </c>
      <c r="J21" s="96" t="s">
        <v>332</v>
      </c>
      <c r="K21" s="96"/>
      <c r="L21" s="96"/>
      <c r="M21" s="96"/>
      <c r="N21" s="96"/>
    </row>
    <row r="22" spans="2:14" ht="15.75" customHeight="1" x14ac:dyDescent="0.25">
      <c r="C22" s="57">
        <v>1</v>
      </c>
      <c r="D22" s="103" t="str">
        <f>IFERROR(INDEX(Teilnehmerliste!$D$18:$D$97,MATCH($C22,Teilnehmerliste!$P$18:$P$97,0))&amp;", "&amp;INDEX(Teilnehmerliste!$E$18:$E$97,MATCH($C22,Teilnehmerliste!$P$18:$P$97,0)),"–")</f>
        <v>Sievers, Nadja</v>
      </c>
      <c r="E22" s="103"/>
      <c r="F22" s="104" t="str">
        <f>IFERROR(INDEX(Teilnehmerliste!$F$18:$F$97,MATCH($C22,Teilnehmerliste!$P$18:$P$97,0)),"–")</f>
        <v>Nordlicht Systeme GmbH</v>
      </c>
      <c r="G22" s="104"/>
      <c r="H22" s="58">
        <f>IFERROR(INDEX(Teilnehmerliste!$C$18:$C$97,MATCH($C22,Teilnehmerliste!$P$18:$P$97,0)),"")</f>
        <v>46176</v>
      </c>
      <c r="I22" s="59" t="str">
        <f>IFERROR(INDEX(Teilnehmerliste!$J$18:$J$97,MATCH($C22,Teilnehmerliste!$P$18:$P$97,0)),"–")</f>
        <v>Standard</v>
      </c>
      <c r="J22" s="105" t="str">
        <f>IF($C22&gt;COUNTIF(Teilnehmerliste!$O$18:$O$97,"Warteliste"),"– kein Eintrag –",IF($C22&lt;=MAX(0,Kapazitaet-(COUNTIF(Teilnehmerliste!$O$18:$O$97,"Bestätigt")+COUNTIF(Teilnehmerliste!$O$18:$O$97,"Angemeldet"))),"Nachrücken möglich – Platz frei","Warten auf Absage"))</f>
        <v>Warten auf Absage</v>
      </c>
      <c r="K22" s="105"/>
      <c r="L22" s="105"/>
      <c r="M22" s="105"/>
      <c r="N22" s="105"/>
    </row>
    <row r="23" spans="2:14" ht="15.75" customHeight="1" x14ac:dyDescent="0.25">
      <c r="C23" s="57">
        <v>2</v>
      </c>
      <c r="D23" s="103" t="str">
        <f>IFERROR(INDEX(Teilnehmerliste!$D$18:$D$97,MATCH($C23,Teilnehmerliste!$P$18:$P$97,0))&amp;", "&amp;INDEX(Teilnehmerliste!$E$18:$E$97,MATCH($C23,Teilnehmerliste!$P$18:$P$97,0)),"–")</f>
        <v>Timm, Gregor</v>
      </c>
      <c r="E23" s="103"/>
      <c r="F23" s="104" t="str">
        <f>IFERROR(INDEX(Teilnehmerliste!$F$18:$F$97,MATCH($C23,Teilnehmerliste!$P$18:$P$97,0)),"–")</f>
        <v>Muster Stadtwerke AG</v>
      </c>
      <c r="G23" s="104"/>
      <c r="H23" s="58">
        <f>IFERROR(INDEX(Teilnehmerliste!$C$18:$C$97,MATCH($C23,Teilnehmerliste!$P$18:$P$97,0)),"")</f>
        <v>46178</v>
      </c>
      <c r="I23" s="59" t="str">
        <f>IFERROR(INDEX(Teilnehmerliste!$J$18:$J$97,MATCH($C23,Teilnehmerliste!$P$18:$P$97,0)),"–")</f>
        <v>Firmenkontingent</v>
      </c>
      <c r="J23" s="105" t="str">
        <f>IF($C23&gt;COUNTIF(Teilnehmerliste!$O$18:$O$97,"Warteliste"),"– kein Eintrag –",IF($C23&lt;=MAX(0,Kapazitaet-(COUNTIF(Teilnehmerliste!$O$18:$O$97,"Bestätigt")+COUNTIF(Teilnehmerliste!$O$18:$O$97,"Angemeldet"))),"Nachrücken möglich – Platz frei","Warten auf Absage"))</f>
        <v>Warten auf Absage</v>
      </c>
      <c r="K23" s="105"/>
      <c r="L23" s="105"/>
      <c r="M23" s="105"/>
      <c r="N23" s="105"/>
    </row>
    <row r="24" spans="2:14" ht="15.75" customHeight="1" x14ac:dyDescent="0.25">
      <c r="C24" s="57">
        <v>3</v>
      </c>
      <c r="D24" s="103" t="str">
        <f>IFERROR(INDEX(Teilnehmerliste!$D$18:$D$97,MATCH($C24,Teilnehmerliste!$P$18:$P$97,0))&amp;", "&amp;INDEX(Teilnehmerliste!$E$18:$E$97,MATCH($C24,Teilnehmerliste!$P$18:$P$97,0)),"–")</f>
        <v>Ulrich, Marie</v>
      </c>
      <c r="E24" s="103"/>
      <c r="F24" s="104" t="str">
        <f>IFERROR(INDEX(Teilnehmerliste!$F$18:$F$97,MATCH($C24,Teilnehmerliste!$P$18:$P$97,0)),"–")</f>
        <v>Werkstoff Technik AG</v>
      </c>
      <c r="G24" s="104"/>
      <c r="H24" s="58">
        <f>IFERROR(INDEX(Teilnehmerliste!$C$18:$C$97,MATCH($C24,Teilnehmerliste!$P$18:$P$97,0)),"")</f>
        <v>46181</v>
      </c>
      <c r="I24" s="59" t="str">
        <f>IFERROR(INDEX(Teilnehmerliste!$J$18:$J$97,MATCH($C24,Teilnehmerliste!$P$18:$P$97,0)),"–")</f>
        <v>Standard</v>
      </c>
      <c r="J24" s="105" t="str">
        <f>IF($C24&gt;COUNTIF(Teilnehmerliste!$O$18:$O$97,"Warteliste"),"– kein Eintrag –",IF($C24&lt;=MAX(0,Kapazitaet-(COUNTIF(Teilnehmerliste!$O$18:$O$97,"Bestätigt")+COUNTIF(Teilnehmerliste!$O$18:$O$97,"Angemeldet"))),"Nachrücken möglich – Platz frei","Warten auf Absage"))</f>
        <v>Warten auf Absage</v>
      </c>
      <c r="K24" s="105"/>
      <c r="L24" s="105"/>
      <c r="M24" s="105"/>
      <c r="N24" s="105"/>
    </row>
    <row r="25" spans="2:14" ht="15.75" customHeight="1" x14ac:dyDescent="0.25">
      <c r="C25" s="57">
        <v>4</v>
      </c>
      <c r="D25" s="103" t="str">
        <f>IFERROR(INDEX(Teilnehmerliste!$D$18:$D$97,MATCH($C25,Teilnehmerliste!$P$18:$P$97,0))&amp;", "&amp;INDEX(Teilnehmerliste!$E$18:$E$97,MATCH($C25,Teilnehmerliste!$P$18:$P$97,0)),"–")</f>
        <v>Vollmer, Henrik</v>
      </c>
      <c r="E25" s="103"/>
      <c r="F25" s="104" t="str">
        <f>IFERROR(INDEX(Teilnehmerliste!$F$18:$F$97,MATCH($C25,Teilnehmerliste!$P$18:$P$97,0)),"–")</f>
        <v>Institut für Weiterbildung Musterstadt</v>
      </c>
      <c r="G25" s="104"/>
      <c r="H25" s="58">
        <f>IFERROR(INDEX(Teilnehmerliste!$C$18:$C$97,MATCH($C25,Teilnehmerliste!$P$18:$P$97,0)),"")</f>
        <v>46185</v>
      </c>
      <c r="I25" s="59" t="str">
        <f>IFERROR(INDEX(Teilnehmerliste!$J$18:$J$97,MATCH($C25,Teilnehmerliste!$P$18:$P$97,0)),"–")</f>
        <v>Standard</v>
      </c>
      <c r="J25" s="105" t="str">
        <f>IF($C25&gt;COUNTIF(Teilnehmerliste!$O$18:$O$97,"Warteliste"),"– kein Eintrag –",IF($C25&lt;=MAX(0,Kapazitaet-(COUNTIF(Teilnehmerliste!$O$18:$O$97,"Bestätigt")+COUNTIF(Teilnehmerliste!$O$18:$O$97,"Angemeldet"))),"Nachrücken möglich – Platz frei","Warten auf Absage"))</f>
        <v>Warten auf Absage</v>
      </c>
      <c r="K25" s="105"/>
      <c r="L25" s="105"/>
      <c r="M25" s="105"/>
      <c r="N25" s="105"/>
    </row>
    <row r="26" spans="2:14" ht="15.75" customHeight="1" x14ac:dyDescent="0.25">
      <c r="C26" s="57">
        <v>5</v>
      </c>
      <c r="D26" s="103" t="str">
        <f>IFERROR(INDEX(Teilnehmerliste!$D$18:$D$97,MATCH($C26,Teilnehmerliste!$P$18:$P$97,0))&amp;", "&amp;INDEX(Teilnehmerliste!$E$18:$E$97,MATCH($C26,Teilnehmerliste!$P$18:$P$97,0)),"–")</f>
        <v>–</v>
      </c>
      <c r="E26" s="103"/>
      <c r="F26" s="104" t="str">
        <f>IFERROR(INDEX(Teilnehmerliste!$F$18:$F$97,MATCH($C26,Teilnehmerliste!$P$18:$P$97,0)),"–")</f>
        <v>–</v>
      </c>
      <c r="G26" s="104"/>
      <c r="H26" s="58" t="str">
        <f>IFERROR(INDEX(Teilnehmerliste!$C$18:$C$97,MATCH($C26,Teilnehmerliste!$P$18:$P$97,0)),"")</f>
        <v/>
      </c>
      <c r="I26" s="59" t="str">
        <f>IFERROR(INDEX(Teilnehmerliste!$J$18:$J$97,MATCH($C26,Teilnehmerliste!$P$18:$P$97,0)),"–")</f>
        <v>–</v>
      </c>
      <c r="J26" s="105" t="str">
        <f>IF($C26&gt;COUNTIF(Teilnehmerliste!$O$18:$O$97,"Warteliste"),"– kein Eintrag –",IF($C26&lt;=MAX(0,Kapazitaet-(COUNTIF(Teilnehmerliste!$O$18:$O$97,"Bestätigt")+COUNTIF(Teilnehmerliste!$O$18:$O$97,"Angemeldet"))),"Nachrücken möglich – Platz frei","Warten auf Absage"))</f>
        <v>– kein Eintrag –</v>
      </c>
      <c r="K26" s="105"/>
      <c r="L26" s="105"/>
      <c r="M26" s="105"/>
      <c r="N26" s="105"/>
    </row>
    <row r="27" spans="2:14" ht="15.75" customHeight="1" x14ac:dyDescent="0.25">
      <c r="C27" s="57">
        <v>6</v>
      </c>
      <c r="D27" s="103" t="str">
        <f>IFERROR(INDEX(Teilnehmerliste!$D$18:$D$97,MATCH($C27,Teilnehmerliste!$P$18:$P$97,0))&amp;", "&amp;INDEX(Teilnehmerliste!$E$18:$E$97,MATCH($C27,Teilnehmerliste!$P$18:$P$97,0)),"–")</f>
        <v>–</v>
      </c>
      <c r="E27" s="103"/>
      <c r="F27" s="104" t="str">
        <f>IFERROR(INDEX(Teilnehmerliste!$F$18:$F$97,MATCH($C27,Teilnehmerliste!$P$18:$P$97,0)),"–")</f>
        <v>–</v>
      </c>
      <c r="G27" s="104"/>
      <c r="H27" s="58" t="str">
        <f>IFERROR(INDEX(Teilnehmerliste!$C$18:$C$97,MATCH($C27,Teilnehmerliste!$P$18:$P$97,0)),"")</f>
        <v/>
      </c>
      <c r="I27" s="59" t="str">
        <f>IFERROR(INDEX(Teilnehmerliste!$J$18:$J$97,MATCH($C27,Teilnehmerliste!$P$18:$P$97,0)),"–")</f>
        <v>–</v>
      </c>
      <c r="J27" s="105" t="str">
        <f>IF($C27&gt;COUNTIF(Teilnehmerliste!$O$18:$O$97,"Warteliste"),"– kein Eintrag –",IF($C27&lt;=MAX(0,Kapazitaet-(COUNTIF(Teilnehmerliste!$O$18:$O$97,"Bestätigt")+COUNTIF(Teilnehmerliste!$O$18:$O$97,"Angemeldet"))),"Nachrücken möglich – Platz frei","Warten auf Absage"))</f>
        <v>– kein Eintrag –</v>
      </c>
      <c r="K27" s="105"/>
      <c r="L27" s="105"/>
      <c r="M27" s="105"/>
      <c r="N27" s="105"/>
    </row>
    <row r="29" spans="2:14" ht="19.5" customHeight="1" x14ac:dyDescent="0.25">
      <c r="B29" s="17" t="s">
        <v>333</v>
      </c>
      <c r="C29" s="10" t="s">
        <v>334</v>
      </c>
      <c r="D29" s="10"/>
      <c r="E29" s="10"/>
      <c r="F29" s="10"/>
      <c r="G29" s="10"/>
      <c r="H29" s="10"/>
      <c r="I29" s="9" t="s">
        <v>335</v>
      </c>
      <c r="J29" s="9"/>
      <c r="K29" s="9"/>
      <c r="L29" s="9"/>
      <c r="M29" s="9"/>
      <c r="N29" s="9"/>
    </row>
    <row r="30" spans="2:14" ht="25.5" customHeight="1" x14ac:dyDescent="0.25">
      <c r="C30" s="19" t="s">
        <v>42</v>
      </c>
      <c r="D30" s="19" t="s">
        <v>336</v>
      </c>
      <c r="E30" s="19" t="s">
        <v>337</v>
      </c>
      <c r="F30" s="19" t="s">
        <v>319</v>
      </c>
      <c r="G30" s="19" t="s">
        <v>338</v>
      </c>
      <c r="H30" s="19" t="s">
        <v>339</v>
      </c>
      <c r="I30" s="19" t="s">
        <v>340</v>
      </c>
      <c r="J30" s="96" t="s">
        <v>320</v>
      </c>
      <c r="K30" s="96"/>
      <c r="L30" s="96"/>
      <c r="M30" s="96"/>
      <c r="N30" s="96"/>
    </row>
    <row r="31" spans="2:14" ht="15.75" customHeight="1" x14ac:dyDescent="0.25">
      <c r="C31" s="48" t="str">
        <f>Stammdaten!$B$34</f>
        <v>Frühbucher</v>
      </c>
      <c r="D31" s="49">
        <f>COUNTIF(Teilnehmerliste!$J$18:$J$97,$C31)</f>
        <v>8</v>
      </c>
      <c r="E31" s="60">
        <f>COUNTIFS(Teilnehmerliste!$J$18:$J$97,$C31,Teilnehmerliste!$O$18:$O$97,"Bestätigt")</f>
        <v>8</v>
      </c>
      <c r="F31" s="50">
        <f t="shared" ref="F31:F38" si="0">IFERROR(D31/$D$39,0)</f>
        <v>0.1702127659574468</v>
      </c>
      <c r="G31" s="61">
        <f>Stammdaten!$F$34</f>
        <v>380.8</v>
      </c>
      <c r="H31" s="62">
        <f>SUMIF(Teilnehmerliste!$J$18:$J$97,$C31,Teilnehmerliste!$M$18:$M$97)</f>
        <v>3008.3200000000006</v>
      </c>
      <c r="I31" s="63">
        <f>SUMIFS(Teilnehmerliste!$M$18:$M$97,Teilnehmerliste!$J$18:$J$97,$C31,Teilnehmerliste!$N$18:$N$97,"Offen")</f>
        <v>0</v>
      </c>
      <c r="J31" s="97" t="str">
        <f t="shared" ref="J31:J38" si="1">IF(D31=0,"nicht genutzt",IF(I31&gt;0,"Zahlungen offen – nachfassen","vollständig abgerechnet"))</f>
        <v>vollständig abgerechnet</v>
      </c>
      <c r="K31" s="97"/>
      <c r="L31" s="97"/>
      <c r="M31" s="97"/>
      <c r="N31" s="97"/>
    </row>
    <row r="32" spans="2:14" ht="15.75" customHeight="1" x14ac:dyDescent="0.25">
      <c r="C32" s="48" t="str">
        <f>Stammdaten!$B$35</f>
        <v>Standard</v>
      </c>
      <c r="D32" s="49">
        <f>COUNTIF(Teilnehmerliste!$J$18:$J$97,$C32)</f>
        <v>18</v>
      </c>
      <c r="E32" s="60">
        <f>COUNTIFS(Teilnehmerliste!$J$18:$J$97,$C32,Teilnehmerliste!$O$18:$O$97,"Bestätigt")</f>
        <v>12</v>
      </c>
      <c r="F32" s="50">
        <f t="shared" si="0"/>
        <v>0.38297872340425532</v>
      </c>
      <c r="G32" s="61">
        <f>Stammdaten!$F$35</f>
        <v>464.1</v>
      </c>
      <c r="H32" s="62">
        <f>SUMIF(Teilnehmerliste!$J$18:$J$97,$C32,Teilnehmerliste!$M$18:$M$97)</f>
        <v>6033.3000000000011</v>
      </c>
      <c r="I32" s="63">
        <f>SUMIFS(Teilnehmerliste!$M$18:$M$97,Teilnehmerliste!$J$18:$J$97,$C32,Teilnehmerliste!$N$18:$N$97,"Offen")</f>
        <v>1856.4</v>
      </c>
      <c r="J32" s="97" t="str">
        <f t="shared" si="1"/>
        <v>Zahlungen offen – nachfassen</v>
      </c>
      <c r="K32" s="97"/>
      <c r="L32" s="97"/>
      <c r="M32" s="97"/>
      <c r="N32" s="97"/>
    </row>
    <row r="33" spans="2:14" ht="15.75" customHeight="1" x14ac:dyDescent="0.25">
      <c r="C33" s="48" t="str">
        <f>Stammdaten!$B$36</f>
        <v>Mitglied</v>
      </c>
      <c r="D33" s="49">
        <f>COUNTIF(Teilnehmerliste!$J$18:$J$97,$C33)</f>
        <v>6</v>
      </c>
      <c r="E33" s="60">
        <f>COUNTIFS(Teilnehmerliste!$J$18:$J$97,$C33,Teilnehmerliste!$O$18:$O$97,"Bestätigt")</f>
        <v>4</v>
      </c>
      <c r="F33" s="50">
        <f t="shared" si="0"/>
        <v>0.1276595744680851</v>
      </c>
      <c r="G33" s="61">
        <f>Stammdaten!$F$36</f>
        <v>345.1</v>
      </c>
      <c r="H33" s="62">
        <f>SUMIF(Teilnehmerliste!$J$18:$J$97,$C33,Teilnehmerliste!$M$18:$M$97)</f>
        <v>1725.5</v>
      </c>
      <c r="I33" s="63">
        <f>SUMIFS(Teilnehmerliste!$M$18:$M$97,Teilnehmerliste!$J$18:$J$97,$C33,Teilnehmerliste!$N$18:$N$97,"Offen")</f>
        <v>0</v>
      </c>
      <c r="J33" s="97" t="str">
        <f t="shared" si="1"/>
        <v>vollständig abgerechnet</v>
      </c>
      <c r="K33" s="97"/>
      <c r="L33" s="97"/>
      <c r="M33" s="97"/>
      <c r="N33" s="97"/>
    </row>
    <row r="34" spans="2:14" ht="15.75" customHeight="1" x14ac:dyDescent="0.25">
      <c r="C34" s="48" t="str">
        <f>Stammdaten!$B$37</f>
        <v>Firmenkontingent</v>
      </c>
      <c r="D34" s="49">
        <f>COUNTIF(Teilnehmerliste!$J$18:$J$97,$C34)</f>
        <v>7</v>
      </c>
      <c r="E34" s="60">
        <f>COUNTIFS(Teilnehmerliste!$J$18:$J$97,$C34,Teilnehmerliste!$O$18:$O$97,"Bestätigt")</f>
        <v>6</v>
      </c>
      <c r="F34" s="50">
        <f t="shared" si="0"/>
        <v>0.14893617021276595</v>
      </c>
      <c r="G34" s="61">
        <f>Stammdaten!$F$37</f>
        <v>416.5</v>
      </c>
      <c r="H34" s="62">
        <f>SUMIF(Teilnehmerliste!$J$18:$J$97,$C34,Teilnehmerliste!$M$18:$M$97)</f>
        <v>2499</v>
      </c>
      <c r="I34" s="63">
        <f>SUMIFS(Teilnehmerliste!$M$18:$M$97,Teilnehmerliste!$J$18:$J$97,$C34,Teilnehmerliste!$N$18:$N$97,"Offen")</f>
        <v>0</v>
      </c>
      <c r="J34" s="97" t="str">
        <f t="shared" si="1"/>
        <v>vollständig abgerechnet</v>
      </c>
      <c r="K34" s="97"/>
      <c r="L34" s="97"/>
      <c r="M34" s="97"/>
      <c r="N34" s="97"/>
    </row>
    <row r="35" spans="2:14" ht="15.75" customHeight="1" x14ac:dyDescent="0.25">
      <c r="C35" s="48" t="str">
        <f>Stammdaten!$B$38</f>
        <v>Ermäßigt</v>
      </c>
      <c r="D35" s="49">
        <f>COUNTIF(Teilnehmerliste!$J$18:$J$97,$C35)</f>
        <v>2</v>
      </c>
      <c r="E35" s="60">
        <f>COUNTIFS(Teilnehmerliste!$J$18:$J$97,$C35,Teilnehmerliste!$O$18:$O$97,"Bestätigt")</f>
        <v>2</v>
      </c>
      <c r="F35" s="50">
        <f t="shared" si="0"/>
        <v>4.2553191489361701E-2</v>
      </c>
      <c r="G35" s="61">
        <f>Stammdaten!$F$38</f>
        <v>172.55</v>
      </c>
      <c r="H35" s="62">
        <f>SUMIF(Teilnehmerliste!$J$18:$J$97,$C35,Teilnehmerliste!$M$18:$M$97)</f>
        <v>345.1</v>
      </c>
      <c r="I35" s="63">
        <f>SUMIFS(Teilnehmerliste!$M$18:$M$97,Teilnehmerliste!$J$18:$J$97,$C35,Teilnehmerliste!$N$18:$N$97,"Offen")</f>
        <v>0</v>
      </c>
      <c r="J35" s="97" t="str">
        <f t="shared" si="1"/>
        <v>vollständig abgerechnet</v>
      </c>
      <c r="K35" s="97"/>
      <c r="L35" s="97"/>
      <c r="M35" s="97"/>
      <c r="N35" s="97"/>
    </row>
    <row r="36" spans="2:14" ht="15.75" customHeight="1" x14ac:dyDescent="0.25">
      <c r="C36" s="48" t="str">
        <f>Stammdaten!$B$39</f>
        <v>Tagesgast</v>
      </c>
      <c r="D36" s="49">
        <f>COUNTIF(Teilnehmerliste!$J$18:$J$97,$C36)</f>
        <v>3</v>
      </c>
      <c r="E36" s="60">
        <f>COUNTIFS(Teilnehmerliste!$J$18:$J$97,$C36,Teilnehmerliste!$O$18:$O$97,"Bestätigt")</f>
        <v>1</v>
      </c>
      <c r="F36" s="50">
        <f t="shared" si="0"/>
        <v>6.3829787234042548E-2</v>
      </c>
      <c r="G36" s="61">
        <f>Stammdaten!$F$39</f>
        <v>249.9</v>
      </c>
      <c r="H36" s="62">
        <f>SUMIF(Teilnehmerliste!$J$18:$J$97,$C36,Teilnehmerliste!$M$18:$M$97)</f>
        <v>749.7</v>
      </c>
      <c r="I36" s="63">
        <f>SUMIFS(Teilnehmerliste!$M$18:$M$97,Teilnehmerliste!$J$18:$J$97,$C36,Teilnehmerliste!$N$18:$N$97,"Offen")</f>
        <v>0</v>
      </c>
      <c r="J36" s="97" t="str">
        <f t="shared" si="1"/>
        <v>vollständig abgerechnet</v>
      </c>
      <c r="K36" s="97"/>
      <c r="L36" s="97"/>
      <c r="M36" s="97"/>
      <c r="N36" s="97"/>
    </row>
    <row r="37" spans="2:14" ht="15.75" customHeight="1" x14ac:dyDescent="0.25">
      <c r="C37" s="48" t="str">
        <f>Stammdaten!$B$40</f>
        <v>Referent/in</v>
      </c>
      <c r="D37" s="49">
        <f>COUNTIF(Teilnehmerliste!$J$18:$J$97,$C37)</f>
        <v>2</v>
      </c>
      <c r="E37" s="60">
        <f>COUNTIFS(Teilnehmerliste!$J$18:$J$97,$C37,Teilnehmerliste!$O$18:$O$97,"Bestätigt")</f>
        <v>2</v>
      </c>
      <c r="F37" s="50">
        <f t="shared" si="0"/>
        <v>4.2553191489361701E-2</v>
      </c>
      <c r="G37" s="61">
        <f>Stammdaten!$F$40</f>
        <v>0</v>
      </c>
      <c r="H37" s="62">
        <f>SUMIF(Teilnehmerliste!$J$18:$J$97,$C37,Teilnehmerliste!$M$18:$M$97)</f>
        <v>0</v>
      </c>
      <c r="I37" s="63">
        <f>SUMIFS(Teilnehmerliste!$M$18:$M$97,Teilnehmerliste!$J$18:$J$97,$C37,Teilnehmerliste!$N$18:$N$97,"Offen")</f>
        <v>0</v>
      </c>
      <c r="J37" s="97" t="str">
        <f t="shared" si="1"/>
        <v>vollständig abgerechnet</v>
      </c>
      <c r="K37" s="97"/>
      <c r="L37" s="97"/>
      <c r="M37" s="97"/>
      <c r="N37" s="97"/>
    </row>
    <row r="38" spans="2:14" ht="15.75" customHeight="1" x14ac:dyDescent="0.25">
      <c r="C38" s="48" t="str">
        <f>Stammdaten!$B$41</f>
        <v>Presse</v>
      </c>
      <c r="D38" s="49">
        <f>COUNTIF(Teilnehmerliste!$J$18:$J$97,$C38)</f>
        <v>1</v>
      </c>
      <c r="E38" s="60">
        <f>COUNTIFS(Teilnehmerliste!$J$18:$J$97,$C38,Teilnehmerliste!$O$18:$O$97,"Bestätigt")</f>
        <v>1</v>
      </c>
      <c r="F38" s="50">
        <f t="shared" si="0"/>
        <v>2.1276595744680851E-2</v>
      </c>
      <c r="G38" s="61">
        <f>Stammdaten!$F$41</f>
        <v>0</v>
      </c>
      <c r="H38" s="62">
        <f>SUMIF(Teilnehmerliste!$J$18:$J$97,$C38,Teilnehmerliste!$M$18:$M$97)</f>
        <v>0</v>
      </c>
      <c r="I38" s="63">
        <f>SUMIFS(Teilnehmerliste!$M$18:$M$97,Teilnehmerliste!$J$18:$J$97,$C38,Teilnehmerliste!$N$18:$N$97,"Offen")</f>
        <v>0</v>
      </c>
      <c r="J38" s="97" t="str">
        <f t="shared" si="1"/>
        <v>vollständig abgerechnet</v>
      </c>
      <c r="K38" s="97"/>
      <c r="L38" s="97"/>
      <c r="M38" s="97"/>
      <c r="N38" s="97"/>
    </row>
    <row r="39" spans="2:14" ht="18" customHeight="1" x14ac:dyDescent="0.25">
      <c r="B39" s="52"/>
      <c r="C39" s="53" t="s">
        <v>298</v>
      </c>
      <c r="D39" s="54">
        <f>SUM(D31:D38)</f>
        <v>47</v>
      </c>
      <c r="E39" s="54">
        <f>SUM(E31:E38)</f>
        <v>36</v>
      </c>
      <c r="F39" s="55">
        <f>SUM(F31:F38)</f>
        <v>0.99999999999999989</v>
      </c>
      <c r="G39" s="56">
        <f>IFERROR(H39/D39,0)</f>
        <v>305.55148936170218</v>
      </c>
      <c r="H39" s="56">
        <f>SUM(H31:H38)</f>
        <v>14360.920000000004</v>
      </c>
      <c r="I39" s="56">
        <f>SUM(I31:I38)</f>
        <v>1856.4</v>
      </c>
      <c r="J39" s="102" t="s">
        <v>341</v>
      </c>
      <c r="K39" s="102"/>
      <c r="L39" s="102"/>
      <c r="M39" s="102"/>
      <c r="N39" s="102"/>
    </row>
    <row r="41" spans="2:14" ht="19.5" customHeight="1" x14ac:dyDescent="0.25">
      <c r="B41" s="17" t="s">
        <v>342</v>
      </c>
      <c r="C41" s="10" t="s">
        <v>343</v>
      </c>
      <c r="D41" s="10"/>
      <c r="E41" s="10"/>
      <c r="F41" s="10"/>
      <c r="G41" s="10"/>
      <c r="H41" s="10"/>
      <c r="I41" s="9" t="s">
        <v>344</v>
      </c>
      <c r="J41" s="9"/>
      <c r="K41" s="9"/>
      <c r="L41" s="9"/>
      <c r="M41" s="9"/>
      <c r="N41" s="9"/>
    </row>
    <row r="42" spans="2:14" ht="25.5" customHeight="1" x14ac:dyDescent="0.25">
      <c r="C42" s="19" t="s">
        <v>345</v>
      </c>
      <c r="D42" s="19" t="s">
        <v>336</v>
      </c>
      <c r="E42" s="19" t="s">
        <v>346</v>
      </c>
      <c r="F42" s="19" t="s">
        <v>347</v>
      </c>
      <c r="G42" s="19" t="s">
        <v>348</v>
      </c>
      <c r="H42" s="19" t="s">
        <v>349</v>
      </c>
      <c r="I42" s="96" t="s">
        <v>350</v>
      </c>
      <c r="J42" s="96"/>
      <c r="K42" s="96"/>
      <c r="L42" s="96"/>
      <c r="M42" s="96"/>
      <c r="N42" s="96"/>
    </row>
    <row r="43" spans="2:14" ht="15.75" customHeight="1" x14ac:dyDescent="0.25">
      <c r="C43" s="48" t="s">
        <v>351</v>
      </c>
      <c r="D43" s="49">
        <f>COUNTIFS(Teilnehmerliste!$C$18:$C$97,"&gt;="&amp;DATE(Berichtsjahr,1,1),Teilnehmerliste!$C$18:$C$97,"&lt;="&amp;DATE(Berichtsjahr,2,0))</f>
        <v>0</v>
      </c>
      <c r="E43" s="64">
        <f>SUM($D$43:D43)</f>
        <v>0</v>
      </c>
      <c r="F43" s="65">
        <f>COUNTIFS(Teilnehmerliste!$C$18:$C$97,"&gt;="&amp;DATE(Berichtsjahr,1,1),Teilnehmerliste!$C$18:$C$97,"&lt;="&amp;DATE(Berichtsjahr,2,0),Teilnehmerliste!$O$18:$O$97,"Abgesagt")+COUNTIFS(Teilnehmerliste!$C$18:$C$97,"&gt;="&amp;DATE(Berichtsjahr,1,1),Teilnehmerliste!$C$18:$C$97,"&lt;="&amp;DATE(Berichtsjahr,2,0),Teilnehmerliste!$O$18:$O$97,"Storniert")</f>
        <v>0</v>
      </c>
      <c r="G43" s="66">
        <f t="shared" ref="G43:G54" si="2">IFERROR(E43/Kapazitaet,0)</f>
        <v>0</v>
      </c>
      <c r="H43" s="64">
        <f t="shared" ref="H43:H55" si="3">Kapazitaet</f>
        <v>40</v>
      </c>
      <c r="I43" s="97" t="str">
        <f t="shared" ref="I43:I54" si="4">IF(D43=0,"keine Anmeldungen in diesem Monat",IF(E43&gt;=Kapazitaet,"Kapazität erreicht – Warteliste führen","Plätze verfügbar"))</f>
        <v>keine Anmeldungen in diesem Monat</v>
      </c>
      <c r="J43" s="97"/>
      <c r="K43" s="97"/>
      <c r="L43" s="97"/>
      <c r="M43" s="97"/>
      <c r="N43" s="97"/>
    </row>
    <row r="44" spans="2:14" ht="15.75" customHeight="1" x14ac:dyDescent="0.25">
      <c r="C44" s="48" t="s">
        <v>352</v>
      </c>
      <c r="D44" s="49">
        <f>COUNTIFS(Teilnehmerliste!$C$18:$C$97,"&gt;="&amp;DATE(Berichtsjahr,2,1),Teilnehmerliste!$C$18:$C$97,"&lt;="&amp;DATE(Berichtsjahr,3,0))</f>
        <v>0</v>
      </c>
      <c r="E44" s="64">
        <f>SUM($D$43:D44)</f>
        <v>0</v>
      </c>
      <c r="F44" s="65">
        <f>COUNTIFS(Teilnehmerliste!$C$18:$C$97,"&gt;="&amp;DATE(Berichtsjahr,2,1),Teilnehmerliste!$C$18:$C$97,"&lt;="&amp;DATE(Berichtsjahr,3,0),Teilnehmerliste!$O$18:$O$97,"Abgesagt")+COUNTIFS(Teilnehmerliste!$C$18:$C$97,"&gt;="&amp;DATE(Berichtsjahr,2,1),Teilnehmerliste!$C$18:$C$97,"&lt;="&amp;DATE(Berichtsjahr,3,0),Teilnehmerliste!$O$18:$O$97,"Storniert")</f>
        <v>0</v>
      </c>
      <c r="G44" s="66">
        <f t="shared" si="2"/>
        <v>0</v>
      </c>
      <c r="H44" s="64">
        <f t="shared" si="3"/>
        <v>40</v>
      </c>
      <c r="I44" s="97" t="str">
        <f t="shared" si="4"/>
        <v>keine Anmeldungen in diesem Monat</v>
      </c>
      <c r="J44" s="97"/>
      <c r="K44" s="97"/>
      <c r="L44" s="97"/>
      <c r="M44" s="97"/>
      <c r="N44" s="97"/>
    </row>
    <row r="45" spans="2:14" ht="15.75" customHeight="1" x14ac:dyDescent="0.25">
      <c r="C45" s="48" t="s">
        <v>353</v>
      </c>
      <c r="D45" s="49">
        <f>COUNTIFS(Teilnehmerliste!$C$18:$C$97,"&gt;="&amp;DATE(Berichtsjahr,3,1),Teilnehmerliste!$C$18:$C$97,"&lt;="&amp;DATE(Berichtsjahr,4,0))</f>
        <v>13</v>
      </c>
      <c r="E45" s="64">
        <f>SUM($D$43:D45)</f>
        <v>13</v>
      </c>
      <c r="F45" s="65">
        <f>COUNTIFS(Teilnehmerliste!$C$18:$C$97,"&gt;="&amp;DATE(Berichtsjahr,3,1),Teilnehmerliste!$C$18:$C$97,"&lt;="&amp;DATE(Berichtsjahr,4,0),Teilnehmerliste!$O$18:$O$97,"Abgesagt")+COUNTIFS(Teilnehmerliste!$C$18:$C$97,"&gt;="&amp;DATE(Berichtsjahr,3,1),Teilnehmerliste!$C$18:$C$97,"&lt;="&amp;DATE(Berichtsjahr,4,0),Teilnehmerliste!$O$18:$O$97,"Storniert")</f>
        <v>0</v>
      </c>
      <c r="G45" s="66">
        <f t="shared" si="2"/>
        <v>0.32500000000000001</v>
      </c>
      <c r="H45" s="64">
        <f t="shared" si="3"/>
        <v>40</v>
      </c>
      <c r="I45" s="97" t="str">
        <f t="shared" si="4"/>
        <v>Plätze verfügbar</v>
      </c>
      <c r="J45" s="97"/>
      <c r="K45" s="97"/>
      <c r="L45" s="97"/>
      <c r="M45" s="97"/>
      <c r="N45" s="97"/>
    </row>
    <row r="46" spans="2:14" ht="15.75" customHeight="1" x14ac:dyDescent="0.25">
      <c r="C46" s="48" t="s">
        <v>354</v>
      </c>
      <c r="D46" s="49">
        <f>COUNTIFS(Teilnehmerliste!$C$18:$C$97,"&gt;="&amp;DATE(Berichtsjahr,4,1),Teilnehmerliste!$C$18:$C$97,"&lt;="&amp;DATE(Berichtsjahr,5,0))</f>
        <v>11</v>
      </c>
      <c r="E46" s="64">
        <f>SUM($D$43:D46)</f>
        <v>24</v>
      </c>
      <c r="F46" s="65">
        <f>COUNTIFS(Teilnehmerliste!$C$18:$C$97,"&gt;="&amp;DATE(Berichtsjahr,4,1),Teilnehmerliste!$C$18:$C$97,"&lt;="&amp;DATE(Berichtsjahr,5,0),Teilnehmerliste!$O$18:$O$97,"Abgesagt")+COUNTIFS(Teilnehmerliste!$C$18:$C$97,"&gt;="&amp;DATE(Berichtsjahr,4,1),Teilnehmerliste!$C$18:$C$97,"&lt;="&amp;DATE(Berichtsjahr,5,0),Teilnehmerliste!$O$18:$O$97,"Storniert")</f>
        <v>1</v>
      </c>
      <c r="G46" s="66">
        <f t="shared" si="2"/>
        <v>0.6</v>
      </c>
      <c r="H46" s="64">
        <f t="shared" si="3"/>
        <v>40</v>
      </c>
      <c r="I46" s="97" t="str">
        <f t="shared" si="4"/>
        <v>Plätze verfügbar</v>
      </c>
      <c r="J46" s="97"/>
      <c r="K46" s="97"/>
      <c r="L46" s="97"/>
      <c r="M46" s="97"/>
      <c r="N46" s="97"/>
    </row>
    <row r="47" spans="2:14" ht="15.75" customHeight="1" x14ac:dyDescent="0.25">
      <c r="C47" s="48" t="s">
        <v>355</v>
      </c>
      <c r="D47" s="49">
        <f>COUNTIFS(Teilnehmerliste!$C$18:$C$97,"&gt;="&amp;DATE(Berichtsjahr,5,1),Teilnehmerliste!$C$18:$C$97,"&lt;="&amp;DATE(Berichtsjahr,6,0))</f>
        <v>15</v>
      </c>
      <c r="E47" s="64">
        <f>SUM($D$43:D47)</f>
        <v>39</v>
      </c>
      <c r="F47" s="65">
        <f>COUNTIFS(Teilnehmerliste!$C$18:$C$97,"&gt;="&amp;DATE(Berichtsjahr,5,1),Teilnehmerliste!$C$18:$C$97,"&lt;="&amp;DATE(Berichtsjahr,6,0),Teilnehmerliste!$O$18:$O$97,"Abgesagt")+COUNTIFS(Teilnehmerliste!$C$18:$C$97,"&gt;="&amp;DATE(Berichtsjahr,5,1),Teilnehmerliste!$C$18:$C$97,"&lt;="&amp;DATE(Berichtsjahr,6,0),Teilnehmerliste!$O$18:$O$97,"Storniert")</f>
        <v>2</v>
      </c>
      <c r="G47" s="66">
        <f t="shared" si="2"/>
        <v>0.97499999999999998</v>
      </c>
      <c r="H47" s="64">
        <f t="shared" si="3"/>
        <v>40</v>
      </c>
      <c r="I47" s="97" t="str">
        <f t="shared" si="4"/>
        <v>Plätze verfügbar</v>
      </c>
      <c r="J47" s="97"/>
      <c r="K47" s="97"/>
      <c r="L47" s="97"/>
      <c r="M47" s="97"/>
      <c r="N47" s="97"/>
    </row>
    <row r="48" spans="2:14" ht="15.75" customHeight="1" x14ac:dyDescent="0.25">
      <c r="C48" s="48" t="s">
        <v>356</v>
      </c>
      <c r="D48" s="49">
        <f>COUNTIFS(Teilnehmerliste!$C$18:$C$97,"&gt;="&amp;DATE(Berichtsjahr,6,1),Teilnehmerliste!$C$18:$C$97,"&lt;="&amp;DATE(Berichtsjahr,7,0))</f>
        <v>8</v>
      </c>
      <c r="E48" s="64">
        <f>SUM($D$43:D48)</f>
        <v>47</v>
      </c>
      <c r="F48" s="65">
        <f>COUNTIFS(Teilnehmerliste!$C$18:$C$97,"&gt;="&amp;DATE(Berichtsjahr,6,1),Teilnehmerliste!$C$18:$C$97,"&lt;="&amp;DATE(Berichtsjahr,7,0),Teilnehmerliste!$O$18:$O$97,"Abgesagt")+COUNTIFS(Teilnehmerliste!$C$18:$C$97,"&gt;="&amp;DATE(Berichtsjahr,6,1),Teilnehmerliste!$C$18:$C$97,"&lt;="&amp;DATE(Berichtsjahr,7,0),Teilnehmerliste!$O$18:$O$97,"Storniert")</f>
        <v>0</v>
      </c>
      <c r="G48" s="66">
        <f t="shared" si="2"/>
        <v>1.175</v>
      </c>
      <c r="H48" s="64">
        <f t="shared" si="3"/>
        <v>40</v>
      </c>
      <c r="I48" s="97" t="str">
        <f t="shared" si="4"/>
        <v>Kapazität erreicht – Warteliste führen</v>
      </c>
      <c r="J48" s="97"/>
      <c r="K48" s="97"/>
      <c r="L48" s="97"/>
      <c r="M48" s="97"/>
      <c r="N48" s="97"/>
    </row>
    <row r="49" spans="2:14" ht="15.75" customHeight="1" x14ac:dyDescent="0.25">
      <c r="C49" s="48" t="s">
        <v>357</v>
      </c>
      <c r="D49" s="49">
        <f>COUNTIFS(Teilnehmerliste!$C$18:$C$97,"&gt;="&amp;DATE(Berichtsjahr,7,1),Teilnehmerliste!$C$18:$C$97,"&lt;="&amp;DATE(Berichtsjahr,8,0))</f>
        <v>0</v>
      </c>
      <c r="E49" s="64">
        <f>SUM($D$43:D49)</f>
        <v>47</v>
      </c>
      <c r="F49" s="65">
        <f>COUNTIFS(Teilnehmerliste!$C$18:$C$97,"&gt;="&amp;DATE(Berichtsjahr,7,1),Teilnehmerliste!$C$18:$C$97,"&lt;="&amp;DATE(Berichtsjahr,8,0),Teilnehmerliste!$O$18:$O$97,"Abgesagt")+COUNTIFS(Teilnehmerliste!$C$18:$C$97,"&gt;="&amp;DATE(Berichtsjahr,7,1),Teilnehmerliste!$C$18:$C$97,"&lt;="&amp;DATE(Berichtsjahr,8,0),Teilnehmerliste!$O$18:$O$97,"Storniert")</f>
        <v>0</v>
      </c>
      <c r="G49" s="66">
        <f t="shared" si="2"/>
        <v>1.175</v>
      </c>
      <c r="H49" s="64">
        <f t="shared" si="3"/>
        <v>40</v>
      </c>
      <c r="I49" s="97" t="str">
        <f t="shared" si="4"/>
        <v>keine Anmeldungen in diesem Monat</v>
      </c>
      <c r="J49" s="97"/>
      <c r="K49" s="97"/>
      <c r="L49" s="97"/>
      <c r="M49" s="97"/>
      <c r="N49" s="97"/>
    </row>
    <row r="50" spans="2:14" ht="15.75" customHeight="1" x14ac:dyDescent="0.25">
      <c r="C50" s="48" t="s">
        <v>358</v>
      </c>
      <c r="D50" s="49">
        <f>COUNTIFS(Teilnehmerliste!$C$18:$C$97,"&gt;="&amp;DATE(Berichtsjahr,8,1),Teilnehmerliste!$C$18:$C$97,"&lt;="&amp;DATE(Berichtsjahr,9,0))</f>
        <v>0</v>
      </c>
      <c r="E50" s="64">
        <f>SUM($D$43:D50)</f>
        <v>47</v>
      </c>
      <c r="F50" s="65">
        <f>COUNTIFS(Teilnehmerliste!$C$18:$C$97,"&gt;="&amp;DATE(Berichtsjahr,8,1),Teilnehmerliste!$C$18:$C$97,"&lt;="&amp;DATE(Berichtsjahr,9,0),Teilnehmerliste!$O$18:$O$97,"Abgesagt")+COUNTIFS(Teilnehmerliste!$C$18:$C$97,"&gt;="&amp;DATE(Berichtsjahr,8,1),Teilnehmerliste!$C$18:$C$97,"&lt;="&amp;DATE(Berichtsjahr,9,0),Teilnehmerliste!$O$18:$O$97,"Storniert")</f>
        <v>0</v>
      </c>
      <c r="G50" s="66">
        <f t="shared" si="2"/>
        <v>1.175</v>
      </c>
      <c r="H50" s="64">
        <f t="shared" si="3"/>
        <v>40</v>
      </c>
      <c r="I50" s="97" t="str">
        <f t="shared" si="4"/>
        <v>keine Anmeldungen in diesem Monat</v>
      </c>
      <c r="J50" s="97"/>
      <c r="K50" s="97"/>
      <c r="L50" s="97"/>
      <c r="M50" s="97"/>
      <c r="N50" s="97"/>
    </row>
    <row r="51" spans="2:14" ht="15.75" customHeight="1" x14ac:dyDescent="0.25">
      <c r="C51" s="48" t="s">
        <v>359</v>
      </c>
      <c r="D51" s="49">
        <f>COUNTIFS(Teilnehmerliste!$C$18:$C$97,"&gt;="&amp;DATE(Berichtsjahr,9,1),Teilnehmerliste!$C$18:$C$97,"&lt;="&amp;DATE(Berichtsjahr,10,0))</f>
        <v>0</v>
      </c>
      <c r="E51" s="64">
        <f>SUM($D$43:D51)</f>
        <v>47</v>
      </c>
      <c r="F51" s="65">
        <f>COUNTIFS(Teilnehmerliste!$C$18:$C$97,"&gt;="&amp;DATE(Berichtsjahr,9,1),Teilnehmerliste!$C$18:$C$97,"&lt;="&amp;DATE(Berichtsjahr,10,0),Teilnehmerliste!$O$18:$O$97,"Abgesagt")+COUNTIFS(Teilnehmerliste!$C$18:$C$97,"&gt;="&amp;DATE(Berichtsjahr,9,1),Teilnehmerliste!$C$18:$C$97,"&lt;="&amp;DATE(Berichtsjahr,10,0),Teilnehmerliste!$O$18:$O$97,"Storniert")</f>
        <v>0</v>
      </c>
      <c r="G51" s="66">
        <f t="shared" si="2"/>
        <v>1.175</v>
      </c>
      <c r="H51" s="64">
        <f t="shared" si="3"/>
        <v>40</v>
      </c>
      <c r="I51" s="97" t="str">
        <f t="shared" si="4"/>
        <v>keine Anmeldungen in diesem Monat</v>
      </c>
      <c r="J51" s="97"/>
      <c r="K51" s="97"/>
      <c r="L51" s="97"/>
      <c r="M51" s="97"/>
      <c r="N51" s="97"/>
    </row>
    <row r="52" spans="2:14" ht="15.75" customHeight="1" x14ac:dyDescent="0.25">
      <c r="C52" s="48" t="s">
        <v>360</v>
      </c>
      <c r="D52" s="49">
        <f>COUNTIFS(Teilnehmerliste!$C$18:$C$97,"&gt;="&amp;DATE(Berichtsjahr,10,1),Teilnehmerliste!$C$18:$C$97,"&lt;="&amp;DATE(Berichtsjahr,11,0))</f>
        <v>0</v>
      </c>
      <c r="E52" s="64">
        <f>SUM($D$43:D52)</f>
        <v>47</v>
      </c>
      <c r="F52" s="65">
        <f>COUNTIFS(Teilnehmerliste!$C$18:$C$97,"&gt;="&amp;DATE(Berichtsjahr,10,1),Teilnehmerliste!$C$18:$C$97,"&lt;="&amp;DATE(Berichtsjahr,11,0),Teilnehmerliste!$O$18:$O$97,"Abgesagt")+COUNTIFS(Teilnehmerliste!$C$18:$C$97,"&gt;="&amp;DATE(Berichtsjahr,10,1),Teilnehmerliste!$C$18:$C$97,"&lt;="&amp;DATE(Berichtsjahr,11,0),Teilnehmerliste!$O$18:$O$97,"Storniert")</f>
        <v>0</v>
      </c>
      <c r="G52" s="66">
        <f t="shared" si="2"/>
        <v>1.175</v>
      </c>
      <c r="H52" s="64">
        <f t="shared" si="3"/>
        <v>40</v>
      </c>
      <c r="I52" s="97" t="str">
        <f t="shared" si="4"/>
        <v>keine Anmeldungen in diesem Monat</v>
      </c>
      <c r="J52" s="97"/>
      <c r="K52" s="97"/>
      <c r="L52" s="97"/>
      <c r="M52" s="97"/>
      <c r="N52" s="97"/>
    </row>
    <row r="53" spans="2:14" ht="15.75" customHeight="1" x14ac:dyDescent="0.25">
      <c r="C53" s="48" t="s">
        <v>361</v>
      </c>
      <c r="D53" s="49">
        <f>COUNTIFS(Teilnehmerliste!$C$18:$C$97,"&gt;="&amp;DATE(Berichtsjahr,11,1),Teilnehmerliste!$C$18:$C$97,"&lt;="&amp;DATE(Berichtsjahr,12,0))</f>
        <v>0</v>
      </c>
      <c r="E53" s="64">
        <f>SUM($D$43:D53)</f>
        <v>47</v>
      </c>
      <c r="F53" s="65">
        <f>COUNTIFS(Teilnehmerliste!$C$18:$C$97,"&gt;="&amp;DATE(Berichtsjahr,11,1),Teilnehmerliste!$C$18:$C$97,"&lt;="&amp;DATE(Berichtsjahr,12,0),Teilnehmerliste!$O$18:$O$97,"Abgesagt")+COUNTIFS(Teilnehmerliste!$C$18:$C$97,"&gt;="&amp;DATE(Berichtsjahr,11,1),Teilnehmerliste!$C$18:$C$97,"&lt;="&amp;DATE(Berichtsjahr,12,0),Teilnehmerliste!$O$18:$O$97,"Storniert")</f>
        <v>0</v>
      </c>
      <c r="G53" s="66">
        <f t="shared" si="2"/>
        <v>1.175</v>
      </c>
      <c r="H53" s="64">
        <f t="shared" si="3"/>
        <v>40</v>
      </c>
      <c r="I53" s="97" t="str">
        <f t="shared" si="4"/>
        <v>keine Anmeldungen in diesem Monat</v>
      </c>
      <c r="J53" s="97"/>
      <c r="K53" s="97"/>
      <c r="L53" s="97"/>
      <c r="M53" s="97"/>
      <c r="N53" s="97"/>
    </row>
    <row r="54" spans="2:14" ht="15.75" customHeight="1" x14ac:dyDescent="0.25">
      <c r="C54" s="48" t="s">
        <v>362</v>
      </c>
      <c r="D54" s="49">
        <f>COUNTIFS(Teilnehmerliste!$C$18:$C$97,"&gt;="&amp;DATE(Berichtsjahr,12,1),Teilnehmerliste!$C$18:$C$97,"&lt;="&amp;DATE(Berichtsjahr,13,0))</f>
        <v>0</v>
      </c>
      <c r="E54" s="64">
        <f>SUM($D$43:D54)</f>
        <v>47</v>
      </c>
      <c r="F54" s="65">
        <f>COUNTIFS(Teilnehmerliste!$C$18:$C$97,"&gt;="&amp;DATE(Berichtsjahr,12,1),Teilnehmerliste!$C$18:$C$97,"&lt;="&amp;DATE(Berichtsjahr,13,0),Teilnehmerliste!$O$18:$O$97,"Abgesagt")+COUNTIFS(Teilnehmerliste!$C$18:$C$97,"&gt;="&amp;DATE(Berichtsjahr,12,1),Teilnehmerliste!$C$18:$C$97,"&lt;="&amp;DATE(Berichtsjahr,13,0),Teilnehmerliste!$O$18:$O$97,"Storniert")</f>
        <v>0</v>
      </c>
      <c r="G54" s="66">
        <f t="shared" si="2"/>
        <v>1.175</v>
      </c>
      <c r="H54" s="64">
        <f t="shared" si="3"/>
        <v>40</v>
      </c>
      <c r="I54" s="97" t="str">
        <f t="shared" si="4"/>
        <v>keine Anmeldungen in diesem Monat</v>
      </c>
      <c r="J54" s="97"/>
      <c r="K54" s="97"/>
      <c r="L54" s="97"/>
      <c r="M54" s="97"/>
      <c r="N54" s="97"/>
    </row>
    <row r="55" spans="2:14" ht="18" customHeight="1" x14ac:dyDescent="0.25">
      <c r="B55" s="52"/>
      <c r="C55" s="53" t="s">
        <v>298</v>
      </c>
      <c r="D55" s="54">
        <f>SUM(D43:D54)</f>
        <v>47</v>
      </c>
      <c r="E55" s="54">
        <f>E54</f>
        <v>47</v>
      </c>
      <c r="F55" s="54">
        <f>SUM(F43:F54)</f>
        <v>3</v>
      </c>
      <c r="G55" s="55">
        <f>IFERROR(E54/Kapazitaet,0)</f>
        <v>1.175</v>
      </c>
      <c r="H55" s="54">
        <f t="shared" si="3"/>
        <v>40</v>
      </c>
      <c r="I55" s="102" t="str">
        <f>"Anmeldeschluss: "&amp;DAY(Anmeldeschluss)&amp;"."&amp;MONTH(Anmeldeschluss)&amp;"."&amp;YEAR(Anmeldeschluss)</f>
        <v>Anmeldeschluss: 5.6.2026</v>
      </c>
      <c r="J55" s="102"/>
      <c r="K55" s="102"/>
      <c r="L55" s="102"/>
      <c r="M55" s="102"/>
      <c r="N55" s="102"/>
    </row>
    <row r="57" spans="2:14" ht="19.5" customHeight="1" x14ac:dyDescent="0.25">
      <c r="B57" s="17" t="s">
        <v>363</v>
      </c>
      <c r="C57" s="10" t="s">
        <v>364</v>
      </c>
      <c r="D57" s="10"/>
      <c r="E57" s="10"/>
      <c r="F57" s="10"/>
      <c r="G57" s="10"/>
      <c r="H57" s="10"/>
      <c r="I57" s="9" t="s">
        <v>365</v>
      </c>
      <c r="J57" s="9"/>
      <c r="K57" s="9"/>
      <c r="L57" s="9"/>
      <c r="M57" s="9"/>
      <c r="N57" s="9"/>
    </row>
    <row r="58" spans="2:14" ht="25.5" customHeight="1" x14ac:dyDescent="0.25">
      <c r="C58" s="19" t="s">
        <v>366</v>
      </c>
      <c r="D58" s="19" t="s">
        <v>367</v>
      </c>
      <c r="E58" s="19" t="s">
        <v>368</v>
      </c>
      <c r="F58" s="19" t="s">
        <v>319</v>
      </c>
      <c r="G58" s="96" t="s">
        <v>350</v>
      </c>
      <c r="H58" s="96"/>
      <c r="I58" s="19"/>
      <c r="J58" s="96" t="s">
        <v>369</v>
      </c>
      <c r="K58" s="96"/>
      <c r="L58" s="96" t="s">
        <v>322</v>
      </c>
      <c r="M58" s="96"/>
      <c r="N58" s="96"/>
    </row>
    <row r="59" spans="2:14" ht="15.75" customHeight="1" x14ac:dyDescent="0.25">
      <c r="C59" s="48" t="s">
        <v>65</v>
      </c>
      <c r="D59" s="49">
        <f>COUNTIFS(Teilnehmerliste!$S$18:$S$97,$C59,Teilnehmerliste!$O$18:$O$97,"Bestätigt")+COUNTIFS(Teilnehmerliste!$S$18:$S$97,$C59,Teilnehmerliste!$O$18:$O$97,"Angemeldet")</f>
        <v>27</v>
      </c>
      <c r="E59" s="60">
        <f>COUNTIFS(Teilnehmerliste!$S$18:$S$97,$C59,Teilnehmerliste!$Q$18:$Q$97,"Ja")</f>
        <v>23</v>
      </c>
      <c r="F59" s="50">
        <f t="shared" ref="F59:F64" si="5">IFERROR(D59/$D$65,0)</f>
        <v>0.67500000000000004</v>
      </c>
      <c r="G59" s="97" t="str">
        <f t="shared" ref="G59:G64" si="6">IF(D59=0,"nicht erforderlich","dem Catering melden")</f>
        <v>dem Catering melden</v>
      </c>
      <c r="H59" s="97"/>
      <c r="J59" s="98" t="s">
        <v>370</v>
      </c>
      <c r="K59" s="98"/>
      <c r="L59" s="106">
        <f>COUNTIF(Teilnehmerliste!$O$18:$O$97,"Bestätigt")+COUNTIF(Teilnehmerliste!$O$18:$O$97,"Angemeldet")</f>
        <v>40</v>
      </c>
      <c r="M59" s="106"/>
      <c r="N59" s="106"/>
    </row>
    <row r="60" spans="2:14" ht="15.75" customHeight="1" x14ac:dyDescent="0.25">
      <c r="C60" s="48" t="s">
        <v>71</v>
      </c>
      <c r="D60" s="49">
        <f>COUNTIFS(Teilnehmerliste!$S$18:$S$97,$C60,Teilnehmerliste!$O$18:$O$97,"Bestätigt")+COUNTIFS(Teilnehmerliste!$S$18:$S$97,$C60,Teilnehmerliste!$O$18:$O$97,"Angemeldet")</f>
        <v>8</v>
      </c>
      <c r="E60" s="60">
        <f>COUNTIFS(Teilnehmerliste!$S$18:$S$97,$C60,Teilnehmerliste!$Q$18:$Q$97,"Ja")</f>
        <v>8</v>
      </c>
      <c r="F60" s="50">
        <f t="shared" si="5"/>
        <v>0.2</v>
      </c>
      <c r="G60" s="97" t="str">
        <f t="shared" si="6"/>
        <v>dem Catering melden</v>
      </c>
      <c r="H60" s="97"/>
      <c r="J60" s="98" t="s">
        <v>371</v>
      </c>
      <c r="K60" s="98"/>
      <c r="L60" s="107">
        <f>COUNTIF(Teilnehmerliste!$O$18:$O$97,"Bestätigt")+COUNTIF(Teilnehmerliste!$O$18:$O$97,"Angemeldet")</f>
        <v>40</v>
      </c>
      <c r="M60" s="107"/>
      <c r="N60" s="107"/>
    </row>
    <row r="61" spans="2:14" ht="15.75" customHeight="1" x14ac:dyDescent="0.25">
      <c r="C61" s="48" t="s">
        <v>129</v>
      </c>
      <c r="D61" s="49">
        <f>COUNTIFS(Teilnehmerliste!$S$18:$S$97,$C61,Teilnehmerliste!$O$18:$O$97,"Bestätigt")+COUNTIFS(Teilnehmerliste!$S$18:$S$97,$C61,Teilnehmerliste!$O$18:$O$97,"Angemeldet")</f>
        <v>2</v>
      </c>
      <c r="E61" s="60">
        <f>COUNTIFS(Teilnehmerliste!$S$18:$S$97,$C61,Teilnehmerliste!$Q$18:$Q$97,"Ja")</f>
        <v>2</v>
      </c>
      <c r="F61" s="50">
        <f t="shared" si="5"/>
        <v>0.05</v>
      </c>
      <c r="G61" s="97" t="str">
        <f t="shared" si="6"/>
        <v>dem Catering melden</v>
      </c>
      <c r="H61" s="97"/>
      <c r="J61" s="98" t="s">
        <v>372</v>
      </c>
      <c r="K61" s="98"/>
      <c r="L61" s="108">
        <f>COUNTIF(Teilnehmerliste!$Q$18:$Q$97,"Ja")</f>
        <v>36</v>
      </c>
      <c r="M61" s="108"/>
      <c r="N61" s="108"/>
    </row>
    <row r="62" spans="2:14" ht="15.75" customHeight="1" x14ac:dyDescent="0.25">
      <c r="C62" s="48" t="s">
        <v>103</v>
      </c>
      <c r="D62" s="49">
        <f>COUNTIFS(Teilnehmerliste!$S$18:$S$97,$C62,Teilnehmerliste!$O$18:$O$97,"Bestätigt")+COUNTIFS(Teilnehmerliste!$S$18:$S$97,$C62,Teilnehmerliste!$O$18:$O$97,"Angemeldet")</f>
        <v>2</v>
      </c>
      <c r="E62" s="60">
        <f>COUNTIFS(Teilnehmerliste!$S$18:$S$97,$C62,Teilnehmerliste!$Q$18:$Q$97,"Ja")</f>
        <v>2</v>
      </c>
      <c r="F62" s="50">
        <f t="shared" si="5"/>
        <v>0.05</v>
      </c>
      <c r="G62" s="97" t="str">
        <f t="shared" si="6"/>
        <v>dem Catering melden</v>
      </c>
      <c r="H62" s="97"/>
      <c r="J62" s="98" t="s">
        <v>373</v>
      </c>
      <c r="K62" s="98"/>
      <c r="L62" s="106">
        <f>COUNTIF(Teilnehmerliste!$U$18:$U$97,"Ja")</f>
        <v>33</v>
      </c>
      <c r="M62" s="106"/>
      <c r="N62" s="106"/>
    </row>
    <row r="63" spans="2:14" ht="15.75" customHeight="1" x14ac:dyDescent="0.25">
      <c r="C63" s="48" t="s">
        <v>168</v>
      </c>
      <c r="D63" s="49">
        <f>COUNTIFS(Teilnehmerliste!$S$18:$S$97,$C63,Teilnehmerliste!$O$18:$O$97,"Bestätigt")+COUNTIFS(Teilnehmerliste!$S$18:$S$97,$C63,Teilnehmerliste!$O$18:$O$97,"Angemeldet")</f>
        <v>1</v>
      </c>
      <c r="E63" s="60">
        <f>COUNTIFS(Teilnehmerliste!$S$18:$S$97,$C63,Teilnehmerliste!$Q$18:$Q$97,"Ja")</f>
        <v>1</v>
      </c>
      <c r="F63" s="50">
        <f t="shared" si="5"/>
        <v>2.5000000000000001E-2</v>
      </c>
      <c r="G63" s="97" t="str">
        <f t="shared" si="6"/>
        <v>dem Catering melden</v>
      </c>
      <c r="H63" s="97"/>
      <c r="J63" s="98" t="s">
        <v>374</v>
      </c>
      <c r="K63" s="98"/>
      <c r="L63" s="100">
        <f>MAX(0,(COUNTIF(Teilnehmerliste!$O$18:$O$97,"Bestätigt")+COUNTIF(Teilnehmerliste!$O$18:$O$97,"Angemeldet"))-COUNTIF(Teilnehmerliste!$Q$18:$Q$97,"Ja"))</f>
        <v>4</v>
      </c>
      <c r="M63" s="100"/>
      <c r="N63" s="100"/>
    </row>
    <row r="64" spans="2:14" ht="15.75" customHeight="1" x14ac:dyDescent="0.25">
      <c r="C64" s="48" t="s">
        <v>375</v>
      </c>
      <c r="D64" s="49">
        <f>COUNTIFS(Teilnehmerliste!$S$18:$S$97,$C64,Teilnehmerliste!$O$18:$O$97,"Bestätigt")+COUNTIFS(Teilnehmerliste!$S$18:$S$97,$C64,Teilnehmerliste!$O$18:$O$97,"Angemeldet")</f>
        <v>0</v>
      </c>
      <c r="E64" s="60">
        <f>COUNTIFS(Teilnehmerliste!$S$18:$S$97,$C64,Teilnehmerliste!$Q$18:$Q$97,"Ja")</f>
        <v>0</v>
      </c>
      <c r="F64" s="50">
        <f t="shared" si="5"/>
        <v>0</v>
      </c>
      <c r="G64" s="97" t="str">
        <f t="shared" si="6"/>
        <v>nicht erforderlich</v>
      </c>
      <c r="H64" s="97"/>
      <c r="J64" s="98" t="s">
        <v>376</v>
      </c>
      <c r="K64" s="98"/>
      <c r="L64" s="109">
        <f>IFERROR(SUM(Teilnehmerliste!$M$18:$M$97)/(COUNTIF(Teilnehmerliste!$O$18:$O$97,"Bestätigt")+COUNTIF(Teilnehmerliste!$O$18:$O$97,"Angemeldet")),0)</f>
        <v>359.02300000000014</v>
      </c>
      <c r="M64" s="109"/>
      <c r="N64" s="109"/>
    </row>
    <row r="65" spans="2:14" ht="18" customHeight="1" x14ac:dyDescent="0.25">
      <c r="B65" s="52"/>
      <c r="C65" s="53" t="s">
        <v>298</v>
      </c>
      <c r="D65" s="54">
        <f>SUM(D59:D64)</f>
        <v>40</v>
      </c>
      <c r="E65" s="54">
        <f>SUM(E59:E64)</f>
        <v>36</v>
      </c>
      <c r="F65" s="55">
        <f>SUM(F59:F64)</f>
        <v>1</v>
      </c>
      <c r="G65" s="102" t="str">
        <f>"Sonderkost: "&amp;(D65-D59)&amp;" von "&amp;D65&amp;" belegten Plätzen"</f>
        <v>Sonderkost: 13 von 40 belegten Plätzen</v>
      </c>
      <c r="H65" s="102"/>
      <c r="I65" s="102"/>
      <c r="J65" s="102"/>
      <c r="K65" s="102"/>
      <c r="L65" s="102"/>
      <c r="M65" s="102"/>
      <c r="N65" s="102"/>
    </row>
    <row r="67" spans="2:14" ht="19.5" customHeight="1" x14ac:dyDescent="0.25">
      <c r="B67" s="17" t="s">
        <v>377</v>
      </c>
      <c r="C67" s="10" t="s">
        <v>378</v>
      </c>
      <c r="D67" s="10"/>
      <c r="E67" s="10"/>
      <c r="F67" s="10"/>
      <c r="G67" s="10"/>
      <c r="H67" s="10"/>
      <c r="I67" s="9" t="s">
        <v>379</v>
      </c>
      <c r="J67" s="9"/>
      <c r="K67" s="9"/>
      <c r="L67" s="9"/>
      <c r="M67" s="9"/>
      <c r="N67" s="9"/>
    </row>
    <row r="68" spans="2:14" ht="25.5" customHeight="1" x14ac:dyDescent="0.25">
      <c r="C68" s="19" t="s">
        <v>38</v>
      </c>
      <c r="D68" s="96" t="s">
        <v>380</v>
      </c>
      <c r="E68" s="96"/>
      <c r="F68" s="19" t="s">
        <v>381</v>
      </c>
      <c r="G68" s="19" t="s">
        <v>336</v>
      </c>
      <c r="H68" s="19" t="s">
        <v>382</v>
      </c>
      <c r="I68" s="19" t="s">
        <v>383</v>
      </c>
      <c r="J68" s="19" t="s">
        <v>339</v>
      </c>
      <c r="K68" s="96" t="s">
        <v>320</v>
      </c>
      <c r="L68" s="96"/>
      <c r="M68" s="96"/>
      <c r="N68" s="96"/>
    </row>
    <row r="69" spans="2:14" ht="15.75" customHeight="1" x14ac:dyDescent="0.25">
      <c r="C69" s="48" t="str">
        <f>Stammdaten!$B$45</f>
        <v>Nordlicht Systeme GmbH</v>
      </c>
      <c r="D69" s="110" t="str">
        <f>Stammdaten!$C$45</f>
        <v>Firmenkontingent</v>
      </c>
      <c r="E69" s="110"/>
      <c r="F69" s="60">
        <f>Stammdaten!$D$45</f>
        <v>8</v>
      </c>
      <c r="G69" s="49">
        <f>COUNTIF(Teilnehmerliste!$F$18:$F$97,$C69)</f>
        <v>9</v>
      </c>
      <c r="H69" s="67">
        <f>COUNTIFS(Teilnehmerliste!$F$18:$F$97,$C69,Teilnehmerliste!$O$18:$O$97,"Bestätigt")+COUNTIFS(Teilnehmerliste!$F$18:$F$97,$C69,Teilnehmerliste!$O$18:$O$97,"Angemeldet")</f>
        <v>7</v>
      </c>
      <c r="I69" s="66">
        <f t="shared" ref="I69:I76" si="7">IF(F69=0,0,H69/F69)</f>
        <v>0.875</v>
      </c>
      <c r="J69" s="51">
        <f>SUMIF(Teilnehmerliste!$F$18:$F$97,$C69,Teilnehmerliste!$M$18:$M$97)</f>
        <v>2915.5</v>
      </c>
      <c r="K69" s="97" t="str">
        <f t="shared" ref="K69:K76" si="8">IF(F69=0,"ohne Kontingent – Einzelanmeldungen",IF(H69&gt;F69,"Kontingent überschritten",IF(H69=F69,"Kontingent ausgeschöpft","Plätze im Kontingent frei")))</f>
        <v>Plätze im Kontingent frei</v>
      </c>
      <c r="L69" s="97"/>
      <c r="M69" s="97"/>
      <c r="N69" s="97"/>
    </row>
    <row r="70" spans="2:14" ht="15.75" customHeight="1" x14ac:dyDescent="0.25">
      <c r="C70" s="48" t="str">
        <f>Stammdaten!$B$46</f>
        <v>Muster Stadtwerke AG</v>
      </c>
      <c r="D70" s="110" t="str">
        <f>Stammdaten!$C$46</f>
        <v>Firmenkontingent</v>
      </c>
      <c r="E70" s="110"/>
      <c r="F70" s="60">
        <f>Stammdaten!$D$46</f>
        <v>7</v>
      </c>
      <c r="G70" s="49">
        <f>COUNTIF(Teilnehmerliste!$F$18:$F$97,$C70)</f>
        <v>7</v>
      </c>
      <c r="H70" s="67">
        <f>COUNTIFS(Teilnehmerliste!$F$18:$F$97,$C70,Teilnehmerliste!$O$18:$O$97,"Bestätigt")+COUNTIFS(Teilnehmerliste!$F$18:$F$97,$C70,Teilnehmerliste!$O$18:$O$97,"Angemeldet")</f>
        <v>6</v>
      </c>
      <c r="I70" s="66">
        <f t="shared" si="7"/>
        <v>0.8571428571428571</v>
      </c>
      <c r="J70" s="51">
        <f>SUMIF(Teilnehmerliste!$F$18:$F$97,$C70,Teilnehmerliste!$M$18:$M$97)</f>
        <v>2499</v>
      </c>
      <c r="K70" s="97" t="str">
        <f t="shared" si="8"/>
        <v>Plätze im Kontingent frei</v>
      </c>
      <c r="L70" s="97"/>
      <c r="M70" s="97"/>
      <c r="N70" s="97"/>
    </row>
    <row r="71" spans="2:14" ht="15.75" customHeight="1" x14ac:dyDescent="0.25">
      <c r="C71" s="48" t="str">
        <f>Stammdaten!$B$47</f>
        <v>Bergmann &amp; Partner mbB</v>
      </c>
      <c r="D71" s="110" t="str">
        <f>Stammdaten!$C$47</f>
        <v>Kooperationspartner</v>
      </c>
      <c r="E71" s="110"/>
      <c r="F71" s="60">
        <f>Stammdaten!$D$47</f>
        <v>5</v>
      </c>
      <c r="G71" s="49">
        <f>COUNTIF(Teilnehmerliste!$F$18:$F$97,$C71)</f>
        <v>6</v>
      </c>
      <c r="H71" s="67">
        <f>COUNTIFS(Teilnehmerliste!$F$18:$F$97,$C71,Teilnehmerliste!$O$18:$O$97,"Bestätigt")+COUNTIFS(Teilnehmerliste!$F$18:$F$97,$C71,Teilnehmerliste!$O$18:$O$97,"Angemeldet")</f>
        <v>5</v>
      </c>
      <c r="I71" s="66">
        <f t="shared" si="7"/>
        <v>1</v>
      </c>
      <c r="J71" s="51">
        <f>SUMIF(Teilnehmerliste!$F$18:$F$97,$C71,Teilnehmerliste!$M$18:$M$97)</f>
        <v>2115.8199999999997</v>
      </c>
      <c r="K71" s="97" t="str">
        <f t="shared" si="8"/>
        <v>Kontingent ausgeschöpft</v>
      </c>
      <c r="L71" s="97"/>
      <c r="M71" s="97"/>
      <c r="N71" s="97"/>
    </row>
    <row r="72" spans="2:14" ht="15.75" customHeight="1" x14ac:dyDescent="0.25">
      <c r="C72" s="48" t="str">
        <f>Stammdaten!$B$48</f>
        <v>Sonnenfeld Logistik GmbH</v>
      </c>
      <c r="D72" s="110" t="str">
        <f>Stammdaten!$C$48</f>
        <v>Firmenkontingent</v>
      </c>
      <c r="E72" s="110"/>
      <c r="F72" s="60">
        <f>Stammdaten!$D$48</f>
        <v>5</v>
      </c>
      <c r="G72" s="49">
        <f>COUNTIF(Teilnehmerliste!$F$18:$F$97,$C72)</f>
        <v>6</v>
      </c>
      <c r="H72" s="67">
        <f>COUNTIFS(Teilnehmerliste!$F$18:$F$97,$C72,Teilnehmerliste!$O$18:$O$97,"Bestätigt")+COUNTIFS(Teilnehmerliste!$F$18:$F$97,$C72,Teilnehmerliste!$O$18:$O$97,"Angemeldet")</f>
        <v>6</v>
      </c>
      <c r="I72" s="66">
        <f t="shared" si="7"/>
        <v>1.2</v>
      </c>
      <c r="J72" s="51">
        <f>SUMIF(Teilnehmerliste!$F$18:$F$97,$C72,Teilnehmerliste!$M$18:$M$97)</f>
        <v>2272.9</v>
      </c>
      <c r="K72" s="97" t="str">
        <f t="shared" si="8"/>
        <v>Kontingent überschritten</v>
      </c>
      <c r="L72" s="97"/>
      <c r="M72" s="97"/>
      <c r="N72" s="97"/>
    </row>
    <row r="73" spans="2:14" ht="15.75" customHeight="1" x14ac:dyDescent="0.25">
      <c r="C73" s="48" t="str">
        <f>Stammdaten!$B$49</f>
        <v>Werkstoff Technik AG</v>
      </c>
      <c r="D73" s="110" t="str">
        <f>Stammdaten!$C$49</f>
        <v>Firmenkontingent</v>
      </c>
      <c r="E73" s="110"/>
      <c r="F73" s="60">
        <f>Stammdaten!$D$49</f>
        <v>5</v>
      </c>
      <c r="G73" s="49">
        <f>COUNTIF(Teilnehmerliste!$F$18:$F$97,$C73)</f>
        <v>6</v>
      </c>
      <c r="H73" s="67">
        <f>COUNTIFS(Teilnehmerliste!$F$18:$F$97,$C73,Teilnehmerliste!$O$18:$O$97,"Bestätigt")+COUNTIFS(Teilnehmerliste!$F$18:$F$97,$C73,Teilnehmerliste!$O$18:$O$97,"Angemeldet")</f>
        <v>5</v>
      </c>
      <c r="I73" s="66">
        <f t="shared" si="7"/>
        <v>1</v>
      </c>
      <c r="J73" s="51">
        <f>SUMIF(Teilnehmerliste!$F$18:$F$97,$C73,Teilnehmerliste!$M$18:$M$97)</f>
        <v>2237.1999999999998</v>
      </c>
      <c r="K73" s="97" t="str">
        <f t="shared" si="8"/>
        <v>Kontingent ausgeschöpft</v>
      </c>
      <c r="L73" s="97"/>
      <c r="M73" s="97"/>
      <c r="N73" s="97"/>
    </row>
    <row r="74" spans="2:14" ht="15.75" customHeight="1" x14ac:dyDescent="0.25">
      <c r="C74" s="48" t="str">
        <f>Stammdaten!$B$50</f>
        <v>Verwaltung Musterkreis</v>
      </c>
      <c r="D74" s="110" t="str">
        <f>Stammdaten!$C$50</f>
        <v>Öffentliche Hand</v>
      </c>
      <c r="E74" s="110"/>
      <c r="F74" s="60">
        <f>Stammdaten!$D$50</f>
        <v>6</v>
      </c>
      <c r="G74" s="49">
        <f>COUNTIF(Teilnehmerliste!$F$18:$F$97,$C74)</f>
        <v>6</v>
      </c>
      <c r="H74" s="67">
        <f>COUNTIFS(Teilnehmerliste!$F$18:$F$97,$C74,Teilnehmerliste!$O$18:$O$97,"Bestätigt")+COUNTIFS(Teilnehmerliste!$F$18:$F$97,$C74,Teilnehmerliste!$O$18:$O$97,"Angemeldet")</f>
        <v>5</v>
      </c>
      <c r="I74" s="66">
        <f t="shared" si="7"/>
        <v>0.83333333333333337</v>
      </c>
      <c r="J74" s="51">
        <f>SUMIF(Teilnehmerliste!$F$18:$F$97,$C74,Teilnehmerliste!$M$18:$M$97)</f>
        <v>1725.5</v>
      </c>
      <c r="K74" s="97" t="str">
        <f t="shared" si="8"/>
        <v>Plätze im Kontingent frei</v>
      </c>
      <c r="L74" s="97"/>
      <c r="M74" s="97"/>
      <c r="N74" s="97"/>
    </row>
    <row r="75" spans="2:14" ht="15.75" customHeight="1" x14ac:dyDescent="0.25">
      <c r="C75" s="48" t="str">
        <f>Stammdaten!$B$51</f>
        <v>Institut für Weiterbildung Musterstadt</v>
      </c>
      <c r="D75" s="110" t="str">
        <f>Stammdaten!$C$51</f>
        <v>Bildungspartner</v>
      </c>
      <c r="E75" s="110"/>
      <c r="F75" s="60">
        <f>Stammdaten!$D$51</f>
        <v>3</v>
      </c>
      <c r="G75" s="49">
        <f>COUNTIF(Teilnehmerliste!$F$18:$F$97,$C75)</f>
        <v>4</v>
      </c>
      <c r="H75" s="67">
        <f>COUNTIFS(Teilnehmerliste!$F$18:$F$97,$C75,Teilnehmerliste!$O$18:$O$97,"Bestätigt")+COUNTIFS(Teilnehmerliste!$F$18:$F$97,$C75,Teilnehmerliste!$O$18:$O$97,"Angemeldet")</f>
        <v>3</v>
      </c>
      <c r="I75" s="66">
        <f t="shared" si="7"/>
        <v>1</v>
      </c>
      <c r="J75" s="51">
        <f>SUMIF(Teilnehmerliste!$F$18:$F$97,$C75,Teilnehmerliste!$M$18:$M$97)</f>
        <v>0</v>
      </c>
      <c r="K75" s="97" t="str">
        <f t="shared" si="8"/>
        <v>Kontingent ausgeschöpft</v>
      </c>
      <c r="L75" s="97"/>
      <c r="M75" s="97"/>
      <c r="N75" s="97"/>
    </row>
    <row r="76" spans="2:14" ht="15.75" customHeight="1" x14ac:dyDescent="0.25">
      <c r="C76" s="48" t="str">
        <f>Stammdaten!$B$52</f>
        <v>Privat / Freiberuflich</v>
      </c>
      <c r="D76" s="110" t="str">
        <f>Stammdaten!$C$52</f>
        <v>Einzelanmeldung</v>
      </c>
      <c r="E76" s="110"/>
      <c r="F76" s="60">
        <f>Stammdaten!$D$52</f>
        <v>0</v>
      </c>
      <c r="G76" s="49">
        <f>COUNTIF(Teilnehmerliste!$F$18:$F$97,$C76)</f>
        <v>3</v>
      </c>
      <c r="H76" s="67">
        <f>COUNTIFS(Teilnehmerliste!$F$18:$F$97,$C76,Teilnehmerliste!$O$18:$O$97,"Bestätigt")+COUNTIFS(Teilnehmerliste!$F$18:$F$97,$C76,Teilnehmerliste!$O$18:$O$97,"Angemeldet")</f>
        <v>3</v>
      </c>
      <c r="I76" s="66">
        <f t="shared" si="7"/>
        <v>0</v>
      </c>
      <c r="J76" s="51">
        <f>SUMIF(Teilnehmerliste!$F$18:$F$97,$C76,Teilnehmerliste!$M$18:$M$97)</f>
        <v>595</v>
      </c>
      <c r="K76" s="97" t="str">
        <f t="shared" si="8"/>
        <v>ohne Kontingent – Einzelanmeldungen</v>
      </c>
      <c r="L76" s="97"/>
      <c r="M76" s="97"/>
      <c r="N76" s="97"/>
    </row>
    <row r="77" spans="2:14" ht="18" customHeight="1" x14ac:dyDescent="0.25">
      <c r="B77" s="52"/>
      <c r="C77" s="53" t="s">
        <v>298</v>
      </c>
      <c r="D77" s="102" t="s">
        <v>384</v>
      </c>
      <c r="E77" s="102"/>
      <c r="F77" s="54">
        <f>SUM(F69:F76)</f>
        <v>39</v>
      </c>
      <c r="G77" s="54">
        <f>SUM(G69:G76)</f>
        <v>47</v>
      </c>
      <c r="H77" s="54">
        <f>SUM(H69:H76)</f>
        <v>40</v>
      </c>
      <c r="I77" s="55">
        <f>IFERROR(H77/F77,0)</f>
        <v>1.0256410256410255</v>
      </c>
      <c r="J77" s="56">
        <f>SUM(J69:J76)</f>
        <v>14360.919999999998</v>
      </c>
      <c r="K77" s="102" t="str">
        <f>"Kontingente insgesamt "&amp;F77&amp;" Plätze"</f>
        <v>Kontingente insgesamt 39 Plätze</v>
      </c>
      <c r="L77" s="102"/>
      <c r="M77" s="102"/>
      <c r="N77" s="102"/>
    </row>
    <row r="79" spans="2:14" ht="19.5" customHeight="1" x14ac:dyDescent="0.25">
      <c r="B79" s="17" t="s">
        <v>385</v>
      </c>
      <c r="C79" s="10" t="s">
        <v>386</v>
      </c>
      <c r="D79" s="10"/>
      <c r="E79" s="10"/>
      <c r="F79" s="10"/>
      <c r="G79" s="10"/>
      <c r="H79" s="10"/>
      <c r="I79" s="9" t="s">
        <v>387</v>
      </c>
      <c r="J79" s="9"/>
      <c r="K79" s="9"/>
      <c r="L79" s="9"/>
      <c r="M79" s="9"/>
      <c r="N79" s="9"/>
    </row>
    <row r="80" spans="2:14" ht="25.5" customHeight="1" x14ac:dyDescent="0.25">
      <c r="C80" s="96" t="s">
        <v>388</v>
      </c>
      <c r="D80" s="96"/>
      <c r="E80" s="96"/>
      <c r="F80" s="96" t="s">
        <v>389</v>
      </c>
      <c r="G80" s="96"/>
      <c r="H80" s="96" t="s">
        <v>390</v>
      </c>
      <c r="I80" s="96"/>
      <c r="J80" s="96" t="s">
        <v>391</v>
      </c>
      <c r="K80" s="96"/>
      <c r="L80" s="96" t="s">
        <v>392</v>
      </c>
      <c r="M80" s="96"/>
      <c r="N80" s="96"/>
    </row>
    <row r="81" spans="2:14" ht="15.75" customHeight="1" x14ac:dyDescent="0.25">
      <c r="C81" s="111" t="s">
        <v>393</v>
      </c>
      <c r="D81" s="111"/>
      <c r="E81" s="111"/>
      <c r="F81" s="101">
        <f>IFERROR((COUNTIF(Teilnehmerliste!$O$18:$O$97,"Bestätigt")+COUNTIF(Teilnehmerliste!$O$18:$O$97,"Angemeldet"))/Kapazitaet,0)</f>
        <v>1</v>
      </c>
      <c r="G81" s="101"/>
      <c r="H81" s="112">
        <f>Ziel_Auslastung</f>
        <v>0.9</v>
      </c>
      <c r="I81" s="112"/>
      <c r="J81" s="113" t="str">
        <f>IF(F81&gt;=H81,"OK","PRÜFEN")</f>
        <v>OK</v>
      </c>
      <c r="K81" s="113"/>
      <c r="L81" s="97" t="s">
        <v>394</v>
      </c>
      <c r="M81" s="97"/>
      <c r="N81" s="97"/>
    </row>
    <row r="82" spans="2:14" ht="15.75" customHeight="1" x14ac:dyDescent="0.25">
      <c r="C82" s="111" t="s">
        <v>395</v>
      </c>
      <c r="D82" s="111"/>
      <c r="E82" s="111"/>
      <c r="F82" s="114">
        <f>COUNTIF(Teilnehmerliste!$O$18:$O$97,"Bestätigt")+COUNTIF(Teilnehmerliste!$O$18:$O$97,"Angemeldet")</f>
        <v>40</v>
      </c>
      <c r="G82" s="114"/>
      <c r="H82" s="115">
        <f>Mindestteilnehmer</f>
        <v>20</v>
      </c>
      <c r="I82" s="115"/>
      <c r="J82" s="113" t="str">
        <f>IF(F82&gt;=H82,"OK","PRÜFEN")</f>
        <v>OK</v>
      </c>
      <c r="K82" s="113"/>
      <c r="L82" s="97" t="s">
        <v>396</v>
      </c>
      <c r="M82" s="97"/>
      <c r="N82" s="97"/>
    </row>
    <row r="83" spans="2:14" ht="15.75" customHeight="1" x14ac:dyDescent="0.25">
      <c r="C83" s="111" t="s">
        <v>397</v>
      </c>
      <c r="D83" s="111"/>
      <c r="E83" s="111"/>
      <c r="F83" s="101">
        <f>IFERROR(COUNTIF(Teilnehmerliste!$Q$18:$Q$97,"Ja")/(COUNTIF(Teilnehmerliste!$O$18:$O$97,"Bestätigt")+COUNTIF(Teilnehmerliste!$O$18:$O$97,"Angemeldet")),0)</f>
        <v>0.9</v>
      </c>
      <c r="G83" s="101"/>
      <c r="H83" s="112">
        <f>Ziel_Checkin</f>
        <v>0.9</v>
      </c>
      <c r="I83" s="112"/>
      <c r="J83" s="113" t="str">
        <f>IF(F83&gt;=H83,"OK","PRÜFEN")</f>
        <v>OK</v>
      </c>
      <c r="K83" s="113"/>
      <c r="L83" s="97" t="s">
        <v>398</v>
      </c>
      <c r="M83" s="97"/>
      <c r="N83" s="97"/>
    </row>
    <row r="84" spans="2:14" ht="15.75" customHeight="1" x14ac:dyDescent="0.25">
      <c r="C84" s="111" t="s">
        <v>399</v>
      </c>
      <c r="D84" s="111"/>
      <c r="E84" s="111"/>
      <c r="F84" s="109">
        <f>SUMIF(Teilnehmerliste!$N$18:$N$97,"Offen",Teilnehmerliste!$M$18:$M$97)</f>
        <v>1856.4</v>
      </c>
      <c r="G84" s="109"/>
      <c r="H84" s="116">
        <v>0</v>
      </c>
      <c r="I84" s="116"/>
      <c r="J84" s="113" t="str">
        <f>IF(F84&lt;=H84,"OK","PRÜFEN")</f>
        <v>PRÜFEN</v>
      </c>
      <c r="K84" s="113"/>
      <c r="L84" s="97" t="s">
        <v>400</v>
      </c>
      <c r="M84" s="97"/>
      <c r="N84" s="97"/>
    </row>
    <row r="85" spans="2:14" ht="15.75" customHeight="1" x14ac:dyDescent="0.25">
      <c r="C85" s="111" t="s">
        <v>401</v>
      </c>
      <c r="D85" s="111"/>
      <c r="E85" s="111"/>
      <c r="F85" s="114">
        <f ca="1">COUNTIF(Teilnehmerliste!$W$18:$W$97,"Einwilligung fehlt")</f>
        <v>1</v>
      </c>
      <c r="G85" s="114"/>
      <c r="H85" s="115">
        <v>0</v>
      </c>
      <c r="I85" s="115"/>
      <c r="J85" s="113" t="str">
        <f ca="1">IF(F85&lt;=H85,"OK","PRÜFEN")</f>
        <v>PRÜFEN</v>
      </c>
      <c r="K85" s="113"/>
      <c r="L85" s="97" t="s">
        <v>402</v>
      </c>
      <c r="M85" s="97"/>
      <c r="N85" s="97"/>
    </row>
    <row r="86" spans="2:14" ht="15.75" customHeight="1" x14ac:dyDescent="0.25">
      <c r="C86" s="111" t="s">
        <v>403</v>
      </c>
      <c r="D86" s="111"/>
      <c r="E86" s="111"/>
      <c r="F86" s="114">
        <f ca="1">COUNTIF(Teilnehmerliste!$W$18:$W$97,"Doppelte Anmeldung")</f>
        <v>2</v>
      </c>
      <c r="G86" s="114"/>
      <c r="H86" s="115">
        <v>0</v>
      </c>
      <c r="I86" s="115"/>
      <c r="J86" s="113" t="str">
        <f ca="1">IF(F86&lt;=H86,"OK","PRÜFEN")</f>
        <v>PRÜFEN</v>
      </c>
      <c r="K86" s="113"/>
      <c r="L86" s="97" t="s">
        <v>404</v>
      </c>
      <c r="M86" s="97"/>
      <c r="N86" s="97"/>
    </row>
    <row r="87" spans="2:14" ht="15.75" customHeight="1" x14ac:dyDescent="0.25">
      <c r="C87" s="111" t="s">
        <v>405</v>
      </c>
      <c r="D87" s="111"/>
      <c r="E87" s="111"/>
      <c r="F87" s="114">
        <f ca="1">COUNTIF(Teilnehmerliste!$W$18:$W$97,"E-Mail fehlt")</f>
        <v>1</v>
      </c>
      <c r="G87" s="114"/>
      <c r="H87" s="115">
        <v>0</v>
      </c>
      <c r="I87" s="115"/>
      <c r="J87" s="113" t="str">
        <f ca="1">IF(F87&lt;=H87,"OK","PRÜFEN")</f>
        <v>PRÜFEN</v>
      </c>
      <c r="K87" s="113"/>
      <c r="L87" s="97" t="s">
        <v>406</v>
      </c>
      <c r="M87" s="97"/>
      <c r="N87" s="97"/>
    </row>
    <row r="88" spans="2:14" ht="15.75" customHeight="1" x14ac:dyDescent="0.25">
      <c r="C88" s="111" t="s">
        <v>407</v>
      </c>
      <c r="D88" s="111"/>
      <c r="E88" s="111"/>
      <c r="F88" s="114">
        <f ca="1">COUNTIF(Teilnehmerliste!$W$18:$W$97,"Nach Anmeldeschluss")</f>
        <v>2</v>
      </c>
      <c r="G88" s="114"/>
      <c r="H88" s="117">
        <f>Anmeldeschluss</f>
        <v>46178</v>
      </c>
      <c r="I88" s="117"/>
      <c r="J88" s="113" t="str">
        <f ca="1">IF(F88=0,"OK","INFO")</f>
        <v>INFO</v>
      </c>
      <c r="K88" s="113"/>
      <c r="L88" s="97" t="s">
        <v>408</v>
      </c>
      <c r="M88" s="97"/>
      <c r="N88" s="97"/>
    </row>
    <row r="89" spans="2:14" ht="15.75" customHeight="1" x14ac:dyDescent="0.25">
      <c r="C89" s="111" t="s">
        <v>409</v>
      </c>
      <c r="D89" s="111"/>
      <c r="E89" s="111"/>
      <c r="F89" s="118">
        <f>Loeschdatum</f>
        <v>46281</v>
      </c>
      <c r="G89" s="118"/>
      <c r="H89" s="117">
        <f ca="1">Stichtag</f>
        <v>46227</v>
      </c>
      <c r="I89" s="117"/>
      <c r="J89" s="113" t="str">
        <f ca="1">IF(Stichtag&gt;=Loeschdatum,"PRÜFEN","OK")</f>
        <v>OK</v>
      </c>
      <c r="K89" s="113"/>
      <c r="L89" s="97" t="s">
        <v>410</v>
      </c>
      <c r="M89" s="97"/>
      <c r="N89" s="97"/>
    </row>
    <row r="91" spans="2:14" ht="19.5" customHeight="1" x14ac:dyDescent="0.25">
      <c r="B91" s="17" t="s">
        <v>411</v>
      </c>
      <c r="C91" s="10" t="s">
        <v>412</v>
      </c>
      <c r="D91" s="10"/>
      <c r="E91" s="10"/>
      <c r="F91" s="10"/>
      <c r="G91" s="10"/>
      <c r="H91" s="10"/>
      <c r="I91" s="9"/>
      <c r="J91" s="9"/>
      <c r="K91" s="9"/>
      <c r="L91" s="9"/>
      <c r="M91" s="9"/>
      <c r="N91" s="9"/>
    </row>
    <row r="92" spans="2:14" ht="15" customHeight="1" x14ac:dyDescent="0.25"/>
    <row r="93" spans="2:14" ht="15" customHeight="1" x14ac:dyDescent="0.25"/>
    <row r="94" spans="2:14" ht="15" customHeight="1" x14ac:dyDescent="0.25"/>
    <row r="95" spans="2:14" ht="15" customHeight="1" x14ac:dyDescent="0.25"/>
    <row r="96" spans="2:14"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sheetData>
  <mergeCells count="196">
    <mergeCell ref="C89:E89"/>
    <mergeCell ref="F89:G89"/>
    <mergeCell ref="H89:I89"/>
    <mergeCell ref="J89:K89"/>
    <mergeCell ref="L89:N89"/>
    <mergeCell ref="C91:H91"/>
    <mergeCell ref="I91:N91"/>
    <mergeCell ref="C87:E87"/>
    <mergeCell ref="F87:G87"/>
    <mergeCell ref="H87:I87"/>
    <mergeCell ref="J87:K87"/>
    <mergeCell ref="L87:N87"/>
    <mergeCell ref="C88:E88"/>
    <mergeCell ref="F88:G88"/>
    <mergeCell ref="H88:I88"/>
    <mergeCell ref="J88:K88"/>
    <mergeCell ref="L88:N88"/>
    <mergeCell ref="C85:E85"/>
    <mergeCell ref="F85:G85"/>
    <mergeCell ref="H85:I85"/>
    <mergeCell ref="J85:K85"/>
    <mergeCell ref="L85:N85"/>
    <mergeCell ref="C86:E86"/>
    <mergeCell ref="F86:G86"/>
    <mergeCell ref="H86:I86"/>
    <mergeCell ref="J86:K86"/>
    <mergeCell ref="L86:N86"/>
    <mergeCell ref="C83:E83"/>
    <mergeCell ref="F83:G83"/>
    <mergeCell ref="H83:I83"/>
    <mergeCell ref="J83:K83"/>
    <mergeCell ref="L83:N83"/>
    <mergeCell ref="C84:E84"/>
    <mergeCell ref="F84:G84"/>
    <mergeCell ref="H84:I84"/>
    <mergeCell ref="J84:K84"/>
    <mergeCell ref="L84:N84"/>
    <mergeCell ref="C81:E81"/>
    <mergeCell ref="F81:G81"/>
    <mergeCell ref="H81:I81"/>
    <mergeCell ref="J81:K81"/>
    <mergeCell ref="L81:N81"/>
    <mergeCell ref="C82:E82"/>
    <mergeCell ref="F82:G82"/>
    <mergeCell ref="H82:I82"/>
    <mergeCell ref="J82:K82"/>
    <mergeCell ref="L82:N82"/>
    <mergeCell ref="D75:E75"/>
    <mergeCell ref="K75:N75"/>
    <mergeCell ref="D76:E76"/>
    <mergeCell ref="K76:N76"/>
    <mergeCell ref="D77:E77"/>
    <mergeCell ref="K77:N77"/>
    <mergeCell ref="C79:H79"/>
    <mergeCell ref="I79:N79"/>
    <mergeCell ref="C80:E80"/>
    <mergeCell ref="F80:G80"/>
    <mergeCell ref="H80:I80"/>
    <mergeCell ref="J80:K80"/>
    <mergeCell ref="L80:N80"/>
    <mergeCell ref="D70:E70"/>
    <mergeCell ref="K70:N70"/>
    <mergeCell ref="D71:E71"/>
    <mergeCell ref="K71:N71"/>
    <mergeCell ref="D72:E72"/>
    <mergeCell ref="K72:N72"/>
    <mergeCell ref="D73:E73"/>
    <mergeCell ref="K73:N73"/>
    <mergeCell ref="D74:E74"/>
    <mergeCell ref="K74:N74"/>
    <mergeCell ref="G64:H64"/>
    <mergeCell ref="J64:K64"/>
    <mergeCell ref="L64:N64"/>
    <mergeCell ref="G65:N65"/>
    <mergeCell ref="C67:H67"/>
    <mergeCell ref="I67:N67"/>
    <mergeCell ref="D68:E68"/>
    <mergeCell ref="K68:N68"/>
    <mergeCell ref="D69:E69"/>
    <mergeCell ref="K69:N69"/>
    <mergeCell ref="G61:H61"/>
    <mergeCell ref="J61:K61"/>
    <mergeCell ref="L61:N61"/>
    <mergeCell ref="G62:H62"/>
    <mergeCell ref="J62:K62"/>
    <mergeCell ref="L62:N62"/>
    <mergeCell ref="G63:H63"/>
    <mergeCell ref="J63:K63"/>
    <mergeCell ref="L63:N63"/>
    <mergeCell ref="G58:H58"/>
    <mergeCell ref="J58:K58"/>
    <mergeCell ref="L58:N58"/>
    <mergeCell ref="G59:H59"/>
    <mergeCell ref="J59:K59"/>
    <mergeCell ref="L59:N59"/>
    <mergeCell ref="G60:H60"/>
    <mergeCell ref="J60:K60"/>
    <mergeCell ref="L60:N60"/>
    <mergeCell ref="I49:N49"/>
    <mergeCell ref="I50:N50"/>
    <mergeCell ref="I51:N51"/>
    <mergeCell ref="I52:N52"/>
    <mergeCell ref="I53:N53"/>
    <mergeCell ref="I54:N54"/>
    <mergeCell ref="I55:N55"/>
    <mergeCell ref="C57:H57"/>
    <mergeCell ref="I57:N57"/>
    <mergeCell ref="C41:H41"/>
    <mergeCell ref="I41:N41"/>
    <mergeCell ref="I42:N42"/>
    <mergeCell ref="I43:N43"/>
    <mergeCell ref="I44:N44"/>
    <mergeCell ref="I45:N45"/>
    <mergeCell ref="I46:N46"/>
    <mergeCell ref="I47:N47"/>
    <mergeCell ref="I48:N48"/>
    <mergeCell ref="J31:N31"/>
    <mergeCell ref="J32:N32"/>
    <mergeCell ref="J33:N33"/>
    <mergeCell ref="J34:N34"/>
    <mergeCell ref="J35:N35"/>
    <mergeCell ref="J36:N36"/>
    <mergeCell ref="J37:N37"/>
    <mergeCell ref="J38:N38"/>
    <mergeCell ref="J39:N39"/>
    <mergeCell ref="D26:E26"/>
    <mergeCell ref="F26:G26"/>
    <mergeCell ref="J26:N26"/>
    <mergeCell ref="D27:E27"/>
    <mergeCell ref="F27:G27"/>
    <mergeCell ref="J27:N27"/>
    <mergeCell ref="C29:H29"/>
    <mergeCell ref="I29:N29"/>
    <mergeCell ref="J30:N30"/>
    <mergeCell ref="D23:E23"/>
    <mergeCell ref="F23:G23"/>
    <mergeCell ref="J23:N23"/>
    <mergeCell ref="D24:E24"/>
    <mergeCell ref="F24:G24"/>
    <mergeCell ref="J24:N24"/>
    <mergeCell ref="D25:E25"/>
    <mergeCell ref="F25:G25"/>
    <mergeCell ref="J25:N25"/>
    <mergeCell ref="G18:N18"/>
    <mergeCell ref="C20:H20"/>
    <mergeCell ref="I20:N20"/>
    <mergeCell ref="D21:E21"/>
    <mergeCell ref="F21:G21"/>
    <mergeCell ref="J21:N21"/>
    <mergeCell ref="D22:E22"/>
    <mergeCell ref="F22:G22"/>
    <mergeCell ref="J22:N22"/>
    <mergeCell ref="G15:I15"/>
    <mergeCell ref="J15:K15"/>
    <mergeCell ref="L15:N15"/>
    <mergeCell ref="G16:I16"/>
    <mergeCell ref="J16:K16"/>
    <mergeCell ref="L16:N16"/>
    <mergeCell ref="G17:I17"/>
    <mergeCell ref="J17:K17"/>
    <mergeCell ref="L17:N17"/>
    <mergeCell ref="C11:H11"/>
    <mergeCell ref="I11:N11"/>
    <mergeCell ref="G12:I12"/>
    <mergeCell ref="J12:K12"/>
    <mergeCell ref="L12:N12"/>
    <mergeCell ref="G13:I13"/>
    <mergeCell ref="J13:K13"/>
    <mergeCell ref="L13:N13"/>
    <mergeCell ref="G14:I14"/>
    <mergeCell ref="J14:K14"/>
    <mergeCell ref="L14:N14"/>
    <mergeCell ref="B8:C8"/>
    <mergeCell ref="D8:E8"/>
    <mergeCell ref="F8:G8"/>
    <mergeCell ref="H8:I8"/>
    <mergeCell ref="J8:K8"/>
    <mergeCell ref="L8:N8"/>
    <mergeCell ref="B9:C9"/>
    <mergeCell ref="D9:E9"/>
    <mergeCell ref="F9:G9"/>
    <mergeCell ref="H9:I9"/>
    <mergeCell ref="J9:K9"/>
    <mergeCell ref="L9:N9"/>
    <mergeCell ref="B2:H2"/>
    <mergeCell ref="I2:N2"/>
    <mergeCell ref="B3:H3"/>
    <mergeCell ref="I3:N3"/>
    <mergeCell ref="C6:H6"/>
    <mergeCell ref="I6:N6"/>
    <mergeCell ref="B7:C7"/>
    <mergeCell ref="D7:E7"/>
    <mergeCell ref="F7:G7"/>
    <mergeCell ref="H7:I7"/>
    <mergeCell ref="J7:K7"/>
    <mergeCell ref="L7:N7"/>
  </mergeCells>
  <conditionalFormatting sqref="C13:C17">
    <cfRule type="expression" dxfId="10" priority="2">
      <formula>$C13="Bestätigt"</formula>
    </cfRule>
    <cfRule type="expression" dxfId="9" priority="3">
      <formula>$C13="Warteliste"</formula>
    </cfRule>
    <cfRule type="expression" dxfId="8" priority="4">
      <formula>IF($C13="Abgesagt",1,IF($C13="Storniert",1,0))</formula>
    </cfRule>
  </conditionalFormatting>
  <conditionalFormatting sqref="D13:D17">
    <cfRule type="dataBar" priority="17">
      <dataBar>
        <cfvo type="num" val="0"/>
        <cfvo type="max"/>
        <color rgb="FF5D7E99"/>
      </dataBar>
      <extLst>
        <ext xmlns:x14="http://schemas.microsoft.com/office/spreadsheetml/2009/9/main" uri="{B025F937-C7B1-47D3-B67F-A62EFF666E3E}">
          <x14:id>{78863536-10CA-4F5D-96F2-F5EB98E04A92}</x14:id>
        </ext>
      </extLst>
    </cfRule>
  </conditionalFormatting>
  <conditionalFormatting sqref="D43:D54">
    <cfRule type="dataBar" priority="22">
      <dataBar>
        <cfvo type="num" val="0"/>
        <cfvo type="max"/>
        <color rgb="FF2F8C6E"/>
      </dataBar>
      <extLst>
        <ext xmlns:x14="http://schemas.microsoft.com/office/spreadsheetml/2009/9/main" uri="{B025F937-C7B1-47D3-B67F-A62EFF666E3E}">
          <x14:id>{4AAC59FC-1716-451B-A488-247E37CEE764}</x14:id>
        </ext>
      </extLst>
    </cfRule>
  </conditionalFormatting>
  <conditionalFormatting sqref="F31:F38">
    <cfRule type="dataBar" priority="21">
      <dataBar>
        <cfvo type="num" val="0"/>
        <cfvo type="max"/>
        <color rgb="FFE0742F"/>
      </dataBar>
      <extLst>
        <ext xmlns:x14="http://schemas.microsoft.com/office/spreadsheetml/2009/9/main" uri="{B025F937-C7B1-47D3-B67F-A62EFF666E3E}">
          <x14:id>{EF936610-2E4F-414B-9A2E-89DAA73C5695}</x14:id>
        </ext>
      </extLst>
    </cfRule>
  </conditionalFormatting>
  <conditionalFormatting sqref="J81:K89">
    <cfRule type="cellIs" dxfId="7" priority="25" operator="equal">
      <formula>"OK"</formula>
    </cfRule>
    <cfRule type="cellIs" dxfId="6" priority="26" operator="equal">
      <formula>"PRÜFEN"</formula>
    </cfRule>
    <cfRule type="cellIs" dxfId="5" priority="27" operator="equal">
      <formula>"INFO"</formula>
    </cfRule>
  </conditionalFormatting>
  <conditionalFormatting sqref="J22:N27">
    <cfRule type="expression" dxfId="4" priority="18">
      <formula>ISNUMBER(SEARCH("möglich",$J22))</formula>
    </cfRule>
    <cfRule type="expression" dxfId="3" priority="19">
      <formula>ISNUMBER(SEARCH("Warten",$J22))</formula>
    </cfRule>
  </conditionalFormatting>
  <conditionalFormatting sqref="J31:N38">
    <cfRule type="expression" dxfId="2" priority="20">
      <formula>ISNUMBER(SEARCH("offen",$J31))</formula>
    </cfRule>
  </conditionalFormatting>
  <conditionalFormatting sqref="K69:N76">
    <cfRule type="expression" dxfId="1" priority="23">
      <formula>ISNUMBER(SEARCH("überschritten",$K69))</formula>
    </cfRule>
    <cfRule type="expression" dxfId="0" priority="24">
      <formula>ISNUMBER(SEARCH("ausgeschöpft",$K69))</formula>
    </cfRule>
  </conditionalFormatting>
  <pageMargins left="0.75" right="0.75" top="1" bottom="1" header="0.511811023622047" footer="0.511811023622047"/>
  <pageSetup paperSize="9" fitToHeight="4" orientation="landscape" horizontalDpi="300" verticalDpi="300"/>
  <rowBreaks count="1" manualBreakCount="1">
    <brk id="90" max="16383" man="1"/>
  </rowBreaks>
  <drawing r:id="rId1"/>
  <extLst>
    <ext xmlns:x14="http://schemas.microsoft.com/office/spreadsheetml/2009/9/main" uri="{78C0D931-6437-407d-A8EE-F0AAD7539E65}">
      <x14:conditionalFormattings>
        <x14:conditionalFormatting xmlns:xm="http://schemas.microsoft.com/office/excel/2006/main">
          <x14:cfRule type="dataBar" id="{78863536-10CA-4F5D-96F2-F5EB98E04A92}">
            <x14:dataBar axisPosition="none">
              <x14:cfvo type="num">
                <xm:f>0</xm:f>
              </x14:cfvo>
              <x14:cfvo type="max"/>
              <x14:negativeFillColor rgb="FF5D7E99"/>
            </x14:dataBar>
          </x14:cfRule>
          <xm:sqref>D13:D17</xm:sqref>
        </x14:conditionalFormatting>
        <x14:conditionalFormatting xmlns:xm="http://schemas.microsoft.com/office/excel/2006/main">
          <x14:cfRule type="dataBar" id="{4AAC59FC-1716-451B-A488-247E37CEE764}">
            <x14:dataBar axisPosition="none">
              <x14:cfvo type="num">
                <xm:f>0</xm:f>
              </x14:cfvo>
              <x14:cfvo type="max"/>
              <x14:negativeFillColor rgb="FF2F8C6E"/>
            </x14:dataBar>
          </x14:cfRule>
          <xm:sqref>D43:D54</xm:sqref>
        </x14:conditionalFormatting>
        <x14:conditionalFormatting xmlns:xm="http://schemas.microsoft.com/office/excel/2006/main">
          <x14:cfRule type="dataBar" id="{EF936610-2E4F-414B-9A2E-89DAA73C5695}">
            <x14:dataBar axisPosition="none">
              <x14:cfvo type="num">
                <xm:f>0</xm:f>
              </x14:cfvo>
              <x14:cfvo type="max"/>
              <x14:negativeFillColor rgb="FFE0742F"/>
            </x14:dataBar>
          </x14:cfRule>
          <xm:sqref>F31:F38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79"/>
  <sheetViews>
    <sheetView showGridLines="0" zoomScaleNormal="100" workbookViewId="0"/>
  </sheetViews>
  <sheetFormatPr baseColWidth="10" defaultColWidth="8.7109375" defaultRowHeight="15" x14ac:dyDescent="0.25"/>
  <cols>
    <col min="1" max="1" width="1.5703125" customWidth="1"/>
    <col min="2" max="2" width="24" customWidth="1"/>
    <col min="3" max="3" width="30" customWidth="1"/>
    <col min="4" max="4" width="15" customWidth="1"/>
    <col min="5" max="5" width="13" customWidth="1"/>
    <col min="6" max="6" width="15" customWidth="1"/>
    <col min="7" max="7" width="14" customWidth="1"/>
    <col min="8" max="8" width="13" customWidth="1"/>
  </cols>
  <sheetData>
    <row r="2" spans="2:8" ht="30" customHeight="1" x14ac:dyDescent="0.25">
      <c r="B2" s="14" t="s">
        <v>413</v>
      </c>
      <c r="C2" s="14"/>
      <c r="D2" s="14"/>
      <c r="E2" s="14"/>
      <c r="F2" s="13" t="s">
        <v>414</v>
      </c>
      <c r="G2" s="13"/>
      <c r="H2" s="13"/>
    </row>
    <row r="3" spans="2:8" ht="18.75" customHeight="1" x14ac:dyDescent="0.25">
      <c r="B3" s="12" t="s">
        <v>415</v>
      </c>
      <c r="C3" s="12"/>
      <c r="D3" s="12"/>
      <c r="E3" s="12"/>
      <c r="F3" s="11" t="s">
        <v>416</v>
      </c>
      <c r="G3" s="11"/>
      <c r="H3" s="11"/>
    </row>
    <row r="4" spans="2:8" ht="6" customHeight="1" x14ac:dyDescent="0.25">
      <c r="B4" s="15"/>
      <c r="C4" s="16"/>
      <c r="D4" s="15"/>
      <c r="E4" s="16"/>
      <c r="F4" s="15"/>
      <c r="G4" s="16"/>
      <c r="H4" s="15"/>
    </row>
    <row r="6" spans="2:8" ht="19.5" customHeight="1" x14ac:dyDescent="0.25">
      <c r="B6" s="17" t="s">
        <v>1</v>
      </c>
      <c r="C6" s="10" t="s">
        <v>417</v>
      </c>
      <c r="D6" s="10"/>
      <c r="E6" s="10"/>
      <c r="F6" s="9" t="s">
        <v>418</v>
      </c>
      <c r="G6" s="9"/>
      <c r="H6" s="9"/>
    </row>
    <row r="7" spans="2:8" ht="16.5" customHeight="1" x14ac:dyDescent="0.25">
      <c r="B7" s="119" t="s">
        <v>4</v>
      </c>
      <c r="C7" s="119"/>
      <c r="D7" s="120" t="s">
        <v>419</v>
      </c>
      <c r="E7" s="120"/>
      <c r="F7" s="120"/>
      <c r="G7" s="120"/>
      <c r="H7" s="120"/>
    </row>
    <row r="8" spans="2:8" ht="16.5" customHeight="1" x14ac:dyDescent="0.25">
      <c r="B8" s="119" t="s">
        <v>420</v>
      </c>
      <c r="C8" s="119"/>
      <c r="D8" s="120" t="s">
        <v>421</v>
      </c>
      <c r="E8" s="120"/>
      <c r="F8" s="120"/>
      <c r="G8" s="120"/>
      <c r="H8" s="120"/>
    </row>
    <row r="9" spans="2:8" ht="16.5" customHeight="1" x14ac:dyDescent="0.25">
      <c r="B9" s="119" t="s">
        <v>10</v>
      </c>
      <c r="C9" s="119"/>
      <c r="D9" s="120" t="s">
        <v>422</v>
      </c>
      <c r="E9" s="120"/>
      <c r="F9" s="120"/>
      <c r="G9" s="120"/>
      <c r="H9" s="120"/>
    </row>
    <row r="10" spans="2:8" ht="16.5" customHeight="1" x14ac:dyDescent="0.25">
      <c r="B10" s="119" t="s">
        <v>423</v>
      </c>
      <c r="C10" s="119"/>
      <c r="D10" s="120" t="s">
        <v>424</v>
      </c>
      <c r="E10" s="120"/>
      <c r="F10" s="120"/>
      <c r="G10" s="120"/>
      <c r="H10" s="120"/>
    </row>
    <row r="11" spans="2:8" ht="16.5" customHeight="1" x14ac:dyDescent="0.25">
      <c r="B11" s="119" t="s">
        <v>41</v>
      </c>
      <c r="C11" s="119"/>
      <c r="D11" s="120" t="s">
        <v>425</v>
      </c>
      <c r="E11" s="120"/>
      <c r="F11" s="120"/>
      <c r="G11" s="120"/>
      <c r="H11" s="120"/>
    </row>
    <row r="12" spans="2:8" ht="16.5" customHeight="1" x14ac:dyDescent="0.25">
      <c r="B12" s="119" t="s">
        <v>426</v>
      </c>
      <c r="C12" s="119"/>
      <c r="D12" s="120" t="s">
        <v>427</v>
      </c>
      <c r="E12" s="120"/>
      <c r="F12" s="120"/>
      <c r="G12" s="120"/>
      <c r="H12" s="120"/>
    </row>
    <row r="13" spans="2:8" ht="16.5" customHeight="1" x14ac:dyDescent="0.25">
      <c r="B13" s="119" t="s">
        <v>428</v>
      </c>
      <c r="C13" s="119"/>
      <c r="D13" s="120" t="s">
        <v>429</v>
      </c>
      <c r="E13" s="120"/>
      <c r="F13" s="120"/>
      <c r="G13" s="120"/>
      <c r="H13" s="120"/>
    </row>
    <row r="14" spans="2:8" ht="16.5" customHeight="1" x14ac:dyDescent="0.25">
      <c r="B14" s="119" t="s">
        <v>430</v>
      </c>
      <c r="C14" s="119"/>
      <c r="D14" s="121">
        <v>46191</v>
      </c>
      <c r="E14" s="121"/>
      <c r="F14" s="121"/>
      <c r="G14" s="121"/>
      <c r="H14" s="121"/>
    </row>
    <row r="15" spans="2:8" ht="16.5" customHeight="1" x14ac:dyDescent="0.25">
      <c r="B15" s="119" t="s">
        <v>8</v>
      </c>
      <c r="C15" s="119"/>
      <c r="D15" s="120" t="s">
        <v>431</v>
      </c>
      <c r="E15" s="120"/>
      <c r="F15" s="120"/>
      <c r="G15" s="120"/>
      <c r="H15" s="120"/>
    </row>
    <row r="16" spans="2:8" ht="16.5" customHeight="1" x14ac:dyDescent="0.25">
      <c r="B16" s="119" t="s">
        <v>432</v>
      </c>
      <c r="C16" s="119"/>
      <c r="D16" s="120" t="s">
        <v>433</v>
      </c>
      <c r="E16" s="120"/>
      <c r="F16" s="120"/>
      <c r="G16" s="120"/>
      <c r="H16" s="120"/>
    </row>
    <row r="17" spans="2:8" ht="16.5" customHeight="1" x14ac:dyDescent="0.25">
      <c r="B17" s="119" t="s">
        <v>434</v>
      </c>
      <c r="C17" s="119"/>
      <c r="D17" s="120" t="s">
        <v>435</v>
      </c>
      <c r="E17" s="120"/>
      <c r="F17" s="120"/>
      <c r="G17" s="120"/>
      <c r="H17" s="120"/>
    </row>
    <row r="18" spans="2:8" ht="16.5" customHeight="1" x14ac:dyDescent="0.25">
      <c r="B18" s="119" t="s">
        <v>11</v>
      </c>
      <c r="C18" s="119"/>
      <c r="D18" s="121">
        <v>46178</v>
      </c>
      <c r="E18" s="121"/>
      <c r="F18" s="121"/>
      <c r="G18" s="121"/>
      <c r="H18" s="121"/>
    </row>
    <row r="20" spans="2:8" ht="19.5" customHeight="1" x14ac:dyDescent="0.25">
      <c r="B20" s="17" t="s">
        <v>14</v>
      </c>
      <c r="C20" s="10" t="s">
        <v>436</v>
      </c>
      <c r="D20" s="10"/>
      <c r="E20" s="10"/>
      <c r="F20" s="9" t="s">
        <v>437</v>
      </c>
      <c r="G20" s="9"/>
      <c r="H20" s="9"/>
    </row>
    <row r="21" spans="2:8" ht="16.5" customHeight="1" x14ac:dyDescent="0.25">
      <c r="B21" s="119" t="s">
        <v>438</v>
      </c>
      <c r="C21" s="119"/>
      <c r="D21" s="122">
        <v>40</v>
      </c>
      <c r="E21" s="122"/>
      <c r="F21" s="91" t="s">
        <v>439</v>
      </c>
      <c r="G21" s="91"/>
      <c r="H21" s="91"/>
    </row>
    <row r="22" spans="2:8" ht="16.5" customHeight="1" x14ac:dyDescent="0.25">
      <c r="B22" s="119" t="s">
        <v>440</v>
      </c>
      <c r="C22" s="119"/>
      <c r="D22" s="122">
        <v>20</v>
      </c>
      <c r="E22" s="122"/>
      <c r="F22" s="91" t="s">
        <v>441</v>
      </c>
      <c r="G22" s="91"/>
      <c r="H22" s="91"/>
    </row>
    <row r="23" spans="2:8" ht="16.5" customHeight="1" x14ac:dyDescent="0.25">
      <c r="B23" s="119" t="s">
        <v>442</v>
      </c>
      <c r="C23" s="119"/>
      <c r="D23" s="123">
        <v>14</v>
      </c>
      <c r="E23" s="123"/>
      <c r="F23" s="91" t="s">
        <v>443</v>
      </c>
      <c r="G23" s="91"/>
      <c r="H23" s="91"/>
    </row>
    <row r="24" spans="2:8" ht="16.5" customHeight="1" x14ac:dyDescent="0.25">
      <c r="B24" s="119" t="s">
        <v>444</v>
      </c>
      <c r="C24" s="119"/>
      <c r="D24" s="124">
        <v>0.19</v>
      </c>
      <c r="E24" s="124"/>
      <c r="F24" s="91" t="s">
        <v>445</v>
      </c>
      <c r="G24" s="91"/>
      <c r="H24" s="91"/>
    </row>
    <row r="25" spans="2:8" ht="16.5" customHeight="1" x14ac:dyDescent="0.25">
      <c r="B25" s="119" t="s">
        <v>446</v>
      </c>
      <c r="C25" s="119"/>
      <c r="D25" s="124">
        <v>0.9</v>
      </c>
      <c r="E25" s="124"/>
      <c r="F25" s="91" t="s">
        <v>447</v>
      </c>
      <c r="G25" s="91"/>
      <c r="H25" s="91"/>
    </row>
    <row r="26" spans="2:8" ht="16.5" customHeight="1" x14ac:dyDescent="0.25">
      <c r="B26" s="119" t="s">
        <v>448</v>
      </c>
      <c r="C26" s="119"/>
      <c r="D26" s="124">
        <v>0.9</v>
      </c>
      <c r="E26" s="124"/>
      <c r="F26" s="91" t="s">
        <v>449</v>
      </c>
      <c r="G26" s="91"/>
      <c r="H26" s="91"/>
    </row>
    <row r="27" spans="2:8" ht="16.5" customHeight="1" x14ac:dyDescent="0.25">
      <c r="B27" s="119" t="s">
        <v>450</v>
      </c>
      <c r="C27" s="119"/>
      <c r="D27" s="123">
        <v>90</v>
      </c>
      <c r="E27" s="123"/>
      <c r="F27" s="91" t="s">
        <v>451</v>
      </c>
      <c r="G27" s="91"/>
      <c r="H27" s="91"/>
    </row>
    <row r="28" spans="2:8" ht="16.5" customHeight="1" x14ac:dyDescent="0.25">
      <c r="B28" s="119" t="s">
        <v>452</v>
      </c>
      <c r="C28" s="119"/>
      <c r="D28" s="125">
        <f>Veranstaltungsdatum+Aufbewahrung</f>
        <v>46281</v>
      </c>
      <c r="E28" s="125"/>
      <c r="F28" s="91" t="s">
        <v>453</v>
      </c>
      <c r="G28" s="91"/>
      <c r="H28" s="91"/>
    </row>
    <row r="29" spans="2:8" ht="16.5" customHeight="1" x14ac:dyDescent="0.25">
      <c r="B29" s="119" t="s">
        <v>454</v>
      </c>
      <c r="C29" s="119"/>
      <c r="D29" s="125">
        <f ca="1">TODAY()</f>
        <v>46227</v>
      </c>
      <c r="E29" s="125"/>
      <c r="F29" s="91" t="s">
        <v>455</v>
      </c>
      <c r="G29" s="91"/>
      <c r="H29" s="91"/>
    </row>
    <row r="30" spans="2:8" ht="16.5" customHeight="1" x14ac:dyDescent="0.25">
      <c r="B30" s="119" t="s">
        <v>456</v>
      </c>
      <c r="C30" s="119"/>
      <c r="D30" s="126">
        <v>2026</v>
      </c>
      <c r="E30" s="126"/>
      <c r="F30" s="91" t="s">
        <v>457</v>
      </c>
      <c r="G30" s="91"/>
      <c r="H30" s="91"/>
    </row>
    <row r="32" spans="2:8" ht="19.5" customHeight="1" x14ac:dyDescent="0.25">
      <c r="B32" s="17" t="s">
        <v>31</v>
      </c>
      <c r="C32" s="10" t="s">
        <v>458</v>
      </c>
      <c r="D32" s="10"/>
      <c r="E32" s="10"/>
      <c r="F32" s="9" t="s">
        <v>459</v>
      </c>
      <c r="G32" s="9"/>
      <c r="H32" s="9"/>
    </row>
    <row r="33" spans="2:8" ht="25.5" customHeight="1" x14ac:dyDescent="0.25">
      <c r="B33" s="19" t="s">
        <v>42</v>
      </c>
      <c r="C33" s="19" t="s">
        <v>460</v>
      </c>
      <c r="D33" s="19" t="s">
        <v>461</v>
      </c>
      <c r="E33" s="19" t="s">
        <v>462</v>
      </c>
      <c r="F33" s="19" t="s">
        <v>338</v>
      </c>
      <c r="G33" s="19" t="s">
        <v>463</v>
      </c>
      <c r="H33" s="19" t="s">
        <v>52</v>
      </c>
    </row>
    <row r="34" spans="2:8" ht="15.75" customHeight="1" x14ac:dyDescent="0.25">
      <c r="B34" s="68" t="s">
        <v>61</v>
      </c>
      <c r="C34" s="23" t="s">
        <v>464</v>
      </c>
      <c r="D34" s="69">
        <v>320</v>
      </c>
      <c r="E34" s="70">
        <f t="shared" ref="E34:E41" si="0">D34*MwSt_Satz</f>
        <v>60.8</v>
      </c>
      <c r="F34" s="71">
        <f t="shared" ref="F34:F41" si="1">D34+E34</f>
        <v>380.8</v>
      </c>
      <c r="G34" s="72" t="s">
        <v>64</v>
      </c>
      <c r="H34" s="72" t="s">
        <v>64</v>
      </c>
    </row>
    <row r="35" spans="2:8" ht="15.75" customHeight="1" x14ac:dyDescent="0.25">
      <c r="B35" s="68" t="s">
        <v>65</v>
      </c>
      <c r="C35" s="23" t="s">
        <v>465</v>
      </c>
      <c r="D35" s="69">
        <v>390</v>
      </c>
      <c r="E35" s="70">
        <f t="shared" si="0"/>
        <v>74.099999999999994</v>
      </c>
      <c r="F35" s="71">
        <f t="shared" si="1"/>
        <v>464.1</v>
      </c>
      <c r="G35" s="72" t="s">
        <v>64</v>
      </c>
      <c r="H35" s="72" t="s">
        <v>64</v>
      </c>
    </row>
    <row r="36" spans="2:8" ht="15.75" customHeight="1" x14ac:dyDescent="0.25">
      <c r="B36" s="68" t="s">
        <v>110</v>
      </c>
      <c r="C36" s="23" t="s">
        <v>466</v>
      </c>
      <c r="D36" s="69">
        <v>290</v>
      </c>
      <c r="E36" s="70">
        <f t="shared" si="0"/>
        <v>55.1</v>
      </c>
      <c r="F36" s="71">
        <f t="shared" si="1"/>
        <v>345.1</v>
      </c>
      <c r="G36" s="72" t="s">
        <v>64</v>
      </c>
      <c r="H36" s="72" t="s">
        <v>64</v>
      </c>
    </row>
    <row r="37" spans="2:8" ht="15.75" customHeight="1" x14ac:dyDescent="0.25">
      <c r="B37" s="68" t="s">
        <v>78</v>
      </c>
      <c r="C37" s="23" t="s">
        <v>467</v>
      </c>
      <c r="D37" s="69">
        <v>350</v>
      </c>
      <c r="E37" s="70">
        <f t="shared" si="0"/>
        <v>66.5</v>
      </c>
      <c r="F37" s="71">
        <f t="shared" si="1"/>
        <v>416.5</v>
      </c>
      <c r="G37" s="72" t="s">
        <v>64</v>
      </c>
      <c r="H37" s="72" t="s">
        <v>64</v>
      </c>
    </row>
    <row r="38" spans="2:8" ht="15.75" customHeight="1" x14ac:dyDescent="0.25">
      <c r="B38" s="68" t="s">
        <v>156</v>
      </c>
      <c r="C38" s="23" t="s">
        <v>468</v>
      </c>
      <c r="D38" s="69">
        <v>145</v>
      </c>
      <c r="E38" s="70">
        <f t="shared" si="0"/>
        <v>27.55</v>
      </c>
      <c r="F38" s="71">
        <f t="shared" si="1"/>
        <v>172.55</v>
      </c>
      <c r="G38" s="72" t="s">
        <v>64</v>
      </c>
      <c r="H38" s="72" t="s">
        <v>64</v>
      </c>
    </row>
    <row r="39" spans="2:8" ht="15.75" customHeight="1" x14ac:dyDescent="0.25">
      <c r="B39" s="68" t="s">
        <v>242</v>
      </c>
      <c r="C39" s="23" t="s">
        <v>469</v>
      </c>
      <c r="D39" s="69">
        <v>210</v>
      </c>
      <c r="E39" s="70">
        <f t="shared" si="0"/>
        <v>39.9</v>
      </c>
      <c r="F39" s="71">
        <f t="shared" si="1"/>
        <v>249.9</v>
      </c>
      <c r="G39" s="72" t="s">
        <v>64</v>
      </c>
      <c r="H39" s="72" t="s">
        <v>195</v>
      </c>
    </row>
    <row r="40" spans="2:8" ht="15.75" customHeight="1" x14ac:dyDescent="0.25">
      <c r="B40" s="68" t="s">
        <v>117</v>
      </c>
      <c r="C40" s="23" t="s">
        <v>470</v>
      </c>
      <c r="D40" s="69">
        <v>0</v>
      </c>
      <c r="E40" s="70">
        <f t="shared" si="0"/>
        <v>0</v>
      </c>
      <c r="F40" s="71">
        <f t="shared" si="1"/>
        <v>0</v>
      </c>
      <c r="G40" s="72" t="s">
        <v>64</v>
      </c>
      <c r="H40" s="72" t="s">
        <v>64</v>
      </c>
    </row>
    <row r="41" spans="2:8" ht="15.75" customHeight="1" x14ac:dyDescent="0.25">
      <c r="B41" s="68" t="s">
        <v>228</v>
      </c>
      <c r="C41" s="23" t="s">
        <v>471</v>
      </c>
      <c r="D41" s="69">
        <v>0</v>
      </c>
      <c r="E41" s="70">
        <f t="shared" si="0"/>
        <v>0</v>
      </c>
      <c r="F41" s="71">
        <f t="shared" si="1"/>
        <v>0</v>
      </c>
      <c r="G41" s="72" t="s">
        <v>64</v>
      </c>
      <c r="H41" s="72" t="s">
        <v>195</v>
      </c>
    </row>
    <row r="43" spans="2:8" ht="19.5" customHeight="1" x14ac:dyDescent="0.25">
      <c r="B43" s="17" t="s">
        <v>333</v>
      </c>
      <c r="C43" s="10" t="s">
        <v>378</v>
      </c>
      <c r="D43" s="10"/>
      <c r="E43" s="10"/>
      <c r="F43" s="9" t="s">
        <v>472</v>
      </c>
      <c r="G43" s="9"/>
      <c r="H43" s="9"/>
    </row>
    <row r="44" spans="2:8" ht="25.5" customHeight="1" x14ac:dyDescent="0.25">
      <c r="B44" s="19" t="s">
        <v>38</v>
      </c>
      <c r="C44" s="19" t="s">
        <v>380</v>
      </c>
      <c r="D44" s="19" t="s">
        <v>381</v>
      </c>
      <c r="E44" s="96" t="s">
        <v>53</v>
      </c>
      <c r="F44" s="96"/>
      <c r="G44" s="96"/>
      <c r="H44" s="96"/>
    </row>
    <row r="45" spans="2:8" ht="15.75" customHeight="1" x14ac:dyDescent="0.25">
      <c r="B45" s="68" t="s">
        <v>57</v>
      </c>
      <c r="C45" s="23" t="s">
        <v>78</v>
      </c>
      <c r="D45" s="73">
        <v>8</v>
      </c>
      <c r="E45" s="97" t="s">
        <v>473</v>
      </c>
      <c r="F45" s="97"/>
      <c r="G45" s="97"/>
      <c r="H45" s="97"/>
    </row>
    <row r="46" spans="2:8" ht="15.75" customHeight="1" x14ac:dyDescent="0.25">
      <c r="B46" s="68" t="s">
        <v>74</v>
      </c>
      <c r="C46" s="23" t="s">
        <v>78</v>
      </c>
      <c r="D46" s="73">
        <v>7</v>
      </c>
      <c r="E46" s="97" t="s">
        <v>474</v>
      </c>
      <c r="F46" s="97"/>
      <c r="G46" s="97"/>
      <c r="H46" s="97"/>
    </row>
    <row r="47" spans="2:8" ht="15.75" customHeight="1" x14ac:dyDescent="0.25">
      <c r="B47" s="68" t="s">
        <v>86</v>
      </c>
      <c r="C47" s="23" t="s">
        <v>475</v>
      </c>
      <c r="D47" s="73">
        <v>5</v>
      </c>
      <c r="E47" s="97" t="s">
        <v>476</v>
      </c>
      <c r="F47" s="97"/>
      <c r="G47" s="97"/>
      <c r="H47" s="97"/>
    </row>
    <row r="48" spans="2:8" ht="15.75" customHeight="1" x14ac:dyDescent="0.25">
      <c r="B48" s="68" t="s">
        <v>93</v>
      </c>
      <c r="C48" s="23" t="s">
        <v>78</v>
      </c>
      <c r="D48" s="73">
        <v>5</v>
      </c>
      <c r="E48" s="97" t="s">
        <v>477</v>
      </c>
      <c r="F48" s="97"/>
      <c r="G48" s="97"/>
      <c r="H48" s="97"/>
    </row>
    <row r="49" spans="2:8" ht="15.75" customHeight="1" x14ac:dyDescent="0.25">
      <c r="B49" s="68" t="s">
        <v>99</v>
      </c>
      <c r="C49" s="23" t="s">
        <v>78</v>
      </c>
      <c r="D49" s="73">
        <v>5</v>
      </c>
      <c r="E49" s="97" t="s">
        <v>474</v>
      </c>
      <c r="F49" s="97"/>
      <c r="G49" s="97"/>
      <c r="H49" s="97"/>
    </row>
    <row r="50" spans="2:8" ht="15.75" customHeight="1" x14ac:dyDescent="0.25">
      <c r="B50" s="68" t="s">
        <v>106</v>
      </c>
      <c r="C50" s="23" t="s">
        <v>478</v>
      </c>
      <c r="D50" s="73">
        <v>6</v>
      </c>
      <c r="E50" s="97" t="s">
        <v>479</v>
      </c>
      <c r="F50" s="97"/>
      <c r="G50" s="97"/>
      <c r="H50" s="97"/>
    </row>
    <row r="51" spans="2:8" ht="15.75" customHeight="1" x14ac:dyDescent="0.25">
      <c r="B51" s="68" t="s">
        <v>113</v>
      </c>
      <c r="C51" s="23" t="s">
        <v>480</v>
      </c>
      <c r="D51" s="73">
        <v>3</v>
      </c>
      <c r="E51" s="97" t="s">
        <v>481</v>
      </c>
      <c r="F51" s="97"/>
      <c r="G51" s="97"/>
      <c r="H51" s="97"/>
    </row>
    <row r="52" spans="2:8" ht="15.75" customHeight="1" x14ac:dyDescent="0.25">
      <c r="B52" s="68" t="s">
        <v>152</v>
      </c>
      <c r="C52" s="23" t="s">
        <v>482</v>
      </c>
      <c r="D52" s="73">
        <v>0</v>
      </c>
      <c r="E52" s="97" t="s">
        <v>483</v>
      </c>
      <c r="F52" s="97"/>
      <c r="G52" s="97"/>
      <c r="H52" s="97"/>
    </row>
    <row r="54" spans="2:8" ht="19.5" customHeight="1" x14ac:dyDescent="0.25">
      <c r="B54" s="17" t="s">
        <v>342</v>
      </c>
      <c r="C54" s="10" t="s">
        <v>484</v>
      </c>
      <c r="D54" s="10"/>
      <c r="E54" s="10"/>
      <c r="F54" s="9" t="s">
        <v>485</v>
      </c>
      <c r="G54" s="9"/>
      <c r="H54" s="9"/>
    </row>
    <row r="55" spans="2:8" ht="25.5" customHeight="1" x14ac:dyDescent="0.25">
      <c r="B55" s="74" t="s">
        <v>317</v>
      </c>
      <c r="C55" s="74" t="s">
        <v>486</v>
      </c>
      <c r="D55" s="74" t="s">
        <v>50</v>
      </c>
      <c r="E55" s="74" t="s">
        <v>487</v>
      </c>
      <c r="F55" s="74" t="s">
        <v>428</v>
      </c>
      <c r="G55" s="127" t="s">
        <v>350</v>
      </c>
      <c r="H55" s="127"/>
    </row>
    <row r="56" spans="2:8" ht="15" customHeight="1" x14ac:dyDescent="0.25">
      <c r="B56" s="23" t="s">
        <v>252</v>
      </c>
      <c r="C56" s="23" t="s">
        <v>162</v>
      </c>
      <c r="D56" s="23" t="s">
        <v>65</v>
      </c>
      <c r="E56" s="23" t="s">
        <v>64</v>
      </c>
      <c r="F56" s="23" t="s">
        <v>429</v>
      </c>
      <c r="G56" s="128" t="s">
        <v>488</v>
      </c>
      <c r="H56" s="128"/>
    </row>
    <row r="57" spans="2:8" ht="15" customHeight="1" x14ac:dyDescent="0.25">
      <c r="B57" s="23" t="s">
        <v>63</v>
      </c>
      <c r="C57" s="23" t="s">
        <v>62</v>
      </c>
      <c r="D57" s="23" t="s">
        <v>71</v>
      </c>
      <c r="E57" s="23" t="s">
        <v>195</v>
      </c>
      <c r="F57" s="23" t="s">
        <v>489</v>
      </c>
      <c r="G57" s="128"/>
      <c r="H57" s="128"/>
    </row>
    <row r="58" spans="2:8" ht="15" customHeight="1" x14ac:dyDescent="0.25">
      <c r="B58" s="23" t="s">
        <v>270</v>
      </c>
      <c r="C58" s="23" t="s">
        <v>287</v>
      </c>
      <c r="D58" s="23" t="s">
        <v>129</v>
      </c>
      <c r="F58" s="23" t="s">
        <v>490</v>
      </c>
      <c r="G58" s="128"/>
      <c r="H58" s="128"/>
    </row>
    <row r="59" spans="2:8" ht="15" customHeight="1" x14ac:dyDescent="0.25">
      <c r="B59" s="23" t="s">
        <v>288</v>
      </c>
      <c r="C59" s="23" t="s">
        <v>118</v>
      </c>
      <c r="D59" s="23" t="s">
        <v>103</v>
      </c>
      <c r="F59" s="23" t="s">
        <v>491</v>
      </c>
      <c r="G59" s="128"/>
      <c r="H59" s="128"/>
    </row>
    <row r="60" spans="2:8" ht="15" customHeight="1" x14ac:dyDescent="0.25">
      <c r="B60" s="23" t="s">
        <v>296</v>
      </c>
      <c r="D60" s="23" t="s">
        <v>168</v>
      </c>
      <c r="F60" s="23" t="s">
        <v>492</v>
      </c>
      <c r="G60" s="128"/>
      <c r="H60" s="128"/>
    </row>
    <row r="61" spans="2:8" ht="15" customHeight="1" x14ac:dyDescent="0.25">
      <c r="D61" s="23" t="s">
        <v>375</v>
      </c>
      <c r="F61" s="23" t="s">
        <v>493</v>
      </c>
      <c r="G61" s="128"/>
      <c r="H61" s="128"/>
    </row>
    <row r="63" spans="2:8" ht="19.5" customHeight="1" x14ac:dyDescent="0.25">
      <c r="B63" s="17" t="s">
        <v>363</v>
      </c>
      <c r="C63" s="10" t="s">
        <v>494</v>
      </c>
      <c r="D63" s="10"/>
      <c r="E63" s="10"/>
      <c r="F63" s="9"/>
      <c r="G63" s="9"/>
      <c r="H63" s="9"/>
    </row>
    <row r="64" spans="2:8" ht="15.75" customHeight="1" x14ac:dyDescent="0.25">
      <c r="B64" s="75">
        <v>1</v>
      </c>
      <c r="C64" s="129" t="s">
        <v>495</v>
      </c>
      <c r="D64" s="129"/>
      <c r="E64" s="129"/>
      <c r="F64" s="129"/>
      <c r="G64" s="129"/>
      <c r="H64" s="129"/>
    </row>
    <row r="65" spans="2:8" ht="15.75" customHeight="1" x14ac:dyDescent="0.25">
      <c r="B65" s="75">
        <v>2</v>
      </c>
      <c r="C65" s="129" t="s">
        <v>496</v>
      </c>
      <c r="D65" s="129"/>
      <c r="E65" s="129"/>
      <c r="F65" s="129"/>
      <c r="G65" s="129"/>
      <c r="H65" s="129"/>
    </row>
    <row r="66" spans="2:8" ht="15.75" customHeight="1" x14ac:dyDescent="0.25">
      <c r="B66" s="75">
        <v>3</v>
      </c>
      <c r="C66" s="129" t="s">
        <v>497</v>
      </c>
      <c r="D66" s="129"/>
      <c r="E66" s="129"/>
      <c r="F66" s="129"/>
      <c r="G66" s="129"/>
      <c r="H66" s="129"/>
    </row>
    <row r="67" spans="2:8" ht="15.75" customHeight="1" x14ac:dyDescent="0.25">
      <c r="B67" s="75">
        <v>4</v>
      </c>
      <c r="C67" s="129" t="s">
        <v>498</v>
      </c>
      <c r="D67" s="129"/>
      <c r="E67" s="129"/>
      <c r="F67" s="129"/>
      <c r="G67" s="129"/>
      <c r="H67" s="129"/>
    </row>
    <row r="68" spans="2:8" ht="15.75" customHeight="1" x14ac:dyDescent="0.25">
      <c r="B68" s="75">
        <v>5</v>
      </c>
      <c r="C68" s="129" t="s">
        <v>499</v>
      </c>
      <c r="D68" s="129"/>
      <c r="E68" s="129"/>
      <c r="F68" s="129"/>
      <c r="G68" s="129"/>
      <c r="H68" s="129"/>
    </row>
    <row r="69" spans="2:8" ht="15.75" customHeight="1" x14ac:dyDescent="0.25">
      <c r="B69" s="75">
        <v>6</v>
      </c>
      <c r="C69" s="129" t="s">
        <v>500</v>
      </c>
      <c r="D69" s="129"/>
      <c r="E69" s="129"/>
      <c r="F69" s="129"/>
      <c r="G69" s="129"/>
      <c r="H69" s="129"/>
    </row>
    <row r="70" spans="2:8" ht="15.75" customHeight="1" x14ac:dyDescent="0.25">
      <c r="B70" s="75">
        <v>7</v>
      </c>
      <c r="C70" s="129" t="s">
        <v>501</v>
      </c>
      <c r="D70" s="129"/>
      <c r="E70" s="129"/>
      <c r="F70" s="129"/>
      <c r="G70" s="129"/>
      <c r="H70" s="129"/>
    </row>
    <row r="72" spans="2:8" ht="19.5" customHeight="1" x14ac:dyDescent="0.25">
      <c r="B72" s="17" t="s">
        <v>377</v>
      </c>
      <c r="C72" s="10" t="s">
        <v>502</v>
      </c>
      <c r="D72" s="10"/>
      <c r="E72" s="10"/>
      <c r="F72" s="9"/>
      <c r="G72" s="9"/>
      <c r="H72" s="9"/>
    </row>
    <row r="73" spans="2:8" ht="15.75" customHeight="1" x14ac:dyDescent="0.25">
      <c r="B73" s="46" t="s">
        <v>300</v>
      </c>
      <c r="C73" s="47" t="s">
        <v>301</v>
      </c>
      <c r="D73" s="42" t="s">
        <v>503</v>
      </c>
    </row>
    <row r="74" spans="2:8" ht="15.75" customHeight="1" x14ac:dyDescent="0.25">
      <c r="B74" s="44" t="s">
        <v>504</v>
      </c>
      <c r="C74" s="45" t="s">
        <v>505</v>
      </c>
      <c r="D74" s="43" t="s">
        <v>506</v>
      </c>
    </row>
    <row r="76" spans="2:8" ht="15" customHeight="1" x14ac:dyDescent="0.25">
      <c r="B76" s="130" t="s">
        <v>507</v>
      </c>
      <c r="C76" s="130"/>
      <c r="D76" s="130"/>
      <c r="E76" s="130"/>
      <c r="F76" s="130"/>
      <c r="G76" s="130"/>
      <c r="H76" s="130"/>
    </row>
    <row r="77" spans="2:8" x14ac:dyDescent="0.25">
      <c r="B77" s="130"/>
      <c r="C77" s="130"/>
      <c r="D77" s="130"/>
      <c r="E77" s="130"/>
      <c r="F77" s="130"/>
      <c r="G77" s="130"/>
      <c r="H77" s="130"/>
    </row>
    <row r="78" spans="2:8" x14ac:dyDescent="0.25">
      <c r="B78" s="130"/>
      <c r="C78" s="130"/>
      <c r="D78" s="130"/>
      <c r="E78" s="130"/>
      <c r="F78" s="130"/>
      <c r="G78" s="130"/>
      <c r="H78" s="130"/>
    </row>
    <row r="79" spans="2:8" x14ac:dyDescent="0.25">
      <c r="B79" s="130"/>
      <c r="C79" s="130"/>
      <c r="D79" s="130"/>
      <c r="E79" s="130"/>
      <c r="F79" s="130"/>
      <c r="G79" s="130"/>
      <c r="H79" s="130"/>
    </row>
  </sheetData>
  <mergeCells count="91">
    <mergeCell ref="B76:H79"/>
    <mergeCell ref="C67:H67"/>
    <mergeCell ref="C68:H68"/>
    <mergeCell ref="C69:H69"/>
    <mergeCell ref="C70:H70"/>
    <mergeCell ref="C72:E72"/>
    <mergeCell ref="F72:H72"/>
    <mergeCell ref="C63:E63"/>
    <mergeCell ref="F63:H63"/>
    <mergeCell ref="C64:H64"/>
    <mergeCell ref="C65:H65"/>
    <mergeCell ref="C66:H66"/>
    <mergeCell ref="E52:H52"/>
    <mergeCell ref="C54:E54"/>
    <mergeCell ref="F54:H54"/>
    <mergeCell ref="G55:H55"/>
    <mergeCell ref="G56:H61"/>
    <mergeCell ref="E47:H47"/>
    <mergeCell ref="E48:H48"/>
    <mergeCell ref="E49:H49"/>
    <mergeCell ref="E50:H50"/>
    <mergeCell ref="E51:H51"/>
    <mergeCell ref="C43:E43"/>
    <mergeCell ref="F43:H43"/>
    <mergeCell ref="E44:H44"/>
    <mergeCell ref="E45:H45"/>
    <mergeCell ref="E46:H46"/>
    <mergeCell ref="B30:C30"/>
    <mergeCell ref="D30:E30"/>
    <mergeCell ref="F30:H30"/>
    <mergeCell ref="C32:E32"/>
    <mergeCell ref="F32:H32"/>
    <mergeCell ref="B28:C28"/>
    <mergeCell ref="D28:E28"/>
    <mergeCell ref="F28:H28"/>
    <mergeCell ref="B29:C29"/>
    <mergeCell ref="D29:E29"/>
    <mergeCell ref="F29:H29"/>
    <mergeCell ref="B26:C26"/>
    <mergeCell ref="D26:E26"/>
    <mergeCell ref="F26:H26"/>
    <mergeCell ref="B27:C27"/>
    <mergeCell ref="D27:E27"/>
    <mergeCell ref="F27:H27"/>
    <mergeCell ref="B24:C24"/>
    <mergeCell ref="D24:E24"/>
    <mergeCell ref="F24:H24"/>
    <mergeCell ref="B25:C25"/>
    <mergeCell ref="D25:E25"/>
    <mergeCell ref="F25:H25"/>
    <mergeCell ref="B22:C22"/>
    <mergeCell ref="D22:E22"/>
    <mergeCell ref="F22:H22"/>
    <mergeCell ref="B23:C23"/>
    <mergeCell ref="D23:E23"/>
    <mergeCell ref="F23:H23"/>
    <mergeCell ref="C20:E20"/>
    <mergeCell ref="F20:H20"/>
    <mergeCell ref="B21:C21"/>
    <mergeCell ref="D21:E21"/>
    <mergeCell ref="F21:H21"/>
    <mergeCell ref="B16:C16"/>
    <mergeCell ref="D16:H16"/>
    <mergeCell ref="B17:C17"/>
    <mergeCell ref="D17:H17"/>
    <mergeCell ref="B18:C18"/>
    <mergeCell ref="D18:H18"/>
    <mergeCell ref="B13:C13"/>
    <mergeCell ref="D13:H13"/>
    <mergeCell ref="B14:C14"/>
    <mergeCell ref="D14:H14"/>
    <mergeCell ref="B15:C15"/>
    <mergeCell ref="D15:H15"/>
    <mergeCell ref="B10:C10"/>
    <mergeCell ref="D10:H10"/>
    <mergeCell ref="B11:C11"/>
    <mergeCell ref="D11:H11"/>
    <mergeCell ref="B12:C12"/>
    <mergeCell ref="D12:H12"/>
    <mergeCell ref="B7:C7"/>
    <mergeCell ref="D7:H7"/>
    <mergeCell ref="B8:C8"/>
    <mergeCell ref="D8:H8"/>
    <mergeCell ref="B9:C9"/>
    <mergeCell ref="D9:H9"/>
    <mergeCell ref="B2:E2"/>
    <mergeCell ref="F2:H2"/>
    <mergeCell ref="B3:E3"/>
    <mergeCell ref="F3:H3"/>
    <mergeCell ref="C6:E6"/>
    <mergeCell ref="F6:H6"/>
  </mergeCells>
  <pageMargins left="0.75" right="0.75" top="1" bottom="1" header="0.511811023622047" footer="0.511811023622047"/>
  <pageSetup paperSize="9" fitToHeight="2"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24</vt:i4>
      </vt:variant>
    </vt:vector>
  </HeadingPairs>
  <TitlesOfParts>
    <vt:vector size="27" baseType="lpstr">
      <vt:lpstr>Teilnehmerliste</vt:lpstr>
      <vt:lpstr>Auswertung</vt:lpstr>
      <vt:lpstr>Stammdaten</vt:lpstr>
      <vt:lpstr>Anmeldeschluss</vt:lpstr>
      <vt:lpstr>Aufbewahrung</vt:lpstr>
      <vt:lpstr>Berichtsjahr</vt:lpstr>
      <vt:lpstr>Auswertung!Druckbereich</vt:lpstr>
      <vt:lpstr>Stammdaten!Druckbereich</vt:lpstr>
      <vt:lpstr>Teilnehmerliste!Druckbereich</vt:lpstr>
      <vt:lpstr>Teilnehmerliste!Drucktitel</vt:lpstr>
      <vt:lpstr>Kapazitaet</vt:lpstr>
      <vt:lpstr>L_JaNein</vt:lpstr>
      <vt:lpstr>L_Status</vt:lpstr>
      <vt:lpstr>L_Verpflegung</vt:lpstr>
      <vt:lpstr>L_Zahlung</vt:lpstr>
      <vt:lpstr>Loeschdatum</vt:lpstr>
      <vt:lpstr>Mindestteilnehmer</vt:lpstr>
      <vt:lpstr>MwSt_Satz</vt:lpstr>
      <vt:lpstr>O_Organisation</vt:lpstr>
      <vt:lpstr>Stichtag</vt:lpstr>
      <vt:lpstr>T_Brutto</vt:lpstr>
      <vt:lpstr>T_Tarif</vt:lpstr>
      <vt:lpstr>T_Zertifikat</vt:lpstr>
      <vt:lpstr>Veranstaltungsdatum</vt:lpstr>
      <vt:lpstr>Zahlungsfrist</vt:lpstr>
      <vt:lpstr>Ziel_Auslastung</vt:lpstr>
      <vt:lpstr>Ziel_Checkin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Teilnehmerliste 2026</dc:title>
  <dc:subject/>
  <dc:creator>Muster Akademie &amp; Event GmbH</dc:creator>
  <dc:description/>
  <cp:lastModifiedBy>Sergio Jiménez Canales</cp:lastModifiedBy>
  <cp:revision>1</cp:revision>
  <dcterms:created xsi:type="dcterms:W3CDTF">2026-07-24T09:02:49Z</dcterms:created>
  <dcterms:modified xsi:type="dcterms:W3CDTF">2026-07-24T09:16:09Z</dcterms:modified>
  <dc:language>en-US</dc:language>
</cp:coreProperties>
</file>