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rgi\Documents\SEO\SEO\AA_Webs\Excel Vorlage\Generador\"/>
    </mc:Choice>
  </mc:AlternateContent>
  <xr:revisionPtr revIDLastSave="0" documentId="13_ncr:1_{DE38FF9A-F8DD-49EA-B8FA-7F46F5241C72}" xr6:coauthVersionLast="47" xr6:coauthVersionMax="47" xr10:uidLastSave="{00000000-0000-0000-0000-000000000000}"/>
  <bookViews>
    <workbookView xWindow="1035" yWindow="1035" windowWidth="25500" windowHeight="13500" tabRatio="500" xr2:uid="{00000000-000D-0000-FFFF-FFFF00000000}"/>
  </bookViews>
  <sheets>
    <sheet name="Temperaturprotokoll" sheetId="1" r:id="rId1"/>
    <sheet name="Auswertung" sheetId="2" r:id="rId2"/>
    <sheet name="Stammdaten" sheetId="3" r:id="rId3"/>
  </sheets>
  <definedNames>
    <definedName name="_xlnm._FilterDatabase" localSheetId="0" hidden="1">Temperaturprotokoll!$B$17:$P$217</definedName>
    <definedName name="Bereiche_Liste">Stammdaten!$C$35:$C$39</definedName>
    <definedName name="Berichtsjahr">Stammdaten!$I$13</definedName>
    <definedName name="Berichtsmonat">Stammdaten!$D$13</definedName>
    <definedName name="_xlnm.Print_Area" localSheetId="2">Stammdaten!$A$1:$K$72</definedName>
    <definedName name="_xlnm.Print_Area" localSheetId="0">Temperaturprotokoll!$A$1:$P$221</definedName>
    <definedName name="_xlnm.Print_Titles" localSheetId="0">Temperaturprotokoll!$17:$17</definedName>
    <definedName name="Haeufigkeit_Liste">Stammdaten!$E$35:$E$38</definedName>
    <definedName name="Massnahmen_Liste">Stammdaten!$C$42:$C$51</definedName>
    <definedName name="Messstellen_Liste">Stammdaten!$C$22:$C$31</definedName>
    <definedName name="Monatsende">Stammdaten!$I$14</definedName>
    <definedName name="Monatsstart">Stammdaten!$D$14</definedName>
    <definedName name="Pruefer_Liste">Stammdaten!$I$35:$I$39</definedName>
    <definedName name="Status_Liste">Stammdaten!$G$35:$G$37</definedName>
    <definedName name="Tage_im_Monat">Stammdaten!$D$15</definedName>
    <definedName name="Toleranz_kritisch">Stammdaten!$D$16</definedName>
    <definedName name="Werktage">Stammdaten!$I$15</definedName>
    <definedName name="Ziel_Konformitaet">Stammdaten!$I$16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31" i="3" l="1"/>
  <c r="H30" i="3"/>
  <c r="H29" i="3"/>
  <c r="H28" i="3"/>
  <c r="H27" i="3"/>
  <c r="H26" i="3"/>
  <c r="H25" i="3"/>
  <c r="H24" i="3"/>
  <c r="H23" i="3"/>
  <c r="H22" i="3"/>
  <c r="I14" i="3"/>
  <c r="D14" i="3"/>
  <c r="I15" i="3" s="1"/>
  <c r="Y44" i="2"/>
  <c r="R44" i="2"/>
  <c r="Y43" i="2"/>
  <c r="R43" i="2"/>
  <c r="C34" i="2"/>
  <c r="C33" i="2"/>
  <c r="C32" i="2"/>
  <c r="C31" i="2"/>
  <c r="C30" i="2"/>
  <c r="C29" i="2"/>
  <c r="AL23" i="2"/>
  <c r="AJ23" i="2"/>
  <c r="AH23" i="2"/>
  <c r="B23" i="2"/>
  <c r="AO22" i="2"/>
  <c r="AN22" i="2"/>
  <c r="AM22" i="2"/>
  <c r="AL22" i="2"/>
  <c r="AK22" i="2"/>
  <c r="AJ22" i="2"/>
  <c r="AI22" i="2"/>
  <c r="AH22" i="2"/>
  <c r="B22" i="2"/>
  <c r="AP22" i="2" s="1"/>
  <c r="AO21" i="2"/>
  <c r="AN21" i="2"/>
  <c r="AL21" i="2"/>
  <c r="AK21" i="2"/>
  <c r="AJ21" i="2"/>
  <c r="AI21" i="2"/>
  <c r="AH21" i="2"/>
  <c r="B21" i="2"/>
  <c r="AO20" i="2"/>
  <c r="AM20" i="2"/>
  <c r="AK20" i="2"/>
  <c r="AJ20" i="2"/>
  <c r="AI20" i="2"/>
  <c r="AH20" i="2"/>
  <c r="B20" i="2"/>
  <c r="AL19" i="2"/>
  <c r="AJ19" i="2"/>
  <c r="AI19" i="2"/>
  <c r="AH19" i="2"/>
  <c r="B19" i="2"/>
  <c r="AL18" i="2"/>
  <c r="AJ18" i="2"/>
  <c r="AI18" i="2"/>
  <c r="AH18" i="2"/>
  <c r="B18" i="2"/>
  <c r="AL17" i="2"/>
  <c r="AJ17" i="2"/>
  <c r="AI17" i="2"/>
  <c r="AH17" i="2"/>
  <c r="B17" i="2"/>
  <c r="AL16" i="2"/>
  <c r="AJ16" i="2"/>
  <c r="AI16" i="2"/>
  <c r="AH16" i="2"/>
  <c r="B16" i="2"/>
  <c r="AL15" i="2"/>
  <c r="B15" i="2"/>
  <c r="AL14" i="2"/>
  <c r="B14" i="2"/>
  <c r="AH9" i="2"/>
  <c r="AH8" i="2"/>
  <c r="C8" i="2"/>
  <c r="B1" i="2"/>
  <c r="A1" i="2"/>
  <c r="K217" i="1"/>
  <c r="L217" i="1" s="1"/>
  <c r="J217" i="1"/>
  <c r="H217" i="1"/>
  <c r="G217" i="1"/>
  <c r="F217" i="1"/>
  <c r="B217" i="1"/>
  <c r="L216" i="1"/>
  <c r="K216" i="1"/>
  <c r="J216" i="1"/>
  <c r="H216" i="1"/>
  <c r="G216" i="1"/>
  <c r="F216" i="1"/>
  <c r="B216" i="1"/>
  <c r="L215" i="1"/>
  <c r="K215" i="1"/>
  <c r="J215" i="1"/>
  <c r="H215" i="1"/>
  <c r="G215" i="1"/>
  <c r="F215" i="1"/>
  <c r="B215" i="1"/>
  <c r="L214" i="1"/>
  <c r="K214" i="1"/>
  <c r="J214" i="1"/>
  <c r="H214" i="1"/>
  <c r="G214" i="1"/>
  <c r="F214" i="1"/>
  <c r="B214" i="1"/>
  <c r="L213" i="1"/>
  <c r="K213" i="1"/>
  <c r="J213" i="1"/>
  <c r="H213" i="1"/>
  <c r="G213" i="1"/>
  <c r="F213" i="1"/>
  <c r="B213" i="1"/>
  <c r="L212" i="1"/>
  <c r="K212" i="1"/>
  <c r="J212" i="1"/>
  <c r="H212" i="1"/>
  <c r="G212" i="1"/>
  <c r="F212" i="1"/>
  <c r="B212" i="1"/>
  <c r="K211" i="1"/>
  <c r="L211" i="1" s="1"/>
  <c r="J211" i="1"/>
  <c r="H211" i="1"/>
  <c r="G211" i="1"/>
  <c r="F211" i="1"/>
  <c r="B211" i="1"/>
  <c r="L210" i="1"/>
  <c r="K210" i="1"/>
  <c r="J210" i="1"/>
  <c r="H210" i="1"/>
  <c r="G210" i="1"/>
  <c r="F210" i="1"/>
  <c r="B210" i="1"/>
  <c r="K209" i="1"/>
  <c r="L209" i="1" s="1"/>
  <c r="J209" i="1"/>
  <c r="H209" i="1"/>
  <c r="G209" i="1"/>
  <c r="F209" i="1"/>
  <c r="B209" i="1"/>
  <c r="L208" i="1"/>
  <c r="K208" i="1"/>
  <c r="J208" i="1"/>
  <c r="H208" i="1"/>
  <c r="G208" i="1"/>
  <c r="F208" i="1"/>
  <c r="B208" i="1"/>
  <c r="L207" i="1"/>
  <c r="K207" i="1"/>
  <c r="J207" i="1"/>
  <c r="H207" i="1"/>
  <c r="G207" i="1"/>
  <c r="F207" i="1"/>
  <c r="B207" i="1"/>
  <c r="K206" i="1"/>
  <c r="L206" i="1" s="1"/>
  <c r="J206" i="1"/>
  <c r="H206" i="1"/>
  <c r="G206" i="1"/>
  <c r="F206" i="1"/>
  <c r="B206" i="1"/>
  <c r="K205" i="1"/>
  <c r="L205" i="1" s="1"/>
  <c r="J205" i="1"/>
  <c r="H205" i="1"/>
  <c r="G205" i="1"/>
  <c r="F205" i="1"/>
  <c r="B205" i="1"/>
  <c r="L204" i="1"/>
  <c r="K204" i="1"/>
  <c r="J204" i="1"/>
  <c r="H204" i="1"/>
  <c r="G204" i="1"/>
  <c r="F204" i="1"/>
  <c r="B204" i="1"/>
  <c r="L203" i="1"/>
  <c r="K203" i="1"/>
  <c r="J203" i="1"/>
  <c r="H203" i="1"/>
  <c r="G203" i="1"/>
  <c r="F203" i="1"/>
  <c r="B203" i="1"/>
  <c r="K202" i="1"/>
  <c r="L202" i="1" s="1"/>
  <c r="J202" i="1"/>
  <c r="H202" i="1"/>
  <c r="G202" i="1"/>
  <c r="F202" i="1"/>
  <c r="B202" i="1"/>
  <c r="L201" i="1"/>
  <c r="K201" i="1"/>
  <c r="J201" i="1"/>
  <c r="H201" i="1"/>
  <c r="G201" i="1"/>
  <c r="F201" i="1"/>
  <c r="B201" i="1"/>
  <c r="K200" i="1"/>
  <c r="L200" i="1" s="1"/>
  <c r="J200" i="1"/>
  <c r="H200" i="1"/>
  <c r="G200" i="1"/>
  <c r="F200" i="1"/>
  <c r="B200" i="1"/>
  <c r="K199" i="1"/>
  <c r="L199" i="1" s="1"/>
  <c r="J199" i="1"/>
  <c r="H199" i="1"/>
  <c r="G199" i="1"/>
  <c r="F199" i="1"/>
  <c r="B199" i="1"/>
  <c r="L198" i="1"/>
  <c r="K198" i="1"/>
  <c r="J198" i="1"/>
  <c r="H198" i="1"/>
  <c r="G198" i="1"/>
  <c r="F198" i="1"/>
  <c r="B198" i="1"/>
  <c r="K197" i="1"/>
  <c r="L197" i="1" s="1"/>
  <c r="J197" i="1"/>
  <c r="H197" i="1"/>
  <c r="G197" i="1"/>
  <c r="F197" i="1"/>
  <c r="B197" i="1"/>
  <c r="K196" i="1"/>
  <c r="L196" i="1" s="1"/>
  <c r="J196" i="1"/>
  <c r="H196" i="1"/>
  <c r="G196" i="1"/>
  <c r="F196" i="1"/>
  <c r="B196" i="1"/>
  <c r="L195" i="1"/>
  <c r="K195" i="1"/>
  <c r="J195" i="1"/>
  <c r="H195" i="1"/>
  <c r="G195" i="1"/>
  <c r="F195" i="1"/>
  <c r="B195" i="1"/>
  <c r="L194" i="1"/>
  <c r="K194" i="1"/>
  <c r="J194" i="1"/>
  <c r="H194" i="1"/>
  <c r="G194" i="1"/>
  <c r="F194" i="1"/>
  <c r="B194" i="1"/>
  <c r="K193" i="1"/>
  <c r="L193" i="1" s="1"/>
  <c r="J193" i="1"/>
  <c r="H193" i="1"/>
  <c r="G193" i="1"/>
  <c r="F193" i="1"/>
  <c r="B193" i="1"/>
  <c r="L192" i="1"/>
  <c r="K192" i="1"/>
  <c r="J192" i="1"/>
  <c r="H192" i="1"/>
  <c r="G192" i="1"/>
  <c r="F192" i="1"/>
  <c r="B192" i="1"/>
  <c r="K191" i="1"/>
  <c r="L191" i="1" s="1"/>
  <c r="J191" i="1"/>
  <c r="H191" i="1"/>
  <c r="G191" i="1"/>
  <c r="F191" i="1"/>
  <c r="B191" i="1"/>
  <c r="H190" i="1"/>
  <c r="G190" i="1"/>
  <c r="J190" i="1" s="1"/>
  <c r="K190" i="1" s="1"/>
  <c r="L190" i="1" s="1"/>
  <c r="F190" i="1"/>
  <c r="B190" i="1"/>
  <c r="J189" i="1"/>
  <c r="K189" i="1" s="1"/>
  <c r="L189" i="1" s="1"/>
  <c r="H189" i="1"/>
  <c r="G189" i="1"/>
  <c r="F189" i="1"/>
  <c r="B189" i="1"/>
  <c r="H188" i="1"/>
  <c r="G188" i="1"/>
  <c r="J188" i="1" s="1"/>
  <c r="K188" i="1" s="1"/>
  <c r="L188" i="1" s="1"/>
  <c r="F188" i="1"/>
  <c r="B188" i="1"/>
  <c r="J187" i="1"/>
  <c r="K187" i="1" s="1"/>
  <c r="L187" i="1" s="1"/>
  <c r="H187" i="1"/>
  <c r="G187" i="1"/>
  <c r="F187" i="1"/>
  <c r="B187" i="1"/>
  <c r="K186" i="1"/>
  <c r="L186" i="1" s="1"/>
  <c r="H186" i="1"/>
  <c r="G186" i="1"/>
  <c r="J186" i="1" s="1"/>
  <c r="F186" i="1"/>
  <c r="B186" i="1"/>
  <c r="H185" i="1"/>
  <c r="J185" i="1" s="1"/>
  <c r="K185" i="1" s="1"/>
  <c r="L185" i="1" s="1"/>
  <c r="G185" i="1"/>
  <c r="F185" i="1"/>
  <c r="B185" i="1"/>
  <c r="H184" i="1"/>
  <c r="J184" i="1" s="1"/>
  <c r="K184" i="1" s="1"/>
  <c r="L184" i="1" s="1"/>
  <c r="G184" i="1"/>
  <c r="F184" i="1"/>
  <c r="B184" i="1"/>
  <c r="H183" i="1"/>
  <c r="J183" i="1" s="1"/>
  <c r="K183" i="1" s="1"/>
  <c r="L183" i="1" s="1"/>
  <c r="G183" i="1"/>
  <c r="F183" i="1"/>
  <c r="B183" i="1"/>
  <c r="H182" i="1"/>
  <c r="G182" i="1"/>
  <c r="J182" i="1" s="1"/>
  <c r="K182" i="1" s="1"/>
  <c r="L182" i="1" s="1"/>
  <c r="F182" i="1"/>
  <c r="B182" i="1"/>
  <c r="J181" i="1"/>
  <c r="K181" i="1" s="1"/>
  <c r="L181" i="1" s="1"/>
  <c r="H181" i="1"/>
  <c r="G181" i="1"/>
  <c r="F181" i="1"/>
  <c r="B181" i="1"/>
  <c r="J180" i="1"/>
  <c r="K180" i="1" s="1"/>
  <c r="L180" i="1" s="1"/>
  <c r="H180" i="1"/>
  <c r="G180" i="1"/>
  <c r="F180" i="1"/>
  <c r="B180" i="1"/>
  <c r="H179" i="1"/>
  <c r="G179" i="1"/>
  <c r="J179" i="1" s="1"/>
  <c r="K179" i="1" s="1"/>
  <c r="L179" i="1" s="1"/>
  <c r="F179" i="1"/>
  <c r="B179" i="1"/>
  <c r="H178" i="1"/>
  <c r="G178" i="1"/>
  <c r="J178" i="1" s="1"/>
  <c r="K178" i="1" s="1"/>
  <c r="L178" i="1" s="1"/>
  <c r="F178" i="1"/>
  <c r="B178" i="1"/>
  <c r="H177" i="1"/>
  <c r="G177" i="1"/>
  <c r="J177" i="1" s="1"/>
  <c r="K177" i="1" s="1"/>
  <c r="L177" i="1" s="1"/>
  <c r="F177" i="1"/>
  <c r="B177" i="1"/>
  <c r="J176" i="1"/>
  <c r="K176" i="1" s="1"/>
  <c r="L176" i="1" s="1"/>
  <c r="H176" i="1"/>
  <c r="G176" i="1"/>
  <c r="F176" i="1"/>
  <c r="B176" i="1"/>
  <c r="L175" i="1"/>
  <c r="H175" i="1"/>
  <c r="G175" i="1"/>
  <c r="J175" i="1" s="1"/>
  <c r="K175" i="1" s="1"/>
  <c r="F175" i="1"/>
  <c r="B175" i="1"/>
  <c r="H174" i="1"/>
  <c r="G174" i="1"/>
  <c r="J174" i="1" s="1"/>
  <c r="K174" i="1" s="1"/>
  <c r="L174" i="1" s="1"/>
  <c r="F174" i="1"/>
  <c r="B174" i="1"/>
  <c r="J173" i="1"/>
  <c r="K173" i="1" s="1"/>
  <c r="L173" i="1" s="1"/>
  <c r="H173" i="1"/>
  <c r="G173" i="1"/>
  <c r="F173" i="1"/>
  <c r="B173" i="1"/>
  <c r="H172" i="1"/>
  <c r="J172" i="1" s="1"/>
  <c r="K172" i="1" s="1"/>
  <c r="L172" i="1" s="1"/>
  <c r="G172" i="1"/>
  <c r="F172" i="1"/>
  <c r="B172" i="1"/>
  <c r="H171" i="1"/>
  <c r="G171" i="1"/>
  <c r="J171" i="1" s="1"/>
  <c r="K171" i="1" s="1"/>
  <c r="L171" i="1" s="1"/>
  <c r="F171" i="1"/>
  <c r="B171" i="1"/>
  <c r="H170" i="1"/>
  <c r="G170" i="1"/>
  <c r="J170" i="1" s="1"/>
  <c r="K170" i="1" s="1"/>
  <c r="L170" i="1" s="1"/>
  <c r="F170" i="1"/>
  <c r="B170" i="1"/>
  <c r="J169" i="1"/>
  <c r="K169" i="1" s="1"/>
  <c r="L169" i="1" s="1"/>
  <c r="H169" i="1"/>
  <c r="G169" i="1"/>
  <c r="F169" i="1"/>
  <c r="B169" i="1"/>
  <c r="H168" i="1"/>
  <c r="G168" i="1"/>
  <c r="J168" i="1" s="1"/>
  <c r="K168" i="1" s="1"/>
  <c r="L168" i="1" s="1"/>
  <c r="F168" i="1"/>
  <c r="B168" i="1"/>
  <c r="H167" i="1"/>
  <c r="G167" i="1"/>
  <c r="J167" i="1" s="1"/>
  <c r="K167" i="1" s="1"/>
  <c r="L167" i="1" s="1"/>
  <c r="F167" i="1"/>
  <c r="B167" i="1"/>
  <c r="K166" i="1"/>
  <c r="L166" i="1" s="1"/>
  <c r="H166" i="1"/>
  <c r="G166" i="1"/>
  <c r="J166" i="1" s="1"/>
  <c r="F166" i="1"/>
  <c r="B166" i="1"/>
  <c r="H165" i="1"/>
  <c r="G165" i="1"/>
  <c r="J165" i="1" s="1"/>
  <c r="K165" i="1" s="1"/>
  <c r="L165" i="1" s="1"/>
  <c r="F165" i="1"/>
  <c r="B165" i="1"/>
  <c r="J164" i="1"/>
  <c r="K164" i="1" s="1"/>
  <c r="L164" i="1" s="1"/>
  <c r="H164" i="1"/>
  <c r="G164" i="1"/>
  <c r="F164" i="1"/>
  <c r="B164" i="1"/>
  <c r="H163" i="1"/>
  <c r="J163" i="1" s="1"/>
  <c r="K163" i="1" s="1"/>
  <c r="L163" i="1" s="1"/>
  <c r="G163" i="1"/>
  <c r="F163" i="1"/>
  <c r="B163" i="1"/>
  <c r="H162" i="1"/>
  <c r="G162" i="1"/>
  <c r="J162" i="1" s="1"/>
  <c r="K162" i="1" s="1"/>
  <c r="L162" i="1" s="1"/>
  <c r="F162" i="1"/>
  <c r="B162" i="1"/>
  <c r="J161" i="1"/>
  <c r="K161" i="1" s="1"/>
  <c r="L161" i="1" s="1"/>
  <c r="H161" i="1"/>
  <c r="G161" i="1"/>
  <c r="F161" i="1"/>
  <c r="B161" i="1"/>
  <c r="J160" i="1"/>
  <c r="K160" i="1" s="1"/>
  <c r="L160" i="1" s="1"/>
  <c r="H160" i="1"/>
  <c r="G160" i="1"/>
  <c r="F160" i="1"/>
  <c r="B160" i="1"/>
  <c r="H159" i="1"/>
  <c r="G159" i="1"/>
  <c r="J159" i="1" s="1"/>
  <c r="K159" i="1" s="1"/>
  <c r="L159" i="1" s="1"/>
  <c r="F159" i="1"/>
  <c r="B159" i="1"/>
  <c r="H158" i="1"/>
  <c r="G158" i="1"/>
  <c r="J158" i="1" s="1"/>
  <c r="K158" i="1" s="1"/>
  <c r="L158" i="1" s="1"/>
  <c r="F158" i="1"/>
  <c r="B158" i="1"/>
  <c r="H157" i="1"/>
  <c r="G157" i="1"/>
  <c r="J157" i="1" s="1"/>
  <c r="K157" i="1" s="1"/>
  <c r="L157" i="1" s="1"/>
  <c r="F157" i="1"/>
  <c r="B157" i="1"/>
  <c r="H156" i="1"/>
  <c r="G156" i="1"/>
  <c r="J156" i="1" s="1"/>
  <c r="K156" i="1" s="1"/>
  <c r="L156" i="1" s="1"/>
  <c r="F156" i="1"/>
  <c r="B156" i="1"/>
  <c r="H155" i="1"/>
  <c r="G155" i="1"/>
  <c r="J155" i="1" s="1"/>
  <c r="K155" i="1" s="1"/>
  <c r="L155" i="1" s="1"/>
  <c r="F155" i="1"/>
  <c r="B155" i="1"/>
  <c r="H154" i="1"/>
  <c r="G154" i="1"/>
  <c r="J154" i="1" s="1"/>
  <c r="K154" i="1" s="1"/>
  <c r="L154" i="1" s="1"/>
  <c r="F154" i="1"/>
  <c r="B154" i="1"/>
  <c r="H153" i="1"/>
  <c r="G153" i="1"/>
  <c r="J153" i="1" s="1"/>
  <c r="K153" i="1" s="1"/>
  <c r="L153" i="1" s="1"/>
  <c r="F153" i="1"/>
  <c r="B153" i="1"/>
  <c r="H152" i="1"/>
  <c r="J152" i="1" s="1"/>
  <c r="K152" i="1" s="1"/>
  <c r="L152" i="1" s="1"/>
  <c r="G152" i="1"/>
  <c r="F152" i="1"/>
  <c r="B152" i="1"/>
  <c r="H151" i="1"/>
  <c r="G151" i="1"/>
  <c r="J151" i="1" s="1"/>
  <c r="K151" i="1" s="1"/>
  <c r="L151" i="1" s="1"/>
  <c r="F151" i="1"/>
  <c r="B151" i="1"/>
  <c r="H150" i="1"/>
  <c r="J150" i="1" s="1"/>
  <c r="K150" i="1" s="1"/>
  <c r="L150" i="1" s="1"/>
  <c r="G150" i="1"/>
  <c r="F150" i="1"/>
  <c r="B150" i="1"/>
  <c r="J149" i="1"/>
  <c r="K149" i="1" s="1"/>
  <c r="L149" i="1" s="1"/>
  <c r="H149" i="1"/>
  <c r="G149" i="1"/>
  <c r="F149" i="1"/>
  <c r="B149" i="1"/>
  <c r="H148" i="1"/>
  <c r="J148" i="1" s="1"/>
  <c r="K148" i="1" s="1"/>
  <c r="L148" i="1" s="1"/>
  <c r="G148" i="1"/>
  <c r="F148" i="1"/>
  <c r="B148" i="1"/>
  <c r="H147" i="1"/>
  <c r="G147" i="1"/>
  <c r="J147" i="1" s="1"/>
  <c r="K147" i="1" s="1"/>
  <c r="L147" i="1" s="1"/>
  <c r="F147" i="1"/>
  <c r="B147" i="1"/>
  <c r="H146" i="1"/>
  <c r="G146" i="1"/>
  <c r="J146" i="1" s="1"/>
  <c r="K146" i="1" s="1"/>
  <c r="L146" i="1" s="1"/>
  <c r="F146" i="1"/>
  <c r="B146" i="1"/>
  <c r="H145" i="1"/>
  <c r="J145" i="1" s="1"/>
  <c r="K145" i="1" s="1"/>
  <c r="L145" i="1" s="1"/>
  <c r="G145" i="1"/>
  <c r="F145" i="1"/>
  <c r="B145" i="1"/>
  <c r="J144" i="1"/>
  <c r="K144" i="1" s="1"/>
  <c r="L144" i="1" s="1"/>
  <c r="H144" i="1"/>
  <c r="G144" i="1"/>
  <c r="F144" i="1"/>
  <c r="B144" i="1"/>
  <c r="H143" i="1"/>
  <c r="J143" i="1" s="1"/>
  <c r="K143" i="1" s="1"/>
  <c r="L143" i="1" s="1"/>
  <c r="G143" i="1"/>
  <c r="F143" i="1"/>
  <c r="B143" i="1"/>
  <c r="H142" i="1"/>
  <c r="G142" i="1"/>
  <c r="J142" i="1" s="1"/>
  <c r="K142" i="1" s="1"/>
  <c r="L142" i="1" s="1"/>
  <c r="F142" i="1"/>
  <c r="B142" i="1"/>
  <c r="J141" i="1"/>
  <c r="K141" i="1" s="1"/>
  <c r="L141" i="1" s="1"/>
  <c r="H141" i="1"/>
  <c r="G141" i="1"/>
  <c r="F141" i="1"/>
  <c r="B141" i="1"/>
  <c r="J140" i="1"/>
  <c r="K140" i="1" s="1"/>
  <c r="L140" i="1" s="1"/>
  <c r="H140" i="1"/>
  <c r="G140" i="1"/>
  <c r="F140" i="1"/>
  <c r="B140" i="1"/>
  <c r="H139" i="1"/>
  <c r="G139" i="1"/>
  <c r="J139" i="1" s="1"/>
  <c r="K139" i="1" s="1"/>
  <c r="L139" i="1" s="1"/>
  <c r="F139" i="1"/>
  <c r="B139" i="1"/>
  <c r="H138" i="1"/>
  <c r="G138" i="1"/>
  <c r="J138" i="1" s="1"/>
  <c r="K138" i="1" s="1"/>
  <c r="L138" i="1" s="1"/>
  <c r="F138" i="1"/>
  <c r="B138" i="1"/>
  <c r="H137" i="1"/>
  <c r="G137" i="1"/>
  <c r="J137" i="1" s="1"/>
  <c r="K137" i="1" s="1"/>
  <c r="L137" i="1" s="1"/>
  <c r="F137" i="1"/>
  <c r="B137" i="1"/>
  <c r="H136" i="1"/>
  <c r="G136" i="1"/>
  <c r="J136" i="1" s="1"/>
  <c r="K136" i="1" s="1"/>
  <c r="L136" i="1" s="1"/>
  <c r="F136" i="1"/>
  <c r="B136" i="1"/>
  <c r="L135" i="1"/>
  <c r="H135" i="1"/>
  <c r="G135" i="1"/>
  <c r="J135" i="1" s="1"/>
  <c r="K135" i="1" s="1"/>
  <c r="F135" i="1"/>
  <c r="B135" i="1"/>
  <c r="L134" i="1"/>
  <c r="H134" i="1"/>
  <c r="G134" i="1"/>
  <c r="J134" i="1" s="1"/>
  <c r="K134" i="1" s="1"/>
  <c r="F134" i="1"/>
  <c r="B134" i="1"/>
  <c r="J133" i="1"/>
  <c r="K133" i="1" s="1"/>
  <c r="L133" i="1" s="1"/>
  <c r="H133" i="1"/>
  <c r="G133" i="1"/>
  <c r="F133" i="1"/>
  <c r="B133" i="1"/>
  <c r="H132" i="1"/>
  <c r="J132" i="1" s="1"/>
  <c r="K132" i="1" s="1"/>
  <c r="L132" i="1" s="1"/>
  <c r="G132" i="1"/>
  <c r="F132" i="1"/>
  <c r="B132" i="1"/>
  <c r="H131" i="1"/>
  <c r="G131" i="1"/>
  <c r="J131" i="1" s="1"/>
  <c r="K131" i="1" s="1"/>
  <c r="L131" i="1" s="1"/>
  <c r="F131" i="1"/>
  <c r="B131" i="1"/>
  <c r="H130" i="1"/>
  <c r="G130" i="1"/>
  <c r="J130" i="1" s="1"/>
  <c r="K130" i="1" s="1"/>
  <c r="L130" i="1" s="1"/>
  <c r="F130" i="1"/>
  <c r="B130" i="1"/>
  <c r="J129" i="1"/>
  <c r="K129" i="1" s="1"/>
  <c r="L129" i="1" s="1"/>
  <c r="H129" i="1"/>
  <c r="G129" i="1"/>
  <c r="F129" i="1"/>
  <c r="B129" i="1"/>
  <c r="H128" i="1"/>
  <c r="G128" i="1"/>
  <c r="J128" i="1" s="1"/>
  <c r="K128" i="1" s="1"/>
  <c r="L128" i="1" s="1"/>
  <c r="F128" i="1"/>
  <c r="B128" i="1"/>
  <c r="H127" i="1"/>
  <c r="J127" i="1" s="1"/>
  <c r="K127" i="1" s="1"/>
  <c r="L127" i="1" s="1"/>
  <c r="G127" i="1"/>
  <c r="F127" i="1"/>
  <c r="B127" i="1"/>
  <c r="H126" i="1"/>
  <c r="G126" i="1"/>
  <c r="J126" i="1" s="1"/>
  <c r="K126" i="1" s="1"/>
  <c r="L126" i="1" s="1"/>
  <c r="F126" i="1"/>
  <c r="B126" i="1"/>
  <c r="H125" i="1"/>
  <c r="G125" i="1"/>
  <c r="J125" i="1" s="1"/>
  <c r="K125" i="1" s="1"/>
  <c r="L125" i="1" s="1"/>
  <c r="F125" i="1"/>
  <c r="B125" i="1"/>
  <c r="H124" i="1"/>
  <c r="J124" i="1" s="1"/>
  <c r="K124" i="1" s="1"/>
  <c r="L124" i="1" s="1"/>
  <c r="G124" i="1"/>
  <c r="F124" i="1"/>
  <c r="B124" i="1"/>
  <c r="H123" i="1"/>
  <c r="J123" i="1" s="1"/>
  <c r="K123" i="1" s="1"/>
  <c r="L123" i="1" s="1"/>
  <c r="G123" i="1"/>
  <c r="F123" i="1"/>
  <c r="B123" i="1"/>
  <c r="H122" i="1"/>
  <c r="G122" i="1"/>
  <c r="J122" i="1" s="1"/>
  <c r="K122" i="1" s="1"/>
  <c r="L122" i="1" s="1"/>
  <c r="F122" i="1"/>
  <c r="B122" i="1"/>
  <c r="K121" i="1"/>
  <c r="L121" i="1" s="1"/>
  <c r="J121" i="1"/>
  <c r="H121" i="1"/>
  <c r="G121" i="1"/>
  <c r="F121" i="1"/>
  <c r="B121" i="1"/>
  <c r="H120" i="1"/>
  <c r="G120" i="1"/>
  <c r="J120" i="1" s="1"/>
  <c r="K120" i="1" s="1"/>
  <c r="L120" i="1" s="1"/>
  <c r="F120" i="1"/>
  <c r="B120" i="1"/>
  <c r="H119" i="1"/>
  <c r="G119" i="1"/>
  <c r="J119" i="1" s="1"/>
  <c r="K119" i="1" s="1"/>
  <c r="L119" i="1" s="1"/>
  <c r="F119" i="1"/>
  <c r="B119" i="1"/>
  <c r="H118" i="1"/>
  <c r="G118" i="1"/>
  <c r="J118" i="1" s="1"/>
  <c r="K118" i="1" s="1"/>
  <c r="L118" i="1" s="1"/>
  <c r="F118" i="1"/>
  <c r="B118" i="1"/>
  <c r="H117" i="1"/>
  <c r="G117" i="1"/>
  <c r="F117" i="1"/>
  <c r="B117" i="1"/>
  <c r="J116" i="1"/>
  <c r="K116" i="1" s="1"/>
  <c r="L116" i="1" s="1"/>
  <c r="H116" i="1"/>
  <c r="G116" i="1"/>
  <c r="F116" i="1"/>
  <c r="B116" i="1"/>
  <c r="H115" i="1"/>
  <c r="G115" i="1"/>
  <c r="J115" i="1" s="1"/>
  <c r="K115" i="1" s="1"/>
  <c r="L115" i="1" s="1"/>
  <c r="F115" i="1"/>
  <c r="B115" i="1"/>
  <c r="L114" i="1"/>
  <c r="H114" i="1"/>
  <c r="G114" i="1"/>
  <c r="J114" i="1" s="1"/>
  <c r="K114" i="1" s="1"/>
  <c r="F114" i="1"/>
  <c r="B114" i="1"/>
  <c r="H113" i="1"/>
  <c r="G113" i="1"/>
  <c r="J113" i="1" s="1"/>
  <c r="K113" i="1" s="1"/>
  <c r="L113" i="1" s="1"/>
  <c r="F113" i="1"/>
  <c r="B113" i="1"/>
  <c r="H112" i="1"/>
  <c r="J112" i="1" s="1"/>
  <c r="K112" i="1" s="1"/>
  <c r="L112" i="1" s="1"/>
  <c r="G112" i="1"/>
  <c r="F112" i="1"/>
  <c r="B112" i="1"/>
  <c r="H111" i="1"/>
  <c r="G111" i="1"/>
  <c r="J111" i="1" s="1"/>
  <c r="K111" i="1" s="1"/>
  <c r="L111" i="1" s="1"/>
  <c r="F111" i="1"/>
  <c r="B111" i="1"/>
  <c r="J110" i="1"/>
  <c r="K110" i="1" s="1"/>
  <c r="L110" i="1" s="1"/>
  <c r="H110" i="1"/>
  <c r="G110" i="1"/>
  <c r="F110" i="1"/>
  <c r="B110" i="1"/>
  <c r="J109" i="1"/>
  <c r="K109" i="1" s="1"/>
  <c r="L109" i="1" s="1"/>
  <c r="H109" i="1"/>
  <c r="G109" i="1"/>
  <c r="F109" i="1"/>
  <c r="B109" i="1"/>
  <c r="H108" i="1"/>
  <c r="G108" i="1"/>
  <c r="J108" i="1" s="1"/>
  <c r="K108" i="1" s="1"/>
  <c r="L108" i="1" s="1"/>
  <c r="F108" i="1"/>
  <c r="B108" i="1"/>
  <c r="H107" i="1"/>
  <c r="G107" i="1"/>
  <c r="J107" i="1" s="1"/>
  <c r="K107" i="1" s="1"/>
  <c r="L107" i="1" s="1"/>
  <c r="F107" i="1"/>
  <c r="B107" i="1"/>
  <c r="H106" i="1"/>
  <c r="G106" i="1"/>
  <c r="J106" i="1" s="1"/>
  <c r="K106" i="1" s="1"/>
  <c r="L106" i="1" s="1"/>
  <c r="F106" i="1"/>
  <c r="B106" i="1"/>
  <c r="H105" i="1"/>
  <c r="G105" i="1"/>
  <c r="J105" i="1" s="1"/>
  <c r="K105" i="1" s="1"/>
  <c r="L105" i="1" s="1"/>
  <c r="F105" i="1"/>
  <c r="B105" i="1"/>
  <c r="J104" i="1"/>
  <c r="K104" i="1" s="1"/>
  <c r="L104" i="1" s="1"/>
  <c r="H104" i="1"/>
  <c r="G104" i="1"/>
  <c r="F104" i="1"/>
  <c r="B104" i="1"/>
  <c r="L103" i="1"/>
  <c r="H103" i="1"/>
  <c r="J103" i="1" s="1"/>
  <c r="K103" i="1" s="1"/>
  <c r="G103" i="1"/>
  <c r="F103" i="1"/>
  <c r="B103" i="1"/>
  <c r="H102" i="1"/>
  <c r="G102" i="1"/>
  <c r="J102" i="1" s="1"/>
  <c r="K102" i="1" s="1"/>
  <c r="L102" i="1" s="1"/>
  <c r="F102" i="1"/>
  <c r="B102" i="1"/>
  <c r="J101" i="1"/>
  <c r="K101" i="1" s="1"/>
  <c r="L101" i="1" s="1"/>
  <c r="H101" i="1"/>
  <c r="G101" i="1"/>
  <c r="F101" i="1"/>
  <c r="B101" i="1"/>
  <c r="J100" i="1"/>
  <c r="K100" i="1" s="1"/>
  <c r="L100" i="1" s="1"/>
  <c r="H100" i="1"/>
  <c r="G100" i="1"/>
  <c r="F100" i="1"/>
  <c r="B100" i="1"/>
  <c r="H99" i="1"/>
  <c r="G99" i="1"/>
  <c r="J99" i="1" s="1"/>
  <c r="K99" i="1" s="1"/>
  <c r="L99" i="1" s="1"/>
  <c r="F99" i="1"/>
  <c r="B99" i="1"/>
  <c r="H98" i="1"/>
  <c r="G98" i="1"/>
  <c r="J98" i="1" s="1"/>
  <c r="K98" i="1" s="1"/>
  <c r="L98" i="1" s="1"/>
  <c r="F98" i="1"/>
  <c r="B98" i="1"/>
  <c r="H97" i="1"/>
  <c r="G97" i="1"/>
  <c r="J97" i="1" s="1"/>
  <c r="K97" i="1" s="1"/>
  <c r="L97" i="1" s="1"/>
  <c r="F97" i="1"/>
  <c r="B97" i="1"/>
  <c r="H96" i="1"/>
  <c r="J96" i="1" s="1"/>
  <c r="K96" i="1" s="1"/>
  <c r="L96" i="1" s="1"/>
  <c r="G96" i="1"/>
  <c r="F96" i="1"/>
  <c r="B96" i="1"/>
  <c r="H95" i="1"/>
  <c r="G95" i="1"/>
  <c r="J95" i="1" s="1"/>
  <c r="K95" i="1" s="1"/>
  <c r="L95" i="1" s="1"/>
  <c r="F95" i="1"/>
  <c r="B95" i="1"/>
  <c r="J94" i="1"/>
  <c r="K94" i="1" s="1"/>
  <c r="L94" i="1" s="1"/>
  <c r="H94" i="1"/>
  <c r="G94" i="1"/>
  <c r="F94" i="1"/>
  <c r="B94" i="1"/>
  <c r="H93" i="1"/>
  <c r="G93" i="1"/>
  <c r="J93" i="1" s="1"/>
  <c r="K93" i="1" s="1"/>
  <c r="L93" i="1" s="1"/>
  <c r="F93" i="1"/>
  <c r="B93" i="1"/>
  <c r="H92" i="1"/>
  <c r="J92" i="1" s="1"/>
  <c r="K92" i="1" s="1"/>
  <c r="L92" i="1" s="1"/>
  <c r="G92" i="1"/>
  <c r="F92" i="1"/>
  <c r="B92" i="1"/>
  <c r="H91" i="1"/>
  <c r="G91" i="1"/>
  <c r="J91" i="1" s="1"/>
  <c r="K91" i="1" s="1"/>
  <c r="L91" i="1" s="1"/>
  <c r="F91" i="1"/>
  <c r="B91" i="1"/>
  <c r="H90" i="1"/>
  <c r="J90" i="1" s="1"/>
  <c r="K90" i="1" s="1"/>
  <c r="L90" i="1" s="1"/>
  <c r="G90" i="1"/>
  <c r="F90" i="1"/>
  <c r="B90" i="1"/>
  <c r="J89" i="1"/>
  <c r="K89" i="1" s="1"/>
  <c r="L89" i="1" s="1"/>
  <c r="H89" i="1"/>
  <c r="G89" i="1"/>
  <c r="F89" i="1"/>
  <c r="B89" i="1"/>
  <c r="H88" i="1"/>
  <c r="G88" i="1"/>
  <c r="J88" i="1" s="1"/>
  <c r="K88" i="1" s="1"/>
  <c r="L88" i="1" s="1"/>
  <c r="F88" i="1"/>
  <c r="B88" i="1"/>
  <c r="K87" i="1"/>
  <c r="L87" i="1" s="1"/>
  <c r="H87" i="1"/>
  <c r="G87" i="1"/>
  <c r="J87" i="1" s="1"/>
  <c r="F87" i="1"/>
  <c r="B87" i="1"/>
  <c r="H86" i="1"/>
  <c r="G86" i="1"/>
  <c r="J86" i="1" s="1"/>
  <c r="K86" i="1" s="1"/>
  <c r="L86" i="1" s="1"/>
  <c r="F86" i="1"/>
  <c r="B86" i="1"/>
  <c r="H85" i="1"/>
  <c r="G85" i="1"/>
  <c r="J85" i="1" s="1"/>
  <c r="K85" i="1" s="1"/>
  <c r="L85" i="1" s="1"/>
  <c r="F85" i="1"/>
  <c r="B85" i="1"/>
  <c r="H84" i="1"/>
  <c r="J84" i="1" s="1"/>
  <c r="K84" i="1" s="1"/>
  <c r="L84" i="1" s="1"/>
  <c r="G84" i="1"/>
  <c r="F84" i="1"/>
  <c r="B84" i="1"/>
  <c r="L83" i="1"/>
  <c r="H83" i="1"/>
  <c r="J83" i="1" s="1"/>
  <c r="K83" i="1" s="1"/>
  <c r="G83" i="1"/>
  <c r="F83" i="1"/>
  <c r="B83" i="1"/>
  <c r="H82" i="1"/>
  <c r="G82" i="1"/>
  <c r="J82" i="1" s="1"/>
  <c r="K82" i="1" s="1"/>
  <c r="L82" i="1" s="1"/>
  <c r="F82" i="1"/>
  <c r="B82" i="1"/>
  <c r="J81" i="1"/>
  <c r="K81" i="1" s="1"/>
  <c r="L81" i="1" s="1"/>
  <c r="H81" i="1"/>
  <c r="G81" i="1"/>
  <c r="F81" i="1"/>
  <c r="B81" i="1"/>
  <c r="J80" i="1"/>
  <c r="K80" i="1" s="1"/>
  <c r="L80" i="1" s="1"/>
  <c r="H80" i="1"/>
  <c r="G80" i="1"/>
  <c r="F80" i="1"/>
  <c r="B80" i="1"/>
  <c r="J79" i="1"/>
  <c r="K79" i="1" s="1"/>
  <c r="L79" i="1" s="1"/>
  <c r="H79" i="1"/>
  <c r="G79" i="1"/>
  <c r="F79" i="1"/>
  <c r="B79" i="1"/>
  <c r="H78" i="1"/>
  <c r="G78" i="1"/>
  <c r="J78" i="1" s="1"/>
  <c r="K78" i="1" s="1"/>
  <c r="L78" i="1" s="1"/>
  <c r="F78" i="1"/>
  <c r="B78" i="1"/>
  <c r="H77" i="1"/>
  <c r="G77" i="1"/>
  <c r="J77" i="1" s="1"/>
  <c r="K77" i="1" s="1"/>
  <c r="L77" i="1" s="1"/>
  <c r="F77" i="1"/>
  <c r="B77" i="1"/>
  <c r="H76" i="1"/>
  <c r="G76" i="1"/>
  <c r="J76" i="1" s="1"/>
  <c r="K76" i="1" s="1"/>
  <c r="L76" i="1" s="1"/>
  <c r="F76" i="1"/>
  <c r="B76" i="1"/>
  <c r="H75" i="1"/>
  <c r="G75" i="1"/>
  <c r="J75" i="1" s="1"/>
  <c r="K75" i="1" s="1"/>
  <c r="L75" i="1" s="1"/>
  <c r="F75" i="1"/>
  <c r="B75" i="1"/>
  <c r="L74" i="1"/>
  <c r="J74" i="1"/>
  <c r="K74" i="1" s="1"/>
  <c r="H74" i="1"/>
  <c r="G74" i="1"/>
  <c r="F74" i="1"/>
  <c r="B74" i="1"/>
  <c r="H73" i="1"/>
  <c r="G73" i="1"/>
  <c r="J73" i="1" s="1"/>
  <c r="K73" i="1" s="1"/>
  <c r="L73" i="1" s="1"/>
  <c r="F73" i="1"/>
  <c r="B73" i="1"/>
  <c r="H72" i="1"/>
  <c r="J72" i="1" s="1"/>
  <c r="K72" i="1" s="1"/>
  <c r="L72" i="1" s="1"/>
  <c r="G72" i="1"/>
  <c r="F72" i="1"/>
  <c r="B72" i="1"/>
  <c r="H71" i="1"/>
  <c r="G71" i="1"/>
  <c r="J71" i="1" s="1"/>
  <c r="K71" i="1" s="1"/>
  <c r="L71" i="1" s="1"/>
  <c r="F71" i="1"/>
  <c r="B71" i="1"/>
  <c r="H70" i="1"/>
  <c r="J70" i="1" s="1"/>
  <c r="K70" i="1" s="1"/>
  <c r="L70" i="1" s="1"/>
  <c r="G70" i="1"/>
  <c r="F70" i="1"/>
  <c r="B70" i="1"/>
  <c r="J69" i="1"/>
  <c r="K69" i="1" s="1"/>
  <c r="L69" i="1" s="1"/>
  <c r="H69" i="1"/>
  <c r="G69" i="1"/>
  <c r="F69" i="1"/>
  <c r="B69" i="1"/>
  <c r="H68" i="1"/>
  <c r="G68" i="1"/>
  <c r="J68" i="1" s="1"/>
  <c r="K68" i="1" s="1"/>
  <c r="L68" i="1" s="1"/>
  <c r="F68" i="1"/>
  <c r="B68" i="1"/>
  <c r="H67" i="1"/>
  <c r="G67" i="1"/>
  <c r="J67" i="1" s="1"/>
  <c r="K67" i="1" s="1"/>
  <c r="L67" i="1" s="1"/>
  <c r="F67" i="1"/>
  <c r="B67" i="1"/>
  <c r="H66" i="1"/>
  <c r="G66" i="1"/>
  <c r="J66" i="1" s="1"/>
  <c r="K66" i="1" s="1"/>
  <c r="L66" i="1" s="1"/>
  <c r="F66" i="1"/>
  <c r="B66" i="1"/>
  <c r="H65" i="1"/>
  <c r="G65" i="1"/>
  <c r="J65" i="1" s="1"/>
  <c r="K65" i="1" s="1"/>
  <c r="L65" i="1" s="1"/>
  <c r="F65" i="1"/>
  <c r="B65" i="1"/>
  <c r="H64" i="1"/>
  <c r="J64" i="1" s="1"/>
  <c r="K64" i="1" s="1"/>
  <c r="L64" i="1" s="1"/>
  <c r="G64" i="1"/>
  <c r="F64" i="1"/>
  <c r="B64" i="1"/>
  <c r="H63" i="1"/>
  <c r="J63" i="1" s="1"/>
  <c r="K63" i="1" s="1"/>
  <c r="L63" i="1" s="1"/>
  <c r="G63" i="1"/>
  <c r="F63" i="1"/>
  <c r="B63" i="1"/>
  <c r="H62" i="1"/>
  <c r="G62" i="1"/>
  <c r="J62" i="1" s="1"/>
  <c r="K62" i="1" s="1"/>
  <c r="L62" i="1" s="1"/>
  <c r="F62" i="1"/>
  <c r="B62" i="1"/>
  <c r="J61" i="1"/>
  <c r="K61" i="1" s="1"/>
  <c r="L61" i="1" s="1"/>
  <c r="H61" i="1"/>
  <c r="G61" i="1"/>
  <c r="F61" i="1"/>
  <c r="B61" i="1"/>
  <c r="H60" i="1"/>
  <c r="G60" i="1"/>
  <c r="J60" i="1" s="1"/>
  <c r="K60" i="1" s="1"/>
  <c r="L60" i="1" s="1"/>
  <c r="F60" i="1"/>
  <c r="B60" i="1"/>
  <c r="H59" i="1"/>
  <c r="G59" i="1"/>
  <c r="J59" i="1" s="1"/>
  <c r="K59" i="1" s="1"/>
  <c r="L59" i="1" s="1"/>
  <c r="F59" i="1"/>
  <c r="B59" i="1"/>
  <c r="H58" i="1"/>
  <c r="G58" i="1"/>
  <c r="J58" i="1" s="1"/>
  <c r="K58" i="1" s="1"/>
  <c r="L58" i="1" s="1"/>
  <c r="F58" i="1"/>
  <c r="B58" i="1"/>
  <c r="H57" i="1"/>
  <c r="G57" i="1"/>
  <c r="F57" i="1"/>
  <c r="B57" i="1"/>
  <c r="J56" i="1"/>
  <c r="K56" i="1" s="1"/>
  <c r="L56" i="1" s="1"/>
  <c r="H56" i="1"/>
  <c r="G56" i="1"/>
  <c r="F56" i="1"/>
  <c r="B56" i="1"/>
  <c r="H55" i="1"/>
  <c r="G55" i="1"/>
  <c r="J55" i="1" s="1"/>
  <c r="K55" i="1" s="1"/>
  <c r="L55" i="1" s="1"/>
  <c r="F55" i="1"/>
  <c r="B55" i="1"/>
  <c r="L54" i="1"/>
  <c r="H54" i="1"/>
  <c r="G54" i="1"/>
  <c r="J54" i="1" s="1"/>
  <c r="K54" i="1" s="1"/>
  <c r="F54" i="1"/>
  <c r="B54" i="1"/>
  <c r="H53" i="1"/>
  <c r="G53" i="1"/>
  <c r="J53" i="1" s="1"/>
  <c r="K53" i="1" s="1"/>
  <c r="L53" i="1" s="1"/>
  <c r="F53" i="1"/>
  <c r="B53" i="1"/>
  <c r="H52" i="1"/>
  <c r="J52" i="1" s="1"/>
  <c r="K52" i="1" s="1"/>
  <c r="L52" i="1" s="1"/>
  <c r="G52" i="1"/>
  <c r="F52" i="1"/>
  <c r="B52" i="1"/>
  <c r="H51" i="1"/>
  <c r="G51" i="1"/>
  <c r="J51" i="1" s="1"/>
  <c r="K51" i="1" s="1"/>
  <c r="L51" i="1" s="1"/>
  <c r="F51" i="1"/>
  <c r="B51" i="1"/>
  <c r="H50" i="1"/>
  <c r="G50" i="1"/>
  <c r="J50" i="1" s="1"/>
  <c r="K50" i="1" s="1"/>
  <c r="L50" i="1" s="1"/>
  <c r="F50" i="1"/>
  <c r="B50" i="1"/>
  <c r="K49" i="1"/>
  <c r="L49" i="1" s="1"/>
  <c r="J49" i="1"/>
  <c r="H49" i="1"/>
  <c r="G49" i="1"/>
  <c r="F49" i="1"/>
  <c r="B49" i="1"/>
  <c r="J48" i="1"/>
  <c r="K48" i="1" s="1"/>
  <c r="L48" i="1" s="1"/>
  <c r="H48" i="1"/>
  <c r="G48" i="1"/>
  <c r="F48" i="1"/>
  <c r="B48" i="1"/>
  <c r="J47" i="1"/>
  <c r="K47" i="1" s="1"/>
  <c r="L47" i="1" s="1"/>
  <c r="H47" i="1"/>
  <c r="G47" i="1"/>
  <c r="F47" i="1"/>
  <c r="B47" i="1"/>
  <c r="K46" i="1"/>
  <c r="L46" i="1" s="1"/>
  <c r="H46" i="1"/>
  <c r="G46" i="1"/>
  <c r="J46" i="1" s="1"/>
  <c r="F46" i="1"/>
  <c r="B46" i="1"/>
  <c r="H45" i="1"/>
  <c r="G45" i="1"/>
  <c r="J45" i="1" s="1"/>
  <c r="K45" i="1" s="1"/>
  <c r="L45" i="1" s="1"/>
  <c r="F45" i="1"/>
  <c r="B45" i="1"/>
  <c r="H44" i="1"/>
  <c r="J44" i="1" s="1"/>
  <c r="K44" i="1" s="1"/>
  <c r="L44" i="1" s="1"/>
  <c r="G44" i="1"/>
  <c r="F44" i="1"/>
  <c r="B44" i="1"/>
  <c r="H43" i="1"/>
  <c r="J43" i="1" s="1"/>
  <c r="K43" i="1" s="1"/>
  <c r="L43" i="1" s="1"/>
  <c r="G43" i="1"/>
  <c r="F43" i="1"/>
  <c r="B43" i="1"/>
  <c r="H42" i="1"/>
  <c r="G42" i="1"/>
  <c r="J42" i="1" s="1"/>
  <c r="K42" i="1" s="1"/>
  <c r="L42" i="1" s="1"/>
  <c r="F42" i="1"/>
  <c r="B42" i="1"/>
  <c r="J41" i="1"/>
  <c r="K41" i="1" s="1"/>
  <c r="L41" i="1" s="1"/>
  <c r="H41" i="1"/>
  <c r="G41" i="1"/>
  <c r="F41" i="1"/>
  <c r="B41" i="1"/>
  <c r="H40" i="1"/>
  <c r="G40" i="1"/>
  <c r="J40" i="1" s="1"/>
  <c r="K40" i="1" s="1"/>
  <c r="L40" i="1" s="1"/>
  <c r="F40" i="1"/>
  <c r="B40" i="1"/>
  <c r="H39" i="1"/>
  <c r="G39" i="1"/>
  <c r="J39" i="1" s="1"/>
  <c r="K39" i="1" s="1"/>
  <c r="L39" i="1" s="1"/>
  <c r="F39" i="1"/>
  <c r="B39" i="1"/>
  <c r="K38" i="1"/>
  <c r="L38" i="1" s="1"/>
  <c r="H38" i="1"/>
  <c r="G38" i="1"/>
  <c r="J38" i="1" s="1"/>
  <c r="F38" i="1"/>
  <c r="B38" i="1"/>
  <c r="H37" i="1"/>
  <c r="G37" i="1"/>
  <c r="J37" i="1" s="1"/>
  <c r="K37" i="1" s="1"/>
  <c r="L37" i="1" s="1"/>
  <c r="F37" i="1"/>
  <c r="B37" i="1"/>
  <c r="H36" i="1"/>
  <c r="G36" i="1"/>
  <c r="J36" i="1" s="1"/>
  <c r="K36" i="1" s="1"/>
  <c r="L36" i="1" s="1"/>
  <c r="F36" i="1"/>
  <c r="B36" i="1"/>
  <c r="H35" i="1"/>
  <c r="G35" i="1"/>
  <c r="F35" i="1"/>
  <c r="B35" i="1"/>
  <c r="J34" i="1"/>
  <c r="K34" i="1" s="1"/>
  <c r="L34" i="1" s="1"/>
  <c r="H34" i="1"/>
  <c r="G34" i="1"/>
  <c r="F34" i="1"/>
  <c r="B34" i="1"/>
  <c r="J33" i="1"/>
  <c r="K33" i="1" s="1"/>
  <c r="L33" i="1" s="1"/>
  <c r="H33" i="1"/>
  <c r="G33" i="1"/>
  <c r="F33" i="1"/>
  <c r="B33" i="1"/>
  <c r="H32" i="1"/>
  <c r="J32" i="1" s="1"/>
  <c r="K32" i="1" s="1"/>
  <c r="L32" i="1" s="1"/>
  <c r="G32" i="1"/>
  <c r="F32" i="1"/>
  <c r="B32" i="1"/>
  <c r="K31" i="1"/>
  <c r="L31" i="1" s="1"/>
  <c r="H31" i="1"/>
  <c r="G31" i="1"/>
  <c r="J31" i="1" s="1"/>
  <c r="F31" i="1"/>
  <c r="B31" i="1"/>
  <c r="H30" i="1"/>
  <c r="G30" i="1"/>
  <c r="J30" i="1" s="1"/>
  <c r="K30" i="1" s="1"/>
  <c r="L30" i="1" s="1"/>
  <c r="F30" i="1"/>
  <c r="B30" i="1"/>
  <c r="J29" i="1"/>
  <c r="K29" i="1" s="1"/>
  <c r="L29" i="1" s="1"/>
  <c r="H29" i="1"/>
  <c r="G29" i="1"/>
  <c r="F29" i="1"/>
  <c r="B29" i="1"/>
  <c r="J28" i="1"/>
  <c r="K28" i="1" s="1"/>
  <c r="L28" i="1" s="1"/>
  <c r="H28" i="1"/>
  <c r="G28" i="1"/>
  <c r="F28" i="1"/>
  <c r="B28" i="1"/>
  <c r="H27" i="1"/>
  <c r="G27" i="1"/>
  <c r="J27" i="1" s="1"/>
  <c r="K27" i="1" s="1"/>
  <c r="L27" i="1" s="1"/>
  <c r="F27" i="1"/>
  <c r="B27" i="1"/>
  <c r="H26" i="1"/>
  <c r="G26" i="1"/>
  <c r="J26" i="1" s="1"/>
  <c r="K26" i="1" s="1"/>
  <c r="F26" i="1"/>
  <c r="B26" i="1"/>
  <c r="H25" i="1"/>
  <c r="G25" i="1"/>
  <c r="J25" i="1" s="1"/>
  <c r="K25" i="1" s="1"/>
  <c r="L25" i="1" s="1"/>
  <c r="F25" i="1"/>
  <c r="B25" i="1"/>
  <c r="K24" i="1"/>
  <c r="L24" i="1" s="1"/>
  <c r="J24" i="1"/>
  <c r="H24" i="1"/>
  <c r="G24" i="1"/>
  <c r="F24" i="1"/>
  <c r="B24" i="1"/>
  <c r="L23" i="1"/>
  <c r="H23" i="1"/>
  <c r="J23" i="1" s="1"/>
  <c r="K23" i="1" s="1"/>
  <c r="G23" i="1"/>
  <c r="F23" i="1"/>
  <c r="B23" i="1"/>
  <c r="J22" i="1"/>
  <c r="K22" i="1" s="1"/>
  <c r="H22" i="1"/>
  <c r="G22" i="1"/>
  <c r="F22" i="1"/>
  <c r="B22" i="1"/>
  <c r="J21" i="1"/>
  <c r="K21" i="1" s="1"/>
  <c r="L21" i="1" s="1"/>
  <c r="H21" i="1"/>
  <c r="G21" i="1"/>
  <c r="F21" i="1"/>
  <c r="B21" i="1"/>
  <c r="J20" i="1"/>
  <c r="K20" i="1" s="1"/>
  <c r="L20" i="1" s="1"/>
  <c r="H20" i="1"/>
  <c r="G20" i="1"/>
  <c r="F20" i="1"/>
  <c r="B20" i="1"/>
  <c r="H19" i="1"/>
  <c r="G19" i="1"/>
  <c r="J19" i="1" s="1"/>
  <c r="K19" i="1" s="1"/>
  <c r="F19" i="1"/>
  <c r="B19" i="1"/>
  <c r="H18" i="1"/>
  <c r="G18" i="1"/>
  <c r="J18" i="1" s="1"/>
  <c r="F18" i="1"/>
  <c r="B18" i="1"/>
  <c r="B13" i="1"/>
  <c r="N9" i="1"/>
  <c r="J9" i="1"/>
  <c r="D9" i="1"/>
  <c r="N8" i="1"/>
  <c r="J8" i="1"/>
  <c r="D8" i="1"/>
  <c r="N7" i="1"/>
  <c r="J7" i="1"/>
  <c r="D7" i="1"/>
  <c r="AO18" i="2" l="1"/>
  <c r="L22" i="1"/>
  <c r="J35" i="1"/>
  <c r="K35" i="1" s="1"/>
  <c r="L35" i="1" s="1"/>
  <c r="L26" i="1"/>
  <c r="L19" i="1"/>
  <c r="AO15" i="2"/>
  <c r="H31" i="2"/>
  <c r="M30" i="2"/>
  <c r="R30" i="2"/>
  <c r="AB30" i="2"/>
  <c r="AH30" i="2" s="1"/>
  <c r="W30" i="2"/>
  <c r="H30" i="2"/>
  <c r="AP14" i="2"/>
  <c r="D15" i="3"/>
  <c r="AB32" i="2"/>
  <c r="AH32" i="2" s="1"/>
  <c r="W32" i="2"/>
  <c r="R32" i="2"/>
  <c r="M32" i="2"/>
  <c r="H32" i="2"/>
  <c r="M29" i="2"/>
  <c r="H29" i="2"/>
  <c r="M31" i="2"/>
  <c r="J57" i="1"/>
  <c r="K57" i="1" s="1"/>
  <c r="L57" i="1" s="1"/>
  <c r="J117" i="1"/>
  <c r="K117" i="1" s="1"/>
  <c r="L117" i="1" s="1"/>
  <c r="H33" i="2"/>
  <c r="AH14" i="2"/>
  <c r="M33" i="2"/>
  <c r="AI14" i="2"/>
  <c r="AH15" i="2"/>
  <c r="R33" i="2"/>
  <c r="AJ14" i="2"/>
  <c r="AI15" i="2"/>
  <c r="W33" i="2"/>
  <c r="K18" i="1"/>
  <c r="AJ15" i="2"/>
  <c r="AP15" i="2" s="1"/>
  <c r="AB33" i="2"/>
  <c r="AH33" i="2" s="1"/>
  <c r="AL20" i="2"/>
  <c r="AI23" i="2"/>
  <c r="AP18" i="2"/>
  <c r="AO19" i="2"/>
  <c r="AN20" i="2"/>
  <c r="AM21" i="2"/>
  <c r="AK23" i="2"/>
  <c r="AP19" i="2"/>
  <c r="AP20" i="2"/>
  <c r="AM23" i="2"/>
  <c r="AP21" i="2"/>
  <c r="AN23" i="2"/>
  <c r="AO23" i="2"/>
  <c r="AP23" i="2"/>
  <c r="Y41" i="2" l="1"/>
  <c r="R41" i="2"/>
  <c r="H8" i="2"/>
  <c r="B218" i="1"/>
  <c r="AH34" i="2"/>
  <c r="AB34" i="2"/>
  <c r="AP24" i="2"/>
  <c r="I13" i="1"/>
  <c r="D13" i="1"/>
  <c r="L18" i="1"/>
  <c r="R8" i="2"/>
  <c r="F13" i="1"/>
  <c r="M8" i="2"/>
  <c r="Y42" i="2"/>
  <c r="AO14" i="2"/>
  <c r="R42" i="2"/>
  <c r="AJ24" i="2"/>
  <c r="AP17" i="2"/>
  <c r="W31" i="2"/>
  <c r="AB31" i="2"/>
  <c r="AH31" i="2" s="1"/>
  <c r="H34" i="2"/>
  <c r="Y13" i="2"/>
  <c r="E13" i="2"/>
  <c r="X13" i="2"/>
  <c r="D13" i="2"/>
  <c r="W13" i="2"/>
  <c r="C13" i="2"/>
  <c r="V13" i="2"/>
  <c r="U13" i="2"/>
  <c r="T13" i="2"/>
  <c r="S13" i="2"/>
  <c r="R13" i="2"/>
  <c r="Q13" i="2"/>
  <c r="P13" i="2"/>
  <c r="AC13" i="2"/>
  <c r="G13" i="2"/>
  <c r="AB13" i="2"/>
  <c r="F13" i="2"/>
  <c r="AG13" i="2"/>
  <c r="AA13" i="2"/>
  <c r="Z13" i="2"/>
  <c r="L13" i="2"/>
  <c r="O13" i="2"/>
  <c r="K13" i="2"/>
  <c r="N13" i="2"/>
  <c r="M13" i="2"/>
  <c r="J13" i="2"/>
  <c r="I13" i="2"/>
  <c r="H13" i="2"/>
  <c r="AE13" i="2"/>
  <c r="AD13" i="2"/>
  <c r="AF13" i="2"/>
  <c r="R31" i="2"/>
  <c r="AO16" i="2"/>
  <c r="R29" i="2"/>
  <c r="R34" i="2" s="1"/>
  <c r="N13" i="1"/>
  <c r="AB29" i="2"/>
  <c r="AH29" i="2" s="1"/>
  <c r="AO17" i="2"/>
  <c r="W29" i="2"/>
  <c r="AP16" i="2"/>
  <c r="AO24" i="2" l="1"/>
  <c r="AF12" i="2"/>
  <c r="AF23" i="2"/>
  <c r="AF17" i="2"/>
  <c r="AF22" i="2"/>
  <c r="AF16" i="2"/>
  <c r="AF19" i="2"/>
  <c r="AF21" i="2"/>
  <c r="AF20" i="2"/>
  <c r="AF18" i="2"/>
  <c r="AF24" i="2"/>
  <c r="AF14" i="2"/>
  <c r="AF15" i="2"/>
  <c r="P12" i="2"/>
  <c r="P24" i="2"/>
  <c r="P23" i="2"/>
  <c r="P22" i="2"/>
  <c r="P21" i="2"/>
  <c r="P20" i="2"/>
  <c r="P19" i="2"/>
  <c r="P18" i="2"/>
  <c r="P17" i="2"/>
  <c r="P16" i="2"/>
  <c r="P14" i="2"/>
  <c r="P15" i="2"/>
  <c r="AD12" i="2"/>
  <c r="AD18" i="2"/>
  <c r="AD24" i="2"/>
  <c r="AD23" i="2"/>
  <c r="AD21" i="2"/>
  <c r="AD22" i="2"/>
  <c r="AD20" i="2"/>
  <c r="AD19" i="2"/>
  <c r="AD16" i="2"/>
  <c r="AD14" i="2"/>
  <c r="AD15" i="2"/>
  <c r="AD17" i="2"/>
  <c r="Q24" i="2"/>
  <c r="Q22" i="2"/>
  <c r="Q21" i="2"/>
  <c r="Q20" i="2"/>
  <c r="Q19" i="2"/>
  <c r="Q18" i="2"/>
  <c r="Q12" i="2"/>
  <c r="Q16" i="2"/>
  <c r="Q17" i="2"/>
  <c r="Q15" i="2"/>
  <c r="Q14" i="2"/>
  <c r="Q23" i="2"/>
  <c r="S24" i="2"/>
  <c r="S22" i="2"/>
  <c r="S20" i="2"/>
  <c r="S18" i="2"/>
  <c r="S12" i="2"/>
  <c r="S17" i="2"/>
  <c r="S16" i="2"/>
  <c r="S23" i="2"/>
  <c r="S19" i="2"/>
  <c r="S21" i="2"/>
  <c r="S15" i="2"/>
  <c r="S14" i="2"/>
  <c r="H12" i="2"/>
  <c r="H22" i="2"/>
  <c r="H23" i="2"/>
  <c r="H21" i="2"/>
  <c r="H20" i="2"/>
  <c r="H24" i="2"/>
  <c r="H17" i="2"/>
  <c r="H19" i="2"/>
  <c r="H15" i="2"/>
  <c r="H16" i="2"/>
  <c r="H14" i="2"/>
  <c r="H18" i="2"/>
  <c r="T24" i="2"/>
  <c r="T22" i="2"/>
  <c r="T21" i="2"/>
  <c r="T18" i="2"/>
  <c r="T12" i="2"/>
  <c r="T17" i="2"/>
  <c r="T16" i="2"/>
  <c r="T20" i="2"/>
  <c r="T14" i="2"/>
  <c r="T15" i="2"/>
  <c r="T19" i="2"/>
  <c r="T23" i="2"/>
  <c r="Y40" i="2"/>
  <c r="R40" i="2"/>
  <c r="Y39" i="2"/>
  <c r="R39" i="2"/>
  <c r="L13" i="1"/>
  <c r="AB8" i="2"/>
  <c r="AB12" i="2"/>
  <c r="AB21" i="2"/>
  <c r="AB24" i="2"/>
  <c r="AB23" i="2"/>
  <c r="AB22" i="2"/>
  <c r="AB20" i="2"/>
  <c r="AB18" i="2"/>
  <c r="AB19" i="2"/>
  <c r="AB16" i="2"/>
  <c r="AB14" i="2"/>
  <c r="AB17" i="2"/>
  <c r="AB15" i="2"/>
  <c r="G18" i="2"/>
  <c r="G12" i="2"/>
  <c r="G22" i="2"/>
  <c r="G24" i="2"/>
  <c r="G21" i="2"/>
  <c r="G23" i="2"/>
  <c r="G19" i="2"/>
  <c r="G16" i="2"/>
  <c r="G17" i="2"/>
  <c r="G15" i="2"/>
  <c r="G20" i="2"/>
  <c r="G14" i="2"/>
  <c r="AC18" i="2"/>
  <c r="AC16" i="2"/>
  <c r="AC12" i="2"/>
  <c r="AC24" i="2"/>
  <c r="AC23" i="2"/>
  <c r="AC22" i="2"/>
  <c r="AC21" i="2"/>
  <c r="AC20" i="2"/>
  <c r="AC19" i="2"/>
  <c r="AC17" i="2"/>
  <c r="AC14" i="2"/>
  <c r="AC15" i="2"/>
  <c r="AE12" i="2"/>
  <c r="AE24" i="2"/>
  <c r="AE23" i="2"/>
  <c r="AE17" i="2"/>
  <c r="AE22" i="2"/>
  <c r="AE20" i="2"/>
  <c r="AE21" i="2"/>
  <c r="AE18" i="2"/>
  <c r="AE19" i="2"/>
  <c r="AE16" i="2"/>
  <c r="AE14" i="2"/>
  <c r="AE15" i="2"/>
  <c r="R24" i="2"/>
  <c r="R23" i="2"/>
  <c r="R22" i="2"/>
  <c r="R21" i="2"/>
  <c r="R19" i="2"/>
  <c r="R18" i="2"/>
  <c r="R12" i="2"/>
  <c r="R17" i="2"/>
  <c r="R16" i="2"/>
  <c r="R14" i="2"/>
  <c r="R20" i="2"/>
  <c r="R15" i="2"/>
  <c r="U24" i="2"/>
  <c r="U22" i="2"/>
  <c r="U21" i="2"/>
  <c r="U20" i="2"/>
  <c r="U18" i="2"/>
  <c r="U16" i="2"/>
  <c r="U12" i="2"/>
  <c r="U19" i="2"/>
  <c r="U17" i="2"/>
  <c r="U15" i="2"/>
  <c r="U23" i="2"/>
  <c r="U14" i="2"/>
  <c r="I18" i="2"/>
  <c r="I16" i="2"/>
  <c r="I12" i="2"/>
  <c r="I20" i="2"/>
  <c r="I19" i="2"/>
  <c r="I21" i="2"/>
  <c r="I24" i="2"/>
  <c r="I23" i="2"/>
  <c r="I22" i="2"/>
  <c r="I14" i="2"/>
  <c r="I15" i="2"/>
  <c r="I17" i="2"/>
  <c r="V24" i="2"/>
  <c r="V12" i="2"/>
  <c r="V16" i="2"/>
  <c r="V18" i="2"/>
  <c r="V20" i="2"/>
  <c r="V14" i="2"/>
  <c r="V22" i="2"/>
  <c r="V23" i="2"/>
  <c r="V17" i="2"/>
  <c r="V19" i="2"/>
  <c r="V21" i="2"/>
  <c r="V15" i="2"/>
  <c r="AG12" i="2"/>
  <c r="AG16" i="2"/>
  <c r="AG22" i="2"/>
  <c r="AG21" i="2"/>
  <c r="AG20" i="2"/>
  <c r="AG19" i="2"/>
  <c r="AG18" i="2"/>
  <c r="AG24" i="2"/>
  <c r="AG17" i="2"/>
  <c r="AG23" i="2"/>
  <c r="AG15" i="2"/>
  <c r="AG14" i="2"/>
  <c r="W34" i="2"/>
  <c r="O12" i="2"/>
  <c r="O24" i="2"/>
  <c r="O22" i="2"/>
  <c r="O20" i="2"/>
  <c r="O17" i="2"/>
  <c r="O19" i="2"/>
  <c r="O16" i="2"/>
  <c r="O18" i="2"/>
  <c r="O21" i="2"/>
  <c r="O15" i="2"/>
  <c r="O14" i="2"/>
  <c r="O23" i="2"/>
  <c r="E22" i="2"/>
  <c r="E20" i="2"/>
  <c r="E18" i="2"/>
  <c r="E16" i="2"/>
  <c r="E24" i="2"/>
  <c r="E23" i="2"/>
  <c r="E12" i="2"/>
  <c r="E19" i="2"/>
  <c r="E17" i="2"/>
  <c r="E15" i="2"/>
  <c r="E21" i="2"/>
  <c r="E14" i="2"/>
  <c r="F21" i="2"/>
  <c r="F22" i="2"/>
  <c r="F24" i="2"/>
  <c r="F23" i="2"/>
  <c r="F12" i="2"/>
  <c r="F20" i="2"/>
  <c r="F19" i="2"/>
  <c r="F18" i="2"/>
  <c r="F14" i="2"/>
  <c r="F17" i="2"/>
  <c r="F16" i="2"/>
  <c r="F15" i="2"/>
  <c r="N12" i="2"/>
  <c r="N24" i="2"/>
  <c r="N23" i="2"/>
  <c r="N22" i="2"/>
  <c r="N20" i="2"/>
  <c r="N19" i="2"/>
  <c r="N17" i="2"/>
  <c r="N18" i="2"/>
  <c r="N16" i="2"/>
  <c r="N21" i="2"/>
  <c r="N14" i="2"/>
  <c r="N15" i="2"/>
  <c r="D24" i="2"/>
  <c r="D22" i="2"/>
  <c r="D21" i="2"/>
  <c r="D18" i="2"/>
  <c r="D12" i="2"/>
  <c r="D15" i="2"/>
  <c r="D20" i="2"/>
  <c r="D16" i="2"/>
  <c r="D19" i="2"/>
  <c r="D23" i="2"/>
  <c r="D17" i="2"/>
  <c r="D14" i="2"/>
  <c r="L12" i="2"/>
  <c r="L16" i="2"/>
  <c r="L21" i="2"/>
  <c r="L22" i="2"/>
  <c r="L23" i="2"/>
  <c r="L20" i="2"/>
  <c r="L24" i="2"/>
  <c r="L18" i="2"/>
  <c r="L19" i="2"/>
  <c r="L17" i="2"/>
  <c r="L14" i="2"/>
  <c r="L15" i="2"/>
  <c r="Y22" i="2"/>
  <c r="Y20" i="2"/>
  <c r="Y18" i="2"/>
  <c r="Y16" i="2"/>
  <c r="Y12" i="2"/>
  <c r="Y23" i="2"/>
  <c r="Y24" i="2"/>
  <c r="Y19" i="2"/>
  <c r="Y14" i="2"/>
  <c r="Y15" i="2"/>
  <c r="Y17" i="2"/>
  <c r="Y21" i="2"/>
  <c r="AA18" i="2"/>
  <c r="AA12" i="2"/>
  <c r="AA24" i="2"/>
  <c r="AA23" i="2"/>
  <c r="AA22" i="2"/>
  <c r="AA21" i="2"/>
  <c r="AA19" i="2"/>
  <c r="AA16" i="2"/>
  <c r="AA20" i="2"/>
  <c r="AA14" i="2"/>
  <c r="AA15" i="2"/>
  <c r="AA17" i="2"/>
  <c r="J12" i="2"/>
  <c r="J21" i="2"/>
  <c r="J19" i="2"/>
  <c r="J20" i="2"/>
  <c r="J24" i="2"/>
  <c r="J18" i="2"/>
  <c r="J23" i="2"/>
  <c r="J22" i="2"/>
  <c r="J15" i="2"/>
  <c r="J16" i="2"/>
  <c r="J14" i="2"/>
  <c r="J17" i="2"/>
  <c r="C24" i="2"/>
  <c r="C22" i="2"/>
  <c r="C18" i="2"/>
  <c r="C16" i="2"/>
  <c r="C12" i="2"/>
  <c r="C15" i="2"/>
  <c r="C17" i="2"/>
  <c r="C19" i="2"/>
  <c r="C21" i="2"/>
  <c r="C23" i="2"/>
  <c r="C14" i="2"/>
  <c r="C20" i="2"/>
  <c r="M12" i="2"/>
  <c r="M21" i="2"/>
  <c r="M20" i="2"/>
  <c r="M18" i="2"/>
  <c r="M23" i="2"/>
  <c r="M17" i="2"/>
  <c r="M19" i="2"/>
  <c r="M24" i="2"/>
  <c r="M16" i="2"/>
  <c r="M22" i="2"/>
  <c r="M14" i="2"/>
  <c r="M15" i="2"/>
  <c r="W24" i="2"/>
  <c r="W22" i="2"/>
  <c r="W18" i="2"/>
  <c r="W16" i="2"/>
  <c r="W12" i="2"/>
  <c r="W15" i="2"/>
  <c r="W20" i="2"/>
  <c r="W21" i="2"/>
  <c r="W23" i="2"/>
  <c r="W14" i="2"/>
  <c r="W17" i="2"/>
  <c r="W19" i="2"/>
  <c r="K12" i="2"/>
  <c r="K24" i="2"/>
  <c r="K21" i="2"/>
  <c r="K19" i="2"/>
  <c r="K18" i="2"/>
  <c r="K20" i="2"/>
  <c r="K23" i="2"/>
  <c r="K17" i="2"/>
  <c r="K22" i="2"/>
  <c r="K14" i="2"/>
  <c r="K15" i="2"/>
  <c r="K16" i="2"/>
  <c r="X24" i="2"/>
  <c r="X22" i="2"/>
  <c r="X21" i="2"/>
  <c r="X18" i="2"/>
  <c r="X12" i="2"/>
  <c r="X15" i="2"/>
  <c r="X20" i="2"/>
  <c r="X17" i="2"/>
  <c r="X23" i="2"/>
  <c r="X14" i="2"/>
  <c r="X16" i="2"/>
  <c r="X19" i="2"/>
  <c r="Z21" i="2"/>
  <c r="Z22" i="2"/>
  <c r="Z12" i="2"/>
  <c r="Z24" i="2"/>
  <c r="Z23" i="2"/>
  <c r="Z20" i="2"/>
  <c r="Z16" i="2"/>
  <c r="Z17" i="2"/>
  <c r="Z14" i="2"/>
  <c r="Z19" i="2"/>
  <c r="Z18" i="2"/>
  <c r="Z15" i="2"/>
  <c r="AN15" i="2" l="1"/>
  <c r="AM15" i="2"/>
  <c r="AK15" i="2"/>
  <c r="AN14" i="2"/>
  <c r="AM14" i="2"/>
  <c r="AK14" i="2"/>
  <c r="AM17" i="2"/>
  <c r="AN17" i="2"/>
  <c r="AK17" i="2"/>
  <c r="AN16" i="2"/>
  <c r="AM16" i="2"/>
  <c r="AK16" i="2"/>
  <c r="AN18" i="2"/>
  <c r="AK18" i="2"/>
  <c r="AM18" i="2"/>
  <c r="AN19" i="2"/>
  <c r="AM19" i="2"/>
  <c r="AK19" i="2"/>
  <c r="Y38" i="2" l="1"/>
  <c r="R38" i="2"/>
  <c r="AK24" i="2"/>
  <c r="W8" i="2"/>
</calcChain>
</file>

<file path=xl/sharedStrings.xml><?xml version="1.0" encoding="utf-8"?>
<sst xmlns="http://schemas.openxmlformats.org/spreadsheetml/2006/main" count="670" uniqueCount="243">
  <si>
    <t>TEMPERATURPROTOKOLL</t>
  </si>
  <si>
    <t>HACCP-EIGENKONTROLLE</t>
  </si>
  <si>
    <t>Dokumentation der Temperaturkontrollen je Messstelle · Grenzwerte, Bewertung und Maßnahmen automatisch</t>
  </si>
  <si>
    <t>Berichtsmonat aus den Stammdaten</t>
  </si>
  <si>
    <t>01</t>
  </si>
  <si>
    <t>BETRIEB &amp; DOKUMENTATION</t>
  </si>
  <si>
    <t>Angaben werden aus dem Blatt „Stammdaten“ übernommen</t>
  </si>
  <si>
    <t>BETRIEB</t>
  </si>
  <si>
    <t>STANDORT / BEREICH</t>
  </si>
  <si>
    <t>DOKUMENT-NR.</t>
  </si>
  <si>
    <t>VERANTWORTLICH</t>
  </si>
  <si>
    <t>BERICHTSZEITRAUM</t>
  </si>
  <si>
    <t>MESSGERÄT</t>
  </si>
  <si>
    <t>KALIBRIERT AM</t>
  </si>
  <si>
    <t>NÄCHSTE KALIBRIERUNG</t>
  </si>
  <si>
    <t>FREIGABE DURCH</t>
  </si>
  <si>
    <t>02</t>
  </si>
  <si>
    <t>KENNZAHLEN DES BERICHTSMONATS</t>
  </si>
  <si>
    <t>aktualisieren sich mit jeder Eingabe</t>
  </si>
  <si>
    <t>MESSUNGEN</t>
  </si>
  <si>
    <t>KONFORMITÄT</t>
  </si>
  <si>
    <t>ABWEICHUNGEN</t>
  </si>
  <si>
    <t>DAVON KRITISCH</t>
  </si>
  <si>
    <t>OFFENE MASSNAHMEN</t>
  </si>
  <si>
    <t>GRÖSSTE ABWEICHUNG</t>
  </si>
  <si>
    <t>erfasste Messwerte</t>
  </si>
  <si>
    <t>Anteil Werte im Sollbereich</t>
  </si>
  <si>
    <t>Grenzwert nicht eingehalten</t>
  </si>
  <si>
    <t>Toleranz zusätzlich überschritten</t>
  </si>
  <si>
    <t>noch nicht abgeschlossen</t>
  </si>
  <si>
    <t>größter Abstand zum Grenzwert</t>
  </si>
  <si>
    <t>03</t>
  </si>
  <si>
    <t>MESSPROTOKOLL</t>
  </si>
  <si>
    <t>cremefarben = Eingabe · grau = automatisch berechnet</t>
  </si>
  <si>
    <t>Nr.</t>
  </si>
  <si>
    <t>Datum</t>
  </si>
  <si>
    <t>Zeit</t>
  </si>
  <si>
    <t>Messstelle</t>
  </si>
  <si>
    <t>Bereich</t>
  </si>
  <si>
    <t>Unter-
grenze</t>
  </si>
  <si>
    <t>Ober-
grenze</t>
  </si>
  <si>
    <t>Istwert
°C</t>
  </si>
  <si>
    <t>Abwei-
chung</t>
  </si>
  <si>
    <t>Bewertung</t>
  </si>
  <si>
    <t>Maßnahme
erforderlich</t>
  </si>
  <si>
    <t>Maßnahme / Korrekturhandlung</t>
  </si>
  <si>
    <t>Status
Maßnahme</t>
  </si>
  <si>
    <t>Prüfer/in</t>
  </si>
  <si>
    <t>Bemerkung</t>
  </si>
  <si>
    <t>KS-01 · Kühlschrank Küche</t>
  </si>
  <si>
    <t>T. Reimers</t>
  </si>
  <si>
    <t>KZ-01 · Kühlzelle Lager</t>
  </si>
  <si>
    <t>K. Brandt</t>
  </si>
  <si>
    <t>TK-01 · Tiefkühltruhe</t>
  </si>
  <si>
    <t>N. Hoffmann</t>
  </si>
  <si>
    <t>LR-01 · Trockenlager</t>
  </si>
  <si>
    <t>WE-01 · Wareneingang Kühlware</t>
  </si>
  <si>
    <t>A. Vogt</t>
  </si>
  <si>
    <t>WA-01 · Warmhaltetheke</t>
  </si>
  <si>
    <t>J. Peters</t>
  </si>
  <si>
    <t>Gerät nachjustiert, Nachkontrolle veranlasst</t>
  </si>
  <si>
    <t>Erledigt</t>
  </si>
  <si>
    <t>Heizleistung erhöht</t>
  </si>
  <si>
    <t>Türdichtung geprüft und gereinigt</t>
  </si>
  <si>
    <t>Tür stand während Anlieferung offen</t>
  </si>
  <si>
    <t>Lieferung beanstandet / Rückgabe an Lieferant</t>
  </si>
  <si>
    <t>Lieferschein-Nr. 2026-4471</t>
  </si>
  <si>
    <t>Technischen Dienst informiert</t>
  </si>
  <si>
    <t>Abtauzyklus verlängert</t>
  </si>
  <si>
    <t>Ware gesperrt und sensorisch geprüft</t>
  </si>
  <si>
    <t>In Bearbeitung</t>
  </si>
  <si>
    <t>Charge gesperrt, Bewertung läuft</t>
  </si>
  <si>
    <t>Nachkontrolle durchgeführt – Wert im Sollbereich</t>
  </si>
  <si>
    <t>Nachkontrolle nach Abweichung</t>
  </si>
  <si>
    <t>Mitarbeitende unterwiesen</t>
  </si>
  <si>
    <t>Lüftung angepasst</t>
  </si>
  <si>
    <t>Offen</t>
  </si>
  <si>
    <t>Klimagerät Trockenlager prüfen</t>
  </si>
  <si>
    <t>Kompressor überprüft, Ware umgelagert</t>
  </si>
  <si>
    <t>LEGENDE</t>
  </si>
  <si>
    <t>OK</t>
  </si>
  <si>
    <t>im Sollbereich</t>
  </si>
  <si>
    <t>▼</t>
  </si>
  <si>
    <t>zu niedrig</t>
  </si>
  <si>
    <t>▲</t>
  </si>
  <si>
    <t>zu hoch</t>
  </si>
  <si>
    <t>!</t>
  </si>
  <si>
    <t>kritisch</t>
  </si>
  <si>
    <t>■</t>
  </si>
  <si>
    <t>Eingabefeld</t>
  </si>
  <si>
    <t>berechnet</t>
  </si>
  <si>
    <t>AUSWERTUNG &amp; MONATSÜBERSICHT</t>
  </si>
  <si>
    <t>TEMPERATURKONTROLLE</t>
  </si>
  <si>
    <t>Monatsmatrix je Messstelle · Kennwerte, Dokumentationslücken und Prüfhinweise für das interne Audit</t>
  </si>
  <si>
    <t>alle Werte aus dem Temperaturprotokoll</t>
  </si>
  <si>
    <t>KENNZAHLEN</t>
  </si>
  <si>
    <t>Berichtsmonat laut Stammdaten</t>
  </si>
  <si>
    <t>KRITISCH</t>
  </si>
  <si>
    <t>DOK.-LÜCKEN</t>
  </si>
  <si>
    <t>BERICHTSZEITRAUM &amp; BETRIEB</t>
  </si>
  <si>
    <t>erfasste Werte</t>
  </si>
  <si>
    <t>außerhalb Grenzwert</t>
  </si>
  <si>
    <t>Toleranz überschritten</t>
  </si>
  <si>
    <t>fehlende Kontrollen</t>
  </si>
  <si>
    <t>noch nicht erledigt</t>
  </si>
  <si>
    <t>MONATSMATRIX · TAGESWERTE JE MESSSTELLE</t>
  </si>
  <si>
    <t>leere Zelle im Monat = fehlende Dokumentation</t>
  </si>
  <si>
    <t>MESSSTELLE</t>
  </si>
  <si>
    <t>Mes-
sungen</t>
  </si>
  <si>
    <t>Lücken</t>
  </si>
  <si>
    <t>Ø °C</t>
  </si>
  <si>
    <t>Min °C</t>
  </si>
  <si>
    <t>Max °C</t>
  </si>
  <si>
    <t>Abwei-
chungen</t>
  </si>
  <si>
    <t>Konfor-
mität</t>
  </si>
  <si>
    <t>SUMMEN · ABWEICHUNGEN JE TAG</t>
  </si>
  <si>
    <t>kritisch (Toleranz überschritten)</t>
  </si>
  <si>
    <t>□</t>
  </si>
  <si>
    <t>keine Messung erfasst</t>
  </si>
  <si>
    <t>AUSWERTUNG NACH BEREICH</t>
  </si>
  <si>
    <t>Ziel-Konformität laut Stammdaten</t>
  </si>
  <si>
    <t>BEREICH</t>
  </si>
  <si>
    <t>Messstellen</t>
  </si>
  <si>
    <t>Messungen</t>
  </si>
  <si>
    <t>Ø Temperatur</t>
  </si>
  <si>
    <t>Abweichungen</t>
  </si>
  <si>
    <t>davon kritisch</t>
  </si>
  <si>
    <t>Konformität</t>
  </si>
  <si>
    <t>Kühlung</t>
  </si>
  <si>
    <t>Tiefkühlung</t>
  </si>
  <si>
    <t>Warmhaltung</t>
  </si>
  <si>
    <t>Wareneingang</t>
  </si>
  <si>
    <t>Lagerung</t>
  </si>
  <si>
    <t>GESAMT</t>
  </si>
  <si>
    <t>04</t>
  </si>
  <si>
    <t>PRÜFHINWEISE · INTERNE VERIFIZIERUNG</t>
  </si>
  <si>
    <t>OK = Anforderung erfüllt</t>
  </si>
  <si>
    <t>NR.</t>
  </si>
  <si>
    <t>Prüfpunkt</t>
  </si>
  <si>
    <t>Ergebnis</t>
  </si>
  <si>
    <t>Status</t>
  </si>
  <si>
    <t>Hinweis</t>
  </si>
  <si>
    <t>Dokumentation lückenlos je Messstelle</t>
  </si>
  <si>
    <t>Soll-Kontrollen laut Prüfhäufigkeit gegen erfasste Tage</t>
  </si>
  <si>
    <t>Zu jeder Abweichung ist eine Maßnahme dokumentiert</t>
  </si>
  <si>
    <t>offene Felder in Spalte „Maßnahme“</t>
  </si>
  <si>
    <t>Alle Korrekturmaßnahmen abgeschlossen</t>
  </si>
  <si>
    <t>Status im Protokoll auf „Erledigt“ setzen</t>
  </si>
  <si>
    <t>Konformitätsquote erreicht die Zielvorgabe</t>
  </si>
  <si>
    <t>Zielwert wird in den Stammdaten festgelegt</t>
  </si>
  <si>
    <t>Keine kritischen Grenzwertüberschreitungen</t>
  </si>
  <si>
    <t>kritische Fälle gesondert bewerten und ablegen</t>
  </si>
  <si>
    <t>Prüfer/in bei jeder Messung eingetragen</t>
  </si>
  <si>
    <t>Nachvollziehbarkeit der Aufzeichnung</t>
  </si>
  <si>
    <t>Thermometer im Berichtszeitraum kalibriert</t>
  </si>
  <si>
    <t>nächster Kalibriertermin nach Monatsende</t>
  </si>
  <si>
    <t>05</t>
  </si>
  <si>
    <t>GRAFISCHE AUSWERTUNG</t>
  </si>
  <si>
    <t>STAMMDATEN &amp; PARAMETER</t>
  </si>
  <si>
    <t>Messstellen, Grenzwerte, Auswahllisten und Berichtszeitraum – hier wird die Vorlage eingerichtet</t>
  </si>
  <si>
    <t>Berichtsjahr 2026</t>
  </si>
  <si>
    <t>graue Felder = berechnet</t>
  </si>
  <si>
    <t>Muster Betriebsgastronomie GmbH</t>
  </si>
  <si>
    <t>Betriebsrestaurant Nord · Küche &amp; Lager</t>
  </si>
  <si>
    <t>ANSCHRIFT</t>
  </si>
  <si>
    <t>Industriestraße 24 · 26127 Musterstadt</t>
  </si>
  <si>
    <t>VERANTWORTLICH (HACCP)</t>
  </si>
  <si>
    <t>S. Ahrends (Hygienebeauftragte)</t>
  </si>
  <si>
    <t>TK-2026-06</t>
  </si>
  <si>
    <t>M. Deckert (Betriebsleitung)</t>
  </si>
  <si>
    <t>VERSION</t>
  </si>
  <si>
    <t>1.0 · gültig ab 01.01.2026</t>
  </si>
  <si>
    <t>ERSTELLT AM</t>
  </si>
  <si>
    <t>PARAMETER &amp; BERICHTSZEITRAUM</t>
  </si>
  <si>
    <t>Monat/Jahr steuern das gesamte Dokument</t>
  </si>
  <si>
    <t>BERICHTSMONAT (1–12)</t>
  </si>
  <si>
    <t>BERICHTSJAHR</t>
  </si>
  <si>
    <t>MONATSBEGINN</t>
  </si>
  <si>
    <t>MONATSENDE</t>
  </si>
  <si>
    <t>KALENDERTAGE IM MONAT</t>
  </si>
  <si>
    <t>WERKTAGE (MO–FR)</t>
  </si>
  <si>
    <t>TOLERANZ „KRITISCH“</t>
  </si>
  <si>
    <t>ZIEL-KONFORMITÄT</t>
  </si>
  <si>
    <t>MESSGERÄT / THERMOMETER</t>
  </si>
  <si>
    <t>Digital-Einstichthermometer DT-220</t>
  </si>
  <si>
    <t>Überschreitung der Grenzwerte um mehr als die Toleranz = „kritisch“</t>
  </si>
  <si>
    <t>MESSSTELLEN-KATALOG</t>
  </si>
  <si>
    <t>Grundlage für Auswahllisten und Grenzwertprüfung</t>
  </si>
  <si>
    <t>Messstelle / Gerät</t>
  </si>
  <si>
    <t>Sollwert
°C</t>
  </si>
  <si>
    <t>Untergrenze
°C</t>
  </si>
  <si>
    <t>Obergrenze
°C</t>
  </si>
  <si>
    <t>Toleranz-
breite</t>
  </si>
  <si>
    <t>Prüfhäufigkeit</t>
  </si>
  <si>
    <t>Verantwortlich</t>
  </si>
  <si>
    <t>täglich</t>
  </si>
  <si>
    <t>Küchenleitung</t>
  </si>
  <si>
    <t>Einstichmessung Innenraum</t>
  </si>
  <si>
    <t>Lagerleitung</t>
  </si>
  <si>
    <t>Datenlogger, tägl. Ablesung</t>
  </si>
  <si>
    <t>Kernmessung im Stapel</t>
  </si>
  <si>
    <t>Serviceleitung</t>
  </si>
  <si>
    <t>Messung in der Speisenmitte</t>
  </si>
  <si>
    <t>werktäglich</t>
  </si>
  <si>
    <t>Warenannahme</t>
  </si>
  <si>
    <t>Messung bei Anlieferung</t>
  </si>
  <si>
    <t>Raumfühler Nordwand</t>
  </si>
  <si>
    <t>AUSWAHLLISTEN</t>
  </si>
  <si>
    <t>Einträge ergänzen = Dropdowns wachsen mit</t>
  </si>
  <si>
    <t>BEREICHE</t>
  </si>
  <si>
    <t>PRÜFHÄUFIGKEIT</t>
  </si>
  <si>
    <t>MASSNAHMEN-STATUS</t>
  </si>
  <si>
    <t>PRÜFER / VERANTWORTLICHE</t>
  </si>
  <si>
    <t>wöchentlich</t>
  </si>
  <si>
    <t>je Anlieferung</t>
  </si>
  <si>
    <t>MASSNAHMENKATALOG</t>
  </si>
  <si>
    <t>Keine – Grenzwerte eingehalten</t>
  </si>
  <si>
    <t>Ware umgelagert in Ersatzkühlung</t>
  </si>
  <si>
    <t>Ware entsorgt (Dokumentation Warenvernichtung)</t>
  </si>
  <si>
    <t>ANLEITUNG IN 7 SCHRITTEN</t>
  </si>
  <si>
    <t>Schritt 1</t>
  </si>
  <si>
    <t>Betriebsdaten, Berichtsmonat und Berichtsjahr in Abschnitt 01 und 02 eintragen – alle Blätter passen sich automatisch an.</t>
  </si>
  <si>
    <t>Schritt 2</t>
  </si>
  <si>
    <t>Messstellen-Katalog (Abschnitt 03) auf den eigenen Betrieb anpassen: Bezeichnung, Bereich, Soll-, Unter- und Obergrenze je Gerät.</t>
  </si>
  <si>
    <t>Schritt 3</t>
  </si>
  <si>
    <t>Auf dem Blatt „Temperaturprotokoll“ je Messung Datum, Uhrzeit, Messstelle (Dropdown), Istwert und Prüfer eintragen – nur die cremefarbenen Felder.</t>
  </si>
  <si>
    <t>Schritt 4</t>
  </si>
  <si>
    <t>Grenzwerte, Abweichung und Bewertung berechnet die Vorlage selbständig; die Toleranz für die Stufe „kritisch“ legen Sie in Abschnitt 02 fest.</t>
  </si>
  <si>
    <t>Schritt 5</t>
  </si>
  <si>
    <t>Bei jeder Abweichung eine Maßnahme aus dem Katalog wählen (oder frei formulieren) und den Maßnahmen-Status pflegen, bis er auf „Erledigt“ steht.</t>
  </si>
  <si>
    <t>Schritt 6</t>
  </si>
  <si>
    <t>Das Blatt „Auswertung“ zeigt die Monatsmatrix, je Messstelle Kennwerte und Lücken sowie sieben Prüfhinweise für das interne Audit.</t>
  </si>
  <si>
    <t>Schritt 7</t>
  </si>
  <si>
    <t>Monatsabschluss: Protokoll ausdrucken, von der verantwortlichen Person freigeben und gemäß betrieblicher Aufbewahrungsfrist archivieren.</t>
  </si>
  <si>
    <t>06</t>
  </si>
  <si>
    <t>FARBLEGENDE &amp; HINWEIS</t>
  </si>
  <si>
    <t>Messwert liegt innerhalb des festgelegten Sollbereichs</t>
  </si>
  <si>
    <t>Zu niedrig – Wert unterhalb der Untergrenze</t>
  </si>
  <si>
    <t>Zu hoch – Wert oberhalb der Obergrenze</t>
  </si>
  <si>
    <t>Kritisch – Grenzwert um mehr als die Toleranz verfehlt</t>
  </si>
  <si>
    <t>Cremefarbenes Feld = Eingabe durch die Anwenderin / den Anwender</t>
  </si>
  <si>
    <t>Graues Feld = Formel, bitte nicht überschreiben</t>
  </si>
  <si>
    <t>Hinweis: Diese Vorlage ist ein allgemeines Arbeitsmittel zur Eigenkontrolle. Die einzuhaltenden Temperaturgrenzen, Prüfintervalle und Aufbewahrungsfristen ergeben sich aus den betrieblichen Festlegungen des jeweiligen Eigenkontrollkonzepts sowie den einschlägigen lebensmittelrechtlichen Vorgaben. Die Vorlage ersetzt weder eine fachkundige Gefahrenanalyse noch eine rechtliche Beratung.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</si>
</sst>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dd\.mm\.yyyy"/>
    <numFmt numFmtId="165" formatCode="0.0%"/>
    <numFmt numFmtId="166" formatCode="0.0&quot; K&quot;"/>
    <numFmt numFmtId="167" formatCode="hh:mm"/>
    <numFmt numFmtId="168" formatCode="0.0&quot; °C&quot;"/>
    <numFmt numFmtId="169" formatCode="\+0.0&quot; K&quot;;\-0.0&quot; K&quot;;\—"/>
    <numFmt numFmtId="170" formatCode="0.0"/>
    <numFmt numFmtId="171" formatCode="d"/>
    <numFmt numFmtId="172" formatCode="0;;&quot;&quot;"/>
  </numFmts>
  <fonts count="42" x14ac:knownFonts="1">
    <font>
      <sz val="11"/>
      <color theme="1"/>
      <name val="Calibri"/>
      <family val="2"/>
      <charset val="1"/>
    </font>
    <font>
      <b/>
      <sz val="21"/>
      <color rgb="FFFFFFFF"/>
      <name val="Calibri"/>
      <charset val="1"/>
    </font>
    <font>
      <b/>
      <sz val="11"/>
      <color rgb="FFFFFFFF"/>
      <name val="Calibri"/>
      <charset val="1"/>
    </font>
    <font>
      <i/>
      <sz val="10"/>
      <color rgb="FFDCEDF4"/>
      <name val="Calibri"/>
      <charset val="1"/>
    </font>
    <font>
      <i/>
      <sz val="9"/>
      <color rgb="FFDCEDF4"/>
      <name val="Calibri"/>
      <charset val="1"/>
    </font>
    <font>
      <b/>
      <sz val="9"/>
      <color rgb="FFFFFFFF"/>
      <name val="Calibri"/>
      <charset val="1"/>
    </font>
    <font>
      <b/>
      <sz val="11"/>
      <color rgb="FF1A1F2B"/>
      <name val="Calibri"/>
      <charset val="1"/>
    </font>
    <font>
      <i/>
      <sz val="8.5"/>
      <color rgb="FF6B7280"/>
      <name val="Calibri"/>
      <charset val="1"/>
    </font>
    <font>
      <b/>
      <sz val="8.5"/>
      <color rgb="FF6B7280"/>
      <name val="Calibri"/>
      <charset val="1"/>
    </font>
    <font>
      <sz val="10"/>
      <color rgb="FF1A1F2B"/>
      <name val="Calibri"/>
      <charset val="1"/>
    </font>
    <font>
      <b/>
      <sz val="7.5"/>
      <color rgb="FFFFFFFF"/>
      <name val="Calibri"/>
      <charset val="1"/>
    </font>
    <font>
      <b/>
      <sz val="13"/>
      <color rgb="FF303A4D"/>
      <name val="Calibri"/>
      <charset val="1"/>
    </font>
    <font>
      <b/>
      <sz val="15"/>
      <color rgb="FF2C7A52"/>
      <name val="Calibri"/>
      <charset val="1"/>
    </font>
    <font>
      <b/>
      <sz val="13"/>
      <color rgb="FFD0662F"/>
      <name val="Calibri"/>
      <charset val="1"/>
    </font>
    <font>
      <b/>
      <sz val="13"/>
      <color rgb="FFB02A22"/>
      <name val="Calibri"/>
      <charset val="1"/>
    </font>
    <font>
      <b/>
      <sz val="13"/>
      <color rgb="FF2F7FA0"/>
      <name val="Calibri"/>
      <charset val="1"/>
    </font>
    <font>
      <i/>
      <sz val="7.5"/>
      <color rgb="FF6B7280"/>
      <name val="Calibri"/>
      <charset val="1"/>
    </font>
    <font>
      <b/>
      <sz val="8.5"/>
      <color rgb="FFFFFFFF"/>
      <name val="Calibri"/>
      <charset val="1"/>
    </font>
    <font>
      <sz val="9"/>
      <color rgb="FF6B7280"/>
      <name val="Calibri"/>
      <charset val="1"/>
    </font>
    <font>
      <sz val="9.5"/>
      <color rgb="FF1A1F2B"/>
      <name val="Calibri"/>
      <charset val="1"/>
    </font>
    <font>
      <sz val="9"/>
      <color rgb="FF5A6478"/>
      <name val="Calibri"/>
      <charset val="1"/>
    </font>
    <font>
      <b/>
      <sz val="10"/>
      <color rgb="FF1A1F2B"/>
      <name val="Calibri"/>
      <charset val="1"/>
    </font>
    <font>
      <b/>
      <sz val="9"/>
      <color rgb="FF5A6478"/>
      <name val="Calibri"/>
      <charset val="1"/>
    </font>
    <font>
      <b/>
      <sz val="9"/>
      <color rgb="FF1A1F2B"/>
      <name val="Calibri"/>
      <charset val="1"/>
    </font>
    <font>
      <sz val="9"/>
      <color rgb="FF1A1F2B"/>
      <name val="Calibri"/>
      <charset val="1"/>
    </font>
    <font>
      <b/>
      <sz val="10"/>
      <color rgb="FFFFFFFF"/>
      <name val="Calibri"/>
      <charset val="1"/>
    </font>
    <font>
      <b/>
      <sz val="8"/>
      <color rgb="FF1E5B75"/>
      <name val="Calibri"/>
      <charset val="1"/>
    </font>
    <font>
      <sz val="8.5"/>
      <color rgb="FF1A1F2B"/>
      <name val="Calibri"/>
      <charset val="1"/>
    </font>
    <font>
      <sz val="1"/>
      <color rgb="FFFFFFFF"/>
      <name val="Calibri"/>
      <charset val="1"/>
    </font>
    <font>
      <b/>
      <sz val="14"/>
      <color rgb="FF2C7A52"/>
      <name val="Calibri"/>
      <charset val="1"/>
    </font>
    <font>
      <b/>
      <sz val="11"/>
      <color rgb="FF1E5B75"/>
      <name val="Calibri"/>
      <charset val="1"/>
    </font>
    <font>
      <b/>
      <sz val="7"/>
      <color rgb="FFDCEDF4"/>
      <name val="Calibri"/>
      <charset val="1"/>
    </font>
    <font>
      <b/>
      <sz val="8"/>
      <color rgb="FFFFFFFF"/>
      <name val="Calibri"/>
      <charset val="1"/>
    </font>
    <font>
      <b/>
      <sz val="8.5"/>
      <color rgb="FF1A1F2B"/>
      <name val="Calibri"/>
      <charset val="1"/>
    </font>
    <font>
      <sz val="7"/>
      <color rgb="FF1A1F2B"/>
      <name val="Calibri"/>
      <charset val="1"/>
    </font>
    <font>
      <sz val="8"/>
      <color rgb="FF5A6478"/>
      <name val="Calibri"/>
      <charset val="1"/>
    </font>
    <font>
      <sz val="8"/>
      <color rgb="FF1E5B75"/>
      <name val="Calibri"/>
      <charset val="1"/>
    </font>
    <font>
      <sz val="8"/>
      <color rgb="FFD0662F"/>
      <name val="Calibri"/>
      <charset val="1"/>
    </font>
    <font>
      <sz val="8.5"/>
      <color rgb="FF6B7280"/>
      <name val="Calibri"/>
      <charset val="1"/>
    </font>
    <font>
      <sz val="9.5"/>
      <color rgb="FF5A6478"/>
      <name val="Calibri"/>
      <charset val="1"/>
    </font>
    <font>
      <b/>
      <sz val="9"/>
      <color rgb="FF1E5B75"/>
      <name val="Calibri"/>
      <charset val="1"/>
    </font>
    <font>
      <b/>
      <sz val="12"/>
      <color rgb="FFFFFFFF"/>
      <name val="Calibri"/>
      <family val="2"/>
    </font>
  </fonts>
  <fills count="73">
    <fill>
      <patternFill patternType="none"/>
    </fill>
    <fill>
      <patternFill patternType="gray125"/>
    </fill>
    <fill>
      <patternFill patternType="solid">
        <fgColor rgb="FF1A1F2B"/>
        <bgColor rgb="FF303A4D"/>
      </patternFill>
    </fill>
    <fill>
      <patternFill patternType="solid">
        <fgColor rgb="FF1E5B75"/>
        <bgColor rgb="FF20607B"/>
      </patternFill>
    </fill>
    <fill>
      <patternFill patternType="solid">
        <fgColor rgb="FF226581"/>
        <bgColor rgb="FF20607B"/>
      </patternFill>
    </fill>
    <fill>
      <patternFill patternType="solid">
        <fgColor rgb="FF266D8B"/>
        <bgColor rgb="FF246985"/>
      </patternFill>
    </fill>
    <fill>
      <patternFill patternType="darkGray">
        <fgColor rgb="FF2B7998"/>
        <bgColor rgb="FF297492"/>
      </patternFill>
    </fill>
    <fill>
      <patternFill patternType="solid">
        <fgColor rgb="FF307FA0"/>
        <bgColor rgb="FF2B7998"/>
      </patternFill>
    </fill>
    <fill>
      <patternFill patternType="solid">
        <fgColor rgb="FF598B99"/>
        <bgColor rgb="FF48869C"/>
      </patternFill>
    </fill>
    <fill>
      <patternFill patternType="mediumGray">
        <fgColor rgb="FF769295"/>
        <bgColor rgb="FF859491"/>
      </patternFill>
    </fill>
    <fill>
      <patternFill patternType="darkGray">
        <fgColor rgb="FF9A9C8F"/>
        <bgColor rgb="FFAD9C85"/>
      </patternFill>
    </fill>
    <fill>
      <patternFill patternType="solid">
        <fgColor rgb="FFB2957A"/>
        <bgColor rgb="FFB78D6D"/>
      </patternFill>
    </fill>
    <fill>
      <patternFill patternType="solid">
        <fgColor rgb="FFBD825C"/>
        <bgColor rgb="FFBF815A"/>
      </patternFill>
    </fill>
    <fill>
      <patternFill patternType="solid">
        <fgColor rgb="FFC97141"/>
        <bgColor rgb="FFCA6E3D"/>
      </patternFill>
    </fill>
    <fill>
      <patternFill patternType="solid">
        <fgColor rgb="FFCD602E"/>
        <bgColor rgb="FFCE622E"/>
      </patternFill>
    </fill>
    <fill>
      <patternFill patternType="solid">
        <fgColor rgb="FFC34E2A"/>
        <bgColor rgb="FFC4502A"/>
      </patternFill>
    </fill>
    <fill>
      <patternFill patternType="solid">
        <fgColor rgb="FFBA3C26"/>
        <bgColor rgb="FFBA3D26"/>
      </patternFill>
    </fill>
    <fill>
      <patternFill patternType="solid">
        <fgColor rgb="FFB02A22"/>
        <bgColor rgb="FFB73725"/>
      </patternFill>
    </fill>
    <fill>
      <patternFill patternType="solid">
        <fgColor rgb="FF307FA0"/>
        <bgColor rgb="FF2B7998"/>
      </patternFill>
    </fill>
    <fill>
      <patternFill patternType="solid">
        <fgColor rgb="FFF0F1F3"/>
        <bgColor rgb="FFF7F2E9"/>
      </patternFill>
    </fill>
    <fill>
      <patternFill patternType="solid">
        <fgColor rgb="FF303A4D"/>
        <bgColor rgb="FF1A1F2B"/>
      </patternFill>
    </fill>
    <fill>
      <patternFill patternType="solid">
        <fgColor rgb="FF2C7A52"/>
        <bgColor rgb="FF266D8B"/>
      </patternFill>
    </fill>
    <fill>
      <patternFill patternType="solid">
        <fgColor rgb="FFD0662F"/>
        <bgColor rgb="FFCE6833"/>
      </patternFill>
    </fill>
    <fill>
      <patternFill patternType="solid">
        <fgColor rgb="FFFCFAF6"/>
        <bgColor rgb="FFFFFFFF"/>
      </patternFill>
    </fill>
    <fill>
      <patternFill patternType="solid">
        <fgColor rgb="FFFFF7E4"/>
        <bgColor rgb="FFF7F2E9"/>
      </patternFill>
    </fill>
    <fill>
      <patternFill patternType="solid">
        <fgColor rgb="FFDCEDE2"/>
        <bgColor rgb="FFDCEDF4"/>
      </patternFill>
    </fill>
    <fill>
      <patternFill patternType="solid">
        <fgColor rgb="FFDCEDF4"/>
        <bgColor rgb="FFDCEDE2"/>
      </patternFill>
    </fill>
    <fill>
      <patternFill patternType="solid">
        <fgColor rgb="FFFAE4D4"/>
        <bgColor rgb="FFF6D8D3"/>
      </patternFill>
    </fill>
    <fill>
      <patternFill patternType="solid">
        <fgColor rgb="FFF6D8D3"/>
        <bgColor rgb="FFFAE4D4"/>
      </patternFill>
    </fill>
    <fill>
      <patternFill patternType="solid">
        <fgColor rgb="FF5A6478"/>
        <bgColor rgb="FF6B7280"/>
      </patternFill>
    </fill>
    <fill>
      <patternFill patternType="darkGray">
        <fgColor rgb="FF20607B"/>
        <bgColor rgb="FF1E5B75"/>
      </patternFill>
    </fill>
    <fill>
      <patternFill patternType="darkGray">
        <fgColor rgb="FF20607B"/>
        <bgColor rgb="FF226581"/>
      </patternFill>
    </fill>
    <fill>
      <patternFill patternType="solid">
        <fgColor rgb="FF226581"/>
        <bgColor rgb="FF246985"/>
      </patternFill>
    </fill>
    <fill>
      <patternFill patternType="darkGray">
        <fgColor rgb="FF246985"/>
        <bgColor rgb="FF226581"/>
      </patternFill>
    </fill>
    <fill>
      <patternFill patternType="mediumGray">
        <fgColor rgb="FF266D8B"/>
        <bgColor rgb="FF246985"/>
      </patternFill>
    </fill>
    <fill>
      <patternFill patternType="darkGray">
        <fgColor rgb="FF297492"/>
        <bgColor rgb="FF266D8B"/>
      </patternFill>
    </fill>
    <fill>
      <patternFill patternType="darkGray">
        <fgColor rgb="FF297492"/>
        <bgColor rgb="FF2B7998"/>
      </patternFill>
    </fill>
    <fill>
      <patternFill patternType="solid">
        <fgColor rgb="FF2B7998"/>
        <bgColor rgb="FF297492"/>
      </patternFill>
    </fill>
    <fill>
      <patternFill patternType="mediumGray">
        <fgColor rgb="FF2B7998"/>
        <bgColor rgb="FF307FA0"/>
      </patternFill>
    </fill>
    <fill>
      <patternFill patternType="mediumGray">
        <fgColor rgb="FF307FA0"/>
        <bgColor rgb="FF48869C"/>
      </patternFill>
    </fill>
    <fill>
      <patternFill patternType="solid">
        <fgColor rgb="FF48869C"/>
        <bgColor rgb="FF598B99"/>
      </patternFill>
    </fill>
    <fill>
      <patternFill patternType="darkGray">
        <fgColor rgb="FF598B99"/>
        <bgColor rgb="FF48869C"/>
      </patternFill>
    </fill>
    <fill>
      <patternFill patternType="darkGray">
        <fgColor rgb="FF598B99"/>
        <bgColor rgb="FF769295"/>
      </patternFill>
    </fill>
    <fill>
      <patternFill patternType="darkGray">
        <fgColor rgb="FF769295"/>
        <bgColor rgb="FF598B99"/>
      </patternFill>
    </fill>
    <fill>
      <patternFill patternType="darkGray">
        <fgColor rgb="FF769295"/>
        <bgColor rgb="FF859491"/>
      </patternFill>
    </fill>
    <fill>
      <patternFill patternType="solid">
        <fgColor rgb="FF859491"/>
        <bgColor rgb="FF769295"/>
      </patternFill>
    </fill>
    <fill>
      <patternFill patternType="darkGray">
        <fgColor rgb="FF9A9C8F"/>
        <bgColor rgb="FF859491"/>
      </patternFill>
    </fill>
    <fill>
      <patternFill patternType="darkGray">
        <fgColor rgb="FFAD9C85"/>
        <bgColor rgb="FF9A9C8F"/>
      </patternFill>
    </fill>
    <fill>
      <patternFill patternType="mediumGray">
        <fgColor rgb="FFAD9C85"/>
        <bgColor rgb="FFB2957A"/>
      </patternFill>
    </fill>
    <fill>
      <patternFill patternType="darkGray">
        <fgColor rgb="FFB2957A"/>
        <bgColor rgb="FFB78D6D"/>
      </patternFill>
    </fill>
    <fill>
      <patternFill patternType="solid">
        <fgColor rgb="FFB78D6D"/>
        <bgColor rgb="FFBB8763"/>
      </patternFill>
    </fill>
    <fill>
      <patternFill patternType="solid">
        <fgColor rgb="FFBB8763"/>
        <bgColor rgb="FFBD825C"/>
      </patternFill>
    </fill>
    <fill>
      <patternFill patternType="solid">
        <fgColor rgb="FFBF815A"/>
        <bgColor rgb="FFBD825C"/>
      </patternFill>
    </fill>
    <fill>
      <patternFill patternType="solid">
        <fgColor rgb="FFC37B50"/>
        <bgColor rgb="FFC17D53"/>
      </patternFill>
    </fill>
    <fill>
      <patternFill patternType="solid">
        <fgColor rgb="FFC67546"/>
        <bgColor rgb="FFC97141"/>
      </patternFill>
    </fill>
    <fill>
      <patternFill patternType="solid">
        <fgColor rgb="FFCA6E3D"/>
        <bgColor rgb="FFC97141"/>
      </patternFill>
    </fill>
    <fill>
      <patternFill patternType="solid">
        <fgColor rgb="FFCE6833"/>
        <bgColor rgb="FFD0662F"/>
      </patternFill>
    </fill>
    <fill>
      <patternFill patternType="solid">
        <fgColor rgb="FFCE622E"/>
        <bgColor rgb="FFCD602E"/>
      </patternFill>
    </fill>
    <fill>
      <patternFill patternType="solid">
        <fgColor rgb="FFCB5C2D"/>
        <bgColor rgb="FFCD602E"/>
      </patternFill>
    </fill>
    <fill>
      <patternFill patternType="solid">
        <fgColor rgb="FFC7562B"/>
        <bgColor rgb="FFC4502A"/>
      </patternFill>
    </fill>
    <fill>
      <patternFill patternType="solid">
        <fgColor rgb="FFC4502A"/>
        <bgColor rgb="FFC34E2A"/>
      </patternFill>
    </fill>
    <fill>
      <patternFill patternType="solid">
        <fgColor rgb="FFC14929"/>
        <bgColor rgb="FFBF4628"/>
      </patternFill>
    </fill>
    <fill>
      <patternFill patternType="solid">
        <fgColor rgb="FFBD4327"/>
        <bgColor rgb="FFBF4628"/>
      </patternFill>
    </fill>
    <fill>
      <patternFill patternType="solid">
        <fgColor rgb="FFBA3D26"/>
        <bgColor rgb="FFBA3C26"/>
      </patternFill>
    </fill>
    <fill>
      <patternFill patternType="solid">
        <fgColor rgb="FFB73725"/>
        <bgColor rgb="FFBA3C26"/>
      </patternFill>
    </fill>
    <fill>
      <patternFill patternType="mediumGray">
        <fgColor rgb="FFB02A22"/>
        <bgColor rgb="FFB73725"/>
      </patternFill>
    </fill>
    <fill>
      <patternFill patternType="solid">
        <fgColor rgb="FFF7F2E9"/>
        <bgColor rgb="FFF0F1F3"/>
      </patternFill>
    </fill>
    <fill>
      <patternFill patternType="solid">
        <fgColor rgb="FFE4E6E9"/>
        <bgColor rgb="FFDCEDE2"/>
      </patternFill>
    </fill>
    <fill>
      <patternFill patternType="solid">
        <fgColor rgb="FF246985"/>
        <bgColor rgb="FF266D8B"/>
      </patternFill>
    </fill>
    <fill>
      <patternFill patternType="mediumGray">
        <fgColor rgb="FFB2957A"/>
        <bgColor rgb="FFAD9C85"/>
      </patternFill>
    </fill>
    <fill>
      <patternFill patternType="solid">
        <fgColor rgb="FFC17D53"/>
        <bgColor rgb="FFC37B50"/>
      </patternFill>
    </fill>
    <fill>
      <patternFill patternType="solid">
        <fgColor rgb="FFBF4628"/>
        <bgColor rgb="FFC14929"/>
      </patternFill>
    </fill>
    <fill>
      <patternFill patternType="solid">
        <fgColor rgb="FFFFFFFF"/>
        <bgColor rgb="FFFCFAF6"/>
      </patternFill>
    </fill>
  </fills>
  <borders count="13">
    <border>
      <left/>
      <right/>
      <top/>
      <bottom/>
      <diagonal/>
    </border>
    <border>
      <left/>
      <right/>
      <top/>
      <bottom style="double">
        <color rgb="FF1A1F2B"/>
      </bottom>
      <diagonal/>
    </border>
    <border>
      <left/>
      <right/>
      <top/>
      <bottom style="thin">
        <color rgb="FFC9CCD1"/>
      </bottom>
      <diagonal/>
    </border>
    <border>
      <left style="thin">
        <color rgb="FFC9CCD1"/>
      </left>
      <right style="thin">
        <color rgb="FFC9CCD1"/>
      </right>
      <top/>
      <bottom/>
      <diagonal/>
    </border>
    <border>
      <left style="thin">
        <color rgb="FFC9CCD1"/>
      </left>
      <right style="thin">
        <color rgb="FFC9CCD1"/>
      </right>
      <top/>
      <bottom style="thin">
        <color rgb="FFC9CCD1"/>
      </bottom>
      <diagonal/>
    </border>
    <border>
      <left/>
      <right style="thin">
        <color rgb="FF303A4D"/>
      </right>
      <top/>
      <bottom style="medium">
        <color rgb="FF307FA0"/>
      </bottom>
      <diagonal/>
    </border>
    <border>
      <left style="thin">
        <color rgb="FFC9CCD1"/>
      </left>
      <right/>
      <top/>
      <bottom style="thin">
        <color rgb="FFC9CCD1"/>
      </bottom>
      <diagonal/>
    </border>
    <border>
      <left style="thin">
        <color rgb="FF1A1F2B"/>
      </left>
      <right/>
      <top/>
      <bottom/>
      <diagonal/>
    </border>
    <border>
      <left/>
      <right/>
      <top/>
      <bottom style="medium">
        <color rgb="FF307FA0"/>
      </bottom>
      <diagonal/>
    </border>
    <border>
      <left style="thin">
        <color rgb="FFC9CCD1"/>
      </left>
      <right style="thin">
        <color rgb="FF303A4D"/>
      </right>
      <top/>
      <bottom style="thin">
        <color rgb="FFC9CCD1"/>
      </bottom>
      <diagonal/>
    </border>
    <border>
      <left style="thin">
        <color rgb="FF303A4D"/>
      </left>
      <right/>
      <top/>
      <bottom style="thin">
        <color rgb="FFC9CCD1"/>
      </bottom>
      <diagonal/>
    </border>
    <border>
      <left style="thin">
        <color rgb="FF1A1F2B"/>
      </left>
      <right/>
      <top/>
      <bottom style="medium">
        <color rgb="FF307FA0"/>
      </bottom>
      <diagonal/>
    </border>
    <border>
      <left/>
      <right/>
      <top/>
      <bottom style="thin">
        <color rgb="FF307FA0"/>
      </bottom>
      <diagonal/>
    </border>
  </borders>
  <cellStyleXfs count="1">
    <xf numFmtId="0" fontId="0" fillId="0" borderId="0"/>
  </cellStyleXfs>
  <cellXfs count="174">
    <xf numFmtId="0" fontId="0" fillId="0" borderId="0" xfId="0"/>
    <xf numFmtId="0" fontId="10" fillId="18" borderId="0" xfId="0" applyFont="1" applyFill="1" applyAlignment="1">
      <alignment horizontal="left" vertical="center" indent="1"/>
    </xf>
    <xf numFmtId="0" fontId="10" fillId="17" borderId="0" xfId="0" applyFont="1" applyFill="1" applyAlignment="1">
      <alignment horizontal="left" vertical="center" indent="1"/>
    </xf>
    <xf numFmtId="0" fontId="10" fillId="22" borderId="0" xfId="0" applyFont="1" applyFill="1" applyAlignment="1">
      <alignment horizontal="left" vertical="center" indent="1"/>
    </xf>
    <xf numFmtId="0" fontId="10" fillId="21" borderId="0" xfId="0" applyFont="1" applyFill="1" applyAlignment="1">
      <alignment horizontal="left" vertical="center" indent="1"/>
    </xf>
    <xf numFmtId="0" fontId="10" fillId="20" borderId="0" xfId="0" applyFont="1" applyFill="1" applyAlignment="1">
      <alignment horizontal="left" vertical="center" indent="1"/>
    </xf>
    <xf numFmtId="164" fontId="9" fillId="19" borderId="2" xfId="0" applyNumberFormat="1" applyFont="1" applyFill="1" applyBorder="1" applyAlignment="1">
      <alignment horizontal="left" vertical="center" indent="1"/>
    </xf>
    <xf numFmtId="0" fontId="9" fillId="19" borderId="2" xfId="0" applyFont="1" applyFill="1" applyBorder="1" applyAlignment="1">
      <alignment horizontal="left" vertical="center" indent="1"/>
    </xf>
    <xf numFmtId="0" fontId="8" fillId="0" borderId="0" xfId="0" applyFont="1" applyAlignment="1">
      <alignment horizontal="right" vertical="center"/>
    </xf>
    <xf numFmtId="0" fontId="7" fillId="0" borderId="1" xfId="0" applyFont="1" applyBorder="1" applyAlignment="1">
      <alignment horizontal="right" vertical="center" indent="1"/>
    </xf>
    <xf numFmtId="0" fontId="6" fillId="0" borderId="1" xfId="0" applyFont="1" applyBorder="1" applyAlignment="1">
      <alignment horizontal="left" vertical="center" indent="1"/>
    </xf>
    <xf numFmtId="0" fontId="4" fillId="2" borderId="0" xfId="0" applyFont="1" applyFill="1" applyAlignment="1">
      <alignment horizontal="right" vertical="top" indent="1"/>
    </xf>
    <xf numFmtId="0" fontId="3" fillId="2" borderId="0" xfId="0" applyFont="1" applyFill="1" applyAlignment="1">
      <alignment horizontal="left" vertical="top" indent="1"/>
    </xf>
    <xf numFmtId="0" fontId="2" fillId="2" borderId="0" xfId="0" applyFont="1" applyFill="1" applyAlignment="1">
      <alignment horizontal="right" vertical="center" indent="1"/>
    </xf>
    <xf numFmtId="0" fontId="1" fillId="2" borderId="0" xfId="0" applyFont="1" applyFill="1" applyAlignment="1">
      <alignment horizontal="left" vertical="center" indent="1"/>
    </xf>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0" fillId="14" borderId="0" xfId="0" applyFill="1"/>
    <xf numFmtId="0" fontId="0" fillId="15" borderId="0" xfId="0" applyFill="1"/>
    <xf numFmtId="0" fontId="0" fillId="16" borderId="0" xfId="0" applyFill="1"/>
    <xf numFmtId="0" fontId="0" fillId="17" borderId="0" xfId="0" applyFill="1"/>
    <xf numFmtId="0" fontId="5" fillId="18" borderId="1" xfId="0" applyFont="1" applyFill="1" applyBorder="1" applyAlignment="1">
      <alignment horizontal="center" vertical="center"/>
    </xf>
    <xf numFmtId="0" fontId="8" fillId="0" borderId="0" xfId="0" applyFont="1" applyAlignment="1">
      <alignment horizontal="right" vertical="center"/>
    </xf>
    <xf numFmtId="0" fontId="17" fillId="20" borderId="5" xfId="0" applyFont="1" applyFill="1" applyBorder="1" applyAlignment="1">
      <alignment horizontal="center" vertical="center" wrapText="1"/>
    </xf>
    <xf numFmtId="1" fontId="18" fillId="19" borderId="6" xfId="0" applyNumberFormat="1" applyFont="1" applyFill="1" applyBorder="1" applyAlignment="1">
      <alignment horizontal="center" vertical="center"/>
    </xf>
    <xf numFmtId="164" fontId="19" fillId="24" borderId="6" xfId="0" applyNumberFormat="1" applyFont="1" applyFill="1" applyBorder="1" applyAlignment="1">
      <alignment horizontal="center" vertical="center"/>
    </xf>
    <xf numFmtId="167" fontId="19" fillId="24" borderId="6" xfId="0" applyNumberFormat="1" applyFont="1" applyFill="1" applyBorder="1" applyAlignment="1">
      <alignment horizontal="center" vertical="center"/>
    </xf>
    <xf numFmtId="0" fontId="19" fillId="24" borderId="6" xfId="0" applyFont="1" applyFill="1" applyBorder="1" applyAlignment="1">
      <alignment horizontal="left" vertical="center"/>
    </xf>
    <xf numFmtId="0" fontId="20" fillId="19" borderId="6" xfId="0" applyFont="1" applyFill="1" applyBorder="1" applyAlignment="1">
      <alignment horizontal="left" vertical="center"/>
    </xf>
    <xf numFmtId="168" fontId="20" fillId="19" borderId="6" xfId="0" applyNumberFormat="1" applyFont="1" applyFill="1" applyBorder="1" applyAlignment="1">
      <alignment horizontal="center" vertical="center"/>
    </xf>
    <xf numFmtId="168" fontId="21" fillId="24" borderId="6" xfId="0" applyNumberFormat="1" applyFont="1" applyFill="1" applyBorder="1" applyAlignment="1">
      <alignment horizontal="center" vertical="center"/>
    </xf>
    <xf numFmtId="169" fontId="22" fillId="19" borderId="6" xfId="0" applyNumberFormat="1" applyFont="1" applyFill="1" applyBorder="1" applyAlignment="1">
      <alignment horizontal="center" vertical="center"/>
    </xf>
    <xf numFmtId="0" fontId="23" fillId="19" borderId="6" xfId="0" applyFont="1" applyFill="1" applyBorder="1" applyAlignment="1">
      <alignment horizontal="center" vertical="center"/>
    </xf>
    <xf numFmtId="0" fontId="20" fillId="19" borderId="6" xfId="0" applyFont="1" applyFill="1" applyBorder="1" applyAlignment="1">
      <alignment horizontal="center" vertical="center"/>
    </xf>
    <xf numFmtId="0" fontId="24" fillId="24" borderId="6" xfId="0" applyFont="1" applyFill="1" applyBorder="1" applyAlignment="1">
      <alignment horizontal="left" vertical="center"/>
    </xf>
    <xf numFmtId="0" fontId="24" fillId="24" borderId="6" xfId="0" applyFont="1" applyFill="1" applyBorder="1" applyAlignment="1">
      <alignment horizontal="center" vertical="center"/>
    </xf>
    <xf numFmtId="0" fontId="7" fillId="24" borderId="4" xfId="0" applyFont="1" applyFill="1" applyBorder="1" applyAlignment="1">
      <alignment horizontal="left" vertical="center"/>
    </xf>
    <xf numFmtId="0" fontId="26" fillId="0" borderId="0" xfId="0" applyFont="1" applyAlignment="1">
      <alignment horizontal="left" vertical="center"/>
    </xf>
    <xf numFmtId="0" fontId="17" fillId="21" borderId="0" xfId="0" applyFont="1" applyFill="1" applyAlignment="1">
      <alignment horizontal="center" vertical="center"/>
    </xf>
    <xf numFmtId="0" fontId="27" fillId="25" borderId="0" xfId="0" applyFont="1" applyFill="1" applyAlignment="1">
      <alignment horizontal="left" vertical="center" indent="1"/>
    </xf>
    <xf numFmtId="0" fontId="17" fillId="18" borderId="0" xfId="0" applyFont="1" applyFill="1" applyAlignment="1">
      <alignment horizontal="center" vertical="center"/>
    </xf>
    <xf numFmtId="0" fontId="27" fillId="26" borderId="0" xfId="0" applyFont="1" applyFill="1" applyAlignment="1">
      <alignment horizontal="left" vertical="center" indent="1"/>
    </xf>
    <xf numFmtId="0" fontId="17" fillId="22" borderId="0" xfId="0" applyFont="1" applyFill="1" applyAlignment="1">
      <alignment horizontal="center" vertical="center"/>
    </xf>
    <xf numFmtId="0" fontId="27" fillId="27" borderId="0" xfId="0" applyFont="1" applyFill="1" applyAlignment="1">
      <alignment horizontal="left" vertical="center" indent="1"/>
    </xf>
    <xf numFmtId="0" fontId="17" fillId="17" borderId="0" xfId="0" applyFont="1" applyFill="1" applyAlignment="1">
      <alignment horizontal="center" vertical="center"/>
    </xf>
    <xf numFmtId="0" fontId="27" fillId="28" borderId="0" xfId="0" applyFont="1" applyFill="1" applyAlignment="1">
      <alignment horizontal="left" vertical="center" indent="1"/>
    </xf>
    <xf numFmtId="0" fontId="17" fillId="29" borderId="0" xfId="0" applyFont="1" applyFill="1" applyAlignment="1">
      <alignment horizontal="center" vertical="center"/>
    </xf>
    <xf numFmtId="0" fontId="27" fillId="24" borderId="0" xfId="0" applyFont="1" applyFill="1" applyAlignment="1">
      <alignment horizontal="left" vertical="center" indent="1"/>
    </xf>
    <xf numFmtId="0" fontId="27" fillId="19" borderId="0" xfId="0" applyFont="1" applyFill="1" applyAlignment="1">
      <alignment horizontal="left" vertical="center" indent="1"/>
    </xf>
    <xf numFmtId="2" fontId="28" fillId="0" borderId="0" xfId="0" applyNumberFormat="1" applyFont="1"/>
    <xf numFmtId="170" fontId="28" fillId="0" borderId="0" xfId="0" applyNumberFormat="1" applyFont="1"/>
    <xf numFmtId="0" fontId="0" fillId="30" borderId="0" xfId="0" applyFill="1"/>
    <xf numFmtId="0" fontId="0" fillId="31" borderId="0" xfId="0" applyFill="1"/>
    <xf numFmtId="0" fontId="0" fillId="32" borderId="0" xfId="0" applyFill="1"/>
    <xf numFmtId="0" fontId="0" fillId="33" borderId="0" xfId="0" applyFill="1"/>
    <xf numFmtId="0" fontId="0" fillId="34" borderId="0" xfId="0" applyFill="1"/>
    <xf numFmtId="0" fontId="0" fillId="35" borderId="0" xfId="0" applyFill="1"/>
    <xf numFmtId="0" fontId="0" fillId="36" borderId="0" xfId="0" applyFill="1"/>
    <xf numFmtId="0" fontId="0" fillId="37" borderId="0" xfId="0" applyFill="1"/>
    <xf numFmtId="0" fontId="0" fillId="38" borderId="0" xfId="0" applyFill="1"/>
    <xf numFmtId="0" fontId="0" fillId="39" borderId="0" xfId="0" applyFill="1"/>
    <xf numFmtId="0" fontId="0" fillId="40" borderId="0" xfId="0" applyFill="1"/>
    <xf numFmtId="0" fontId="0" fillId="41" borderId="0" xfId="0" applyFill="1"/>
    <xf numFmtId="0" fontId="0" fillId="42" borderId="0" xfId="0" applyFill="1"/>
    <xf numFmtId="0" fontId="0" fillId="43" borderId="0" xfId="0" applyFill="1"/>
    <xf numFmtId="0" fontId="0" fillId="44" borderId="0" xfId="0" applyFill="1"/>
    <xf numFmtId="0" fontId="0" fillId="45" borderId="0" xfId="0" applyFill="1"/>
    <xf numFmtId="0" fontId="0" fillId="46" borderId="0" xfId="0" applyFill="1"/>
    <xf numFmtId="0" fontId="0" fillId="47" borderId="0" xfId="0" applyFill="1"/>
    <xf numFmtId="0" fontId="0" fillId="48" borderId="0" xfId="0" applyFill="1"/>
    <xf numFmtId="0" fontId="0" fillId="49" borderId="0" xfId="0" applyFill="1"/>
    <xf numFmtId="0" fontId="0" fillId="50" borderId="0" xfId="0" applyFill="1"/>
    <xf numFmtId="0" fontId="0" fillId="51" borderId="0" xfId="0" applyFill="1"/>
    <xf numFmtId="0" fontId="0" fillId="52" borderId="0" xfId="0" applyFill="1"/>
    <xf numFmtId="0" fontId="0" fillId="53" borderId="0" xfId="0" applyFill="1"/>
    <xf numFmtId="0" fontId="0" fillId="54" borderId="0" xfId="0" applyFill="1"/>
    <xf numFmtId="0" fontId="0" fillId="55" borderId="0" xfId="0" applyFill="1"/>
    <xf numFmtId="0" fontId="0" fillId="56" borderId="0" xfId="0" applyFill="1"/>
    <xf numFmtId="0" fontId="0" fillId="57" borderId="0" xfId="0" applyFill="1"/>
    <xf numFmtId="0" fontId="0" fillId="58" borderId="0" xfId="0" applyFill="1"/>
    <xf numFmtId="0" fontId="0" fillId="59" borderId="0" xfId="0" applyFill="1"/>
    <xf numFmtId="0" fontId="0" fillId="60" borderId="0" xfId="0" applyFill="1"/>
    <xf numFmtId="0" fontId="0" fillId="61" borderId="0" xfId="0" applyFill="1"/>
    <xf numFmtId="0" fontId="0" fillId="62" borderId="0" xfId="0" applyFill="1"/>
    <xf numFmtId="0" fontId="0" fillId="63" borderId="0" xfId="0" applyFill="1"/>
    <xf numFmtId="0" fontId="0" fillId="64" borderId="0" xfId="0" applyFill="1"/>
    <xf numFmtId="0" fontId="0" fillId="65" borderId="0" xfId="0" applyFill="1"/>
    <xf numFmtId="0" fontId="10" fillId="2" borderId="0" xfId="0" applyFont="1" applyFill="1" applyAlignment="1">
      <alignment horizontal="left" vertical="center" indent="1"/>
    </xf>
    <xf numFmtId="0" fontId="31" fillId="20" borderId="0" xfId="0" applyFont="1" applyFill="1" applyAlignment="1">
      <alignment horizontal="center" vertical="center"/>
    </xf>
    <xf numFmtId="171" fontId="32" fillId="20" borderId="8" xfId="0" applyNumberFormat="1" applyFont="1" applyFill="1" applyBorder="1" applyAlignment="1">
      <alignment horizontal="center" vertical="center"/>
    </xf>
    <xf numFmtId="0" fontId="33" fillId="66" borderId="9" xfId="0" applyFont="1" applyFill="1" applyBorder="1" applyAlignment="1">
      <alignment horizontal="left" vertical="center" indent="1"/>
    </xf>
    <xf numFmtId="170" fontId="34" fillId="23" borderId="6" xfId="0" applyNumberFormat="1" applyFont="1" applyFill="1" applyBorder="1" applyAlignment="1">
      <alignment horizontal="center" vertical="center"/>
    </xf>
    <xf numFmtId="168" fontId="35" fillId="19" borderId="10" xfId="0" applyNumberFormat="1" applyFont="1" applyFill="1" applyBorder="1" applyAlignment="1">
      <alignment horizontal="center" vertical="center"/>
    </xf>
    <xf numFmtId="168" fontId="35" fillId="19" borderId="6" xfId="0" applyNumberFormat="1" applyFont="1" applyFill="1" applyBorder="1" applyAlignment="1">
      <alignment horizontal="center" vertical="center"/>
    </xf>
    <xf numFmtId="3" fontId="33" fillId="19" borderId="6" xfId="0" applyNumberFormat="1" applyFont="1" applyFill="1" applyBorder="1" applyAlignment="1">
      <alignment horizontal="center" vertical="center"/>
    </xf>
    <xf numFmtId="168" fontId="36" fillId="19" borderId="6" xfId="0" applyNumberFormat="1" applyFont="1" applyFill="1" applyBorder="1" applyAlignment="1">
      <alignment horizontal="center" vertical="center"/>
    </xf>
    <xf numFmtId="168" fontId="37" fillId="19" borderId="6" xfId="0" applyNumberFormat="1" applyFont="1" applyFill="1" applyBorder="1" applyAlignment="1">
      <alignment horizontal="center" vertical="center"/>
    </xf>
    <xf numFmtId="165" fontId="33" fillId="19" borderId="4" xfId="0" applyNumberFormat="1" applyFont="1" applyFill="1" applyBorder="1" applyAlignment="1">
      <alignment horizontal="center" vertical="center"/>
    </xf>
    <xf numFmtId="172" fontId="32" fillId="2" borderId="0" xfId="0" applyNumberFormat="1" applyFont="1" applyFill="1" applyAlignment="1">
      <alignment horizontal="center" vertical="center"/>
    </xf>
    <xf numFmtId="0" fontId="0" fillId="2" borderId="0" xfId="0" applyFill="1"/>
    <xf numFmtId="3" fontId="17" fillId="2" borderId="0" xfId="0" applyNumberFormat="1" applyFont="1" applyFill="1" applyAlignment="1">
      <alignment horizontal="center" vertical="center"/>
    </xf>
    <xf numFmtId="165" fontId="17" fillId="2" borderId="0" xfId="0" applyNumberFormat="1" applyFont="1" applyFill="1" applyAlignment="1">
      <alignment horizontal="center" vertical="center"/>
    </xf>
    <xf numFmtId="0" fontId="17" fillId="20" borderId="8" xfId="0" applyFont="1" applyFill="1" applyBorder="1" applyAlignment="1">
      <alignment horizontal="center" vertical="center"/>
    </xf>
    <xf numFmtId="0" fontId="23" fillId="66" borderId="6" xfId="0" applyFont="1" applyFill="1" applyBorder="1" applyAlignment="1">
      <alignment horizontal="left" vertical="center" indent="1"/>
    </xf>
    <xf numFmtId="0" fontId="5" fillId="2" borderId="0" xfId="0" applyFont="1" applyFill="1" applyAlignment="1">
      <alignment horizontal="left" vertical="center" indent="1"/>
    </xf>
    <xf numFmtId="1" fontId="38" fillId="66" borderId="6" xfId="0" applyNumberFormat="1" applyFont="1" applyFill="1" applyBorder="1" applyAlignment="1">
      <alignment horizontal="center" vertical="center"/>
    </xf>
    <xf numFmtId="0" fontId="0" fillId="68" borderId="0" xfId="0" applyFill="1"/>
    <xf numFmtId="0" fontId="0" fillId="69" borderId="0" xfId="0" applyFill="1"/>
    <xf numFmtId="0" fontId="0" fillId="70" borderId="0" xfId="0" applyFill="1"/>
    <xf numFmtId="0" fontId="0" fillId="71" borderId="0" xfId="0" applyFill="1"/>
    <xf numFmtId="168" fontId="19" fillId="24" borderId="6" xfId="0" applyNumberFormat="1" applyFont="1" applyFill="1" applyBorder="1" applyAlignment="1">
      <alignment horizontal="center" vertical="center"/>
    </xf>
    <xf numFmtId="166" fontId="39" fillId="19" borderId="6" xfId="0" applyNumberFormat="1" applyFont="1" applyFill="1" applyBorder="1" applyAlignment="1">
      <alignment horizontal="center" vertical="center"/>
    </xf>
    <xf numFmtId="0" fontId="19" fillId="24" borderId="6" xfId="0" applyFont="1" applyFill="1" applyBorder="1" applyAlignment="1">
      <alignment horizontal="center" vertical="center"/>
    </xf>
    <xf numFmtId="0" fontId="26" fillId="0" borderId="12" xfId="0" applyFont="1" applyBorder="1" applyAlignment="1">
      <alignment horizontal="left" vertical="center"/>
    </xf>
    <xf numFmtId="0" fontId="19" fillId="24" borderId="2" xfId="0" applyFont="1" applyFill="1" applyBorder="1" applyAlignment="1">
      <alignment horizontal="left" vertical="center"/>
    </xf>
    <xf numFmtId="0" fontId="19" fillId="72" borderId="2" xfId="0" applyFont="1" applyFill="1" applyBorder="1" applyAlignment="1">
      <alignment horizontal="left" vertical="center"/>
    </xf>
    <xf numFmtId="0" fontId="40" fillId="0" borderId="0" xfId="0" applyFont="1" applyAlignment="1">
      <alignment horizontal="right" vertical="center"/>
    </xf>
    <xf numFmtId="3" fontId="11" fillId="23" borderId="3" xfId="0" applyNumberFormat="1" applyFont="1" applyFill="1" applyBorder="1" applyAlignment="1">
      <alignment horizontal="left" vertical="center" indent="1"/>
    </xf>
    <xf numFmtId="165" fontId="12" fillId="23" borderId="3" xfId="0" applyNumberFormat="1" applyFont="1" applyFill="1" applyBorder="1" applyAlignment="1">
      <alignment horizontal="left" vertical="center" indent="1"/>
    </xf>
    <xf numFmtId="3" fontId="13" fillId="23" borderId="3" xfId="0" applyNumberFormat="1" applyFont="1" applyFill="1" applyBorder="1" applyAlignment="1">
      <alignment horizontal="left" vertical="center" indent="1"/>
    </xf>
    <xf numFmtId="3" fontId="14" fillId="23" borderId="3" xfId="0" applyNumberFormat="1" applyFont="1" applyFill="1" applyBorder="1" applyAlignment="1">
      <alignment horizontal="left" vertical="center" indent="1"/>
    </xf>
    <xf numFmtId="3" fontId="15" fillId="23" borderId="3" xfId="0" applyNumberFormat="1" applyFont="1" applyFill="1" applyBorder="1" applyAlignment="1">
      <alignment horizontal="left" vertical="center" indent="1"/>
    </xf>
    <xf numFmtId="166" fontId="11" fillId="23" borderId="3" xfId="0" applyNumberFormat="1" applyFont="1" applyFill="1" applyBorder="1" applyAlignment="1">
      <alignment horizontal="left" vertical="center" indent="1"/>
    </xf>
    <xf numFmtId="0" fontId="16" fillId="23" borderId="4" xfId="0" applyFont="1" applyFill="1" applyBorder="1" applyAlignment="1">
      <alignment horizontal="left" vertical="top" indent="1"/>
    </xf>
    <xf numFmtId="0" fontId="25" fillId="2" borderId="0" xfId="0" applyFont="1" applyFill="1" applyAlignment="1">
      <alignment horizontal="center" vertical="center"/>
    </xf>
    <xf numFmtId="0" fontId="10" fillId="2" borderId="0" xfId="0" applyFont="1" applyFill="1" applyAlignment="1">
      <alignment horizontal="left" vertical="center" indent="1"/>
    </xf>
    <xf numFmtId="165" fontId="29" fillId="23" borderId="3" xfId="0" applyNumberFormat="1" applyFont="1" applyFill="1" applyBorder="1" applyAlignment="1">
      <alignment horizontal="left" vertical="center" indent="1"/>
    </xf>
    <xf numFmtId="0" fontId="30" fillId="23" borderId="3" xfId="0" applyFont="1" applyFill="1" applyBorder="1" applyAlignment="1">
      <alignment horizontal="left" vertical="center" indent="1"/>
    </xf>
    <xf numFmtId="0" fontId="17" fillId="20" borderId="0" xfId="0" applyFont="1" applyFill="1" applyAlignment="1">
      <alignment horizontal="center" vertical="center"/>
    </xf>
    <xf numFmtId="0" fontId="10" fillId="20" borderId="7" xfId="0" applyFont="1" applyFill="1" applyBorder="1" applyAlignment="1">
      <alignment horizontal="center" vertical="center" wrapText="1"/>
    </xf>
    <xf numFmtId="0" fontId="27" fillId="26" borderId="0" xfId="0" applyFont="1" applyFill="1" applyAlignment="1">
      <alignment horizontal="left" vertical="center" indent="1"/>
    </xf>
    <xf numFmtId="0" fontId="27" fillId="27" borderId="0" xfId="0" applyFont="1" applyFill="1" applyAlignment="1">
      <alignment horizontal="left" vertical="center" indent="1"/>
    </xf>
    <xf numFmtId="0" fontId="27" fillId="28" borderId="0" xfId="0" applyFont="1" applyFill="1" applyAlignment="1">
      <alignment horizontal="left" vertical="center" indent="1"/>
    </xf>
    <xf numFmtId="0" fontId="27" fillId="67" borderId="0" xfId="0" applyFont="1" applyFill="1" applyAlignment="1">
      <alignment horizontal="left" vertical="center" indent="1"/>
    </xf>
    <xf numFmtId="0" fontId="17" fillId="20" borderId="11" xfId="0" applyFont="1" applyFill="1" applyBorder="1" applyAlignment="1">
      <alignment horizontal="center" vertical="center"/>
    </xf>
    <xf numFmtId="3" fontId="24" fillId="19" borderId="6" xfId="0" applyNumberFormat="1" applyFont="1" applyFill="1" applyBorder="1" applyAlignment="1">
      <alignment horizontal="center" vertical="center"/>
    </xf>
    <xf numFmtId="168" fontId="24" fillId="19" borderId="6" xfId="0" applyNumberFormat="1" applyFont="1" applyFill="1" applyBorder="1" applyAlignment="1">
      <alignment horizontal="center" vertical="center"/>
    </xf>
    <xf numFmtId="165" fontId="24" fillId="19" borderId="6" xfId="0" applyNumberFormat="1" applyFont="1" applyFill="1" applyBorder="1" applyAlignment="1">
      <alignment horizontal="center" vertical="center"/>
    </xf>
    <xf numFmtId="0" fontId="24" fillId="19" borderId="6" xfId="0" applyFont="1" applyFill="1" applyBorder="1" applyAlignment="1">
      <alignment horizontal="center" vertical="center"/>
    </xf>
    <xf numFmtId="3" fontId="5" fillId="2" borderId="0" xfId="0" applyNumberFormat="1" applyFont="1" applyFill="1" applyAlignment="1">
      <alignment horizontal="center" vertical="center"/>
    </xf>
    <xf numFmtId="0" fontId="5" fillId="2" borderId="0" xfId="0" applyFont="1" applyFill="1" applyAlignment="1">
      <alignment horizontal="center" vertical="center"/>
    </xf>
    <xf numFmtId="165" fontId="5" fillId="2" borderId="0" xfId="0" applyNumberFormat="1" applyFont="1" applyFill="1" applyAlignment="1">
      <alignment horizontal="center" vertical="center"/>
    </xf>
    <xf numFmtId="0" fontId="24" fillId="66" borderId="6" xfId="0" applyFont="1" applyFill="1" applyBorder="1" applyAlignment="1">
      <alignment horizontal="left" vertical="center" indent="1"/>
    </xf>
    <xf numFmtId="3" fontId="23" fillId="19" borderId="6" xfId="0" applyNumberFormat="1" applyFont="1" applyFill="1" applyBorder="1" applyAlignment="1">
      <alignment horizontal="center" vertical="center"/>
    </xf>
    <xf numFmtId="0" fontId="23" fillId="19" borderId="6" xfId="0" applyFont="1" applyFill="1" applyBorder="1" applyAlignment="1">
      <alignment horizontal="center" vertical="center"/>
    </xf>
    <xf numFmtId="0" fontId="7" fillId="66" borderId="4" xfId="0" applyFont="1" applyFill="1" applyBorder="1" applyAlignment="1">
      <alignment horizontal="left" vertical="center" indent="1"/>
    </xf>
    <xf numFmtId="165" fontId="23" fillId="19" borderId="6" xfId="0" applyNumberFormat="1" applyFont="1" applyFill="1" applyBorder="1" applyAlignment="1">
      <alignment horizontal="center" vertical="center"/>
    </xf>
    <xf numFmtId="164" fontId="23" fillId="19" borderId="6" xfId="0" applyNumberFormat="1" applyFont="1" applyFill="1" applyBorder="1" applyAlignment="1">
      <alignment horizontal="center" vertical="center"/>
    </xf>
    <xf numFmtId="0" fontId="9" fillId="24" borderId="2" xfId="0" applyFont="1" applyFill="1" applyBorder="1" applyAlignment="1">
      <alignment horizontal="left" vertical="center" indent="1"/>
    </xf>
    <xf numFmtId="164" fontId="9" fillId="24" borderId="2" xfId="0" applyNumberFormat="1" applyFont="1" applyFill="1" applyBorder="1" applyAlignment="1">
      <alignment horizontal="left" vertical="center" indent="1"/>
    </xf>
    <xf numFmtId="1" fontId="9" fillId="24" borderId="2" xfId="0" applyNumberFormat="1" applyFont="1" applyFill="1" applyBorder="1" applyAlignment="1">
      <alignment horizontal="left" vertical="center" indent="1"/>
    </xf>
    <xf numFmtId="1" fontId="9" fillId="19" borderId="2" xfId="0" applyNumberFormat="1" applyFont="1" applyFill="1" applyBorder="1" applyAlignment="1">
      <alignment horizontal="left" vertical="center" indent="1"/>
    </xf>
    <xf numFmtId="166" fontId="9" fillId="24" borderId="2" xfId="0" applyNumberFormat="1" applyFont="1" applyFill="1" applyBorder="1" applyAlignment="1">
      <alignment horizontal="left" vertical="center" indent="1"/>
    </xf>
    <xf numFmtId="165" fontId="9" fillId="24" borderId="2" xfId="0" applyNumberFormat="1" applyFont="1" applyFill="1" applyBorder="1" applyAlignment="1">
      <alignment horizontal="left" vertical="center" indent="1"/>
    </xf>
    <xf numFmtId="0" fontId="7" fillId="0" borderId="0" xfId="0" applyFont="1" applyAlignment="1">
      <alignment horizontal="left" vertical="center"/>
    </xf>
    <xf numFmtId="0" fontId="24" fillId="0" borderId="0" xfId="0" applyFont="1" applyAlignment="1">
      <alignment horizontal="left" vertical="center" wrapText="1"/>
    </xf>
    <xf numFmtId="0" fontId="27" fillId="25" borderId="0" xfId="0" applyFont="1" applyFill="1" applyAlignment="1">
      <alignment horizontal="left" vertical="center" indent="1"/>
    </xf>
    <xf numFmtId="0" fontId="27" fillId="24" borderId="0" xfId="0" applyFont="1" applyFill="1" applyAlignment="1">
      <alignment horizontal="left" vertical="center" indent="1"/>
    </xf>
    <xf numFmtId="0" fontId="27" fillId="19" borderId="0" xfId="0" applyFont="1" applyFill="1" applyAlignment="1">
      <alignment horizontal="left" vertical="center" indent="1"/>
    </xf>
    <xf numFmtId="0" fontId="7" fillId="0" borderId="0" xfId="0" applyFont="1" applyAlignment="1">
      <alignment horizontal="left" vertical="top" wrapText="1"/>
    </xf>
    <xf numFmtId="0" fontId="41" fillId="20" borderId="0" xfId="0" applyFont="1" applyFill="1" applyAlignment="1">
      <alignment horizontal="left" vertical="center" indent="1"/>
    </xf>
    <xf numFmtId="0" fontId="41" fillId="21" borderId="0" xfId="0" applyFont="1" applyFill="1" applyAlignment="1">
      <alignment horizontal="left" vertical="center" indent="1"/>
    </xf>
    <xf numFmtId="0" fontId="41" fillId="22" borderId="0" xfId="0" applyFont="1" applyFill="1" applyAlignment="1">
      <alignment horizontal="left" vertical="center" indent="1"/>
    </xf>
    <xf numFmtId="0" fontId="41" fillId="17" borderId="0" xfId="0" applyFont="1" applyFill="1" applyAlignment="1">
      <alignment horizontal="left" vertical="center" indent="1"/>
    </xf>
    <xf numFmtId="0" fontId="41" fillId="18" borderId="0" xfId="0" applyFont="1" applyFill="1" applyAlignment="1">
      <alignment horizontal="left" vertical="center" indent="1"/>
    </xf>
  </cellXfs>
  <cellStyles count="1">
    <cellStyle name="Standard" xfId="0" builtinId="0"/>
  </cellStyles>
  <dxfs count="32">
    <dxf>
      <font>
        <b/>
        <sz val="9"/>
        <color rgb="FFB02A22"/>
        <name val="Calibri"/>
        <charset val="1"/>
      </font>
      <fill>
        <patternFill>
          <bgColor rgb="FFF6D8D4"/>
        </patternFill>
      </fill>
    </dxf>
    <dxf>
      <font>
        <b/>
        <sz val="9"/>
        <color rgb="FF2C7A52"/>
        <name val="Calibri"/>
        <charset val="1"/>
      </font>
      <fill>
        <patternFill>
          <bgColor rgb="FFDCEDE2"/>
        </patternFill>
      </fill>
    </dxf>
    <dxf>
      <font>
        <b/>
        <sz val="9"/>
        <color rgb="FFD0662F"/>
        <name val="Calibri"/>
        <charset val="1"/>
      </font>
      <fill>
        <patternFill>
          <bgColor rgb="FFFAE4D4"/>
        </patternFill>
      </fill>
    </dxf>
    <dxf>
      <font>
        <b/>
        <sz val="9"/>
        <color rgb="FFB02A22"/>
        <name val="Calibri"/>
        <charset val="1"/>
      </font>
      <fill>
        <patternFill>
          <bgColor rgb="FFF6D8D4"/>
        </patternFill>
      </fill>
    </dxf>
    <dxf>
      <font>
        <b/>
        <sz val="9"/>
        <color rgb="FFB02A22"/>
        <name val="Calibri"/>
        <charset val="1"/>
      </font>
      <fill>
        <patternFill>
          <bgColor rgb="FFF6D8D4"/>
        </patternFill>
      </fill>
    </dxf>
    <dxf>
      <font>
        <b/>
        <sz val="9"/>
        <color rgb="FFD0662F"/>
        <name val="Calibri"/>
        <charset val="1"/>
      </font>
      <fill>
        <patternFill>
          <bgColor rgb="FFFAE4D4"/>
        </patternFill>
      </fill>
    </dxf>
    <dxf>
      <font>
        <b/>
        <sz val="9"/>
        <color rgb="FF2C7A52"/>
        <name val="Calibri"/>
        <charset val="1"/>
      </font>
      <fill>
        <patternFill>
          <bgColor rgb="FFDCEDE2"/>
        </patternFill>
      </fill>
    </dxf>
    <dxf>
      <font>
        <b/>
        <sz val="9"/>
        <color rgb="FFB02A22"/>
        <name val="Calibri"/>
        <charset val="1"/>
      </font>
      <fill>
        <patternFill>
          <bgColor rgb="FFF6D8D4"/>
        </patternFill>
      </fill>
    </dxf>
    <dxf>
      <font>
        <b/>
        <sz val="9"/>
        <color rgb="FF2C7A52"/>
        <name val="Calibri"/>
        <charset val="1"/>
      </font>
      <fill>
        <patternFill>
          <bgColor rgb="FFDCEDE2"/>
        </patternFill>
      </fill>
    </dxf>
    <dxf>
      <font>
        <b/>
        <sz val="9"/>
        <color rgb="FFD0662F"/>
        <name val="Calibri"/>
        <charset val="1"/>
      </font>
      <fill>
        <patternFill>
          <bgColor rgb="FFFAE4D4"/>
        </patternFill>
      </fill>
    </dxf>
    <dxf>
      <font>
        <b/>
        <sz val="9"/>
        <color rgb="FF2C7A52"/>
        <name val="Calibri"/>
        <charset val="1"/>
      </font>
      <fill>
        <patternFill>
          <bgColor rgb="FFDCEDE2"/>
        </patternFill>
      </fill>
    </dxf>
    <dxf>
      <font>
        <b/>
        <sz val="8"/>
        <color rgb="FFF5C6A0"/>
        <name val="Calibri"/>
        <charset val="1"/>
      </font>
    </dxf>
    <dxf>
      <font>
        <b/>
        <sz val="7"/>
        <color rgb="FF5A6478"/>
        <name val="Calibri"/>
        <charset val="1"/>
      </font>
      <fill>
        <patternFill>
          <bgColor rgb="FFE4E6E9"/>
        </patternFill>
      </fill>
    </dxf>
    <dxf>
      <font>
        <b/>
        <sz val="7"/>
        <color rgb="FF1E5B75"/>
        <name val="Calibri"/>
        <charset val="1"/>
      </font>
      <fill>
        <patternFill>
          <bgColor rgb="FFDCEDF4"/>
        </patternFill>
      </fill>
    </dxf>
    <dxf>
      <font>
        <b/>
        <sz val="7"/>
        <color rgb="FFD0662F"/>
        <name val="Calibri"/>
        <charset val="1"/>
      </font>
      <fill>
        <patternFill>
          <bgColor rgb="FFFAE4D4"/>
        </patternFill>
      </fill>
    </dxf>
    <dxf>
      <font>
        <b/>
        <sz val="7"/>
        <color rgb="FFFFFFFF"/>
        <name val="Calibri"/>
        <charset val="1"/>
      </font>
      <fill>
        <patternFill>
          <bgColor rgb="FFB02A22"/>
        </patternFill>
      </fill>
    </dxf>
    <dxf>
      <font>
        <b/>
        <sz val="7"/>
        <color rgb="FFFFFFFF"/>
        <name val="Calibri"/>
        <charset val="1"/>
      </font>
      <fill>
        <patternFill>
          <bgColor rgb="FFB02A22"/>
        </patternFill>
      </fill>
    </dxf>
    <dxf>
      <font>
        <b/>
        <sz val="9"/>
        <color rgb="FF2C7A52"/>
        <name val="Calibri"/>
        <charset val="1"/>
      </font>
      <fill>
        <patternFill>
          <bgColor rgb="FFDCEDE2"/>
        </patternFill>
      </fill>
    </dxf>
    <dxf>
      <font>
        <b/>
        <sz val="9"/>
        <color rgb="FFD0662F"/>
        <name val="Calibri"/>
        <charset val="1"/>
      </font>
      <fill>
        <patternFill>
          <bgColor rgb="FFFAE4D4"/>
        </patternFill>
      </fill>
    </dxf>
    <dxf>
      <font>
        <b/>
        <sz val="9"/>
        <color rgb="FFB02A22"/>
        <name val="Calibri"/>
        <charset val="1"/>
      </font>
      <fill>
        <patternFill>
          <bgColor rgb="FFF6D8D4"/>
        </patternFill>
      </fill>
    </dxf>
    <dxf>
      <font>
        <i/>
        <sz val="9"/>
        <color rgb="FFB02A22"/>
        <name val="Calibri"/>
        <charset val="1"/>
      </font>
      <fill>
        <patternFill>
          <bgColor rgb="FFF6D8D4"/>
        </patternFill>
      </fill>
    </dxf>
    <dxf>
      <font>
        <b/>
        <sz val="9"/>
        <color rgb="FFD0662F"/>
        <name val="Calibri"/>
        <charset val="1"/>
      </font>
      <fill>
        <patternFill>
          <bgColor rgb="FFFAE4D4"/>
        </patternFill>
      </fill>
    </dxf>
    <dxf>
      <font>
        <b/>
        <sz val="9"/>
        <color rgb="FFB02A22"/>
        <name val="Calibri"/>
        <charset val="1"/>
      </font>
      <fill>
        <patternFill>
          <bgColor rgb="FFF6D8D4"/>
        </patternFill>
      </fill>
    </dxf>
    <dxf>
      <font>
        <b/>
        <sz val="9"/>
        <color rgb="FFD0662F"/>
        <name val="Calibri"/>
        <charset val="1"/>
      </font>
      <fill>
        <patternFill>
          <bgColor rgb="FFFAE4D4"/>
        </patternFill>
      </fill>
    </dxf>
    <dxf>
      <font>
        <b/>
        <sz val="9"/>
        <color rgb="FF1E5B75"/>
        <name val="Calibri"/>
        <charset val="1"/>
      </font>
      <fill>
        <patternFill>
          <bgColor rgb="FFDCEDF4"/>
        </patternFill>
      </fill>
    </dxf>
    <dxf>
      <font>
        <b/>
        <sz val="9"/>
        <color rgb="FF2C7A52"/>
        <name val="Calibri"/>
        <charset val="1"/>
      </font>
      <fill>
        <patternFill>
          <bgColor rgb="FFDCEDE2"/>
        </patternFill>
      </fill>
    </dxf>
    <dxf>
      <font>
        <b/>
        <sz val="9"/>
        <color rgb="FFD0662F"/>
        <name val="Calibri"/>
        <charset val="1"/>
      </font>
    </dxf>
    <dxf>
      <font>
        <b/>
        <sz val="9"/>
        <color rgb="FF1E5B75"/>
        <name val="Calibri"/>
        <charset val="1"/>
      </font>
    </dxf>
    <dxf>
      <font>
        <b/>
        <sz val="10"/>
        <color rgb="FF1E5B75"/>
        <name val="Calibri"/>
        <charset val="1"/>
      </font>
      <fill>
        <patternFill>
          <bgColor rgb="FFDCEDF4"/>
        </patternFill>
      </fill>
    </dxf>
    <dxf>
      <font>
        <b/>
        <sz val="10"/>
        <color rgb="FFD0662F"/>
        <name val="Calibri"/>
        <charset val="1"/>
      </font>
      <fill>
        <patternFill>
          <bgColor rgb="FFFAE4D4"/>
        </patternFill>
      </fill>
    </dxf>
    <dxf>
      <font>
        <b/>
        <sz val="10"/>
        <color rgb="FFB02A22"/>
        <name val="Calibri"/>
        <charset val="1"/>
      </font>
      <fill>
        <patternFill>
          <bgColor rgb="FFF6D8D4"/>
        </patternFill>
      </fill>
    </dxf>
    <dxf>
      <font>
        <i/>
        <sz val="9"/>
        <color rgb="FF6B7280"/>
        <name val="Calibri"/>
        <charset val="1"/>
      </font>
    </dxf>
  </dxfs>
  <tableStyles count="0" defaultTableStyle="TableStyleMedium2" defaultPivotStyle="PivotStyleLight16"/>
  <colors>
    <indexedColors>
      <rgbColor rgb="FF000000"/>
      <rgbColor rgb="FFFFFFFF"/>
      <rgbColor rgb="FFBF4628"/>
      <rgbColor rgb="FFBF815A"/>
      <rgbColor rgb="FFCE622E"/>
      <rgbColor rgb="FFFCFAF6"/>
      <rgbColor rgb="FFC4502A"/>
      <rgbColor rgb="FFC97141"/>
      <rgbColor rgb="FFBA3D26"/>
      <rgbColor rgb="FF226581"/>
      <rgbColor rgb="FFCB5C2D"/>
      <rgbColor rgb="FFC17D53"/>
      <rgbColor rgb="FFC14929"/>
      <rgbColor rgb="FF297492"/>
      <rgbColor rgb="FFC9CCD1"/>
      <rgbColor rgb="FF769295"/>
      <rgbColor rgb="FF859491"/>
      <rgbColor rgb="FFB73725"/>
      <rgbColor rgb="FFFFF7E4"/>
      <rgbColor rgb="FFDCEDF4"/>
      <rgbColor rgb="FF5A6478"/>
      <rgbColor rgb="FFC37B50"/>
      <rgbColor rgb="FF266D8B"/>
      <rgbColor rgb="FFE4E6E9"/>
      <rgbColor rgb="FFCD602E"/>
      <rgbColor rgb="FFC7562B"/>
      <rgbColor rgb="FFBD825C"/>
      <rgbColor rgb="FFCE6833"/>
      <rgbColor rgb="FFC34E2A"/>
      <rgbColor rgb="FFBD4327"/>
      <rgbColor rgb="FF2B7998"/>
      <rgbColor rgb="FFCA6E3D"/>
      <rgbColor rgb="FF48869C"/>
      <rgbColor rgb="FFF0F1F3"/>
      <rgbColor rgb="FFDCEDE2"/>
      <rgbColor rgb="FFFAE4D4"/>
      <rgbColor rgb="FFF7F2E9"/>
      <rgbColor rgb="FFB2957A"/>
      <rgbColor rgb="FFAD9C85"/>
      <rgbColor rgb="FFF6D8D3"/>
      <rgbColor rgb="FF307FA0"/>
      <rgbColor rgb="FF598B99"/>
      <rgbColor rgb="FFB78D6D"/>
      <rgbColor rgb="FFBB8763"/>
      <rgbColor rgb="FFC67546"/>
      <rgbColor rgb="FFD0662F"/>
      <rgbColor rgb="FF6B7280"/>
      <rgbColor rgb="FF9A9C8F"/>
      <rgbColor rgb="FF20607B"/>
      <rgbColor rgb="FF2C7A52"/>
      <rgbColor rgb="FF246985"/>
      <rgbColor rgb="FF1A1F2B"/>
      <rgbColor rgb="FFB02A22"/>
      <rgbColor rgb="FFBA3C26"/>
      <rgbColor rgb="FF1E5B75"/>
      <rgbColor rgb="FF303A4D"/>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Temperaturverlauf · Kühl- und Wareneingangsbereiche</a:t>
            </a:r>
          </a:p>
        </c:rich>
      </c:tx>
      <c:overlay val="0"/>
      <c:spPr>
        <a:noFill/>
        <a:ln w="0">
          <a:noFill/>
        </a:ln>
      </c:spPr>
    </c:title>
    <c:autoTitleDeleted val="0"/>
    <c:plotArea>
      <c:layout/>
      <c:lineChart>
        <c:grouping val="standard"/>
        <c:varyColors val="0"/>
        <c:ser>
          <c:idx val="0"/>
          <c:order val="0"/>
          <c:tx>
            <c:strRef>
              <c:f>Auswertung!$B$14</c:f>
              <c:strCache>
                <c:ptCount val="1"/>
                <c:pt idx="0">
                  <c:v>KS-01 · Kühlschrank Küche</c:v>
                </c:pt>
              </c:strCache>
            </c:strRef>
          </c:tx>
          <c:spPr>
            <a:ln w="20160">
              <a:solidFill>
                <a:srgbClr val="2F7FA0"/>
              </a:solidFill>
              <a:round/>
            </a:ln>
          </c:spPr>
          <c:marker>
            <c:symbol val="none"/>
          </c:marker>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Auswertung!$C$13:$AG$13</c:f>
              <c:strCach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strCache>
            </c:strRef>
          </c:cat>
          <c:val>
            <c:numRef>
              <c:f>Auswertung!$C$14:$AG$14</c:f>
              <c:numCache>
                <c:formatCode>0.0</c:formatCode>
                <c:ptCount val="31"/>
                <c:pt idx="0">
                  <c:v>3.8</c:v>
                </c:pt>
                <c:pt idx="1">
                  <c:v>4.8</c:v>
                </c:pt>
                <c:pt idx="2">
                  <c:v>4</c:v>
                </c:pt>
                <c:pt idx="3">
                  <c:v>5.8</c:v>
                </c:pt>
                <c:pt idx="4">
                  <c:v>3.1</c:v>
                </c:pt>
                <c:pt idx="5">
                  <c:v>4.9000000000000004</c:v>
                </c:pt>
                <c:pt idx="6">
                  <c:v>5.8</c:v>
                </c:pt>
                <c:pt idx="7">
                  <c:v>3.1</c:v>
                </c:pt>
                <c:pt idx="8">
                  <c:v>8.4</c:v>
                </c:pt>
                <c:pt idx="9">
                  <c:v>3.6</c:v>
                </c:pt>
                <c:pt idx="10">
                  <c:v>3.5</c:v>
                </c:pt>
                <c:pt idx="11">
                  <c:v>5.3</c:v>
                </c:pt>
                <c:pt idx="12">
                  <c:v>3.9</c:v>
                </c:pt>
                <c:pt idx="13">
                  <c:v>3.2</c:v>
                </c:pt>
                <c:pt idx="14">
                  <c:v>4.7</c:v>
                </c:pt>
                <c:pt idx="15">
                  <c:v>4.5</c:v>
                </c:pt>
                <c:pt idx="16">
                  <c:v>4.2</c:v>
                </c:pt>
                <c:pt idx="17">
                  <c:v>4.5999999999999996</c:v>
                </c:pt>
                <c:pt idx="18">
                  <c:v>4.2</c:v>
                </c:pt>
                <c:pt idx="19">
                  <c:v>4.3</c:v>
                </c:pt>
                <c:pt idx="20">
                  <c:v>4.2</c:v>
                </c:pt>
                <c:pt idx="21">
                  <c:v>3.6</c:v>
                </c:pt>
                <c:pt idx="22">
                  <c:v>7.4</c:v>
                </c:pt>
                <c:pt idx="23">
                  <c:v>4.0999999999999996</c:v>
                </c:pt>
                <c:pt idx="24">
                  <c:v>4.5999999999999996</c:v>
                </c:pt>
                <c:pt idx="25">
                  <c:v>5.4</c:v>
                </c:pt>
                <c:pt idx="26">
                  <c:v>5.5</c:v>
                </c:pt>
                <c:pt idx="27">
                  <c:v>4.7</c:v>
                </c:pt>
                <c:pt idx="28">
                  <c:v>3.9</c:v>
                </c:pt>
                <c:pt idx="29">
                  <c:v>3.3</c:v>
                </c:pt>
                <c:pt idx="30">
                  <c:v>0</c:v>
                </c:pt>
              </c:numCache>
            </c:numRef>
          </c:val>
          <c:smooth val="0"/>
          <c:extLst>
            <c:ext xmlns:c16="http://schemas.microsoft.com/office/drawing/2014/chart" uri="{C3380CC4-5D6E-409C-BE32-E72D297353CC}">
              <c16:uniqueId val="{00000000-EF0B-4612-9499-6686CD1C7E34}"/>
            </c:ext>
          </c:extLst>
        </c:ser>
        <c:ser>
          <c:idx val="1"/>
          <c:order val="1"/>
          <c:tx>
            <c:strRef>
              <c:f>Auswertung!$B$15</c:f>
              <c:strCache>
                <c:ptCount val="1"/>
                <c:pt idx="0">
                  <c:v>KZ-01 · Kühlzelle Lager</c:v>
                </c:pt>
              </c:strCache>
            </c:strRef>
          </c:tx>
          <c:spPr>
            <a:ln w="20160">
              <a:solidFill>
                <a:srgbClr val="303A4D"/>
              </a:solidFill>
              <a:round/>
            </a:ln>
          </c:spPr>
          <c:marker>
            <c:symbol val="none"/>
          </c:marker>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Auswertung!$C$13:$AG$13</c:f>
              <c:strCach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strCache>
            </c:strRef>
          </c:cat>
          <c:val>
            <c:numRef>
              <c:f>Auswertung!$C$15:$AG$15</c:f>
              <c:numCache>
                <c:formatCode>0.0</c:formatCode>
                <c:ptCount val="31"/>
                <c:pt idx="0">
                  <c:v>4.7</c:v>
                </c:pt>
                <c:pt idx="1">
                  <c:v>4</c:v>
                </c:pt>
                <c:pt idx="2">
                  <c:v>2.9</c:v>
                </c:pt>
                <c:pt idx="3">
                  <c:v>1.8</c:v>
                </c:pt>
                <c:pt idx="4">
                  <c:v>2.9</c:v>
                </c:pt>
                <c:pt idx="5">
                  <c:v>3.4</c:v>
                </c:pt>
                <c:pt idx="6">
                  <c:v>3.1</c:v>
                </c:pt>
                <c:pt idx="7">
                  <c:v>2.7</c:v>
                </c:pt>
                <c:pt idx="8">
                  <c:v>1.7</c:v>
                </c:pt>
                <c:pt idx="9">
                  <c:v>3.6</c:v>
                </c:pt>
                <c:pt idx="10">
                  <c:v>3.4</c:v>
                </c:pt>
                <c:pt idx="11">
                  <c:v>2.1</c:v>
                </c:pt>
                <c:pt idx="12">
                  <c:v>2.2000000000000002</c:v>
                </c:pt>
                <c:pt idx="13">
                  <c:v>0</c:v>
                </c:pt>
                <c:pt idx="14">
                  <c:v>3.4</c:v>
                </c:pt>
                <c:pt idx="15">
                  <c:v>3.6</c:v>
                </c:pt>
                <c:pt idx="16">
                  <c:v>6.7</c:v>
                </c:pt>
                <c:pt idx="17">
                  <c:v>3.5</c:v>
                </c:pt>
                <c:pt idx="18">
                  <c:v>2.2999999999999998</c:v>
                </c:pt>
                <c:pt idx="19">
                  <c:v>2.2999999999999998</c:v>
                </c:pt>
                <c:pt idx="20">
                  <c:v>4.5</c:v>
                </c:pt>
                <c:pt idx="21">
                  <c:v>2.4</c:v>
                </c:pt>
                <c:pt idx="22">
                  <c:v>4.0999999999999996</c:v>
                </c:pt>
                <c:pt idx="23">
                  <c:v>1.6</c:v>
                </c:pt>
                <c:pt idx="24">
                  <c:v>3.3</c:v>
                </c:pt>
                <c:pt idx="25">
                  <c:v>4.8</c:v>
                </c:pt>
                <c:pt idx="26">
                  <c:v>3.6</c:v>
                </c:pt>
                <c:pt idx="27">
                  <c:v>2.4</c:v>
                </c:pt>
                <c:pt idx="28">
                  <c:v>2.7</c:v>
                </c:pt>
                <c:pt idx="29">
                  <c:v>3</c:v>
                </c:pt>
                <c:pt idx="30">
                  <c:v>0</c:v>
                </c:pt>
              </c:numCache>
            </c:numRef>
          </c:val>
          <c:smooth val="0"/>
          <c:extLst>
            <c:ext xmlns:c16="http://schemas.microsoft.com/office/drawing/2014/chart" uri="{C3380CC4-5D6E-409C-BE32-E72D297353CC}">
              <c16:uniqueId val="{00000001-EF0B-4612-9499-6686CD1C7E34}"/>
            </c:ext>
          </c:extLst>
        </c:ser>
        <c:ser>
          <c:idx val="2"/>
          <c:order val="2"/>
          <c:tx>
            <c:strRef>
              <c:f>Auswertung!$B$18</c:f>
              <c:strCache>
                <c:ptCount val="1"/>
                <c:pt idx="0">
                  <c:v>WE-01 · Wareneingang Kühlware</c:v>
                </c:pt>
              </c:strCache>
            </c:strRef>
          </c:tx>
          <c:spPr>
            <a:ln w="20160">
              <a:solidFill>
                <a:srgbClr val="D0662F"/>
              </a:solidFill>
              <a:round/>
            </a:ln>
          </c:spPr>
          <c:marker>
            <c:symbol val="none"/>
          </c:marker>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Auswertung!$C$13:$AG$13</c:f>
              <c:strCach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strCache>
            </c:strRef>
          </c:cat>
          <c:val>
            <c:numRef>
              <c:f>Auswertung!$C$18:$AG$18</c:f>
              <c:numCache>
                <c:formatCode>0.0</c:formatCode>
                <c:ptCount val="31"/>
                <c:pt idx="0">
                  <c:v>6.3</c:v>
                </c:pt>
                <c:pt idx="1">
                  <c:v>3.6</c:v>
                </c:pt>
                <c:pt idx="2">
                  <c:v>3.2</c:v>
                </c:pt>
                <c:pt idx="3">
                  <c:v>3.4</c:v>
                </c:pt>
                <c:pt idx="4">
                  <c:v>2.9</c:v>
                </c:pt>
                <c:pt idx="5">
                  <c:v>0</c:v>
                </c:pt>
                <c:pt idx="6">
                  <c:v>0</c:v>
                </c:pt>
                <c:pt idx="7">
                  <c:v>4.5999999999999996</c:v>
                </c:pt>
                <c:pt idx="8">
                  <c:v>5.4</c:v>
                </c:pt>
                <c:pt idx="9">
                  <c:v>2.7</c:v>
                </c:pt>
                <c:pt idx="10">
                  <c:v>8.3000000000000007</c:v>
                </c:pt>
                <c:pt idx="11">
                  <c:v>4.5999999999999996</c:v>
                </c:pt>
                <c:pt idx="12">
                  <c:v>0</c:v>
                </c:pt>
                <c:pt idx="13">
                  <c:v>0</c:v>
                </c:pt>
                <c:pt idx="14">
                  <c:v>5.6</c:v>
                </c:pt>
                <c:pt idx="15">
                  <c:v>4.5</c:v>
                </c:pt>
                <c:pt idx="16">
                  <c:v>3.2</c:v>
                </c:pt>
                <c:pt idx="17">
                  <c:v>4.2</c:v>
                </c:pt>
                <c:pt idx="18">
                  <c:v>4.0999999999999996</c:v>
                </c:pt>
                <c:pt idx="19">
                  <c:v>0</c:v>
                </c:pt>
                <c:pt idx="20">
                  <c:v>0</c:v>
                </c:pt>
                <c:pt idx="21">
                  <c:v>4.9000000000000004</c:v>
                </c:pt>
                <c:pt idx="22">
                  <c:v>4.0999999999999996</c:v>
                </c:pt>
                <c:pt idx="23">
                  <c:v>3.8</c:v>
                </c:pt>
                <c:pt idx="24">
                  <c:v>4.5999999999999996</c:v>
                </c:pt>
                <c:pt idx="25">
                  <c:v>5.2</c:v>
                </c:pt>
                <c:pt idx="26">
                  <c:v>0</c:v>
                </c:pt>
                <c:pt idx="27">
                  <c:v>0</c:v>
                </c:pt>
                <c:pt idx="28">
                  <c:v>3.5</c:v>
                </c:pt>
                <c:pt idx="29">
                  <c:v>5.5</c:v>
                </c:pt>
                <c:pt idx="30">
                  <c:v>0</c:v>
                </c:pt>
              </c:numCache>
            </c:numRef>
          </c:val>
          <c:smooth val="0"/>
          <c:extLst>
            <c:ext xmlns:c16="http://schemas.microsoft.com/office/drawing/2014/chart" uri="{C3380CC4-5D6E-409C-BE32-E72D297353CC}">
              <c16:uniqueId val="{00000002-EF0B-4612-9499-6686CD1C7E34}"/>
            </c:ext>
          </c:extLst>
        </c:ser>
        <c:dLbls>
          <c:showLegendKey val="0"/>
          <c:showVal val="0"/>
          <c:showCatName val="0"/>
          <c:showSerName val="0"/>
          <c:showPercent val="0"/>
          <c:showBubbleSize val="0"/>
        </c:dLbls>
        <c:hiLowLines>
          <c:spPr>
            <a:ln w="0">
              <a:noFill/>
            </a:ln>
          </c:spPr>
        </c:hiLowLines>
        <c:smooth val="0"/>
        <c:axId val="10727977"/>
        <c:axId val="75972779"/>
      </c:lineChart>
      <c:dateAx>
        <c:axId val="10727977"/>
        <c:scaling>
          <c:orientation val="minMax"/>
        </c:scaling>
        <c:delete val="0"/>
        <c:axPos val="b"/>
        <c:numFmt formatCode="d"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75972779"/>
        <c:crosses val="autoZero"/>
        <c:auto val="1"/>
        <c:lblOffset val="100"/>
        <c:baseTimeUnit val="days"/>
      </c:dateAx>
      <c:valAx>
        <c:axId val="75972779"/>
        <c:scaling>
          <c:orientation val="minMax"/>
        </c:scaling>
        <c:delete val="0"/>
        <c:axPos val="l"/>
        <c:title>
          <c:tx>
            <c:rich>
              <a:bodyPr rot="-5400000"/>
              <a:lstStyle/>
              <a:p>
                <a:pPr>
                  <a:defRPr sz="1000" b="1" strike="noStrike" spc="-1">
                    <a:solidFill>
                      <a:srgbClr val="000000"/>
                    </a:solidFill>
                    <a:latin typeface="Calibri"/>
                  </a:defRPr>
                </a:pPr>
                <a:r>
                  <a:rPr sz="1000" b="1" strike="noStrike" spc="-1">
                    <a:solidFill>
                      <a:srgbClr val="000000"/>
                    </a:solidFill>
                    <a:latin typeface="Calibri"/>
                  </a:rPr>
                  <a:t>°C</a:t>
                </a:r>
              </a:p>
            </c:rich>
          </c:tx>
          <c:overlay val="0"/>
          <c:spPr>
            <a:noFill/>
            <a:ln w="0">
              <a:noFill/>
            </a:ln>
          </c:spPr>
        </c:title>
        <c:numFmt formatCode="0.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10727977"/>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de-DE"/>
        </a:p>
      </c:txPr>
    </c:legend>
    <c:plotVisOnly val="1"/>
    <c:dispBlanksAs val="zero"/>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Abweichungen je Messstelle</a:t>
            </a:r>
          </a:p>
        </c:rich>
      </c:tx>
      <c:overlay val="0"/>
      <c:spPr>
        <a:noFill/>
        <a:ln w="0">
          <a:noFill/>
        </a:ln>
      </c:spPr>
    </c:title>
    <c:autoTitleDeleted val="0"/>
    <c:plotArea>
      <c:layout/>
      <c:barChart>
        <c:barDir val="col"/>
        <c:grouping val="clustered"/>
        <c:varyColors val="0"/>
        <c:ser>
          <c:idx val="0"/>
          <c:order val="0"/>
          <c:spPr>
            <a:solidFill>
              <a:srgbClr val="2F7FA0"/>
            </a:solidFill>
            <a:ln w="0">
              <a:noFill/>
            </a:ln>
          </c:spPr>
          <c:invertIfNegative val="0"/>
          <c:dPt>
            <c:idx val="0"/>
            <c:invertIfNegative val="0"/>
            <c:bubble3D val="0"/>
            <c:extLst>
              <c:ext xmlns:c16="http://schemas.microsoft.com/office/drawing/2014/chart" uri="{C3380CC4-5D6E-409C-BE32-E72D297353CC}">
                <c16:uniqueId val="{00000001-B7F4-4BA6-8A79-2C2D512BEBE6}"/>
              </c:ext>
            </c:extLst>
          </c:dPt>
          <c:dPt>
            <c:idx val="1"/>
            <c:invertIfNegative val="0"/>
            <c:bubble3D val="0"/>
            <c:spPr>
              <a:solidFill>
                <a:srgbClr val="303A4D"/>
              </a:solidFill>
              <a:ln w="0">
                <a:noFill/>
              </a:ln>
            </c:spPr>
            <c:extLst>
              <c:ext xmlns:c16="http://schemas.microsoft.com/office/drawing/2014/chart" uri="{C3380CC4-5D6E-409C-BE32-E72D297353CC}">
                <c16:uniqueId val="{00000003-B7F4-4BA6-8A79-2C2D512BEBE6}"/>
              </c:ext>
            </c:extLst>
          </c:dPt>
          <c:dPt>
            <c:idx val="2"/>
            <c:invertIfNegative val="0"/>
            <c:bubble3D val="0"/>
            <c:spPr>
              <a:solidFill>
                <a:srgbClr val="1E5B75"/>
              </a:solidFill>
              <a:ln w="0">
                <a:noFill/>
              </a:ln>
            </c:spPr>
            <c:extLst>
              <c:ext xmlns:c16="http://schemas.microsoft.com/office/drawing/2014/chart" uri="{C3380CC4-5D6E-409C-BE32-E72D297353CC}">
                <c16:uniqueId val="{00000005-B7F4-4BA6-8A79-2C2D512BEBE6}"/>
              </c:ext>
            </c:extLst>
          </c:dPt>
          <c:dPt>
            <c:idx val="3"/>
            <c:invertIfNegative val="0"/>
            <c:bubble3D val="0"/>
            <c:spPr>
              <a:solidFill>
                <a:srgbClr val="D0662F"/>
              </a:solidFill>
              <a:ln w="0">
                <a:noFill/>
              </a:ln>
            </c:spPr>
            <c:extLst>
              <c:ext xmlns:c16="http://schemas.microsoft.com/office/drawing/2014/chart" uri="{C3380CC4-5D6E-409C-BE32-E72D297353CC}">
                <c16:uniqueId val="{00000007-B7F4-4BA6-8A79-2C2D512BEBE6}"/>
              </c:ext>
            </c:extLst>
          </c:dPt>
          <c:dPt>
            <c:idx val="4"/>
            <c:invertIfNegative val="0"/>
            <c:bubble3D val="0"/>
            <c:spPr>
              <a:solidFill>
                <a:srgbClr val="B02A22"/>
              </a:solidFill>
              <a:ln w="0">
                <a:noFill/>
              </a:ln>
            </c:spPr>
            <c:extLst>
              <c:ext xmlns:c16="http://schemas.microsoft.com/office/drawing/2014/chart" uri="{C3380CC4-5D6E-409C-BE32-E72D297353CC}">
                <c16:uniqueId val="{00000009-B7F4-4BA6-8A79-2C2D512BEBE6}"/>
              </c:ext>
            </c:extLst>
          </c:dPt>
          <c:dPt>
            <c:idx val="5"/>
            <c:invertIfNegative val="0"/>
            <c:bubble3D val="0"/>
            <c:spPr>
              <a:solidFill>
                <a:srgbClr val="5A6478"/>
              </a:solidFill>
              <a:ln w="0">
                <a:noFill/>
              </a:ln>
            </c:spPr>
            <c:extLst>
              <c:ext xmlns:c16="http://schemas.microsoft.com/office/drawing/2014/chart" uri="{C3380CC4-5D6E-409C-BE32-E72D297353CC}">
                <c16:uniqueId val="{0000000B-B7F4-4BA6-8A79-2C2D512BEBE6}"/>
              </c:ext>
            </c:extLst>
          </c:dPt>
          <c:dPt>
            <c:idx val="6"/>
            <c:invertIfNegative val="0"/>
            <c:bubble3D val="0"/>
            <c:extLst>
              <c:ext xmlns:c16="http://schemas.microsoft.com/office/drawing/2014/chart" uri="{C3380CC4-5D6E-409C-BE32-E72D297353CC}">
                <c16:uniqueId val="{0000000D-B7F4-4BA6-8A79-2C2D512BEBE6}"/>
              </c:ext>
            </c:extLst>
          </c:dPt>
          <c:dPt>
            <c:idx val="7"/>
            <c:invertIfNegative val="0"/>
            <c:bubble3D val="0"/>
            <c:spPr>
              <a:solidFill>
                <a:srgbClr val="303A4D"/>
              </a:solidFill>
              <a:ln w="0">
                <a:noFill/>
              </a:ln>
            </c:spPr>
            <c:extLst>
              <c:ext xmlns:c16="http://schemas.microsoft.com/office/drawing/2014/chart" uri="{C3380CC4-5D6E-409C-BE32-E72D297353CC}">
                <c16:uniqueId val="{0000000F-B7F4-4BA6-8A79-2C2D512BEBE6}"/>
              </c:ext>
            </c:extLst>
          </c:dPt>
          <c:dPt>
            <c:idx val="8"/>
            <c:invertIfNegative val="0"/>
            <c:bubble3D val="0"/>
            <c:spPr>
              <a:solidFill>
                <a:srgbClr val="1E5B75"/>
              </a:solidFill>
              <a:ln w="0">
                <a:noFill/>
              </a:ln>
            </c:spPr>
            <c:extLst>
              <c:ext xmlns:c16="http://schemas.microsoft.com/office/drawing/2014/chart" uri="{C3380CC4-5D6E-409C-BE32-E72D297353CC}">
                <c16:uniqueId val="{00000011-B7F4-4BA6-8A79-2C2D512BEBE6}"/>
              </c:ext>
            </c:extLst>
          </c:dPt>
          <c:dPt>
            <c:idx val="9"/>
            <c:invertIfNegative val="0"/>
            <c:bubble3D val="0"/>
            <c:spPr>
              <a:solidFill>
                <a:srgbClr val="D0662F"/>
              </a:solidFill>
              <a:ln w="0">
                <a:noFill/>
              </a:ln>
            </c:spPr>
            <c:extLst>
              <c:ext xmlns:c16="http://schemas.microsoft.com/office/drawing/2014/chart" uri="{C3380CC4-5D6E-409C-BE32-E72D297353CC}">
                <c16:uniqueId val="{00000013-B7F4-4BA6-8A79-2C2D512BEBE6}"/>
              </c:ext>
            </c:extLst>
          </c:dPt>
          <c:dLbls>
            <c:dLbl>
              <c:idx val="0"/>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1-B7F4-4BA6-8A79-2C2D512BEBE6}"/>
                </c:ext>
              </c:extLst>
            </c:dLbl>
            <c:dLbl>
              <c:idx val="1"/>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3-B7F4-4BA6-8A79-2C2D512BEBE6}"/>
                </c:ext>
              </c:extLst>
            </c:dLbl>
            <c:dLbl>
              <c:idx val="2"/>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5-B7F4-4BA6-8A79-2C2D512BEBE6}"/>
                </c:ext>
              </c:extLst>
            </c:dLbl>
            <c:dLbl>
              <c:idx val="3"/>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7-B7F4-4BA6-8A79-2C2D512BEBE6}"/>
                </c:ext>
              </c:extLst>
            </c:dLbl>
            <c:dLbl>
              <c:idx val="4"/>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9-B7F4-4BA6-8A79-2C2D512BEBE6}"/>
                </c:ext>
              </c:extLst>
            </c:dLbl>
            <c:dLbl>
              <c:idx val="5"/>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B-B7F4-4BA6-8A79-2C2D512BEBE6}"/>
                </c:ext>
              </c:extLst>
            </c:dLbl>
            <c:dLbl>
              <c:idx val="6"/>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D-B7F4-4BA6-8A79-2C2D512BEBE6}"/>
                </c:ext>
              </c:extLst>
            </c:dLbl>
            <c:dLbl>
              <c:idx val="7"/>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0F-B7F4-4BA6-8A79-2C2D512BEBE6}"/>
                </c:ext>
              </c:extLst>
            </c:dLbl>
            <c:dLbl>
              <c:idx val="8"/>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11-B7F4-4BA6-8A79-2C2D512BEBE6}"/>
                </c:ext>
              </c:extLst>
            </c:dLbl>
            <c:dLbl>
              <c:idx val="9"/>
              <c:spPr/>
              <c:txPr>
                <a:bodyPr wrap="none"/>
                <a:lstStyle/>
                <a:p>
                  <a:pPr>
                    <a:defRPr sz="1000" b="0" strike="noStrike" spc="-1">
                      <a:latin typeface="Arial"/>
                    </a:defRPr>
                  </a:pPr>
                  <a:endParaRPr lang="de-DE"/>
                </a:p>
              </c:txPr>
              <c:showLegendKey val="0"/>
              <c:showVal val="0"/>
              <c:showCatName val="0"/>
              <c:showSerName val="0"/>
              <c:showPercent val="0"/>
              <c:showBubbleSize val="1"/>
              <c:extLst>
                <c:ext xmlns:c16="http://schemas.microsoft.com/office/drawing/2014/chart" uri="{C3380CC4-5D6E-409C-BE32-E72D297353CC}">
                  <c16:uniqueId val="{00000013-B7F4-4BA6-8A79-2C2D512BEBE6}"/>
                </c:ext>
              </c:extLst>
            </c:dLbl>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Auswertung!$B$14:$B$23</c:f>
              <c:strCache>
                <c:ptCount val="6"/>
                <c:pt idx="0">
                  <c:v>KS-01 · Kühlschrank Küche</c:v>
                </c:pt>
                <c:pt idx="1">
                  <c:v>KZ-01 · Kühlzelle Lager</c:v>
                </c:pt>
                <c:pt idx="2">
                  <c:v>TK-01 · Tiefkühltruhe</c:v>
                </c:pt>
                <c:pt idx="3">
                  <c:v>WA-01 · Warmhaltetheke</c:v>
                </c:pt>
                <c:pt idx="4">
                  <c:v>WE-01 · Wareneingang Kühlware</c:v>
                </c:pt>
                <c:pt idx="5">
                  <c:v>LR-01 · Trockenlager</c:v>
                </c:pt>
              </c:strCache>
            </c:strRef>
          </c:cat>
          <c:val>
            <c:numRef>
              <c:f>Auswertung!$AO$14:$AO$23</c:f>
              <c:numCache>
                <c:formatCode>#,##0</c:formatCode>
                <c:ptCount val="10"/>
                <c:pt idx="0">
                  <c:v>2</c:v>
                </c:pt>
                <c:pt idx="1">
                  <c:v>1</c:v>
                </c:pt>
                <c:pt idx="2">
                  <c:v>1</c:v>
                </c:pt>
                <c:pt idx="3">
                  <c:v>2</c:v>
                </c:pt>
                <c:pt idx="4">
                  <c:v>1</c:v>
                </c:pt>
                <c:pt idx="5">
                  <c:v>2</c:v>
                </c:pt>
                <c:pt idx="6">
                  <c:v>0</c:v>
                </c:pt>
                <c:pt idx="7">
                  <c:v>0</c:v>
                </c:pt>
                <c:pt idx="8">
                  <c:v>0</c:v>
                </c:pt>
                <c:pt idx="9">
                  <c:v>0</c:v>
                </c:pt>
              </c:numCache>
            </c:numRef>
          </c:val>
          <c:extLst>
            <c:ext xmlns:c16="http://schemas.microsoft.com/office/drawing/2014/chart" uri="{C3380CC4-5D6E-409C-BE32-E72D297353CC}">
              <c16:uniqueId val="{00000014-B7F4-4BA6-8A79-2C2D512BEBE6}"/>
            </c:ext>
          </c:extLst>
        </c:ser>
        <c:dLbls>
          <c:showLegendKey val="0"/>
          <c:showVal val="0"/>
          <c:showCatName val="0"/>
          <c:showSerName val="0"/>
          <c:showPercent val="0"/>
          <c:showBubbleSize val="0"/>
        </c:dLbls>
        <c:gapWidth val="150"/>
        <c:axId val="64937572"/>
        <c:axId val="71444771"/>
      </c:barChart>
      <c:catAx>
        <c:axId val="64937572"/>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71444771"/>
        <c:crosses val="autoZero"/>
        <c:auto val="1"/>
        <c:lblAlgn val="ctr"/>
        <c:lblOffset val="100"/>
        <c:noMultiLvlLbl val="0"/>
      </c:catAx>
      <c:valAx>
        <c:axId val="71444771"/>
        <c:scaling>
          <c:orientation val="minMax"/>
        </c:scaling>
        <c:delete val="0"/>
        <c:axPos val="l"/>
        <c:majorGridlines>
          <c:spPr>
            <a:ln w="9360">
              <a:solidFill>
                <a:srgbClr val="878787"/>
              </a:solidFill>
              <a:round/>
            </a:ln>
          </c:spPr>
        </c:majorGridlines>
        <c:numFmt formatCode="#,##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64937572"/>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46</xdr:row>
      <xdr:rowOff>0</xdr:rowOff>
    </xdr:from>
    <xdr:to>
      <xdr:col>22</xdr:col>
      <xdr:colOff>220320</xdr:colOff>
      <xdr:row>61</xdr:row>
      <xdr:rowOff>163800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26</xdr:col>
      <xdr:colOff>0</xdr:colOff>
      <xdr:row>46</xdr:row>
      <xdr:rowOff>0</xdr:rowOff>
    </xdr:from>
    <xdr:to>
      <xdr:col>36</xdr:col>
      <xdr:colOff>29160</xdr:colOff>
      <xdr:row>61</xdr:row>
      <xdr:rowOff>163800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220"/>
  <sheetViews>
    <sheetView showGridLines="0" tabSelected="1" zoomScaleNormal="100" workbookViewId="0">
      <pane xSplit="5" ySplit="17" topLeftCell="F18" activePane="bottomRight" state="frozen"/>
      <selection pane="topRight" activeCell="F1" sqref="F1"/>
      <selection pane="bottomLeft" activeCell="A18" sqref="A18"/>
      <selection pane="bottomRight" activeCell="F74" sqref="F74"/>
    </sheetView>
  </sheetViews>
  <sheetFormatPr baseColWidth="10" defaultColWidth="8.7109375" defaultRowHeight="15" x14ac:dyDescent="0.25"/>
  <cols>
    <col min="1" max="1" width="2" customWidth="1"/>
    <col min="2" max="2" width="5" customWidth="1"/>
    <col min="3" max="3" width="11" customWidth="1"/>
    <col min="4" max="4" width="7" customWidth="1"/>
    <col min="5" max="5" width="26" customWidth="1"/>
    <col min="6" max="6" width="15" customWidth="1"/>
    <col min="7" max="8" width="8" customWidth="1"/>
    <col min="9" max="10" width="9" customWidth="1"/>
    <col min="11" max="11" width="13" customWidth="1"/>
    <col min="12" max="12" width="10" customWidth="1"/>
    <col min="13" max="13" width="28" customWidth="1"/>
    <col min="14" max="14" width="13" customWidth="1"/>
    <col min="15" max="15" width="14" customWidth="1"/>
    <col min="16" max="16" width="20" customWidth="1"/>
  </cols>
  <sheetData>
    <row r="1" spans="2:16" ht="6" customHeight="1" x14ac:dyDescent="0.25"/>
    <row r="2" spans="2:16" ht="30" customHeight="1" x14ac:dyDescent="0.25">
      <c r="B2" s="14" t="s">
        <v>0</v>
      </c>
      <c r="C2" s="14"/>
      <c r="D2" s="14"/>
      <c r="E2" s="14"/>
      <c r="F2" s="14"/>
      <c r="G2" s="14"/>
      <c r="H2" s="14"/>
      <c r="I2" s="14"/>
      <c r="J2" s="13" t="s">
        <v>1</v>
      </c>
      <c r="K2" s="13"/>
      <c r="L2" s="13"/>
      <c r="M2" s="13"/>
      <c r="N2" s="13"/>
      <c r="O2" s="13"/>
      <c r="P2" s="13"/>
    </row>
    <row r="3" spans="2:16" ht="16.5" customHeight="1" x14ac:dyDescent="0.25">
      <c r="B3" s="12" t="s">
        <v>2</v>
      </c>
      <c r="C3" s="12"/>
      <c r="D3" s="12"/>
      <c r="E3" s="12"/>
      <c r="F3" s="12"/>
      <c r="G3" s="12"/>
      <c r="H3" s="12"/>
      <c r="I3" s="12"/>
      <c r="J3" s="11" t="s">
        <v>3</v>
      </c>
      <c r="K3" s="11"/>
      <c r="L3" s="11"/>
      <c r="M3" s="11"/>
      <c r="N3" s="11"/>
      <c r="O3" s="11"/>
      <c r="P3" s="11"/>
    </row>
    <row r="4" spans="2:16" ht="4.5" customHeight="1" x14ac:dyDescent="0.25">
      <c r="B4" s="15"/>
      <c r="C4" s="16"/>
      <c r="D4" s="17"/>
      <c r="E4" s="18"/>
      <c r="F4" s="19"/>
      <c r="G4" s="20"/>
      <c r="H4" s="21"/>
      <c r="I4" s="22"/>
      <c r="J4" s="23"/>
      <c r="K4" s="24"/>
      <c r="L4" s="25"/>
      <c r="M4" s="26"/>
      <c r="N4" s="27"/>
      <c r="O4" s="28"/>
      <c r="P4" s="29"/>
    </row>
    <row r="5" spans="2:16" ht="7.5" customHeight="1" x14ac:dyDescent="0.25"/>
    <row r="6" spans="2:16" ht="19.5" customHeight="1" x14ac:dyDescent="0.25">
      <c r="B6" s="30" t="s">
        <v>4</v>
      </c>
      <c r="C6" s="10" t="s">
        <v>5</v>
      </c>
      <c r="D6" s="10"/>
      <c r="E6" s="10"/>
      <c r="F6" s="10"/>
      <c r="G6" s="9" t="s">
        <v>6</v>
      </c>
      <c r="H6" s="9"/>
      <c r="I6" s="9"/>
      <c r="J6" s="9"/>
      <c r="K6" s="9"/>
      <c r="L6" s="9"/>
      <c r="M6" s="9"/>
      <c r="N6" s="9"/>
      <c r="O6" s="9"/>
      <c r="P6" s="9"/>
    </row>
    <row r="7" spans="2:16" ht="16.5" customHeight="1" x14ac:dyDescent="0.25">
      <c r="B7" s="8" t="s">
        <v>7</v>
      </c>
      <c r="C7" s="8"/>
      <c r="D7" s="7" t="str">
        <f>Stammdaten!$D$7</f>
        <v>Muster Betriebsgastronomie GmbH</v>
      </c>
      <c r="E7" s="7"/>
      <c r="F7" s="7"/>
      <c r="G7" s="8" t="s">
        <v>8</v>
      </c>
      <c r="H7" s="8"/>
      <c r="I7" s="8"/>
      <c r="J7" s="7" t="str">
        <f>Stammdaten!$I$7</f>
        <v>Betriebsrestaurant Nord · Küche &amp; Lager</v>
      </c>
      <c r="K7" s="7"/>
      <c r="L7" s="7"/>
      <c r="M7" s="31" t="s">
        <v>9</v>
      </c>
      <c r="N7" s="7" t="str">
        <f>Stammdaten!$D$9</f>
        <v>TK-2026-06</v>
      </c>
      <c r="O7" s="7"/>
      <c r="P7" s="7"/>
    </row>
    <row r="8" spans="2:16" ht="16.5" customHeight="1" x14ac:dyDescent="0.25">
      <c r="B8" s="8" t="s">
        <v>10</v>
      </c>
      <c r="C8" s="8"/>
      <c r="D8" s="7" t="str">
        <f>Stammdaten!$I$8</f>
        <v>S. Ahrends (Hygienebeauftragte)</v>
      </c>
      <c r="E8" s="7"/>
      <c r="F8" s="7"/>
      <c r="G8" s="8" t="s">
        <v>11</v>
      </c>
      <c r="H8" s="8"/>
      <c r="I8" s="8"/>
      <c r="J8" s="7" t="str">
        <f>TEXT(Monatsstart,"DD.MM.YYYY")&amp;"  –  "&amp;TEXT(Monatsende,"DD.MM.YYYY")</f>
        <v>01.06.YYYY  –  30.06.YYYY</v>
      </c>
      <c r="K8" s="7"/>
      <c r="L8" s="7"/>
      <c r="M8" s="31" t="s">
        <v>12</v>
      </c>
      <c r="N8" s="7" t="str">
        <f>Stammdaten!$D$17</f>
        <v>Digital-Einstichthermometer DT-220</v>
      </c>
      <c r="O8" s="7"/>
      <c r="P8" s="7"/>
    </row>
    <row r="9" spans="2:16" ht="16.5" customHeight="1" x14ac:dyDescent="0.25">
      <c r="B9" s="8" t="s">
        <v>13</v>
      </c>
      <c r="C9" s="8"/>
      <c r="D9" s="6">
        <f>Stammdaten!$I$17</f>
        <v>46065</v>
      </c>
      <c r="E9" s="6"/>
      <c r="F9" s="6"/>
      <c r="G9" s="8" t="s">
        <v>14</v>
      </c>
      <c r="H9" s="8"/>
      <c r="I9" s="8"/>
      <c r="J9" s="6">
        <f>Stammdaten!$D$18</f>
        <v>46429</v>
      </c>
      <c r="K9" s="6"/>
      <c r="L9" s="6"/>
      <c r="M9" s="31" t="s">
        <v>15</v>
      </c>
      <c r="N9" s="7" t="str">
        <f>Stammdaten!$I$9</f>
        <v>M. Deckert (Betriebsleitung)</v>
      </c>
      <c r="O9" s="7"/>
      <c r="P9" s="7"/>
    </row>
    <row r="11" spans="2:16" ht="19.5" customHeight="1" x14ac:dyDescent="0.25">
      <c r="B11" s="30" t="s">
        <v>16</v>
      </c>
      <c r="C11" s="10" t="s">
        <v>17</v>
      </c>
      <c r="D11" s="10"/>
      <c r="E11" s="10"/>
      <c r="F11" s="10"/>
      <c r="G11" s="9" t="s">
        <v>18</v>
      </c>
      <c r="H11" s="9"/>
      <c r="I11" s="9"/>
      <c r="J11" s="9"/>
      <c r="K11" s="9"/>
      <c r="L11" s="9"/>
      <c r="M11" s="9"/>
      <c r="N11" s="9"/>
      <c r="O11" s="9"/>
      <c r="P11" s="9"/>
    </row>
    <row r="12" spans="2:16" ht="15.75" x14ac:dyDescent="0.25">
      <c r="B12" s="169" t="s">
        <v>19</v>
      </c>
      <c r="C12" s="169"/>
      <c r="D12" s="170" t="s">
        <v>20</v>
      </c>
      <c r="E12" s="170"/>
      <c r="F12" s="171" t="s">
        <v>21</v>
      </c>
      <c r="G12" s="171"/>
      <c r="H12" s="171"/>
      <c r="I12" s="172" t="s">
        <v>22</v>
      </c>
      <c r="J12" s="172"/>
      <c r="K12" s="172"/>
      <c r="L12" s="173" t="s">
        <v>23</v>
      </c>
      <c r="M12" s="173"/>
      <c r="N12" s="169" t="s">
        <v>24</v>
      </c>
      <c r="O12" s="169"/>
      <c r="P12" s="169"/>
    </row>
    <row r="13" spans="2:16" ht="21.75" customHeight="1" x14ac:dyDescent="0.25">
      <c r="B13" s="126">
        <f>COUNT($I$18:$I$217)</f>
        <v>173</v>
      </c>
      <c r="C13" s="126"/>
      <c r="D13" s="127">
        <f>IFERROR(COUNTIF($K$18:$K$217,"OK")/SUMPRODUCT(($K$18:$K$217&lt;&gt;"")*1),"")</f>
        <v>0.94797687861271673</v>
      </c>
      <c r="E13" s="127"/>
      <c r="F13" s="128">
        <f>COUNTIF($K$18:$K$217,"Zu hoch")+COUNTIF($K$18:$K$217,"Zu niedrig")+COUNTIF($K$18:$K$217,"Kritisch")</f>
        <v>9</v>
      </c>
      <c r="G13" s="128"/>
      <c r="H13" s="128"/>
      <c r="I13" s="129">
        <f>COUNTIF($K$18:$K$217,"Kritisch")</f>
        <v>2</v>
      </c>
      <c r="J13" s="129"/>
      <c r="K13" s="129"/>
      <c r="L13" s="130">
        <f>COUNTIFS($L$18:$L$217,"Ja",$N$18:$N$217,"Offen")+COUNTIFS($L$18:$L$217,"Ja",$N$18:$N$217,"In Bearbeitung")</f>
        <v>2</v>
      </c>
      <c r="M13" s="130"/>
      <c r="N13" s="131">
        <f>MAX(MAX($J$18:$J$217),-MIN($J$18:$J$217))</f>
        <v>4</v>
      </c>
      <c r="O13" s="131"/>
      <c r="P13" s="131"/>
    </row>
    <row r="14" spans="2:16" ht="12.75" customHeight="1" x14ac:dyDescent="0.25">
      <c r="B14" s="132" t="s">
        <v>25</v>
      </c>
      <c r="C14" s="132"/>
      <c r="D14" s="132" t="s">
        <v>26</v>
      </c>
      <c r="E14" s="132"/>
      <c r="F14" s="132" t="s">
        <v>27</v>
      </c>
      <c r="G14" s="132"/>
      <c r="H14" s="132"/>
      <c r="I14" s="132" t="s">
        <v>28</v>
      </c>
      <c r="J14" s="132"/>
      <c r="K14" s="132"/>
      <c r="L14" s="132" t="s">
        <v>29</v>
      </c>
      <c r="M14" s="132"/>
      <c r="N14" s="132" t="s">
        <v>30</v>
      </c>
      <c r="O14" s="132"/>
      <c r="P14" s="132"/>
    </row>
    <row r="16" spans="2:16" ht="19.5" customHeight="1" x14ac:dyDescent="0.25">
      <c r="B16" s="30" t="s">
        <v>31</v>
      </c>
      <c r="C16" s="10" t="s">
        <v>32</v>
      </c>
      <c r="D16" s="10"/>
      <c r="E16" s="10"/>
      <c r="F16" s="10"/>
      <c r="G16" s="9" t="s">
        <v>33</v>
      </c>
      <c r="H16" s="9"/>
      <c r="I16" s="9"/>
      <c r="J16" s="9"/>
      <c r="K16" s="9"/>
      <c r="L16" s="9"/>
      <c r="M16" s="9"/>
      <c r="N16" s="9"/>
      <c r="O16" s="9"/>
      <c r="P16" s="9"/>
    </row>
    <row r="17" spans="2:16" ht="31.5" customHeight="1" x14ac:dyDescent="0.25">
      <c r="B17" s="32" t="s">
        <v>34</v>
      </c>
      <c r="C17" s="32" t="s">
        <v>35</v>
      </c>
      <c r="D17" s="32" t="s">
        <v>36</v>
      </c>
      <c r="E17" s="32" t="s">
        <v>37</v>
      </c>
      <c r="F17" s="32" t="s">
        <v>38</v>
      </c>
      <c r="G17" s="32" t="s">
        <v>39</v>
      </c>
      <c r="H17" s="32" t="s">
        <v>40</v>
      </c>
      <c r="I17" s="32" t="s">
        <v>41</v>
      </c>
      <c r="J17" s="32" t="s">
        <v>42</v>
      </c>
      <c r="K17" s="32" t="s">
        <v>43</v>
      </c>
      <c r="L17" s="32" t="s">
        <v>44</v>
      </c>
      <c r="M17" s="32" t="s">
        <v>45</v>
      </c>
      <c r="N17" s="32" t="s">
        <v>46</v>
      </c>
      <c r="O17" s="32" t="s">
        <v>47</v>
      </c>
      <c r="P17" s="32" t="s">
        <v>48</v>
      </c>
    </row>
    <row r="18" spans="2:16" ht="15" customHeight="1" x14ac:dyDescent="0.25">
      <c r="B18" s="33">
        <f>IF($C18="","",COUNTA($C$18:$C18))</f>
        <v>1</v>
      </c>
      <c r="C18" s="34">
        <v>46174</v>
      </c>
      <c r="D18" s="35">
        <v>0.33333333333333298</v>
      </c>
      <c r="E18" s="36" t="s">
        <v>49</v>
      </c>
      <c r="F18" s="37" t="str">
        <f>IF($E18="","",IFERROR(INDEX(Stammdaten!$D$22:$D$31,MATCH($E18,Stammdaten!$C$22:$C$31,0)),"?"))</f>
        <v>Kühlung</v>
      </c>
      <c r="G18" s="38">
        <f>IF($E18="","",IFERROR(INDEX(Stammdaten!$F$22:$F$31,MATCH($E18,Stammdaten!$C$22:$C$31,0)),""))</f>
        <v>2</v>
      </c>
      <c r="H18" s="38">
        <f>IF($E18="","",IFERROR(INDEX(Stammdaten!$G$22:$G$31,MATCH($E18,Stammdaten!$C$22:$C$31,0)),""))</f>
        <v>7</v>
      </c>
      <c r="I18" s="39">
        <v>3.8</v>
      </c>
      <c r="J18" s="40">
        <f t="shared" ref="J18:J49" si="0">IF($I18="","",IF($G18="","",IF($I18&lt;$G18,ROUND($I18-$G18,1),IF($I18&gt;$H18,ROUND($I18-$H18,1),0))))</f>
        <v>0</v>
      </c>
      <c r="K18" s="41" t="str">
        <f t="shared" ref="K18:K49" si="1">IF($I18="","",IF($J18="","",IF(ABS($J18)&gt;Toleranz_kritisch,"Kritisch",IF($J18&lt;0,"Zu niedrig",IF($J18&gt;0,"Zu hoch","OK")))))</f>
        <v>OK</v>
      </c>
      <c r="L18" s="42" t="str">
        <f t="shared" ref="L18:L49" si="2">IF($K18="","",IF($K18="OK","Nein","Ja"))</f>
        <v>Nein</v>
      </c>
      <c r="M18" s="43"/>
      <c r="N18" s="44"/>
      <c r="O18" s="44" t="s">
        <v>50</v>
      </c>
      <c r="P18" s="45"/>
    </row>
    <row r="19" spans="2:16" ht="15" customHeight="1" x14ac:dyDescent="0.25">
      <c r="B19" s="33">
        <f>IF($C19="","",COUNTA($C$18:$C19))</f>
        <v>2</v>
      </c>
      <c r="C19" s="34">
        <v>46174</v>
      </c>
      <c r="D19" s="35">
        <v>0.34375</v>
      </c>
      <c r="E19" s="36" t="s">
        <v>51</v>
      </c>
      <c r="F19" s="37" t="str">
        <f>IF($E19="","",IFERROR(INDEX(Stammdaten!$D$22:$D$31,MATCH($E19,Stammdaten!$C$22:$C$31,0)),"?"))</f>
        <v>Kühlung</v>
      </c>
      <c r="G19" s="38">
        <f>IF($E19="","",IFERROR(INDEX(Stammdaten!$F$22:$F$31,MATCH($E19,Stammdaten!$C$22:$C$31,0)),""))</f>
        <v>0</v>
      </c>
      <c r="H19" s="38">
        <f>IF($E19="","",IFERROR(INDEX(Stammdaten!$G$22:$G$31,MATCH($E19,Stammdaten!$C$22:$C$31,0)),""))</f>
        <v>6</v>
      </c>
      <c r="I19" s="39">
        <v>4.7</v>
      </c>
      <c r="J19" s="40">
        <f t="shared" si="0"/>
        <v>0</v>
      </c>
      <c r="K19" s="41" t="str">
        <f t="shared" si="1"/>
        <v>OK</v>
      </c>
      <c r="L19" s="42" t="str">
        <f t="shared" si="2"/>
        <v>Nein</v>
      </c>
      <c r="M19" s="43"/>
      <c r="N19" s="44"/>
      <c r="O19" s="44" t="s">
        <v>52</v>
      </c>
      <c r="P19" s="45"/>
    </row>
    <row r="20" spans="2:16" ht="15" customHeight="1" x14ac:dyDescent="0.25">
      <c r="B20" s="33">
        <f>IF($C20="","",COUNTA($C$18:$C20))</f>
        <v>3</v>
      </c>
      <c r="C20" s="34">
        <v>46174</v>
      </c>
      <c r="D20" s="35">
        <v>0.35416666666666702</v>
      </c>
      <c r="E20" s="36" t="s">
        <v>53</v>
      </c>
      <c r="F20" s="37" t="str">
        <f>IF($E20="","",IFERROR(INDEX(Stammdaten!$D$22:$D$31,MATCH($E20,Stammdaten!$C$22:$C$31,0)),"?"))</f>
        <v>Tiefkühlung</v>
      </c>
      <c r="G20" s="38">
        <f>IF($E20="","",IFERROR(INDEX(Stammdaten!$F$22:$F$31,MATCH($E20,Stammdaten!$C$22:$C$31,0)),""))</f>
        <v>-24</v>
      </c>
      <c r="H20" s="38">
        <f>IF($E20="","",IFERROR(INDEX(Stammdaten!$G$22:$G$31,MATCH($E20,Stammdaten!$C$22:$C$31,0)),""))</f>
        <v>-18</v>
      </c>
      <c r="I20" s="39">
        <v>-21.3</v>
      </c>
      <c r="J20" s="40">
        <f t="shared" si="0"/>
        <v>0</v>
      </c>
      <c r="K20" s="41" t="str">
        <f t="shared" si="1"/>
        <v>OK</v>
      </c>
      <c r="L20" s="42" t="str">
        <f t="shared" si="2"/>
        <v>Nein</v>
      </c>
      <c r="M20" s="43"/>
      <c r="N20" s="44"/>
      <c r="O20" s="44" t="s">
        <v>54</v>
      </c>
      <c r="P20" s="45"/>
    </row>
    <row r="21" spans="2:16" ht="15" customHeight="1" x14ac:dyDescent="0.25">
      <c r="B21" s="33">
        <f>IF($C21="","",COUNTA($C$18:$C21))</f>
        <v>4</v>
      </c>
      <c r="C21" s="34">
        <v>46174</v>
      </c>
      <c r="D21" s="35">
        <v>0.375</v>
      </c>
      <c r="E21" s="36" t="s">
        <v>55</v>
      </c>
      <c r="F21" s="37" t="str">
        <f>IF($E21="","",IFERROR(INDEX(Stammdaten!$D$22:$D$31,MATCH($E21,Stammdaten!$C$22:$C$31,0)),"?"))</f>
        <v>Lagerung</v>
      </c>
      <c r="G21" s="38">
        <f>IF($E21="","",IFERROR(INDEX(Stammdaten!$F$22:$F$31,MATCH($E21,Stammdaten!$C$22:$C$31,0)),""))</f>
        <v>10</v>
      </c>
      <c r="H21" s="38">
        <f>IF($E21="","",IFERROR(INDEX(Stammdaten!$G$22:$G$31,MATCH($E21,Stammdaten!$C$22:$C$31,0)),""))</f>
        <v>20</v>
      </c>
      <c r="I21" s="39">
        <v>17.2</v>
      </c>
      <c r="J21" s="40">
        <f t="shared" si="0"/>
        <v>0</v>
      </c>
      <c r="K21" s="41" t="str">
        <f t="shared" si="1"/>
        <v>OK</v>
      </c>
      <c r="L21" s="42" t="str">
        <f t="shared" si="2"/>
        <v>Nein</v>
      </c>
      <c r="M21" s="43"/>
      <c r="N21" s="44"/>
      <c r="O21" s="44" t="s">
        <v>50</v>
      </c>
      <c r="P21" s="45"/>
    </row>
    <row r="22" spans="2:16" ht="15" customHeight="1" x14ac:dyDescent="0.25">
      <c r="B22" s="33">
        <f>IF($C22="","",COUNTA($C$18:$C22))</f>
        <v>5</v>
      </c>
      <c r="C22" s="34">
        <v>46174</v>
      </c>
      <c r="D22" s="35">
        <v>0.44791666666666702</v>
      </c>
      <c r="E22" s="36" t="s">
        <v>56</v>
      </c>
      <c r="F22" s="37" t="str">
        <f>IF($E22="","",IFERROR(INDEX(Stammdaten!$D$22:$D$31,MATCH($E22,Stammdaten!$C$22:$C$31,0)),"?"))</f>
        <v>Wareneingang</v>
      </c>
      <c r="G22" s="38">
        <f>IF($E22="","",IFERROR(INDEX(Stammdaten!$F$22:$F$31,MATCH($E22,Stammdaten!$C$22:$C$31,0)),""))</f>
        <v>0</v>
      </c>
      <c r="H22" s="38">
        <f>IF($E22="","",IFERROR(INDEX(Stammdaten!$G$22:$G$31,MATCH($E22,Stammdaten!$C$22:$C$31,0)),""))</f>
        <v>7</v>
      </c>
      <c r="I22" s="39">
        <v>6.3</v>
      </c>
      <c r="J22" s="40">
        <f t="shared" si="0"/>
        <v>0</v>
      </c>
      <c r="K22" s="41" t="str">
        <f t="shared" si="1"/>
        <v>OK</v>
      </c>
      <c r="L22" s="42" t="str">
        <f t="shared" si="2"/>
        <v>Nein</v>
      </c>
      <c r="M22" s="43"/>
      <c r="N22" s="44"/>
      <c r="O22" s="44" t="s">
        <v>57</v>
      </c>
      <c r="P22" s="45"/>
    </row>
    <row r="23" spans="2:16" ht="15" customHeight="1" x14ac:dyDescent="0.25">
      <c r="B23" s="33">
        <f>IF($C23="","",COUNTA($C$18:$C23))</f>
        <v>6</v>
      </c>
      <c r="C23" s="34">
        <v>46174</v>
      </c>
      <c r="D23" s="35">
        <v>0.51041666666666696</v>
      </c>
      <c r="E23" s="36" t="s">
        <v>58</v>
      </c>
      <c r="F23" s="37" t="str">
        <f>IF($E23="","",IFERROR(INDEX(Stammdaten!$D$22:$D$31,MATCH($E23,Stammdaten!$C$22:$C$31,0)),"?"))</f>
        <v>Warmhaltung</v>
      </c>
      <c r="G23" s="38">
        <f>IF($E23="","",IFERROR(INDEX(Stammdaten!$F$22:$F$31,MATCH($E23,Stammdaten!$C$22:$C$31,0)),""))</f>
        <v>65</v>
      </c>
      <c r="H23" s="38">
        <f>IF($E23="","",IFERROR(INDEX(Stammdaten!$G$22:$G$31,MATCH($E23,Stammdaten!$C$22:$C$31,0)),""))</f>
        <v>85</v>
      </c>
      <c r="I23" s="39">
        <v>73</v>
      </c>
      <c r="J23" s="40">
        <f t="shared" si="0"/>
        <v>0</v>
      </c>
      <c r="K23" s="41" t="str">
        <f t="shared" si="1"/>
        <v>OK</v>
      </c>
      <c r="L23" s="42" t="str">
        <f t="shared" si="2"/>
        <v>Nein</v>
      </c>
      <c r="M23" s="43"/>
      <c r="N23" s="44"/>
      <c r="O23" s="44" t="s">
        <v>59</v>
      </c>
      <c r="P23" s="45"/>
    </row>
    <row r="24" spans="2:16" ht="15" customHeight="1" x14ac:dyDescent="0.25">
      <c r="B24" s="33">
        <f>IF($C24="","",COUNTA($C$18:$C24))</f>
        <v>7</v>
      </c>
      <c r="C24" s="34">
        <v>46175</v>
      </c>
      <c r="D24" s="35">
        <v>0.33333333333333298</v>
      </c>
      <c r="E24" s="36" t="s">
        <v>49</v>
      </c>
      <c r="F24" s="37" t="str">
        <f>IF($E24="","",IFERROR(INDEX(Stammdaten!$D$22:$D$31,MATCH($E24,Stammdaten!$C$22:$C$31,0)),"?"))</f>
        <v>Kühlung</v>
      </c>
      <c r="G24" s="38">
        <f>IF($E24="","",IFERROR(INDEX(Stammdaten!$F$22:$F$31,MATCH($E24,Stammdaten!$C$22:$C$31,0)),""))</f>
        <v>2</v>
      </c>
      <c r="H24" s="38">
        <f>IF($E24="","",IFERROR(INDEX(Stammdaten!$G$22:$G$31,MATCH($E24,Stammdaten!$C$22:$C$31,0)),""))</f>
        <v>7</v>
      </c>
      <c r="I24" s="39">
        <v>4.8</v>
      </c>
      <c r="J24" s="40">
        <f t="shared" si="0"/>
        <v>0</v>
      </c>
      <c r="K24" s="41" t="str">
        <f t="shared" si="1"/>
        <v>OK</v>
      </c>
      <c r="L24" s="42" t="str">
        <f t="shared" si="2"/>
        <v>Nein</v>
      </c>
      <c r="M24" s="43"/>
      <c r="N24" s="44"/>
      <c r="O24" s="44" t="s">
        <v>52</v>
      </c>
      <c r="P24" s="45"/>
    </row>
    <row r="25" spans="2:16" ht="15" customHeight="1" x14ac:dyDescent="0.25">
      <c r="B25" s="33">
        <f>IF($C25="","",COUNTA($C$18:$C25))</f>
        <v>8</v>
      </c>
      <c r="C25" s="34">
        <v>46175</v>
      </c>
      <c r="D25" s="35">
        <v>0.34375</v>
      </c>
      <c r="E25" s="36" t="s">
        <v>51</v>
      </c>
      <c r="F25" s="37" t="str">
        <f>IF($E25="","",IFERROR(INDEX(Stammdaten!$D$22:$D$31,MATCH($E25,Stammdaten!$C$22:$C$31,0)),"?"))</f>
        <v>Kühlung</v>
      </c>
      <c r="G25" s="38">
        <f>IF($E25="","",IFERROR(INDEX(Stammdaten!$F$22:$F$31,MATCH($E25,Stammdaten!$C$22:$C$31,0)),""))</f>
        <v>0</v>
      </c>
      <c r="H25" s="38">
        <f>IF($E25="","",IFERROR(INDEX(Stammdaten!$G$22:$G$31,MATCH($E25,Stammdaten!$C$22:$C$31,0)),""))</f>
        <v>6</v>
      </c>
      <c r="I25" s="39">
        <v>4</v>
      </c>
      <c r="J25" s="40">
        <f t="shared" si="0"/>
        <v>0</v>
      </c>
      <c r="K25" s="41" t="str">
        <f t="shared" si="1"/>
        <v>OK</v>
      </c>
      <c r="L25" s="42" t="str">
        <f t="shared" si="2"/>
        <v>Nein</v>
      </c>
      <c r="M25" s="43"/>
      <c r="N25" s="44"/>
      <c r="O25" s="44" t="s">
        <v>54</v>
      </c>
      <c r="P25" s="45"/>
    </row>
    <row r="26" spans="2:16" ht="15" customHeight="1" x14ac:dyDescent="0.25">
      <c r="B26" s="33">
        <f>IF($C26="","",COUNTA($C$18:$C26))</f>
        <v>9</v>
      </c>
      <c r="C26" s="34">
        <v>46175</v>
      </c>
      <c r="D26" s="35">
        <v>0.35416666666666702</v>
      </c>
      <c r="E26" s="36" t="s">
        <v>53</v>
      </c>
      <c r="F26" s="37" t="str">
        <f>IF($E26="","",IFERROR(INDEX(Stammdaten!$D$22:$D$31,MATCH($E26,Stammdaten!$C$22:$C$31,0)),"?"))</f>
        <v>Tiefkühlung</v>
      </c>
      <c r="G26" s="38">
        <f>IF($E26="","",IFERROR(INDEX(Stammdaten!$F$22:$F$31,MATCH($E26,Stammdaten!$C$22:$C$31,0)),""))</f>
        <v>-24</v>
      </c>
      <c r="H26" s="38">
        <f>IF($E26="","",IFERROR(INDEX(Stammdaten!$G$22:$G$31,MATCH($E26,Stammdaten!$C$22:$C$31,0)),""))</f>
        <v>-18</v>
      </c>
      <c r="I26" s="39">
        <v>-20.5</v>
      </c>
      <c r="J26" s="40">
        <f t="shared" si="0"/>
        <v>0</v>
      </c>
      <c r="K26" s="41" t="str">
        <f t="shared" si="1"/>
        <v>OK</v>
      </c>
      <c r="L26" s="42" t="str">
        <f t="shared" si="2"/>
        <v>Nein</v>
      </c>
      <c r="M26" s="43"/>
      <c r="N26" s="44"/>
      <c r="O26" s="44" t="s">
        <v>59</v>
      </c>
      <c r="P26" s="45"/>
    </row>
    <row r="27" spans="2:16" ht="15" customHeight="1" x14ac:dyDescent="0.25">
      <c r="B27" s="33">
        <f>IF($C27="","",COUNTA($C$18:$C27))</f>
        <v>10</v>
      </c>
      <c r="C27" s="34">
        <v>46175</v>
      </c>
      <c r="D27" s="35">
        <v>0.375</v>
      </c>
      <c r="E27" s="36" t="s">
        <v>55</v>
      </c>
      <c r="F27" s="37" t="str">
        <f>IF($E27="","",IFERROR(INDEX(Stammdaten!$D$22:$D$31,MATCH($E27,Stammdaten!$C$22:$C$31,0)),"?"))</f>
        <v>Lagerung</v>
      </c>
      <c r="G27" s="38">
        <f>IF($E27="","",IFERROR(INDEX(Stammdaten!$F$22:$F$31,MATCH($E27,Stammdaten!$C$22:$C$31,0)),""))</f>
        <v>10</v>
      </c>
      <c r="H27" s="38">
        <f>IF($E27="","",IFERROR(INDEX(Stammdaten!$G$22:$G$31,MATCH($E27,Stammdaten!$C$22:$C$31,0)),""))</f>
        <v>20</v>
      </c>
      <c r="I27" s="39">
        <v>16.600000000000001</v>
      </c>
      <c r="J27" s="40">
        <f t="shared" si="0"/>
        <v>0</v>
      </c>
      <c r="K27" s="41" t="str">
        <f t="shared" si="1"/>
        <v>OK</v>
      </c>
      <c r="L27" s="42" t="str">
        <f t="shared" si="2"/>
        <v>Nein</v>
      </c>
      <c r="M27" s="43"/>
      <c r="N27" s="44"/>
      <c r="O27" s="44" t="s">
        <v>52</v>
      </c>
      <c r="P27" s="45"/>
    </row>
    <row r="28" spans="2:16" ht="15" customHeight="1" x14ac:dyDescent="0.25">
      <c r="B28" s="33">
        <f>IF($C28="","",COUNTA($C$18:$C28))</f>
        <v>11</v>
      </c>
      <c r="C28" s="34">
        <v>46175</v>
      </c>
      <c r="D28" s="35">
        <v>0.44791666666666702</v>
      </c>
      <c r="E28" s="36" t="s">
        <v>56</v>
      </c>
      <c r="F28" s="37" t="str">
        <f>IF($E28="","",IFERROR(INDEX(Stammdaten!$D$22:$D$31,MATCH($E28,Stammdaten!$C$22:$C$31,0)),"?"))</f>
        <v>Wareneingang</v>
      </c>
      <c r="G28" s="38">
        <f>IF($E28="","",IFERROR(INDEX(Stammdaten!$F$22:$F$31,MATCH($E28,Stammdaten!$C$22:$C$31,0)),""))</f>
        <v>0</v>
      </c>
      <c r="H28" s="38">
        <f>IF($E28="","",IFERROR(INDEX(Stammdaten!$G$22:$G$31,MATCH($E28,Stammdaten!$C$22:$C$31,0)),""))</f>
        <v>7</v>
      </c>
      <c r="I28" s="39">
        <v>3.6</v>
      </c>
      <c r="J28" s="40">
        <f t="shared" si="0"/>
        <v>0</v>
      </c>
      <c r="K28" s="41" t="str">
        <f t="shared" si="1"/>
        <v>OK</v>
      </c>
      <c r="L28" s="42" t="str">
        <f t="shared" si="2"/>
        <v>Nein</v>
      </c>
      <c r="M28" s="43"/>
      <c r="N28" s="44"/>
      <c r="O28" s="44" t="s">
        <v>50</v>
      </c>
      <c r="P28" s="45"/>
    </row>
    <row r="29" spans="2:16" ht="15" customHeight="1" x14ac:dyDescent="0.25">
      <c r="B29" s="33">
        <f>IF($C29="","",COUNTA($C$18:$C29))</f>
        <v>12</v>
      </c>
      <c r="C29" s="34">
        <v>46175</v>
      </c>
      <c r="D29" s="35">
        <v>0.51041666666666696</v>
      </c>
      <c r="E29" s="36" t="s">
        <v>58</v>
      </c>
      <c r="F29" s="37" t="str">
        <f>IF($E29="","",IFERROR(INDEX(Stammdaten!$D$22:$D$31,MATCH($E29,Stammdaten!$C$22:$C$31,0)),"?"))</f>
        <v>Warmhaltung</v>
      </c>
      <c r="G29" s="38">
        <f>IF($E29="","",IFERROR(INDEX(Stammdaten!$F$22:$F$31,MATCH($E29,Stammdaten!$C$22:$C$31,0)),""))</f>
        <v>65</v>
      </c>
      <c r="H29" s="38">
        <f>IF($E29="","",IFERROR(INDEX(Stammdaten!$G$22:$G$31,MATCH($E29,Stammdaten!$C$22:$C$31,0)),""))</f>
        <v>85</v>
      </c>
      <c r="I29" s="39">
        <v>75.7</v>
      </c>
      <c r="J29" s="40">
        <f t="shared" si="0"/>
        <v>0</v>
      </c>
      <c r="K29" s="41" t="str">
        <f t="shared" si="1"/>
        <v>OK</v>
      </c>
      <c r="L29" s="42" t="str">
        <f t="shared" si="2"/>
        <v>Nein</v>
      </c>
      <c r="M29" s="43"/>
      <c r="N29" s="44"/>
      <c r="O29" s="44" t="s">
        <v>57</v>
      </c>
      <c r="P29" s="45"/>
    </row>
    <row r="30" spans="2:16" ht="15" customHeight="1" x14ac:dyDescent="0.25">
      <c r="B30" s="33">
        <f>IF($C30="","",COUNTA($C$18:$C30))</f>
        <v>13</v>
      </c>
      <c r="C30" s="34">
        <v>46176</v>
      </c>
      <c r="D30" s="35">
        <v>0.33333333333333298</v>
      </c>
      <c r="E30" s="36" t="s">
        <v>49</v>
      </c>
      <c r="F30" s="37" t="str">
        <f>IF($E30="","",IFERROR(INDEX(Stammdaten!$D$22:$D$31,MATCH($E30,Stammdaten!$C$22:$C$31,0)),"?"))</f>
        <v>Kühlung</v>
      </c>
      <c r="G30" s="38">
        <f>IF($E30="","",IFERROR(INDEX(Stammdaten!$F$22:$F$31,MATCH($E30,Stammdaten!$C$22:$C$31,0)),""))</f>
        <v>2</v>
      </c>
      <c r="H30" s="38">
        <f>IF($E30="","",IFERROR(INDEX(Stammdaten!$G$22:$G$31,MATCH($E30,Stammdaten!$C$22:$C$31,0)),""))</f>
        <v>7</v>
      </c>
      <c r="I30" s="39">
        <v>4</v>
      </c>
      <c r="J30" s="40">
        <f t="shared" si="0"/>
        <v>0</v>
      </c>
      <c r="K30" s="41" t="str">
        <f t="shared" si="1"/>
        <v>OK</v>
      </c>
      <c r="L30" s="42" t="str">
        <f t="shared" si="2"/>
        <v>Nein</v>
      </c>
      <c r="M30" s="43"/>
      <c r="N30" s="44"/>
      <c r="O30" s="44" t="s">
        <v>54</v>
      </c>
      <c r="P30" s="45"/>
    </row>
    <row r="31" spans="2:16" ht="15" customHeight="1" x14ac:dyDescent="0.25">
      <c r="B31" s="33">
        <f>IF($C31="","",COUNTA($C$18:$C31))</f>
        <v>14</v>
      </c>
      <c r="C31" s="34">
        <v>46176</v>
      </c>
      <c r="D31" s="35">
        <v>0.34375</v>
      </c>
      <c r="E31" s="36" t="s">
        <v>51</v>
      </c>
      <c r="F31" s="37" t="str">
        <f>IF($E31="","",IFERROR(INDEX(Stammdaten!$D$22:$D$31,MATCH($E31,Stammdaten!$C$22:$C$31,0)),"?"))</f>
        <v>Kühlung</v>
      </c>
      <c r="G31" s="38">
        <f>IF($E31="","",IFERROR(INDEX(Stammdaten!$F$22:$F$31,MATCH($E31,Stammdaten!$C$22:$C$31,0)),""))</f>
        <v>0</v>
      </c>
      <c r="H31" s="38">
        <f>IF($E31="","",IFERROR(INDEX(Stammdaten!$G$22:$G$31,MATCH($E31,Stammdaten!$C$22:$C$31,0)),""))</f>
        <v>6</v>
      </c>
      <c r="I31" s="39">
        <v>2.9</v>
      </c>
      <c r="J31" s="40">
        <f t="shared" si="0"/>
        <v>0</v>
      </c>
      <c r="K31" s="41" t="str">
        <f t="shared" si="1"/>
        <v>OK</v>
      </c>
      <c r="L31" s="42" t="str">
        <f t="shared" si="2"/>
        <v>Nein</v>
      </c>
      <c r="M31" s="43"/>
      <c r="N31" s="44"/>
      <c r="O31" s="44" t="s">
        <v>59</v>
      </c>
      <c r="P31" s="45"/>
    </row>
    <row r="32" spans="2:16" ht="15" customHeight="1" x14ac:dyDescent="0.25">
      <c r="B32" s="33">
        <f>IF($C32="","",COUNTA($C$18:$C32))</f>
        <v>15</v>
      </c>
      <c r="C32" s="34">
        <v>46176</v>
      </c>
      <c r="D32" s="35">
        <v>0.35416666666666702</v>
      </c>
      <c r="E32" s="36" t="s">
        <v>53</v>
      </c>
      <c r="F32" s="37" t="str">
        <f>IF($E32="","",IFERROR(INDEX(Stammdaten!$D$22:$D$31,MATCH($E32,Stammdaten!$C$22:$C$31,0)),"?"))</f>
        <v>Tiefkühlung</v>
      </c>
      <c r="G32" s="38">
        <f>IF($E32="","",IFERROR(INDEX(Stammdaten!$F$22:$F$31,MATCH($E32,Stammdaten!$C$22:$C$31,0)),""))</f>
        <v>-24</v>
      </c>
      <c r="H32" s="38">
        <f>IF($E32="","",IFERROR(INDEX(Stammdaten!$G$22:$G$31,MATCH($E32,Stammdaten!$C$22:$C$31,0)),""))</f>
        <v>-18</v>
      </c>
      <c r="I32" s="39">
        <v>-20.3</v>
      </c>
      <c r="J32" s="40">
        <f t="shared" si="0"/>
        <v>0</v>
      </c>
      <c r="K32" s="41" t="str">
        <f t="shared" si="1"/>
        <v>OK</v>
      </c>
      <c r="L32" s="42" t="str">
        <f t="shared" si="2"/>
        <v>Nein</v>
      </c>
      <c r="M32" s="43"/>
      <c r="N32" s="44"/>
      <c r="O32" s="44" t="s">
        <v>57</v>
      </c>
      <c r="P32" s="45"/>
    </row>
    <row r="33" spans="2:16" ht="15" customHeight="1" x14ac:dyDescent="0.25">
      <c r="B33" s="33">
        <f>IF($C33="","",COUNTA($C$18:$C33))</f>
        <v>16</v>
      </c>
      <c r="C33" s="34">
        <v>46176</v>
      </c>
      <c r="D33" s="35">
        <v>0.375</v>
      </c>
      <c r="E33" s="36" t="s">
        <v>55</v>
      </c>
      <c r="F33" s="37" t="str">
        <f>IF($E33="","",IFERROR(INDEX(Stammdaten!$D$22:$D$31,MATCH($E33,Stammdaten!$C$22:$C$31,0)),"?"))</f>
        <v>Lagerung</v>
      </c>
      <c r="G33" s="38">
        <f>IF($E33="","",IFERROR(INDEX(Stammdaten!$F$22:$F$31,MATCH($E33,Stammdaten!$C$22:$C$31,0)),""))</f>
        <v>10</v>
      </c>
      <c r="H33" s="38">
        <f>IF($E33="","",IFERROR(INDEX(Stammdaten!$G$22:$G$31,MATCH($E33,Stammdaten!$C$22:$C$31,0)),""))</f>
        <v>20</v>
      </c>
      <c r="I33" s="39">
        <v>18.5</v>
      </c>
      <c r="J33" s="40">
        <f t="shared" si="0"/>
        <v>0</v>
      </c>
      <c r="K33" s="41" t="str">
        <f t="shared" si="1"/>
        <v>OK</v>
      </c>
      <c r="L33" s="42" t="str">
        <f t="shared" si="2"/>
        <v>Nein</v>
      </c>
      <c r="M33" s="43"/>
      <c r="N33" s="44"/>
      <c r="O33" s="44" t="s">
        <v>54</v>
      </c>
      <c r="P33" s="45"/>
    </row>
    <row r="34" spans="2:16" ht="15" customHeight="1" x14ac:dyDescent="0.25">
      <c r="B34" s="33">
        <f>IF($C34="","",COUNTA($C$18:$C34))</f>
        <v>17</v>
      </c>
      <c r="C34" s="34">
        <v>46176</v>
      </c>
      <c r="D34" s="35">
        <v>0.44791666666666702</v>
      </c>
      <c r="E34" s="36" t="s">
        <v>56</v>
      </c>
      <c r="F34" s="37" t="str">
        <f>IF($E34="","",IFERROR(INDEX(Stammdaten!$D$22:$D$31,MATCH($E34,Stammdaten!$C$22:$C$31,0)),"?"))</f>
        <v>Wareneingang</v>
      </c>
      <c r="G34" s="38">
        <f>IF($E34="","",IFERROR(INDEX(Stammdaten!$F$22:$F$31,MATCH($E34,Stammdaten!$C$22:$C$31,0)),""))</f>
        <v>0</v>
      </c>
      <c r="H34" s="38">
        <f>IF($E34="","",IFERROR(INDEX(Stammdaten!$G$22:$G$31,MATCH($E34,Stammdaten!$C$22:$C$31,0)),""))</f>
        <v>7</v>
      </c>
      <c r="I34" s="39">
        <v>3.2</v>
      </c>
      <c r="J34" s="40">
        <f t="shared" si="0"/>
        <v>0</v>
      </c>
      <c r="K34" s="41" t="str">
        <f t="shared" si="1"/>
        <v>OK</v>
      </c>
      <c r="L34" s="42" t="str">
        <f t="shared" si="2"/>
        <v>Nein</v>
      </c>
      <c r="M34" s="43"/>
      <c r="N34" s="44"/>
      <c r="O34" s="44" t="s">
        <v>52</v>
      </c>
      <c r="P34" s="45"/>
    </row>
    <row r="35" spans="2:16" ht="15" customHeight="1" x14ac:dyDescent="0.25">
      <c r="B35" s="33">
        <f>IF($C35="","",COUNTA($C$18:$C35))</f>
        <v>18</v>
      </c>
      <c r="C35" s="34">
        <v>46176</v>
      </c>
      <c r="D35" s="35">
        <v>0.51041666666666696</v>
      </c>
      <c r="E35" s="36" t="s">
        <v>58</v>
      </c>
      <c r="F35" s="37" t="str">
        <f>IF($E35="","",IFERROR(INDEX(Stammdaten!$D$22:$D$31,MATCH($E35,Stammdaten!$C$22:$C$31,0)),"?"))</f>
        <v>Warmhaltung</v>
      </c>
      <c r="G35" s="38">
        <f>IF($E35="","",IFERROR(INDEX(Stammdaten!$F$22:$F$31,MATCH($E35,Stammdaten!$C$22:$C$31,0)),""))</f>
        <v>65</v>
      </c>
      <c r="H35" s="38">
        <f>IF($E35="","",IFERROR(INDEX(Stammdaten!$G$22:$G$31,MATCH($E35,Stammdaten!$C$22:$C$31,0)),""))</f>
        <v>85</v>
      </c>
      <c r="I35" s="39">
        <v>73.099999999999994</v>
      </c>
      <c r="J35" s="40">
        <f t="shared" si="0"/>
        <v>0</v>
      </c>
      <c r="K35" s="41" t="str">
        <f t="shared" si="1"/>
        <v>OK</v>
      </c>
      <c r="L35" s="42" t="str">
        <f t="shared" si="2"/>
        <v>Nein</v>
      </c>
      <c r="M35" s="43"/>
      <c r="N35" s="44"/>
      <c r="O35" s="44" t="s">
        <v>50</v>
      </c>
      <c r="P35" s="45"/>
    </row>
    <row r="36" spans="2:16" ht="15" customHeight="1" x14ac:dyDescent="0.25">
      <c r="B36" s="33">
        <f>IF($C36="","",COUNTA($C$18:$C36))</f>
        <v>19</v>
      </c>
      <c r="C36" s="34">
        <v>46177</v>
      </c>
      <c r="D36" s="35">
        <v>0.33333333333333298</v>
      </c>
      <c r="E36" s="36" t="s">
        <v>49</v>
      </c>
      <c r="F36" s="37" t="str">
        <f>IF($E36="","",IFERROR(INDEX(Stammdaten!$D$22:$D$31,MATCH($E36,Stammdaten!$C$22:$C$31,0)),"?"))</f>
        <v>Kühlung</v>
      </c>
      <c r="G36" s="38">
        <f>IF($E36="","",IFERROR(INDEX(Stammdaten!$F$22:$F$31,MATCH($E36,Stammdaten!$C$22:$C$31,0)),""))</f>
        <v>2</v>
      </c>
      <c r="H36" s="38">
        <f>IF($E36="","",IFERROR(INDEX(Stammdaten!$G$22:$G$31,MATCH($E36,Stammdaten!$C$22:$C$31,0)),""))</f>
        <v>7</v>
      </c>
      <c r="I36" s="39">
        <v>5.8</v>
      </c>
      <c r="J36" s="40">
        <f t="shared" si="0"/>
        <v>0</v>
      </c>
      <c r="K36" s="41" t="str">
        <f t="shared" si="1"/>
        <v>OK</v>
      </c>
      <c r="L36" s="42" t="str">
        <f t="shared" si="2"/>
        <v>Nein</v>
      </c>
      <c r="M36" s="43"/>
      <c r="N36" s="44"/>
      <c r="O36" s="44" t="s">
        <v>59</v>
      </c>
      <c r="P36" s="45"/>
    </row>
    <row r="37" spans="2:16" ht="15" customHeight="1" x14ac:dyDescent="0.25">
      <c r="B37" s="33">
        <f>IF($C37="","",COUNTA($C$18:$C37))</f>
        <v>20</v>
      </c>
      <c r="C37" s="34">
        <v>46177</v>
      </c>
      <c r="D37" s="35">
        <v>0.34375</v>
      </c>
      <c r="E37" s="36" t="s">
        <v>51</v>
      </c>
      <c r="F37" s="37" t="str">
        <f>IF($E37="","",IFERROR(INDEX(Stammdaten!$D$22:$D$31,MATCH($E37,Stammdaten!$C$22:$C$31,0)),"?"))</f>
        <v>Kühlung</v>
      </c>
      <c r="G37" s="38">
        <f>IF($E37="","",IFERROR(INDEX(Stammdaten!$F$22:$F$31,MATCH($E37,Stammdaten!$C$22:$C$31,0)),""))</f>
        <v>0</v>
      </c>
      <c r="H37" s="38">
        <f>IF($E37="","",IFERROR(INDEX(Stammdaten!$G$22:$G$31,MATCH($E37,Stammdaten!$C$22:$C$31,0)),""))</f>
        <v>6</v>
      </c>
      <c r="I37" s="39">
        <v>1.8</v>
      </c>
      <c r="J37" s="40">
        <f t="shared" si="0"/>
        <v>0</v>
      </c>
      <c r="K37" s="41" t="str">
        <f t="shared" si="1"/>
        <v>OK</v>
      </c>
      <c r="L37" s="42" t="str">
        <f t="shared" si="2"/>
        <v>Nein</v>
      </c>
      <c r="M37" s="43"/>
      <c r="N37" s="44"/>
      <c r="O37" s="44" t="s">
        <v>57</v>
      </c>
      <c r="P37" s="45"/>
    </row>
    <row r="38" spans="2:16" ht="15" customHeight="1" x14ac:dyDescent="0.25">
      <c r="B38" s="33">
        <f>IF($C38="","",COUNTA($C$18:$C38))</f>
        <v>21</v>
      </c>
      <c r="C38" s="34">
        <v>46177</v>
      </c>
      <c r="D38" s="35">
        <v>0.35416666666666702</v>
      </c>
      <c r="E38" s="36" t="s">
        <v>53</v>
      </c>
      <c r="F38" s="37" t="str">
        <f>IF($E38="","",IFERROR(INDEX(Stammdaten!$D$22:$D$31,MATCH($E38,Stammdaten!$C$22:$C$31,0)),"?"))</f>
        <v>Tiefkühlung</v>
      </c>
      <c r="G38" s="38">
        <f>IF($E38="","",IFERROR(INDEX(Stammdaten!$F$22:$F$31,MATCH($E38,Stammdaten!$C$22:$C$31,0)),""))</f>
        <v>-24</v>
      </c>
      <c r="H38" s="38">
        <f>IF($E38="","",IFERROR(INDEX(Stammdaten!$G$22:$G$31,MATCH($E38,Stammdaten!$C$22:$C$31,0)),""))</f>
        <v>-18</v>
      </c>
      <c r="I38" s="39">
        <v>-20.3</v>
      </c>
      <c r="J38" s="40">
        <f t="shared" si="0"/>
        <v>0</v>
      </c>
      <c r="K38" s="41" t="str">
        <f t="shared" si="1"/>
        <v>OK</v>
      </c>
      <c r="L38" s="42" t="str">
        <f t="shared" si="2"/>
        <v>Nein</v>
      </c>
      <c r="M38" s="43"/>
      <c r="N38" s="44"/>
      <c r="O38" s="44" t="s">
        <v>50</v>
      </c>
      <c r="P38" s="45"/>
    </row>
    <row r="39" spans="2:16" ht="15" customHeight="1" x14ac:dyDescent="0.25">
      <c r="B39" s="33">
        <f>IF($C39="","",COUNTA($C$18:$C39))</f>
        <v>22</v>
      </c>
      <c r="C39" s="34">
        <v>46177</v>
      </c>
      <c r="D39" s="35">
        <v>0.375</v>
      </c>
      <c r="E39" s="36" t="s">
        <v>55</v>
      </c>
      <c r="F39" s="37" t="str">
        <f>IF($E39="","",IFERROR(INDEX(Stammdaten!$D$22:$D$31,MATCH($E39,Stammdaten!$C$22:$C$31,0)),"?"))</f>
        <v>Lagerung</v>
      </c>
      <c r="G39" s="38">
        <f>IF($E39="","",IFERROR(INDEX(Stammdaten!$F$22:$F$31,MATCH($E39,Stammdaten!$C$22:$C$31,0)),""))</f>
        <v>10</v>
      </c>
      <c r="H39" s="38">
        <f>IF($E39="","",IFERROR(INDEX(Stammdaten!$G$22:$G$31,MATCH($E39,Stammdaten!$C$22:$C$31,0)),""))</f>
        <v>20</v>
      </c>
      <c r="I39" s="39">
        <v>16.399999999999999</v>
      </c>
      <c r="J39" s="40">
        <f t="shared" si="0"/>
        <v>0</v>
      </c>
      <c r="K39" s="41" t="str">
        <f t="shared" si="1"/>
        <v>OK</v>
      </c>
      <c r="L39" s="42" t="str">
        <f t="shared" si="2"/>
        <v>Nein</v>
      </c>
      <c r="M39" s="43"/>
      <c r="N39" s="44"/>
      <c r="O39" s="44" t="s">
        <v>59</v>
      </c>
      <c r="P39" s="45"/>
    </row>
    <row r="40" spans="2:16" ht="15" customHeight="1" x14ac:dyDescent="0.25">
      <c r="B40" s="33">
        <f>IF($C40="","",COUNTA($C$18:$C40))</f>
        <v>23</v>
      </c>
      <c r="C40" s="34">
        <v>46177</v>
      </c>
      <c r="D40" s="35">
        <v>0.44791666666666702</v>
      </c>
      <c r="E40" s="36" t="s">
        <v>56</v>
      </c>
      <c r="F40" s="37" t="str">
        <f>IF($E40="","",IFERROR(INDEX(Stammdaten!$D$22:$D$31,MATCH($E40,Stammdaten!$C$22:$C$31,0)),"?"))</f>
        <v>Wareneingang</v>
      </c>
      <c r="G40" s="38">
        <f>IF($E40="","",IFERROR(INDEX(Stammdaten!$F$22:$F$31,MATCH($E40,Stammdaten!$C$22:$C$31,0)),""))</f>
        <v>0</v>
      </c>
      <c r="H40" s="38">
        <f>IF($E40="","",IFERROR(INDEX(Stammdaten!$G$22:$G$31,MATCH($E40,Stammdaten!$C$22:$C$31,0)),""))</f>
        <v>7</v>
      </c>
      <c r="I40" s="39">
        <v>3.4</v>
      </c>
      <c r="J40" s="40">
        <f t="shared" si="0"/>
        <v>0</v>
      </c>
      <c r="K40" s="41" t="str">
        <f t="shared" si="1"/>
        <v>OK</v>
      </c>
      <c r="L40" s="42" t="str">
        <f t="shared" si="2"/>
        <v>Nein</v>
      </c>
      <c r="M40" s="43"/>
      <c r="N40" s="44"/>
      <c r="O40" s="44" t="s">
        <v>54</v>
      </c>
      <c r="P40" s="45"/>
    </row>
    <row r="41" spans="2:16" ht="15" customHeight="1" x14ac:dyDescent="0.25">
      <c r="B41" s="33">
        <f>IF($C41="","",COUNTA($C$18:$C41))</f>
        <v>24</v>
      </c>
      <c r="C41" s="34">
        <v>46177</v>
      </c>
      <c r="D41" s="35">
        <v>0.51041666666666696</v>
      </c>
      <c r="E41" s="36" t="s">
        <v>58</v>
      </c>
      <c r="F41" s="37" t="str">
        <f>IF($E41="","",IFERROR(INDEX(Stammdaten!$D$22:$D$31,MATCH($E41,Stammdaten!$C$22:$C$31,0)),"?"))</f>
        <v>Warmhaltung</v>
      </c>
      <c r="G41" s="38">
        <f>IF($E41="","",IFERROR(INDEX(Stammdaten!$F$22:$F$31,MATCH($E41,Stammdaten!$C$22:$C$31,0)),""))</f>
        <v>65</v>
      </c>
      <c r="H41" s="38">
        <f>IF($E41="","",IFERROR(INDEX(Stammdaten!$G$22:$G$31,MATCH($E41,Stammdaten!$C$22:$C$31,0)),""))</f>
        <v>85</v>
      </c>
      <c r="I41" s="39">
        <v>71.3</v>
      </c>
      <c r="J41" s="40">
        <f t="shared" si="0"/>
        <v>0</v>
      </c>
      <c r="K41" s="41" t="str">
        <f t="shared" si="1"/>
        <v>OK</v>
      </c>
      <c r="L41" s="42" t="str">
        <f t="shared" si="2"/>
        <v>Nein</v>
      </c>
      <c r="M41" s="43"/>
      <c r="N41" s="44"/>
      <c r="O41" s="44" t="s">
        <v>52</v>
      </c>
      <c r="P41" s="45"/>
    </row>
    <row r="42" spans="2:16" ht="15" customHeight="1" x14ac:dyDescent="0.25">
      <c r="B42" s="33">
        <f>IF($C42="","",COUNTA($C$18:$C42))</f>
        <v>25</v>
      </c>
      <c r="C42" s="34">
        <v>46178</v>
      </c>
      <c r="D42" s="35">
        <v>0.33333333333333298</v>
      </c>
      <c r="E42" s="36" t="s">
        <v>49</v>
      </c>
      <c r="F42" s="37" t="str">
        <f>IF($E42="","",IFERROR(INDEX(Stammdaten!$D$22:$D$31,MATCH($E42,Stammdaten!$C$22:$C$31,0)),"?"))</f>
        <v>Kühlung</v>
      </c>
      <c r="G42" s="38">
        <f>IF($E42="","",IFERROR(INDEX(Stammdaten!$F$22:$F$31,MATCH($E42,Stammdaten!$C$22:$C$31,0)),""))</f>
        <v>2</v>
      </c>
      <c r="H42" s="38">
        <f>IF($E42="","",IFERROR(INDEX(Stammdaten!$G$22:$G$31,MATCH($E42,Stammdaten!$C$22:$C$31,0)),""))</f>
        <v>7</v>
      </c>
      <c r="I42" s="39">
        <v>3.1</v>
      </c>
      <c r="J42" s="40">
        <f t="shared" si="0"/>
        <v>0</v>
      </c>
      <c r="K42" s="41" t="str">
        <f t="shared" si="1"/>
        <v>OK</v>
      </c>
      <c r="L42" s="42" t="str">
        <f t="shared" si="2"/>
        <v>Nein</v>
      </c>
      <c r="M42" s="43"/>
      <c r="N42" s="44"/>
      <c r="O42" s="44" t="s">
        <v>57</v>
      </c>
      <c r="P42" s="45"/>
    </row>
    <row r="43" spans="2:16" ht="15" customHeight="1" x14ac:dyDescent="0.25">
      <c r="B43" s="33">
        <f>IF($C43="","",COUNTA($C$18:$C43))</f>
        <v>26</v>
      </c>
      <c r="C43" s="34">
        <v>46178</v>
      </c>
      <c r="D43" s="35">
        <v>0.34375</v>
      </c>
      <c r="E43" s="36" t="s">
        <v>51</v>
      </c>
      <c r="F43" s="37" t="str">
        <f>IF($E43="","",IFERROR(INDEX(Stammdaten!$D$22:$D$31,MATCH($E43,Stammdaten!$C$22:$C$31,0)),"?"))</f>
        <v>Kühlung</v>
      </c>
      <c r="G43" s="38">
        <f>IF($E43="","",IFERROR(INDEX(Stammdaten!$F$22:$F$31,MATCH($E43,Stammdaten!$C$22:$C$31,0)),""))</f>
        <v>0</v>
      </c>
      <c r="H43" s="38">
        <f>IF($E43="","",IFERROR(INDEX(Stammdaten!$G$22:$G$31,MATCH($E43,Stammdaten!$C$22:$C$31,0)),""))</f>
        <v>6</v>
      </c>
      <c r="I43" s="39">
        <v>2.9</v>
      </c>
      <c r="J43" s="40">
        <f t="shared" si="0"/>
        <v>0</v>
      </c>
      <c r="K43" s="41" t="str">
        <f t="shared" si="1"/>
        <v>OK</v>
      </c>
      <c r="L43" s="42" t="str">
        <f t="shared" si="2"/>
        <v>Nein</v>
      </c>
      <c r="M43" s="43"/>
      <c r="N43" s="44"/>
      <c r="O43" s="44" t="s">
        <v>50</v>
      </c>
      <c r="P43" s="45"/>
    </row>
    <row r="44" spans="2:16" ht="15" customHeight="1" x14ac:dyDescent="0.25">
      <c r="B44" s="33">
        <f>IF($C44="","",COUNTA($C$18:$C44))</f>
        <v>27</v>
      </c>
      <c r="C44" s="34">
        <v>46178</v>
      </c>
      <c r="D44" s="35">
        <v>0.35416666666666702</v>
      </c>
      <c r="E44" s="36" t="s">
        <v>53</v>
      </c>
      <c r="F44" s="37" t="str">
        <f>IF($E44="","",IFERROR(INDEX(Stammdaten!$D$22:$D$31,MATCH($E44,Stammdaten!$C$22:$C$31,0)),"?"))</f>
        <v>Tiefkühlung</v>
      </c>
      <c r="G44" s="38">
        <f>IF($E44="","",IFERROR(INDEX(Stammdaten!$F$22:$F$31,MATCH($E44,Stammdaten!$C$22:$C$31,0)),""))</f>
        <v>-24</v>
      </c>
      <c r="H44" s="38">
        <f>IF($E44="","",IFERROR(INDEX(Stammdaten!$G$22:$G$31,MATCH($E44,Stammdaten!$C$22:$C$31,0)),""))</f>
        <v>-18</v>
      </c>
      <c r="I44" s="39">
        <v>-19.5</v>
      </c>
      <c r="J44" s="40">
        <f t="shared" si="0"/>
        <v>0</v>
      </c>
      <c r="K44" s="41" t="str">
        <f t="shared" si="1"/>
        <v>OK</v>
      </c>
      <c r="L44" s="42" t="str">
        <f t="shared" si="2"/>
        <v>Nein</v>
      </c>
      <c r="M44" s="43"/>
      <c r="N44" s="44"/>
      <c r="O44" s="44" t="s">
        <v>52</v>
      </c>
      <c r="P44" s="45"/>
    </row>
    <row r="45" spans="2:16" ht="15" customHeight="1" x14ac:dyDescent="0.25">
      <c r="B45" s="33">
        <f>IF($C45="","",COUNTA($C$18:$C45))</f>
        <v>28</v>
      </c>
      <c r="C45" s="34">
        <v>46178</v>
      </c>
      <c r="D45" s="35">
        <v>0.375</v>
      </c>
      <c r="E45" s="36" t="s">
        <v>55</v>
      </c>
      <c r="F45" s="37" t="str">
        <f>IF($E45="","",IFERROR(INDEX(Stammdaten!$D$22:$D$31,MATCH($E45,Stammdaten!$C$22:$C$31,0)),"?"))</f>
        <v>Lagerung</v>
      </c>
      <c r="G45" s="38">
        <f>IF($E45="","",IFERROR(INDEX(Stammdaten!$F$22:$F$31,MATCH($E45,Stammdaten!$C$22:$C$31,0)),""))</f>
        <v>10</v>
      </c>
      <c r="H45" s="38">
        <f>IF($E45="","",IFERROR(INDEX(Stammdaten!$G$22:$G$31,MATCH($E45,Stammdaten!$C$22:$C$31,0)),""))</f>
        <v>20</v>
      </c>
      <c r="I45" s="39">
        <v>16.899999999999999</v>
      </c>
      <c r="J45" s="40">
        <f t="shared" si="0"/>
        <v>0</v>
      </c>
      <c r="K45" s="41" t="str">
        <f t="shared" si="1"/>
        <v>OK</v>
      </c>
      <c r="L45" s="42" t="str">
        <f t="shared" si="2"/>
        <v>Nein</v>
      </c>
      <c r="M45" s="43"/>
      <c r="N45" s="44"/>
      <c r="O45" s="44" t="s">
        <v>57</v>
      </c>
      <c r="P45" s="45"/>
    </row>
    <row r="46" spans="2:16" ht="15" customHeight="1" x14ac:dyDescent="0.25">
      <c r="B46" s="33">
        <f>IF($C46="","",COUNTA($C$18:$C46))</f>
        <v>29</v>
      </c>
      <c r="C46" s="34">
        <v>46178</v>
      </c>
      <c r="D46" s="35">
        <v>0.44791666666666702</v>
      </c>
      <c r="E46" s="36" t="s">
        <v>56</v>
      </c>
      <c r="F46" s="37" t="str">
        <f>IF($E46="","",IFERROR(INDEX(Stammdaten!$D$22:$D$31,MATCH($E46,Stammdaten!$C$22:$C$31,0)),"?"))</f>
        <v>Wareneingang</v>
      </c>
      <c r="G46" s="38">
        <f>IF($E46="","",IFERROR(INDEX(Stammdaten!$F$22:$F$31,MATCH($E46,Stammdaten!$C$22:$C$31,0)),""))</f>
        <v>0</v>
      </c>
      <c r="H46" s="38">
        <f>IF($E46="","",IFERROR(INDEX(Stammdaten!$G$22:$G$31,MATCH($E46,Stammdaten!$C$22:$C$31,0)),""))</f>
        <v>7</v>
      </c>
      <c r="I46" s="39">
        <v>2.9</v>
      </c>
      <c r="J46" s="40">
        <f t="shared" si="0"/>
        <v>0</v>
      </c>
      <c r="K46" s="41" t="str">
        <f t="shared" si="1"/>
        <v>OK</v>
      </c>
      <c r="L46" s="42" t="str">
        <f t="shared" si="2"/>
        <v>Nein</v>
      </c>
      <c r="M46" s="43"/>
      <c r="N46" s="44"/>
      <c r="O46" s="44" t="s">
        <v>59</v>
      </c>
      <c r="P46" s="45"/>
    </row>
    <row r="47" spans="2:16" ht="15" customHeight="1" x14ac:dyDescent="0.25">
      <c r="B47" s="33">
        <f>IF($C47="","",COUNTA($C$18:$C47))</f>
        <v>30</v>
      </c>
      <c r="C47" s="34">
        <v>46178</v>
      </c>
      <c r="D47" s="35">
        <v>0.51041666666666696</v>
      </c>
      <c r="E47" s="36" t="s">
        <v>58</v>
      </c>
      <c r="F47" s="37" t="str">
        <f>IF($E47="","",IFERROR(INDEX(Stammdaten!$D$22:$D$31,MATCH($E47,Stammdaten!$C$22:$C$31,0)),"?"))</f>
        <v>Warmhaltung</v>
      </c>
      <c r="G47" s="38">
        <f>IF($E47="","",IFERROR(INDEX(Stammdaten!$F$22:$F$31,MATCH($E47,Stammdaten!$C$22:$C$31,0)),""))</f>
        <v>65</v>
      </c>
      <c r="H47" s="38">
        <f>IF($E47="","",IFERROR(INDEX(Stammdaten!$G$22:$G$31,MATCH($E47,Stammdaten!$C$22:$C$31,0)),""))</f>
        <v>85</v>
      </c>
      <c r="I47" s="39">
        <v>63.5</v>
      </c>
      <c r="J47" s="40">
        <f t="shared" si="0"/>
        <v>-1.5</v>
      </c>
      <c r="K47" s="41" t="str">
        <f t="shared" si="1"/>
        <v>Zu niedrig</v>
      </c>
      <c r="L47" s="42" t="str">
        <f t="shared" si="2"/>
        <v>Ja</v>
      </c>
      <c r="M47" s="43" t="s">
        <v>60</v>
      </c>
      <c r="N47" s="44" t="s">
        <v>61</v>
      </c>
      <c r="O47" s="44" t="s">
        <v>54</v>
      </c>
      <c r="P47" s="45" t="s">
        <v>62</v>
      </c>
    </row>
    <row r="48" spans="2:16" ht="15" customHeight="1" x14ac:dyDescent="0.25">
      <c r="B48" s="33">
        <f>IF($C48="","",COUNTA($C$18:$C48))</f>
        <v>31</v>
      </c>
      <c r="C48" s="34">
        <v>46179</v>
      </c>
      <c r="D48" s="35">
        <v>0.33333333333333298</v>
      </c>
      <c r="E48" s="36" t="s">
        <v>49</v>
      </c>
      <c r="F48" s="37" t="str">
        <f>IF($E48="","",IFERROR(INDEX(Stammdaten!$D$22:$D$31,MATCH($E48,Stammdaten!$C$22:$C$31,0)),"?"))</f>
        <v>Kühlung</v>
      </c>
      <c r="G48" s="38">
        <f>IF($E48="","",IFERROR(INDEX(Stammdaten!$F$22:$F$31,MATCH($E48,Stammdaten!$C$22:$C$31,0)),""))</f>
        <v>2</v>
      </c>
      <c r="H48" s="38">
        <f>IF($E48="","",IFERROR(INDEX(Stammdaten!$G$22:$G$31,MATCH($E48,Stammdaten!$C$22:$C$31,0)),""))</f>
        <v>7</v>
      </c>
      <c r="I48" s="39">
        <v>4.9000000000000004</v>
      </c>
      <c r="J48" s="40">
        <f t="shared" si="0"/>
        <v>0</v>
      </c>
      <c r="K48" s="41" t="str">
        <f t="shared" si="1"/>
        <v>OK</v>
      </c>
      <c r="L48" s="42" t="str">
        <f t="shared" si="2"/>
        <v>Nein</v>
      </c>
      <c r="M48" s="43"/>
      <c r="N48" s="44"/>
      <c r="O48" s="44" t="s">
        <v>50</v>
      </c>
      <c r="P48" s="45"/>
    </row>
    <row r="49" spans="2:16" ht="15" customHeight="1" x14ac:dyDescent="0.25">
      <c r="B49" s="33">
        <f>IF($C49="","",COUNTA($C$18:$C49))</f>
        <v>32</v>
      </c>
      <c r="C49" s="34">
        <v>46179</v>
      </c>
      <c r="D49" s="35">
        <v>0.34375</v>
      </c>
      <c r="E49" s="36" t="s">
        <v>51</v>
      </c>
      <c r="F49" s="37" t="str">
        <f>IF($E49="","",IFERROR(INDEX(Stammdaten!$D$22:$D$31,MATCH($E49,Stammdaten!$C$22:$C$31,0)),"?"))</f>
        <v>Kühlung</v>
      </c>
      <c r="G49" s="38">
        <f>IF($E49="","",IFERROR(INDEX(Stammdaten!$F$22:$F$31,MATCH($E49,Stammdaten!$C$22:$C$31,0)),""))</f>
        <v>0</v>
      </c>
      <c r="H49" s="38">
        <f>IF($E49="","",IFERROR(INDEX(Stammdaten!$G$22:$G$31,MATCH($E49,Stammdaten!$C$22:$C$31,0)),""))</f>
        <v>6</v>
      </c>
      <c r="I49" s="39">
        <v>3.4</v>
      </c>
      <c r="J49" s="40">
        <f t="shared" si="0"/>
        <v>0</v>
      </c>
      <c r="K49" s="41" t="str">
        <f t="shared" si="1"/>
        <v>OK</v>
      </c>
      <c r="L49" s="42" t="str">
        <f t="shared" si="2"/>
        <v>Nein</v>
      </c>
      <c r="M49" s="43"/>
      <c r="N49" s="44"/>
      <c r="O49" s="44" t="s">
        <v>52</v>
      </c>
      <c r="P49" s="45"/>
    </row>
    <row r="50" spans="2:16" ht="15" customHeight="1" x14ac:dyDescent="0.25">
      <c r="B50" s="33">
        <f>IF($C50="","",COUNTA($C$18:$C50))</f>
        <v>33</v>
      </c>
      <c r="C50" s="34">
        <v>46179</v>
      </c>
      <c r="D50" s="35">
        <v>0.35416666666666702</v>
      </c>
      <c r="E50" s="36" t="s">
        <v>53</v>
      </c>
      <c r="F50" s="37" t="str">
        <f>IF($E50="","",IFERROR(INDEX(Stammdaten!$D$22:$D$31,MATCH($E50,Stammdaten!$C$22:$C$31,0)),"?"))</f>
        <v>Tiefkühlung</v>
      </c>
      <c r="G50" s="38">
        <f>IF($E50="","",IFERROR(INDEX(Stammdaten!$F$22:$F$31,MATCH($E50,Stammdaten!$C$22:$C$31,0)),""))</f>
        <v>-24</v>
      </c>
      <c r="H50" s="38">
        <f>IF($E50="","",IFERROR(INDEX(Stammdaten!$G$22:$G$31,MATCH($E50,Stammdaten!$C$22:$C$31,0)),""))</f>
        <v>-18</v>
      </c>
      <c r="I50" s="39">
        <v>-19.5</v>
      </c>
      <c r="J50" s="40">
        <f t="shared" ref="J50:J81" si="3">IF($I50="","",IF($G50="","",IF($I50&lt;$G50,ROUND($I50-$G50,1),IF($I50&gt;$H50,ROUND($I50-$H50,1),0))))</f>
        <v>0</v>
      </c>
      <c r="K50" s="41" t="str">
        <f t="shared" ref="K50:K81" si="4">IF($I50="","",IF($J50="","",IF(ABS($J50)&gt;Toleranz_kritisch,"Kritisch",IF($J50&lt;0,"Zu niedrig",IF($J50&gt;0,"Zu hoch","OK")))))</f>
        <v>OK</v>
      </c>
      <c r="L50" s="42" t="str">
        <f t="shared" ref="L50:L81" si="5">IF($K50="","",IF($K50="OK","Nein","Ja"))</f>
        <v>Nein</v>
      </c>
      <c r="M50" s="43"/>
      <c r="N50" s="44"/>
      <c r="O50" s="44" t="s">
        <v>54</v>
      </c>
      <c r="P50" s="45"/>
    </row>
    <row r="51" spans="2:16" ht="15" customHeight="1" x14ac:dyDescent="0.25">
      <c r="B51" s="33">
        <f>IF($C51="","",COUNTA($C$18:$C51))</f>
        <v>34</v>
      </c>
      <c r="C51" s="34">
        <v>46179</v>
      </c>
      <c r="D51" s="35">
        <v>0.375</v>
      </c>
      <c r="E51" s="36" t="s">
        <v>55</v>
      </c>
      <c r="F51" s="37" t="str">
        <f>IF($E51="","",IFERROR(INDEX(Stammdaten!$D$22:$D$31,MATCH($E51,Stammdaten!$C$22:$C$31,0)),"?"))</f>
        <v>Lagerung</v>
      </c>
      <c r="G51" s="38">
        <f>IF($E51="","",IFERROR(INDEX(Stammdaten!$F$22:$F$31,MATCH($E51,Stammdaten!$C$22:$C$31,0)),""))</f>
        <v>10</v>
      </c>
      <c r="H51" s="38">
        <f>IF($E51="","",IFERROR(INDEX(Stammdaten!$G$22:$G$31,MATCH($E51,Stammdaten!$C$22:$C$31,0)),""))</f>
        <v>20</v>
      </c>
      <c r="I51" s="39">
        <v>16.600000000000001</v>
      </c>
      <c r="J51" s="40">
        <f t="shared" si="3"/>
        <v>0</v>
      </c>
      <c r="K51" s="41" t="str">
        <f t="shared" si="4"/>
        <v>OK</v>
      </c>
      <c r="L51" s="42" t="str">
        <f t="shared" si="5"/>
        <v>Nein</v>
      </c>
      <c r="M51" s="43"/>
      <c r="N51" s="44"/>
      <c r="O51" s="44" t="s">
        <v>50</v>
      </c>
      <c r="P51" s="45"/>
    </row>
    <row r="52" spans="2:16" ht="15" customHeight="1" x14ac:dyDescent="0.25">
      <c r="B52" s="33">
        <f>IF($C52="","",COUNTA($C$18:$C52))</f>
        <v>35</v>
      </c>
      <c r="C52" s="34">
        <v>46179</v>
      </c>
      <c r="D52" s="35">
        <v>0.51041666666666696</v>
      </c>
      <c r="E52" s="36" t="s">
        <v>58</v>
      </c>
      <c r="F52" s="37" t="str">
        <f>IF($E52="","",IFERROR(INDEX(Stammdaten!$D$22:$D$31,MATCH($E52,Stammdaten!$C$22:$C$31,0)),"?"))</f>
        <v>Warmhaltung</v>
      </c>
      <c r="G52" s="38">
        <f>IF($E52="","",IFERROR(INDEX(Stammdaten!$F$22:$F$31,MATCH($E52,Stammdaten!$C$22:$C$31,0)),""))</f>
        <v>65</v>
      </c>
      <c r="H52" s="38">
        <f>IF($E52="","",IFERROR(INDEX(Stammdaten!$G$22:$G$31,MATCH($E52,Stammdaten!$C$22:$C$31,0)),""))</f>
        <v>85</v>
      </c>
      <c r="I52" s="39">
        <v>72.3</v>
      </c>
      <c r="J52" s="40">
        <f t="shared" si="3"/>
        <v>0</v>
      </c>
      <c r="K52" s="41" t="str">
        <f t="shared" si="4"/>
        <v>OK</v>
      </c>
      <c r="L52" s="42" t="str">
        <f t="shared" si="5"/>
        <v>Nein</v>
      </c>
      <c r="M52" s="43"/>
      <c r="N52" s="44"/>
      <c r="O52" s="44" t="s">
        <v>59</v>
      </c>
      <c r="P52" s="45"/>
    </row>
    <row r="53" spans="2:16" ht="15" customHeight="1" x14ac:dyDescent="0.25">
      <c r="B53" s="33">
        <f>IF($C53="","",COUNTA($C$18:$C53))</f>
        <v>36</v>
      </c>
      <c r="C53" s="34">
        <v>46180</v>
      </c>
      <c r="D53" s="35">
        <v>0.33333333333333298</v>
      </c>
      <c r="E53" s="36" t="s">
        <v>49</v>
      </c>
      <c r="F53" s="37" t="str">
        <f>IF($E53="","",IFERROR(INDEX(Stammdaten!$D$22:$D$31,MATCH($E53,Stammdaten!$C$22:$C$31,0)),"?"))</f>
        <v>Kühlung</v>
      </c>
      <c r="G53" s="38">
        <f>IF($E53="","",IFERROR(INDEX(Stammdaten!$F$22:$F$31,MATCH($E53,Stammdaten!$C$22:$C$31,0)),""))</f>
        <v>2</v>
      </c>
      <c r="H53" s="38">
        <f>IF($E53="","",IFERROR(INDEX(Stammdaten!$G$22:$G$31,MATCH($E53,Stammdaten!$C$22:$C$31,0)),""))</f>
        <v>7</v>
      </c>
      <c r="I53" s="39">
        <v>5.8</v>
      </c>
      <c r="J53" s="40">
        <f t="shared" si="3"/>
        <v>0</v>
      </c>
      <c r="K53" s="41" t="str">
        <f t="shared" si="4"/>
        <v>OK</v>
      </c>
      <c r="L53" s="42" t="str">
        <f t="shared" si="5"/>
        <v>Nein</v>
      </c>
      <c r="M53" s="43"/>
      <c r="N53" s="44"/>
      <c r="O53" s="44" t="s">
        <v>52</v>
      </c>
      <c r="P53" s="45"/>
    </row>
    <row r="54" spans="2:16" ht="15" customHeight="1" x14ac:dyDescent="0.25">
      <c r="B54" s="33">
        <f>IF($C54="","",COUNTA($C$18:$C54))</f>
        <v>37</v>
      </c>
      <c r="C54" s="34">
        <v>46180</v>
      </c>
      <c r="D54" s="35">
        <v>0.34375</v>
      </c>
      <c r="E54" s="36" t="s">
        <v>51</v>
      </c>
      <c r="F54" s="37" t="str">
        <f>IF($E54="","",IFERROR(INDEX(Stammdaten!$D$22:$D$31,MATCH($E54,Stammdaten!$C$22:$C$31,0)),"?"))</f>
        <v>Kühlung</v>
      </c>
      <c r="G54" s="38">
        <f>IF($E54="","",IFERROR(INDEX(Stammdaten!$F$22:$F$31,MATCH($E54,Stammdaten!$C$22:$C$31,0)),""))</f>
        <v>0</v>
      </c>
      <c r="H54" s="38">
        <f>IF($E54="","",IFERROR(INDEX(Stammdaten!$G$22:$G$31,MATCH($E54,Stammdaten!$C$22:$C$31,0)),""))</f>
        <v>6</v>
      </c>
      <c r="I54" s="39">
        <v>3.1</v>
      </c>
      <c r="J54" s="40">
        <f t="shared" si="3"/>
        <v>0</v>
      </c>
      <c r="K54" s="41" t="str">
        <f t="shared" si="4"/>
        <v>OK</v>
      </c>
      <c r="L54" s="42" t="str">
        <f t="shared" si="5"/>
        <v>Nein</v>
      </c>
      <c r="M54" s="43"/>
      <c r="N54" s="44"/>
      <c r="O54" s="44" t="s">
        <v>54</v>
      </c>
      <c r="P54" s="45"/>
    </row>
    <row r="55" spans="2:16" ht="15" customHeight="1" x14ac:dyDescent="0.25">
      <c r="B55" s="33">
        <f>IF($C55="","",COUNTA($C$18:$C55))</f>
        <v>38</v>
      </c>
      <c r="C55" s="34">
        <v>46180</v>
      </c>
      <c r="D55" s="35">
        <v>0.35416666666666702</v>
      </c>
      <c r="E55" s="36" t="s">
        <v>53</v>
      </c>
      <c r="F55" s="37" t="str">
        <f>IF($E55="","",IFERROR(INDEX(Stammdaten!$D$22:$D$31,MATCH($E55,Stammdaten!$C$22:$C$31,0)),"?"))</f>
        <v>Tiefkühlung</v>
      </c>
      <c r="G55" s="38">
        <f>IF($E55="","",IFERROR(INDEX(Stammdaten!$F$22:$F$31,MATCH($E55,Stammdaten!$C$22:$C$31,0)),""))</f>
        <v>-24</v>
      </c>
      <c r="H55" s="38">
        <f>IF($E55="","",IFERROR(INDEX(Stammdaten!$G$22:$G$31,MATCH($E55,Stammdaten!$C$22:$C$31,0)),""))</f>
        <v>-18</v>
      </c>
      <c r="I55" s="39">
        <v>-21.4</v>
      </c>
      <c r="J55" s="40">
        <f t="shared" si="3"/>
        <v>0</v>
      </c>
      <c r="K55" s="41" t="str">
        <f t="shared" si="4"/>
        <v>OK</v>
      </c>
      <c r="L55" s="42" t="str">
        <f t="shared" si="5"/>
        <v>Nein</v>
      </c>
      <c r="M55" s="43"/>
      <c r="N55" s="44"/>
      <c r="O55" s="44" t="s">
        <v>59</v>
      </c>
      <c r="P55" s="45"/>
    </row>
    <row r="56" spans="2:16" ht="15" customHeight="1" x14ac:dyDescent="0.25">
      <c r="B56" s="33">
        <f>IF($C56="","",COUNTA($C$18:$C56))</f>
        <v>39</v>
      </c>
      <c r="C56" s="34">
        <v>46180</v>
      </c>
      <c r="D56" s="35">
        <v>0.375</v>
      </c>
      <c r="E56" s="36" t="s">
        <v>55</v>
      </c>
      <c r="F56" s="37" t="str">
        <f>IF($E56="","",IFERROR(INDEX(Stammdaten!$D$22:$D$31,MATCH($E56,Stammdaten!$C$22:$C$31,0)),"?"))</f>
        <v>Lagerung</v>
      </c>
      <c r="G56" s="38">
        <f>IF($E56="","",IFERROR(INDEX(Stammdaten!$F$22:$F$31,MATCH($E56,Stammdaten!$C$22:$C$31,0)),""))</f>
        <v>10</v>
      </c>
      <c r="H56" s="38">
        <f>IF($E56="","",IFERROR(INDEX(Stammdaten!$G$22:$G$31,MATCH($E56,Stammdaten!$C$22:$C$31,0)),""))</f>
        <v>20</v>
      </c>
      <c r="I56" s="39">
        <v>16.600000000000001</v>
      </c>
      <c r="J56" s="40">
        <f t="shared" si="3"/>
        <v>0</v>
      </c>
      <c r="K56" s="41" t="str">
        <f t="shared" si="4"/>
        <v>OK</v>
      </c>
      <c r="L56" s="42" t="str">
        <f t="shared" si="5"/>
        <v>Nein</v>
      </c>
      <c r="M56" s="43"/>
      <c r="N56" s="44"/>
      <c r="O56" s="44" t="s">
        <v>52</v>
      </c>
      <c r="P56" s="45"/>
    </row>
    <row r="57" spans="2:16" ht="15" customHeight="1" x14ac:dyDescent="0.25">
      <c r="B57" s="33">
        <f>IF($C57="","",COUNTA($C$18:$C57))</f>
        <v>40</v>
      </c>
      <c r="C57" s="34">
        <v>46180</v>
      </c>
      <c r="D57" s="35">
        <v>0.51041666666666696</v>
      </c>
      <c r="E57" s="36" t="s">
        <v>58</v>
      </c>
      <c r="F57" s="37" t="str">
        <f>IF($E57="","",IFERROR(INDEX(Stammdaten!$D$22:$D$31,MATCH($E57,Stammdaten!$C$22:$C$31,0)),"?"))</f>
        <v>Warmhaltung</v>
      </c>
      <c r="G57" s="38">
        <f>IF($E57="","",IFERROR(INDEX(Stammdaten!$F$22:$F$31,MATCH($E57,Stammdaten!$C$22:$C$31,0)),""))</f>
        <v>65</v>
      </c>
      <c r="H57" s="38">
        <f>IF($E57="","",IFERROR(INDEX(Stammdaten!$G$22:$G$31,MATCH($E57,Stammdaten!$C$22:$C$31,0)),""))</f>
        <v>85</v>
      </c>
      <c r="I57" s="39">
        <v>69.599999999999994</v>
      </c>
      <c r="J57" s="40">
        <f t="shared" si="3"/>
        <v>0</v>
      </c>
      <c r="K57" s="41" t="str">
        <f t="shared" si="4"/>
        <v>OK</v>
      </c>
      <c r="L57" s="42" t="str">
        <f t="shared" si="5"/>
        <v>Nein</v>
      </c>
      <c r="M57" s="43"/>
      <c r="N57" s="44"/>
      <c r="O57" s="44" t="s">
        <v>57</v>
      </c>
      <c r="P57" s="45"/>
    </row>
    <row r="58" spans="2:16" ht="15" customHeight="1" x14ac:dyDescent="0.25">
      <c r="B58" s="33">
        <f>IF($C58="","",COUNTA($C$18:$C58))</f>
        <v>41</v>
      </c>
      <c r="C58" s="34">
        <v>46181</v>
      </c>
      <c r="D58" s="35">
        <v>0.33333333333333298</v>
      </c>
      <c r="E58" s="36" t="s">
        <v>49</v>
      </c>
      <c r="F58" s="37" t="str">
        <f>IF($E58="","",IFERROR(INDEX(Stammdaten!$D$22:$D$31,MATCH($E58,Stammdaten!$C$22:$C$31,0)),"?"))</f>
        <v>Kühlung</v>
      </c>
      <c r="G58" s="38">
        <f>IF($E58="","",IFERROR(INDEX(Stammdaten!$F$22:$F$31,MATCH($E58,Stammdaten!$C$22:$C$31,0)),""))</f>
        <v>2</v>
      </c>
      <c r="H58" s="38">
        <f>IF($E58="","",IFERROR(INDEX(Stammdaten!$G$22:$G$31,MATCH($E58,Stammdaten!$C$22:$C$31,0)),""))</f>
        <v>7</v>
      </c>
      <c r="I58" s="39">
        <v>3.1</v>
      </c>
      <c r="J58" s="40">
        <f t="shared" si="3"/>
        <v>0</v>
      </c>
      <c r="K58" s="41" t="str">
        <f t="shared" si="4"/>
        <v>OK</v>
      </c>
      <c r="L58" s="42" t="str">
        <f t="shared" si="5"/>
        <v>Nein</v>
      </c>
      <c r="M58" s="43"/>
      <c r="N58" s="44"/>
      <c r="O58" s="44" t="s">
        <v>54</v>
      </c>
      <c r="P58" s="45"/>
    </row>
    <row r="59" spans="2:16" ht="15" customHeight="1" x14ac:dyDescent="0.25">
      <c r="B59" s="33">
        <f>IF($C59="","",COUNTA($C$18:$C59))</f>
        <v>42</v>
      </c>
      <c r="C59" s="34">
        <v>46181</v>
      </c>
      <c r="D59" s="35">
        <v>0.34375</v>
      </c>
      <c r="E59" s="36" t="s">
        <v>51</v>
      </c>
      <c r="F59" s="37" t="str">
        <f>IF($E59="","",IFERROR(INDEX(Stammdaten!$D$22:$D$31,MATCH($E59,Stammdaten!$C$22:$C$31,0)),"?"))</f>
        <v>Kühlung</v>
      </c>
      <c r="G59" s="38">
        <f>IF($E59="","",IFERROR(INDEX(Stammdaten!$F$22:$F$31,MATCH($E59,Stammdaten!$C$22:$C$31,0)),""))</f>
        <v>0</v>
      </c>
      <c r="H59" s="38">
        <f>IF($E59="","",IFERROR(INDEX(Stammdaten!$G$22:$G$31,MATCH($E59,Stammdaten!$C$22:$C$31,0)),""))</f>
        <v>6</v>
      </c>
      <c r="I59" s="39">
        <v>2.7</v>
      </c>
      <c r="J59" s="40">
        <f t="shared" si="3"/>
        <v>0</v>
      </c>
      <c r="K59" s="41" t="str">
        <f t="shared" si="4"/>
        <v>OK</v>
      </c>
      <c r="L59" s="42" t="str">
        <f t="shared" si="5"/>
        <v>Nein</v>
      </c>
      <c r="M59" s="43"/>
      <c r="N59" s="44"/>
      <c r="O59" s="44" t="s">
        <v>59</v>
      </c>
      <c r="P59" s="45"/>
    </row>
    <row r="60" spans="2:16" ht="15" customHeight="1" x14ac:dyDescent="0.25">
      <c r="B60" s="33">
        <f>IF($C60="","",COUNTA($C$18:$C60))</f>
        <v>43</v>
      </c>
      <c r="C60" s="34">
        <v>46181</v>
      </c>
      <c r="D60" s="35">
        <v>0.35416666666666702</v>
      </c>
      <c r="E60" s="36" t="s">
        <v>53</v>
      </c>
      <c r="F60" s="37" t="str">
        <f>IF($E60="","",IFERROR(INDEX(Stammdaten!$D$22:$D$31,MATCH($E60,Stammdaten!$C$22:$C$31,0)),"?"))</f>
        <v>Tiefkühlung</v>
      </c>
      <c r="G60" s="38">
        <f>IF($E60="","",IFERROR(INDEX(Stammdaten!$F$22:$F$31,MATCH($E60,Stammdaten!$C$22:$C$31,0)),""))</f>
        <v>-24</v>
      </c>
      <c r="H60" s="38">
        <f>IF($E60="","",IFERROR(INDEX(Stammdaten!$G$22:$G$31,MATCH($E60,Stammdaten!$C$22:$C$31,0)),""))</f>
        <v>-18</v>
      </c>
      <c r="I60" s="39">
        <v>-20.399999999999999</v>
      </c>
      <c r="J60" s="40">
        <f t="shared" si="3"/>
        <v>0</v>
      </c>
      <c r="K60" s="41" t="str">
        <f t="shared" si="4"/>
        <v>OK</v>
      </c>
      <c r="L60" s="42" t="str">
        <f t="shared" si="5"/>
        <v>Nein</v>
      </c>
      <c r="M60" s="43"/>
      <c r="N60" s="44"/>
      <c r="O60" s="44" t="s">
        <v>57</v>
      </c>
      <c r="P60" s="45"/>
    </row>
    <row r="61" spans="2:16" ht="15" customHeight="1" x14ac:dyDescent="0.25">
      <c r="B61" s="33">
        <f>IF($C61="","",COUNTA($C$18:$C61))</f>
        <v>44</v>
      </c>
      <c r="C61" s="34">
        <v>46181</v>
      </c>
      <c r="D61" s="35">
        <v>0.375</v>
      </c>
      <c r="E61" s="36" t="s">
        <v>55</v>
      </c>
      <c r="F61" s="37" t="str">
        <f>IF($E61="","",IFERROR(INDEX(Stammdaten!$D$22:$D$31,MATCH($E61,Stammdaten!$C$22:$C$31,0)),"?"))</f>
        <v>Lagerung</v>
      </c>
      <c r="G61" s="38">
        <f>IF($E61="","",IFERROR(INDEX(Stammdaten!$F$22:$F$31,MATCH($E61,Stammdaten!$C$22:$C$31,0)),""))</f>
        <v>10</v>
      </c>
      <c r="H61" s="38">
        <f>IF($E61="","",IFERROR(INDEX(Stammdaten!$G$22:$G$31,MATCH($E61,Stammdaten!$C$22:$C$31,0)),""))</f>
        <v>20</v>
      </c>
      <c r="I61" s="39">
        <v>18.600000000000001</v>
      </c>
      <c r="J61" s="40">
        <f t="shared" si="3"/>
        <v>0</v>
      </c>
      <c r="K61" s="41" t="str">
        <f t="shared" si="4"/>
        <v>OK</v>
      </c>
      <c r="L61" s="42" t="str">
        <f t="shared" si="5"/>
        <v>Nein</v>
      </c>
      <c r="M61" s="43"/>
      <c r="N61" s="44"/>
      <c r="O61" s="44" t="s">
        <v>54</v>
      </c>
      <c r="P61" s="45"/>
    </row>
    <row r="62" spans="2:16" ht="15" customHeight="1" x14ac:dyDescent="0.25">
      <c r="B62" s="33">
        <f>IF($C62="","",COUNTA($C$18:$C62))</f>
        <v>45</v>
      </c>
      <c r="C62" s="34">
        <v>46181</v>
      </c>
      <c r="D62" s="35">
        <v>0.44791666666666702</v>
      </c>
      <c r="E62" s="36" t="s">
        <v>56</v>
      </c>
      <c r="F62" s="37" t="str">
        <f>IF($E62="","",IFERROR(INDEX(Stammdaten!$D$22:$D$31,MATCH($E62,Stammdaten!$C$22:$C$31,0)),"?"))</f>
        <v>Wareneingang</v>
      </c>
      <c r="G62" s="38">
        <f>IF($E62="","",IFERROR(INDEX(Stammdaten!$F$22:$F$31,MATCH($E62,Stammdaten!$C$22:$C$31,0)),""))</f>
        <v>0</v>
      </c>
      <c r="H62" s="38">
        <f>IF($E62="","",IFERROR(INDEX(Stammdaten!$G$22:$G$31,MATCH($E62,Stammdaten!$C$22:$C$31,0)),""))</f>
        <v>7</v>
      </c>
      <c r="I62" s="39">
        <v>4.5999999999999996</v>
      </c>
      <c r="J62" s="40">
        <f t="shared" si="3"/>
        <v>0</v>
      </c>
      <c r="K62" s="41" t="str">
        <f t="shared" si="4"/>
        <v>OK</v>
      </c>
      <c r="L62" s="42" t="str">
        <f t="shared" si="5"/>
        <v>Nein</v>
      </c>
      <c r="M62" s="43"/>
      <c r="N62" s="44"/>
      <c r="O62" s="44" t="s">
        <v>52</v>
      </c>
      <c r="P62" s="45"/>
    </row>
    <row r="63" spans="2:16" ht="15" customHeight="1" x14ac:dyDescent="0.25">
      <c r="B63" s="33">
        <f>IF($C63="","",COUNTA($C$18:$C63))</f>
        <v>46</v>
      </c>
      <c r="C63" s="34">
        <v>46181</v>
      </c>
      <c r="D63" s="35">
        <v>0.51041666666666696</v>
      </c>
      <c r="E63" s="36" t="s">
        <v>58</v>
      </c>
      <c r="F63" s="37" t="str">
        <f>IF($E63="","",IFERROR(INDEX(Stammdaten!$D$22:$D$31,MATCH($E63,Stammdaten!$C$22:$C$31,0)),"?"))</f>
        <v>Warmhaltung</v>
      </c>
      <c r="G63" s="38">
        <f>IF($E63="","",IFERROR(INDEX(Stammdaten!$F$22:$F$31,MATCH($E63,Stammdaten!$C$22:$C$31,0)),""))</f>
        <v>65</v>
      </c>
      <c r="H63" s="38">
        <f>IF($E63="","",IFERROR(INDEX(Stammdaten!$G$22:$G$31,MATCH($E63,Stammdaten!$C$22:$C$31,0)),""))</f>
        <v>85</v>
      </c>
      <c r="I63" s="39">
        <v>68.900000000000006</v>
      </c>
      <c r="J63" s="40">
        <f t="shared" si="3"/>
        <v>0</v>
      </c>
      <c r="K63" s="41" t="str">
        <f t="shared" si="4"/>
        <v>OK</v>
      </c>
      <c r="L63" s="42" t="str">
        <f t="shared" si="5"/>
        <v>Nein</v>
      </c>
      <c r="M63" s="43"/>
      <c r="N63" s="44"/>
      <c r="O63" s="44" t="s">
        <v>50</v>
      </c>
      <c r="P63" s="45"/>
    </row>
    <row r="64" spans="2:16" ht="15" customHeight="1" x14ac:dyDescent="0.25">
      <c r="B64" s="33">
        <f>IF($C64="","",COUNTA($C$18:$C64))</f>
        <v>47</v>
      </c>
      <c r="C64" s="34">
        <v>46182</v>
      </c>
      <c r="D64" s="35">
        <v>0.33333333333333298</v>
      </c>
      <c r="E64" s="36" t="s">
        <v>49</v>
      </c>
      <c r="F64" s="37" t="str">
        <f>IF($E64="","",IFERROR(INDEX(Stammdaten!$D$22:$D$31,MATCH($E64,Stammdaten!$C$22:$C$31,0)),"?"))</f>
        <v>Kühlung</v>
      </c>
      <c r="G64" s="38">
        <f>IF($E64="","",IFERROR(INDEX(Stammdaten!$F$22:$F$31,MATCH($E64,Stammdaten!$C$22:$C$31,0)),""))</f>
        <v>2</v>
      </c>
      <c r="H64" s="38">
        <f>IF($E64="","",IFERROR(INDEX(Stammdaten!$G$22:$G$31,MATCH($E64,Stammdaten!$C$22:$C$31,0)),""))</f>
        <v>7</v>
      </c>
      <c r="I64" s="39">
        <v>8.4</v>
      </c>
      <c r="J64" s="40">
        <f t="shared" si="3"/>
        <v>1.4</v>
      </c>
      <c r="K64" s="41" t="str">
        <f t="shared" si="4"/>
        <v>Zu hoch</v>
      </c>
      <c r="L64" s="42" t="str">
        <f t="shared" si="5"/>
        <v>Ja</v>
      </c>
      <c r="M64" s="43" t="s">
        <v>63</v>
      </c>
      <c r="N64" s="44" t="s">
        <v>61</v>
      </c>
      <c r="O64" s="44" t="s">
        <v>59</v>
      </c>
      <c r="P64" s="45" t="s">
        <v>64</v>
      </c>
    </row>
    <row r="65" spans="2:16" ht="15" customHeight="1" x14ac:dyDescent="0.25">
      <c r="B65" s="33">
        <f>IF($C65="","",COUNTA($C$18:$C65))</f>
        <v>48</v>
      </c>
      <c r="C65" s="34">
        <v>46182</v>
      </c>
      <c r="D65" s="35">
        <v>0.34375</v>
      </c>
      <c r="E65" s="36" t="s">
        <v>51</v>
      </c>
      <c r="F65" s="37" t="str">
        <f>IF($E65="","",IFERROR(INDEX(Stammdaten!$D$22:$D$31,MATCH($E65,Stammdaten!$C$22:$C$31,0)),"?"))</f>
        <v>Kühlung</v>
      </c>
      <c r="G65" s="38">
        <f>IF($E65="","",IFERROR(INDEX(Stammdaten!$F$22:$F$31,MATCH($E65,Stammdaten!$C$22:$C$31,0)),""))</f>
        <v>0</v>
      </c>
      <c r="H65" s="38">
        <f>IF($E65="","",IFERROR(INDEX(Stammdaten!$G$22:$G$31,MATCH($E65,Stammdaten!$C$22:$C$31,0)),""))</f>
        <v>6</v>
      </c>
      <c r="I65" s="39">
        <v>1.7</v>
      </c>
      <c r="J65" s="40">
        <f t="shared" si="3"/>
        <v>0</v>
      </c>
      <c r="K65" s="41" t="str">
        <f t="shared" si="4"/>
        <v>OK</v>
      </c>
      <c r="L65" s="42" t="str">
        <f t="shared" si="5"/>
        <v>Nein</v>
      </c>
      <c r="M65" s="43"/>
      <c r="N65" s="44"/>
      <c r="O65" s="44" t="s">
        <v>57</v>
      </c>
      <c r="P65" s="45"/>
    </row>
    <row r="66" spans="2:16" ht="15" customHeight="1" x14ac:dyDescent="0.25">
      <c r="B66" s="33">
        <f>IF($C66="","",COUNTA($C$18:$C66))</f>
        <v>49</v>
      </c>
      <c r="C66" s="34">
        <v>46182</v>
      </c>
      <c r="D66" s="35">
        <v>0.35416666666666702</v>
      </c>
      <c r="E66" s="36" t="s">
        <v>53</v>
      </c>
      <c r="F66" s="37" t="str">
        <f>IF($E66="","",IFERROR(INDEX(Stammdaten!$D$22:$D$31,MATCH($E66,Stammdaten!$C$22:$C$31,0)),"?"))</f>
        <v>Tiefkühlung</v>
      </c>
      <c r="G66" s="38">
        <f>IF($E66="","",IFERROR(INDEX(Stammdaten!$F$22:$F$31,MATCH($E66,Stammdaten!$C$22:$C$31,0)),""))</f>
        <v>-24</v>
      </c>
      <c r="H66" s="38">
        <f>IF($E66="","",IFERROR(INDEX(Stammdaten!$G$22:$G$31,MATCH($E66,Stammdaten!$C$22:$C$31,0)),""))</f>
        <v>-18</v>
      </c>
      <c r="I66" s="39">
        <v>-19.8</v>
      </c>
      <c r="J66" s="40">
        <f t="shared" si="3"/>
        <v>0</v>
      </c>
      <c r="K66" s="41" t="str">
        <f t="shared" si="4"/>
        <v>OK</v>
      </c>
      <c r="L66" s="42" t="str">
        <f t="shared" si="5"/>
        <v>Nein</v>
      </c>
      <c r="M66" s="43"/>
      <c r="N66" s="44"/>
      <c r="O66" s="44" t="s">
        <v>50</v>
      </c>
      <c r="P66" s="45"/>
    </row>
    <row r="67" spans="2:16" ht="15" customHeight="1" x14ac:dyDescent="0.25">
      <c r="B67" s="33">
        <f>IF($C67="","",COUNTA($C$18:$C67))</f>
        <v>50</v>
      </c>
      <c r="C67" s="34">
        <v>46182</v>
      </c>
      <c r="D67" s="35">
        <v>0.375</v>
      </c>
      <c r="E67" s="36" t="s">
        <v>55</v>
      </c>
      <c r="F67" s="37" t="str">
        <f>IF($E67="","",IFERROR(INDEX(Stammdaten!$D$22:$D$31,MATCH($E67,Stammdaten!$C$22:$C$31,0)),"?"))</f>
        <v>Lagerung</v>
      </c>
      <c r="G67" s="38">
        <f>IF($E67="","",IFERROR(INDEX(Stammdaten!$F$22:$F$31,MATCH($E67,Stammdaten!$C$22:$C$31,0)),""))</f>
        <v>10</v>
      </c>
      <c r="H67" s="38">
        <f>IF($E67="","",IFERROR(INDEX(Stammdaten!$G$22:$G$31,MATCH($E67,Stammdaten!$C$22:$C$31,0)),""))</f>
        <v>20</v>
      </c>
      <c r="I67" s="39">
        <v>16.8</v>
      </c>
      <c r="J67" s="40">
        <f t="shared" si="3"/>
        <v>0</v>
      </c>
      <c r="K67" s="41" t="str">
        <f t="shared" si="4"/>
        <v>OK</v>
      </c>
      <c r="L67" s="42" t="str">
        <f t="shared" si="5"/>
        <v>Nein</v>
      </c>
      <c r="M67" s="43"/>
      <c r="N67" s="44"/>
      <c r="O67" s="44" t="s">
        <v>59</v>
      </c>
      <c r="P67" s="45"/>
    </row>
    <row r="68" spans="2:16" ht="15" customHeight="1" x14ac:dyDescent="0.25">
      <c r="B68" s="33">
        <f>IF($C68="","",COUNTA($C$18:$C68))</f>
        <v>51</v>
      </c>
      <c r="C68" s="34">
        <v>46182</v>
      </c>
      <c r="D68" s="35">
        <v>0.44791666666666702</v>
      </c>
      <c r="E68" s="36" t="s">
        <v>56</v>
      </c>
      <c r="F68" s="37" t="str">
        <f>IF($E68="","",IFERROR(INDEX(Stammdaten!$D$22:$D$31,MATCH($E68,Stammdaten!$C$22:$C$31,0)),"?"))</f>
        <v>Wareneingang</v>
      </c>
      <c r="G68" s="38">
        <f>IF($E68="","",IFERROR(INDEX(Stammdaten!$F$22:$F$31,MATCH($E68,Stammdaten!$C$22:$C$31,0)),""))</f>
        <v>0</v>
      </c>
      <c r="H68" s="38">
        <f>IF($E68="","",IFERROR(INDEX(Stammdaten!$G$22:$G$31,MATCH($E68,Stammdaten!$C$22:$C$31,0)),""))</f>
        <v>7</v>
      </c>
      <c r="I68" s="39">
        <v>5.4</v>
      </c>
      <c r="J68" s="40">
        <f t="shared" si="3"/>
        <v>0</v>
      </c>
      <c r="K68" s="41" t="str">
        <f t="shared" si="4"/>
        <v>OK</v>
      </c>
      <c r="L68" s="42" t="str">
        <f t="shared" si="5"/>
        <v>Nein</v>
      </c>
      <c r="M68" s="43"/>
      <c r="N68" s="44"/>
      <c r="O68" s="44" t="s">
        <v>54</v>
      </c>
      <c r="P68" s="45"/>
    </row>
    <row r="69" spans="2:16" ht="15" customHeight="1" x14ac:dyDescent="0.25">
      <c r="B69" s="33">
        <f>IF($C69="","",COUNTA($C$18:$C69))</f>
        <v>52</v>
      </c>
      <c r="C69" s="34">
        <v>46182</v>
      </c>
      <c r="D69" s="35">
        <v>0.51041666666666696</v>
      </c>
      <c r="E69" s="36" t="s">
        <v>58</v>
      </c>
      <c r="F69" s="37" t="str">
        <f>IF($E69="","",IFERROR(INDEX(Stammdaten!$D$22:$D$31,MATCH($E69,Stammdaten!$C$22:$C$31,0)),"?"))</f>
        <v>Warmhaltung</v>
      </c>
      <c r="G69" s="38">
        <f>IF($E69="","",IFERROR(INDEX(Stammdaten!$F$22:$F$31,MATCH($E69,Stammdaten!$C$22:$C$31,0)),""))</f>
        <v>65</v>
      </c>
      <c r="H69" s="38">
        <f>IF($E69="","",IFERROR(INDEX(Stammdaten!$G$22:$G$31,MATCH($E69,Stammdaten!$C$22:$C$31,0)),""))</f>
        <v>85</v>
      </c>
      <c r="I69" s="39">
        <v>70.5</v>
      </c>
      <c r="J69" s="40">
        <f t="shared" si="3"/>
        <v>0</v>
      </c>
      <c r="K69" s="41" t="str">
        <f t="shared" si="4"/>
        <v>OK</v>
      </c>
      <c r="L69" s="42" t="str">
        <f t="shared" si="5"/>
        <v>Nein</v>
      </c>
      <c r="M69" s="43"/>
      <c r="N69" s="44"/>
      <c r="O69" s="44" t="s">
        <v>52</v>
      </c>
      <c r="P69" s="45"/>
    </row>
    <row r="70" spans="2:16" ht="15" customHeight="1" x14ac:dyDescent="0.25">
      <c r="B70" s="33">
        <f>IF($C70="","",COUNTA($C$18:$C70))</f>
        <v>53</v>
      </c>
      <c r="C70" s="34">
        <v>46183</v>
      </c>
      <c r="D70" s="35">
        <v>0.33333333333333298</v>
      </c>
      <c r="E70" s="36" t="s">
        <v>49</v>
      </c>
      <c r="F70" s="37" t="str">
        <f>IF($E70="","",IFERROR(INDEX(Stammdaten!$D$22:$D$31,MATCH($E70,Stammdaten!$C$22:$C$31,0)),"?"))</f>
        <v>Kühlung</v>
      </c>
      <c r="G70" s="38">
        <f>IF($E70="","",IFERROR(INDEX(Stammdaten!$F$22:$F$31,MATCH($E70,Stammdaten!$C$22:$C$31,0)),""))</f>
        <v>2</v>
      </c>
      <c r="H70" s="38">
        <f>IF($E70="","",IFERROR(INDEX(Stammdaten!$G$22:$G$31,MATCH($E70,Stammdaten!$C$22:$C$31,0)),""))</f>
        <v>7</v>
      </c>
      <c r="I70" s="39">
        <v>3.6</v>
      </c>
      <c r="J70" s="40">
        <f t="shared" si="3"/>
        <v>0</v>
      </c>
      <c r="K70" s="41" t="str">
        <f t="shared" si="4"/>
        <v>OK</v>
      </c>
      <c r="L70" s="42" t="str">
        <f t="shared" si="5"/>
        <v>Nein</v>
      </c>
      <c r="M70" s="43"/>
      <c r="N70" s="44"/>
      <c r="O70" s="44" t="s">
        <v>57</v>
      </c>
      <c r="P70" s="45"/>
    </row>
    <row r="71" spans="2:16" ht="15" customHeight="1" x14ac:dyDescent="0.25">
      <c r="B71" s="33">
        <f>IF($C71="","",COUNTA($C$18:$C71))</f>
        <v>54</v>
      </c>
      <c r="C71" s="34">
        <v>46183</v>
      </c>
      <c r="D71" s="35">
        <v>0.34375</v>
      </c>
      <c r="E71" s="36" t="s">
        <v>51</v>
      </c>
      <c r="F71" s="37" t="str">
        <f>IF($E71="","",IFERROR(INDEX(Stammdaten!$D$22:$D$31,MATCH($E71,Stammdaten!$C$22:$C$31,0)),"?"))</f>
        <v>Kühlung</v>
      </c>
      <c r="G71" s="38">
        <f>IF($E71="","",IFERROR(INDEX(Stammdaten!$F$22:$F$31,MATCH($E71,Stammdaten!$C$22:$C$31,0)),""))</f>
        <v>0</v>
      </c>
      <c r="H71" s="38">
        <f>IF($E71="","",IFERROR(INDEX(Stammdaten!$G$22:$G$31,MATCH($E71,Stammdaten!$C$22:$C$31,0)),""))</f>
        <v>6</v>
      </c>
      <c r="I71" s="39">
        <v>3.6</v>
      </c>
      <c r="J71" s="40">
        <f t="shared" si="3"/>
        <v>0</v>
      </c>
      <c r="K71" s="41" t="str">
        <f t="shared" si="4"/>
        <v>OK</v>
      </c>
      <c r="L71" s="42" t="str">
        <f t="shared" si="5"/>
        <v>Nein</v>
      </c>
      <c r="M71" s="43"/>
      <c r="N71" s="44"/>
      <c r="O71" s="44" t="s">
        <v>50</v>
      </c>
      <c r="P71" s="45"/>
    </row>
    <row r="72" spans="2:16" ht="15" customHeight="1" x14ac:dyDescent="0.25">
      <c r="B72" s="33">
        <f>IF($C72="","",COUNTA($C$18:$C72))</f>
        <v>55</v>
      </c>
      <c r="C72" s="34">
        <v>46183</v>
      </c>
      <c r="D72" s="35">
        <v>0.35416666666666702</v>
      </c>
      <c r="E72" s="36" t="s">
        <v>53</v>
      </c>
      <c r="F72" s="37" t="str">
        <f>IF($E72="","",IFERROR(INDEX(Stammdaten!$D$22:$D$31,MATCH($E72,Stammdaten!$C$22:$C$31,0)),"?"))</f>
        <v>Tiefkühlung</v>
      </c>
      <c r="G72" s="38">
        <f>IF($E72="","",IFERROR(INDEX(Stammdaten!$F$22:$F$31,MATCH($E72,Stammdaten!$C$22:$C$31,0)),""))</f>
        <v>-24</v>
      </c>
      <c r="H72" s="38">
        <f>IF($E72="","",IFERROR(INDEX(Stammdaten!$G$22:$G$31,MATCH($E72,Stammdaten!$C$22:$C$31,0)),""))</f>
        <v>-18</v>
      </c>
      <c r="I72" s="39">
        <v>-20.7</v>
      </c>
      <c r="J72" s="40">
        <f t="shared" si="3"/>
        <v>0</v>
      </c>
      <c r="K72" s="41" t="str">
        <f t="shared" si="4"/>
        <v>OK</v>
      </c>
      <c r="L72" s="42" t="str">
        <f t="shared" si="5"/>
        <v>Nein</v>
      </c>
      <c r="M72" s="43"/>
      <c r="N72" s="44"/>
      <c r="O72" s="44" t="s">
        <v>52</v>
      </c>
      <c r="P72" s="45"/>
    </row>
    <row r="73" spans="2:16" ht="15" customHeight="1" x14ac:dyDescent="0.25">
      <c r="B73" s="33">
        <f>IF($C73="","",COUNTA($C$18:$C73))</f>
        <v>56</v>
      </c>
      <c r="C73" s="34">
        <v>46183</v>
      </c>
      <c r="D73" s="35">
        <v>0.375</v>
      </c>
      <c r="E73" s="36" t="s">
        <v>55</v>
      </c>
      <c r="F73" s="37" t="str">
        <f>IF($E73="","",IFERROR(INDEX(Stammdaten!$D$22:$D$31,MATCH($E73,Stammdaten!$C$22:$C$31,0)),"?"))</f>
        <v>Lagerung</v>
      </c>
      <c r="G73" s="38">
        <f>IF($E73="","",IFERROR(INDEX(Stammdaten!$F$22:$F$31,MATCH($E73,Stammdaten!$C$22:$C$31,0)),""))</f>
        <v>10</v>
      </c>
      <c r="H73" s="38">
        <f>IF($E73="","",IFERROR(INDEX(Stammdaten!$G$22:$G$31,MATCH($E73,Stammdaten!$C$22:$C$31,0)),""))</f>
        <v>20</v>
      </c>
      <c r="I73" s="39">
        <v>17.399999999999999</v>
      </c>
      <c r="J73" s="40">
        <f t="shared" si="3"/>
        <v>0</v>
      </c>
      <c r="K73" s="41" t="str">
        <f t="shared" si="4"/>
        <v>OK</v>
      </c>
      <c r="L73" s="42" t="str">
        <f t="shared" si="5"/>
        <v>Nein</v>
      </c>
      <c r="M73" s="43"/>
      <c r="N73" s="44"/>
      <c r="O73" s="44" t="s">
        <v>57</v>
      </c>
      <c r="P73" s="45"/>
    </row>
    <row r="74" spans="2:16" ht="15" customHeight="1" x14ac:dyDescent="0.25">
      <c r="B74" s="33">
        <f>IF($C74="","",COUNTA($C$18:$C74))</f>
        <v>57</v>
      </c>
      <c r="C74" s="34">
        <v>46183</v>
      </c>
      <c r="D74" s="35">
        <v>0.44791666666666702</v>
      </c>
      <c r="E74" s="36" t="s">
        <v>56</v>
      </c>
      <c r="F74" s="37" t="str">
        <f>IF($E74="","",IFERROR(INDEX(Stammdaten!$D$22:$D$31,MATCH($E74,Stammdaten!$C$22:$C$31,0)),"?"))</f>
        <v>Wareneingang</v>
      </c>
      <c r="G74" s="38">
        <f>IF($E74="","",IFERROR(INDEX(Stammdaten!$F$22:$F$31,MATCH($E74,Stammdaten!$C$22:$C$31,0)),""))</f>
        <v>0</v>
      </c>
      <c r="H74" s="38">
        <f>IF($E74="","",IFERROR(INDEX(Stammdaten!$G$22:$G$31,MATCH($E74,Stammdaten!$C$22:$C$31,0)),""))</f>
        <v>7</v>
      </c>
      <c r="I74" s="39">
        <v>2.7</v>
      </c>
      <c r="J74" s="40">
        <f t="shared" si="3"/>
        <v>0</v>
      </c>
      <c r="K74" s="41" t="str">
        <f t="shared" si="4"/>
        <v>OK</v>
      </c>
      <c r="L74" s="42" t="str">
        <f t="shared" si="5"/>
        <v>Nein</v>
      </c>
      <c r="M74" s="43"/>
      <c r="N74" s="44"/>
      <c r="O74" s="44" t="s">
        <v>59</v>
      </c>
      <c r="P74" s="45"/>
    </row>
    <row r="75" spans="2:16" ht="15" customHeight="1" x14ac:dyDescent="0.25">
      <c r="B75" s="33">
        <f>IF($C75="","",COUNTA($C$18:$C75))</f>
        <v>58</v>
      </c>
      <c r="C75" s="34">
        <v>46183</v>
      </c>
      <c r="D75" s="35">
        <v>0.51041666666666696</v>
      </c>
      <c r="E75" s="36" t="s">
        <v>58</v>
      </c>
      <c r="F75" s="37" t="str">
        <f>IF($E75="","",IFERROR(INDEX(Stammdaten!$D$22:$D$31,MATCH($E75,Stammdaten!$C$22:$C$31,0)),"?"))</f>
        <v>Warmhaltung</v>
      </c>
      <c r="G75" s="38">
        <f>IF($E75="","",IFERROR(INDEX(Stammdaten!$F$22:$F$31,MATCH($E75,Stammdaten!$C$22:$C$31,0)),""))</f>
        <v>65</v>
      </c>
      <c r="H75" s="38">
        <f>IF($E75="","",IFERROR(INDEX(Stammdaten!$G$22:$G$31,MATCH($E75,Stammdaten!$C$22:$C$31,0)),""))</f>
        <v>85</v>
      </c>
      <c r="I75" s="39">
        <v>70.8</v>
      </c>
      <c r="J75" s="40">
        <f t="shared" si="3"/>
        <v>0</v>
      </c>
      <c r="K75" s="41" t="str">
        <f t="shared" si="4"/>
        <v>OK</v>
      </c>
      <c r="L75" s="42" t="str">
        <f t="shared" si="5"/>
        <v>Nein</v>
      </c>
      <c r="M75" s="43"/>
      <c r="N75" s="44"/>
      <c r="O75" s="44" t="s">
        <v>54</v>
      </c>
      <c r="P75" s="45"/>
    </row>
    <row r="76" spans="2:16" ht="15" customHeight="1" x14ac:dyDescent="0.25">
      <c r="B76" s="33">
        <f>IF($C76="","",COUNTA($C$18:$C76))</f>
        <v>59</v>
      </c>
      <c r="C76" s="34">
        <v>46184</v>
      </c>
      <c r="D76" s="35">
        <v>0.33333333333333298</v>
      </c>
      <c r="E76" s="36" t="s">
        <v>49</v>
      </c>
      <c r="F76" s="37" t="str">
        <f>IF($E76="","",IFERROR(INDEX(Stammdaten!$D$22:$D$31,MATCH($E76,Stammdaten!$C$22:$C$31,0)),"?"))</f>
        <v>Kühlung</v>
      </c>
      <c r="G76" s="38">
        <f>IF($E76="","",IFERROR(INDEX(Stammdaten!$F$22:$F$31,MATCH($E76,Stammdaten!$C$22:$C$31,0)),""))</f>
        <v>2</v>
      </c>
      <c r="H76" s="38">
        <f>IF($E76="","",IFERROR(INDEX(Stammdaten!$G$22:$G$31,MATCH($E76,Stammdaten!$C$22:$C$31,0)),""))</f>
        <v>7</v>
      </c>
      <c r="I76" s="39">
        <v>3.5</v>
      </c>
      <c r="J76" s="40">
        <f t="shared" si="3"/>
        <v>0</v>
      </c>
      <c r="K76" s="41" t="str">
        <f t="shared" si="4"/>
        <v>OK</v>
      </c>
      <c r="L76" s="42" t="str">
        <f t="shared" si="5"/>
        <v>Nein</v>
      </c>
      <c r="M76" s="43"/>
      <c r="N76" s="44"/>
      <c r="O76" s="44" t="s">
        <v>50</v>
      </c>
      <c r="P76" s="45"/>
    </row>
    <row r="77" spans="2:16" ht="15" customHeight="1" x14ac:dyDescent="0.25">
      <c r="B77" s="33">
        <f>IF($C77="","",COUNTA($C$18:$C77))</f>
        <v>60</v>
      </c>
      <c r="C77" s="34">
        <v>46184</v>
      </c>
      <c r="D77" s="35">
        <v>0.34375</v>
      </c>
      <c r="E77" s="36" t="s">
        <v>51</v>
      </c>
      <c r="F77" s="37" t="str">
        <f>IF($E77="","",IFERROR(INDEX(Stammdaten!$D$22:$D$31,MATCH($E77,Stammdaten!$C$22:$C$31,0)),"?"))</f>
        <v>Kühlung</v>
      </c>
      <c r="G77" s="38">
        <f>IF($E77="","",IFERROR(INDEX(Stammdaten!$F$22:$F$31,MATCH($E77,Stammdaten!$C$22:$C$31,0)),""))</f>
        <v>0</v>
      </c>
      <c r="H77" s="38">
        <f>IF($E77="","",IFERROR(INDEX(Stammdaten!$G$22:$G$31,MATCH($E77,Stammdaten!$C$22:$C$31,0)),""))</f>
        <v>6</v>
      </c>
      <c r="I77" s="39">
        <v>3.4</v>
      </c>
      <c r="J77" s="40">
        <f t="shared" si="3"/>
        <v>0</v>
      </c>
      <c r="K77" s="41" t="str">
        <f t="shared" si="4"/>
        <v>OK</v>
      </c>
      <c r="L77" s="42" t="str">
        <f t="shared" si="5"/>
        <v>Nein</v>
      </c>
      <c r="M77" s="43"/>
      <c r="N77" s="44"/>
      <c r="O77" s="44" t="s">
        <v>52</v>
      </c>
      <c r="P77" s="45"/>
    </row>
    <row r="78" spans="2:16" ht="15" customHeight="1" x14ac:dyDescent="0.25">
      <c r="B78" s="33">
        <f>IF($C78="","",COUNTA($C$18:$C78))</f>
        <v>61</v>
      </c>
      <c r="C78" s="34">
        <v>46184</v>
      </c>
      <c r="D78" s="35">
        <v>0.35416666666666702</v>
      </c>
      <c r="E78" s="36" t="s">
        <v>53</v>
      </c>
      <c r="F78" s="37" t="str">
        <f>IF($E78="","",IFERROR(INDEX(Stammdaten!$D$22:$D$31,MATCH($E78,Stammdaten!$C$22:$C$31,0)),"?"))</f>
        <v>Tiefkühlung</v>
      </c>
      <c r="G78" s="38">
        <f>IF($E78="","",IFERROR(INDEX(Stammdaten!$F$22:$F$31,MATCH($E78,Stammdaten!$C$22:$C$31,0)),""))</f>
        <v>-24</v>
      </c>
      <c r="H78" s="38">
        <f>IF($E78="","",IFERROR(INDEX(Stammdaten!$G$22:$G$31,MATCH($E78,Stammdaten!$C$22:$C$31,0)),""))</f>
        <v>-18</v>
      </c>
      <c r="I78" s="39">
        <v>-20.2</v>
      </c>
      <c r="J78" s="40">
        <f t="shared" si="3"/>
        <v>0</v>
      </c>
      <c r="K78" s="41" t="str">
        <f t="shared" si="4"/>
        <v>OK</v>
      </c>
      <c r="L78" s="42" t="str">
        <f t="shared" si="5"/>
        <v>Nein</v>
      </c>
      <c r="M78" s="43"/>
      <c r="N78" s="44"/>
      <c r="O78" s="44" t="s">
        <v>54</v>
      </c>
      <c r="P78" s="45"/>
    </row>
    <row r="79" spans="2:16" ht="15" customHeight="1" x14ac:dyDescent="0.25">
      <c r="B79" s="33">
        <f>IF($C79="","",COUNTA($C$18:$C79))</f>
        <v>62</v>
      </c>
      <c r="C79" s="34">
        <v>46184</v>
      </c>
      <c r="D79" s="35">
        <v>0.375</v>
      </c>
      <c r="E79" s="36" t="s">
        <v>55</v>
      </c>
      <c r="F79" s="37" t="str">
        <f>IF($E79="","",IFERROR(INDEX(Stammdaten!$D$22:$D$31,MATCH($E79,Stammdaten!$C$22:$C$31,0)),"?"))</f>
        <v>Lagerung</v>
      </c>
      <c r="G79" s="38">
        <f>IF($E79="","",IFERROR(INDEX(Stammdaten!$F$22:$F$31,MATCH($E79,Stammdaten!$C$22:$C$31,0)),""))</f>
        <v>10</v>
      </c>
      <c r="H79" s="38">
        <f>IF($E79="","",IFERROR(INDEX(Stammdaten!$G$22:$G$31,MATCH($E79,Stammdaten!$C$22:$C$31,0)),""))</f>
        <v>20</v>
      </c>
      <c r="I79" s="39">
        <v>15.3</v>
      </c>
      <c r="J79" s="40">
        <f t="shared" si="3"/>
        <v>0</v>
      </c>
      <c r="K79" s="41" t="str">
        <f t="shared" si="4"/>
        <v>OK</v>
      </c>
      <c r="L79" s="42" t="str">
        <f t="shared" si="5"/>
        <v>Nein</v>
      </c>
      <c r="M79" s="43"/>
      <c r="N79" s="44"/>
      <c r="O79" s="44" t="s">
        <v>50</v>
      </c>
      <c r="P79" s="45"/>
    </row>
    <row r="80" spans="2:16" ht="15" customHeight="1" x14ac:dyDescent="0.25">
      <c r="B80" s="33">
        <f>IF($C80="","",COUNTA($C$18:$C80))</f>
        <v>63</v>
      </c>
      <c r="C80" s="34">
        <v>46184</v>
      </c>
      <c r="D80" s="35">
        <v>0.44791666666666702</v>
      </c>
      <c r="E80" s="36" t="s">
        <v>56</v>
      </c>
      <c r="F80" s="37" t="str">
        <f>IF($E80="","",IFERROR(INDEX(Stammdaten!$D$22:$D$31,MATCH($E80,Stammdaten!$C$22:$C$31,0)),"?"))</f>
        <v>Wareneingang</v>
      </c>
      <c r="G80" s="38">
        <f>IF($E80="","",IFERROR(INDEX(Stammdaten!$F$22:$F$31,MATCH($E80,Stammdaten!$C$22:$C$31,0)),""))</f>
        <v>0</v>
      </c>
      <c r="H80" s="38">
        <f>IF($E80="","",IFERROR(INDEX(Stammdaten!$G$22:$G$31,MATCH($E80,Stammdaten!$C$22:$C$31,0)),""))</f>
        <v>7</v>
      </c>
      <c r="I80" s="39">
        <v>8.3000000000000007</v>
      </c>
      <c r="J80" s="40">
        <f t="shared" si="3"/>
        <v>1.3</v>
      </c>
      <c r="K80" s="41" t="str">
        <f t="shared" si="4"/>
        <v>Zu hoch</v>
      </c>
      <c r="L80" s="42" t="str">
        <f t="shared" si="5"/>
        <v>Ja</v>
      </c>
      <c r="M80" s="43" t="s">
        <v>65</v>
      </c>
      <c r="N80" s="44" t="s">
        <v>61</v>
      </c>
      <c r="O80" s="44" t="s">
        <v>57</v>
      </c>
      <c r="P80" s="45" t="s">
        <v>66</v>
      </c>
    </row>
    <row r="81" spans="2:16" ht="15" customHeight="1" x14ac:dyDescent="0.25">
      <c r="B81" s="33">
        <f>IF($C81="","",COUNTA($C$18:$C81))</f>
        <v>64</v>
      </c>
      <c r="C81" s="34">
        <v>46184</v>
      </c>
      <c r="D81" s="35">
        <v>0.51041666666666696</v>
      </c>
      <c r="E81" s="36" t="s">
        <v>58</v>
      </c>
      <c r="F81" s="37" t="str">
        <f>IF($E81="","",IFERROR(INDEX(Stammdaten!$D$22:$D$31,MATCH($E81,Stammdaten!$C$22:$C$31,0)),"?"))</f>
        <v>Warmhaltung</v>
      </c>
      <c r="G81" s="38">
        <f>IF($E81="","",IFERROR(INDEX(Stammdaten!$F$22:$F$31,MATCH($E81,Stammdaten!$C$22:$C$31,0)),""))</f>
        <v>65</v>
      </c>
      <c r="H81" s="38">
        <f>IF($E81="","",IFERROR(INDEX(Stammdaten!$G$22:$G$31,MATCH($E81,Stammdaten!$C$22:$C$31,0)),""))</f>
        <v>85</v>
      </c>
      <c r="I81" s="39">
        <v>67.3</v>
      </c>
      <c r="J81" s="40">
        <f t="shared" si="3"/>
        <v>0</v>
      </c>
      <c r="K81" s="41" t="str">
        <f t="shared" si="4"/>
        <v>OK</v>
      </c>
      <c r="L81" s="42" t="str">
        <f t="shared" si="5"/>
        <v>Nein</v>
      </c>
      <c r="M81" s="43"/>
      <c r="N81" s="44"/>
      <c r="O81" s="44" t="s">
        <v>59</v>
      </c>
      <c r="P81" s="45"/>
    </row>
    <row r="82" spans="2:16" ht="15" customHeight="1" x14ac:dyDescent="0.25">
      <c r="B82" s="33">
        <f>IF($C82="","",COUNTA($C$18:$C82))</f>
        <v>65</v>
      </c>
      <c r="C82" s="34">
        <v>46185</v>
      </c>
      <c r="D82" s="35">
        <v>0.33333333333333298</v>
      </c>
      <c r="E82" s="36" t="s">
        <v>49</v>
      </c>
      <c r="F82" s="37" t="str">
        <f>IF($E82="","",IFERROR(INDEX(Stammdaten!$D$22:$D$31,MATCH($E82,Stammdaten!$C$22:$C$31,0)),"?"))</f>
        <v>Kühlung</v>
      </c>
      <c r="G82" s="38">
        <f>IF($E82="","",IFERROR(INDEX(Stammdaten!$F$22:$F$31,MATCH($E82,Stammdaten!$C$22:$C$31,0)),""))</f>
        <v>2</v>
      </c>
      <c r="H82" s="38">
        <f>IF($E82="","",IFERROR(INDEX(Stammdaten!$G$22:$G$31,MATCH($E82,Stammdaten!$C$22:$C$31,0)),""))</f>
        <v>7</v>
      </c>
      <c r="I82" s="39">
        <v>5.3</v>
      </c>
      <c r="J82" s="40">
        <f t="shared" ref="J82:J113" si="6">IF($I82="","",IF($G82="","",IF($I82&lt;$G82,ROUND($I82-$G82,1),IF($I82&gt;$H82,ROUND($I82-$H82,1),0))))</f>
        <v>0</v>
      </c>
      <c r="K82" s="41" t="str">
        <f t="shared" ref="K82:K113" si="7">IF($I82="","",IF($J82="","",IF(ABS($J82)&gt;Toleranz_kritisch,"Kritisch",IF($J82&lt;0,"Zu niedrig",IF($J82&gt;0,"Zu hoch","OK")))))</f>
        <v>OK</v>
      </c>
      <c r="L82" s="42" t="str">
        <f t="shared" ref="L82:L113" si="8">IF($K82="","",IF($K82="OK","Nein","Ja"))</f>
        <v>Nein</v>
      </c>
      <c r="M82" s="43"/>
      <c r="N82" s="44"/>
      <c r="O82" s="44" t="s">
        <v>52</v>
      </c>
      <c r="P82" s="45"/>
    </row>
    <row r="83" spans="2:16" ht="15" customHeight="1" x14ac:dyDescent="0.25">
      <c r="B83" s="33">
        <f>IF($C83="","",COUNTA($C$18:$C83))</f>
        <v>66</v>
      </c>
      <c r="C83" s="34">
        <v>46185</v>
      </c>
      <c r="D83" s="35">
        <v>0.34375</v>
      </c>
      <c r="E83" s="36" t="s">
        <v>51</v>
      </c>
      <c r="F83" s="37" t="str">
        <f>IF($E83="","",IFERROR(INDEX(Stammdaten!$D$22:$D$31,MATCH($E83,Stammdaten!$C$22:$C$31,0)),"?"))</f>
        <v>Kühlung</v>
      </c>
      <c r="G83" s="38">
        <f>IF($E83="","",IFERROR(INDEX(Stammdaten!$F$22:$F$31,MATCH($E83,Stammdaten!$C$22:$C$31,0)),""))</f>
        <v>0</v>
      </c>
      <c r="H83" s="38">
        <f>IF($E83="","",IFERROR(INDEX(Stammdaten!$G$22:$G$31,MATCH($E83,Stammdaten!$C$22:$C$31,0)),""))</f>
        <v>6</v>
      </c>
      <c r="I83" s="39">
        <v>2.1</v>
      </c>
      <c r="J83" s="40">
        <f t="shared" si="6"/>
        <v>0</v>
      </c>
      <c r="K83" s="41" t="str">
        <f t="shared" si="7"/>
        <v>OK</v>
      </c>
      <c r="L83" s="42" t="str">
        <f t="shared" si="8"/>
        <v>Nein</v>
      </c>
      <c r="M83" s="43"/>
      <c r="N83" s="44"/>
      <c r="O83" s="44" t="s">
        <v>54</v>
      </c>
      <c r="P83" s="45"/>
    </row>
    <row r="84" spans="2:16" ht="15" customHeight="1" x14ac:dyDescent="0.25">
      <c r="B84" s="33">
        <f>IF($C84="","",COUNTA($C$18:$C84))</f>
        <v>67</v>
      </c>
      <c r="C84" s="34">
        <v>46185</v>
      </c>
      <c r="D84" s="35">
        <v>0.35416666666666702</v>
      </c>
      <c r="E84" s="36" t="s">
        <v>53</v>
      </c>
      <c r="F84" s="37" t="str">
        <f>IF($E84="","",IFERROR(INDEX(Stammdaten!$D$22:$D$31,MATCH($E84,Stammdaten!$C$22:$C$31,0)),"?"))</f>
        <v>Tiefkühlung</v>
      </c>
      <c r="G84" s="38">
        <f>IF($E84="","",IFERROR(INDEX(Stammdaten!$F$22:$F$31,MATCH($E84,Stammdaten!$C$22:$C$31,0)),""))</f>
        <v>-24</v>
      </c>
      <c r="H84" s="38">
        <f>IF($E84="","",IFERROR(INDEX(Stammdaten!$G$22:$G$31,MATCH($E84,Stammdaten!$C$22:$C$31,0)),""))</f>
        <v>-18</v>
      </c>
      <c r="I84" s="39">
        <v>-16.8</v>
      </c>
      <c r="J84" s="40">
        <f t="shared" si="6"/>
        <v>1.2</v>
      </c>
      <c r="K84" s="41" t="str">
        <f t="shared" si="7"/>
        <v>Zu hoch</v>
      </c>
      <c r="L84" s="42" t="str">
        <f t="shared" si="8"/>
        <v>Ja</v>
      </c>
      <c r="M84" s="43" t="s">
        <v>67</v>
      </c>
      <c r="N84" s="44" t="s">
        <v>61</v>
      </c>
      <c r="O84" s="44" t="s">
        <v>59</v>
      </c>
      <c r="P84" s="45" t="s">
        <v>68</v>
      </c>
    </row>
    <row r="85" spans="2:16" ht="15" customHeight="1" x14ac:dyDescent="0.25">
      <c r="B85" s="33">
        <f>IF($C85="","",COUNTA($C$18:$C85))</f>
        <v>68</v>
      </c>
      <c r="C85" s="34">
        <v>46185</v>
      </c>
      <c r="D85" s="35">
        <v>0.375</v>
      </c>
      <c r="E85" s="36" t="s">
        <v>55</v>
      </c>
      <c r="F85" s="37" t="str">
        <f>IF($E85="","",IFERROR(INDEX(Stammdaten!$D$22:$D$31,MATCH($E85,Stammdaten!$C$22:$C$31,0)),"?"))</f>
        <v>Lagerung</v>
      </c>
      <c r="G85" s="38">
        <f>IF($E85="","",IFERROR(INDEX(Stammdaten!$F$22:$F$31,MATCH($E85,Stammdaten!$C$22:$C$31,0)),""))</f>
        <v>10</v>
      </c>
      <c r="H85" s="38">
        <f>IF($E85="","",IFERROR(INDEX(Stammdaten!$G$22:$G$31,MATCH($E85,Stammdaten!$C$22:$C$31,0)),""))</f>
        <v>20</v>
      </c>
      <c r="I85" s="39">
        <v>16.899999999999999</v>
      </c>
      <c r="J85" s="40">
        <f t="shared" si="6"/>
        <v>0</v>
      </c>
      <c r="K85" s="41" t="str">
        <f t="shared" si="7"/>
        <v>OK</v>
      </c>
      <c r="L85" s="42" t="str">
        <f t="shared" si="8"/>
        <v>Nein</v>
      </c>
      <c r="M85" s="43"/>
      <c r="N85" s="44"/>
      <c r="O85" s="44" t="s">
        <v>52</v>
      </c>
      <c r="P85" s="45"/>
    </row>
    <row r="86" spans="2:16" ht="15" customHeight="1" x14ac:dyDescent="0.25">
      <c r="B86" s="33">
        <f>IF($C86="","",COUNTA($C$18:$C86))</f>
        <v>69</v>
      </c>
      <c r="C86" s="34">
        <v>46185</v>
      </c>
      <c r="D86" s="35">
        <v>0.44791666666666702</v>
      </c>
      <c r="E86" s="36" t="s">
        <v>56</v>
      </c>
      <c r="F86" s="37" t="str">
        <f>IF($E86="","",IFERROR(INDEX(Stammdaten!$D$22:$D$31,MATCH($E86,Stammdaten!$C$22:$C$31,0)),"?"))</f>
        <v>Wareneingang</v>
      </c>
      <c r="G86" s="38">
        <f>IF($E86="","",IFERROR(INDEX(Stammdaten!$F$22:$F$31,MATCH($E86,Stammdaten!$C$22:$C$31,0)),""))</f>
        <v>0</v>
      </c>
      <c r="H86" s="38">
        <f>IF($E86="","",IFERROR(INDEX(Stammdaten!$G$22:$G$31,MATCH($E86,Stammdaten!$C$22:$C$31,0)),""))</f>
        <v>7</v>
      </c>
      <c r="I86" s="39">
        <v>4.5999999999999996</v>
      </c>
      <c r="J86" s="40">
        <f t="shared" si="6"/>
        <v>0</v>
      </c>
      <c r="K86" s="41" t="str">
        <f t="shared" si="7"/>
        <v>OK</v>
      </c>
      <c r="L86" s="42" t="str">
        <f t="shared" si="8"/>
        <v>Nein</v>
      </c>
      <c r="M86" s="43"/>
      <c r="N86" s="44"/>
      <c r="O86" s="44" t="s">
        <v>50</v>
      </c>
      <c r="P86" s="45"/>
    </row>
    <row r="87" spans="2:16" ht="15" customHeight="1" x14ac:dyDescent="0.25">
      <c r="B87" s="33">
        <f>IF($C87="","",COUNTA($C$18:$C87))</f>
        <v>70</v>
      </c>
      <c r="C87" s="34">
        <v>46185</v>
      </c>
      <c r="D87" s="35">
        <v>0.51041666666666696</v>
      </c>
      <c r="E87" s="36" t="s">
        <v>58</v>
      </c>
      <c r="F87" s="37" t="str">
        <f>IF($E87="","",IFERROR(INDEX(Stammdaten!$D$22:$D$31,MATCH($E87,Stammdaten!$C$22:$C$31,0)),"?"))</f>
        <v>Warmhaltung</v>
      </c>
      <c r="G87" s="38">
        <f>IF($E87="","",IFERROR(INDEX(Stammdaten!$F$22:$F$31,MATCH($E87,Stammdaten!$C$22:$C$31,0)),""))</f>
        <v>65</v>
      </c>
      <c r="H87" s="38">
        <f>IF($E87="","",IFERROR(INDEX(Stammdaten!$G$22:$G$31,MATCH($E87,Stammdaten!$C$22:$C$31,0)),""))</f>
        <v>85</v>
      </c>
      <c r="I87" s="39">
        <v>66.099999999999994</v>
      </c>
      <c r="J87" s="40">
        <f t="shared" si="6"/>
        <v>0</v>
      </c>
      <c r="K87" s="41" t="str">
        <f t="shared" si="7"/>
        <v>OK</v>
      </c>
      <c r="L87" s="42" t="str">
        <f t="shared" si="8"/>
        <v>Nein</v>
      </c>
      <c r="M87" s="43"/>
      <c r="N87" s="44"/>
      <c r="O87" s="44" t="s">
        <v>57</v>
      </c>
      <c r="P87" s="45"/>
    </row>
    <row r="88" spans="2:16" ht="15" customHeight="1" x14ac:dyDescent="0.25">
      <c r="B88" s="33">
        <f>IF($C88="","",COUNTA($C$18:$C88))</f>
        <v>71</v>
      </c>
      <c r="C88" s="34">
        <v>46186</v>
      </c>
      <c r="D88" s="35">
        <v>0.33333333333333298</v>
      </c>
      <c r="E88" s="36" t="s">
        <v>49</v>
      </c>
      <c r="F88" s="37" t="str">
        <f>IF($E88="","",IFERROR(INDEX(Stammdaten!$D$22:$D$31,MATCH($E88,Stammdaten!$C$22:$C$31,0)),"?"))</f>
        <v>Kühlung</v>
      </c>
      <c r="G88" s="38">
        <f>IF($E88="","",IFERROR(INDEX(Stammdaten!$F$22:$F$31,MATCH($E88,Stammdaten!$C$22:$C$31,0)),""))</f>
        <v>2</v>
      </c>
      <c r="H88" s="38">
        <f>IF($E88="","",IFERROR(INDEX(Stammdaten!$G$22:$G$31,MATCH($E88,Stammdaten!$C$22:$C$31,0)),""))</f>
        <v>7</v>
      </c>
      <c r="I88" s="39">
        <v>3.9</v>
      </c>
      <c r="J88" s="40">
        <f t="shared" si="6"/>
        <v>0</v>
      </c>
      <c r="K88" s="41" t="str">
        <f t="shared" si="7"/>
        <v>OK</v>
      </c>
      <c r="L88" s="42" t="str">
        <f t="shared" si="8"/>
        <v>Nein</v>
      </c>
      <c r="M88" s="43"/>
      <c r="N88" s="44"/>
      <c r="O88" s="44" t="s">
        <v>54</v>
      </c>
      <c r="P88" s="45"/>
    </row>
    <row r="89" spans="2:16" ht="15" customHeight="1" x14ac:dyDescent="0.25">
      <c r="B89" s="33">
        <f>IF($C89="","",COUNTA($C$18:$C89))</f>
        <v>72</v>
      </c>
      <c r="C89" s="34">
        <v>46186</v>
      </c>
      <c r="D89" s="35">
        <v>0.34375</v>
      </c>
      <c r="E89" s="36" t="s">
        <v>51</v>
      </c>
      <c r="F89" s="37" t="str">
        <f>IF($E89="","",IFERROR(INDEX(Stammdaten!$D$22:$D$31,MATCH($E89,Stammdaten!$C$22:$C$31,0)),"?"))</f>
        <v>Kühlung</v>
      </c>
      <c r="G89" s="38">
        <f>IF($E89="","",IFERROR(INDEX(Stammdaten!$F$22:$F$31,MATCH($E89,Stammdaten!$C$22:$C$31,0)),""))</f>
        <v>0</v>
      </c>
      <c r="H89" s="38">
        <f>IF($E89="","",IFERROR(INDEX(Stammdaten!$G$22:$G$31,MATCH($E89,Stammdaten!$C$22:$C$31,0)),""))</f>
        <v>6</v>
      </c>
      <c r="I89" s="39">
        <v>2.2000000000000002</v>
      </c>
      <c r="J89" s="40">
        <f t="shared" si="6"/>
        <v>0</v>
      </c>
      <c r="K89" s="41" t="str">
        <f t="shared" si="7"/>
        <v>OK</v>
      </c>
      <c r="L89" s="42" t="str">
        <f t="shared" si="8"/>
        <v>Nein</v>
      </c>
      <c r="M89" s="43"/>
      <c r="N89" s="44"/>
      <c r="O89" s="44" t="s">
        <v>59</v>
      </c>
      <c r="P89" s="45"/>
    </row>
    <row r="90" spans="2:16" ht="15" customHeight="1" x14ac:dyDescent="0.25">
      <c r="B90" s="33">
        <f>IF($C90="","",COUNTA($C$18:$C90))</f>
        <v>73</v>
      </c>
      <c r="C90" s="34">
        <v>46186</v>
      </c>
      <c r="D90" s="35">
        <v>0.35416666666666702</v>
      </c>
      <c r="E90" s="36" t="s">
        <v>53</v>
      </c>
      <c r="F90" s="37" t="str">
        <f>IF($E90="","",IFERROR(INDEX(Stammdaten!$D$22:$D$31,MATCH($E90,Stammdaten!$C$22:$C$31,0)),"?"))</f>
        <v>Tiefkühlung</v>
      </c>
      <c r="G90" s="38">
        <f>IF($E90="","",IFERROR(INDEX(Stammdaten!$F$22:$F$31,MATCH($E90,Stammdaten!$C$22:$C$31,0)),""))</f>
        <v>-24</v>
      </c>
      <c r="H90" s="38">
        <f>IF($E90="","",IFERROR(INDEX(Stammdaten!$G$22:$G$31,MATCH($E90,Stammdaten!$C$22:$C$31,0)),""))</f>
        <v>-18</v>
      </c>
      <c r="I90" s="39">
        <v>-20.100000000000001</v>
      </c>
      <c r="J90" s="40">
        <f t="shared" si="6"/>
        <v>0</v>
      </c>
      <c r="K90" s="41" t="str">
        <f t="shared" si="7"/>
        <v>OK</v>
      </c>
      <c r="L90" s="42" t="str">
        <f t="shared" si="8"/>
        <v>Nein</v>
      </c>
      <c r="M90" s="43"/>
      <c r="N90" s="44"/>
      <c r="O90" s="44" t="s">
        <v>57</v>
      </c>
      <c r="P90" s="45"/>
    </row>
    <row r="91" spans="2:16" ht="15" customHeight="1" x14ac:dyDescent="0.25">
      <c r="B91" s="33">
        <f>IF($C91="","",COUNTA($C$18:$C91))</f>
        <v>74</v>
      </c>
      <c r="C91" s="34">
        <v>46186</v>
      </c>
      <c r="D91" s="35">
        <v>0.375</v>
      </c>
      <c r="E91" s="36" t="s">
        <v>55</v>
      </c>
      <c r="F91" s="37" t="str">
        <f>IF($E91="","",IFERROR(INDEX(Stammdaten!$D$22:$D$31,MATCH($E91,Stammdaten!$C$22:$C$31,0)),"?"))</f>
        <v>Lagerung</v>
      </c>
      <c r="G91" s="38">
        <f>IF($E91="","",IFERROR(INDEX(Stammdaten!$F$22:$F$31,MATCH($E91,Stammdaten!$C$22:$C$31,0)),""))</f>
        <v>10</v>
      </c>
      <c r="H91" s="38">
        <f>IF($E91="","",IFERROR(INDEX(Stammdaten!$G$22:$G$31,MATCH($E91,Stammdaten!$C$22:$C$31,0)),""))</f>
        <v>20</v>
      </c>
      <c r="I91" s="39">
        <v>14.6</v>
      </c>
      <c r="J91" s="40">
        <f t="shared" si="6"/>
        <v>0</v>
      </c>
      <c r="K91" s="41" t="str">
        <f t="shared" si="7"/>
        <v>OK</v>
      </c>
      <c r="L91" s="42" t="str">
        <f t="shared" si="8"/>
        <v>Nein</v>
      </c>
      <c r="M91" s="43"/>
      <c r="N91" s="44"/>
      <c r="O91" s="44" t="s">
        <v>54</v>
      </c>
      <c r="P91" s="45"/>
    </row>
    <row r="92" spans="2:16" ht="15" customHeight="1" x14ac:dyDescent="0.25">
      <c r="B92" s="33">
        <f>IF($C92="","",COUNTA($C$18:$C92))</f>
        <v>75</v>
      </c>
      <c r="C92" s="34">
        <v>46186</v>
      </c>
      <c r="D92" s="35">
        <v>0.51041666666666696</v>
      </c>
      <c r="E92" s="36" t="s">
        <v>58</v>
      </c>
      <c r="F92" s="37" t="str">
        <f>IF($E92="","",IFERROR(INDEX(Stammdaten!$D$22:$D$31,MATCH($E92,Stammdaten!$C$22:$C$31,0)),"?"))</f>
        <v>Warmhaltung</v>
      </c>
      <c r="G92" s="38">
        <f>IF($E92="","",IFERROR(INDEX(Stammdaten!$F$22:$F$31,MATCH($E92,Stammdaten!$C$22:$C$31,0)),""))</f>
        <v>65</v>
      </c>
      <c r="H92" s="38">
        <f>IF($E92="","",IFERROR(INDEX(Stammdaten!$G$22:$G$31,MATCH($E92,Stammdaten!$C$22:$C$31,0)),""))</f>
        <v>85</v>
      </c>
      <c r="I92" s="39">
        <v>68.099999999999994</v>
      </c>
      <c r="J92" s="40">
        <f t="shared" si="6"/>
        <v>0</v>
      </c>
      <c r="K92" s="41" t="str">
        <f t="shared" si="7"/>
        <v>OK</v>
      </c>
      <c r="L92" s="42" t="str">
        <f t="shared" si="8"/>
        <v>Nein</v>
      </c>
      <c r="M92" s="43"/>
      <c r="N92" s="44"/>
      <c r="O92" s="44" t="s">
        <v>50</v>
      </c>
      <c r="P92" s="45"/>
    </row>
    <row r="93" spans="2:16" ht="15" customHeight="1" x14ac:dyDescent="0.25">
      <c r="B93" s="33">
        <f>IF($C93="","",COUNTA($C$18:$C93))</f>
        <v>76</v>
      </c>
      <c r="C93" s="34">
        <v>46187</v>
      </c>
      <c r="D93" s="35">
        <v>0.33333333333333298</v>
      </c>
      <c r="E93" s="36" t="s">
        <v>49</v>
      </c>
      <c r="F93" s="37" t="str">
        <f>IF($E93="","",IFERROR(INDEX(Stammdaten!$D$22:$D$31,MATCH($E93,Stammdaten!$C$22:$C$31,0)),"?"))</f>
        <v>Kühlung</v>
      </c>
      <c r="G93" s="38">
        <f>IF($E93="","",IFERROR(INDEX(Stammdaten!$F$22:$F$31,MATCH($E93,Stammdaten!$C$22:$C$31,0)),""))</f>
        <v>2</v>
      </c>
      <c r="H93" s="38">
        <f>IF($E93="","",IFERROR(INDEX(Stammdaten!$G$22:$G$31,MATCH($E93,Stammdaten!$C$22:$C$31,0)),""))</f>
        <v>7</v>
      </c>
      <c r="I93" s="39">
        <v>3.2</v>
      </c>
      <c r="J93" s="40">
        <f t="shared" si="6"/>
        <v>0</v>
      </c>
      <c r="K93" s="41" t="str">
        <f t="shared" si="7"/>
        <v>OK</v>
      </c>
      <c r="L93" s="42" t="str">
        <f t="shared" si="8"/>
        <v>Nein</v>
      </c>
      <c r="M93" s="43"/>
      <c r="N93" s="44"/>
      <c r="O93" s="44" t="s">
        <v>59</v>
      </c>
      <c r="P93" s="45"/>
    </row>
    <row r="94" spans="2:16" ht="15" customHeight="1" x14ac:dyDescent="0.25">
      <c r="B94" s="33">
        <f>IF($C94="","",COUNTA($C$18:$C94))</f>
        <v>77</v>
      </c>
      <c r="C94" s="34">
        <v>46187</v>
      </c>
      <c r="D94" s="35">
        <v>0.35416666666666702</v>
      </c>
      <c r="E94" s="36" t="s">
        <v>53</v>
      </c>
      <c r="F94" s="37" t="str">
        <f>IF($E94="","",IFERROR(INDEX(Stammdaten!$D$22:$D$31,MATCH($E94,Stammdaten!$C$22:$C$31,0)),"?"))</f>
        <v>Tiefkühlung</v>
      </c>
      <c r="G94" s="38">
        <f>IF($E94="","",IFERROR(INDEX(Stammdaten!$F$22:$F$31,MATCH($E94,Stammdaten!$C$22:$C$31,0)),""))</f>
        <v>-24</v>
      </c>
      <c r="H94" s="38">
        <f>IF($E94="","",IFERROR(INDEX(Stammdaten!$G$22:$G$31,MATCH($E94,Stammdaten!$C$22:$C$31,0)),""))</f>
        <v>-18</v>
      </c>
      <c r="I94" s="39">
        <v>-21.3</v>
      </c>
      <c r="J94" s="40">
        <f t="shared" si="6"/>
        <v>0</v>
      </c>
      <c r="K94" s="41" t="str">
        <f t="shared" si="7"/>
        <v>OK</v>
      </c>
      <c r="L94" s="42" t="str">
        <f t="shared" si="8"/>
        <v>Nein</v>
      </c>
      <c r="M94" s="43"/>
      <c r="N94" s="44"/>
      <c r="O94" s="44" t="s">
        <v>50</v>
      </c>
      <c r="P94" s="45"/>
    </row>
    <row r="95" spans="2:16" ht="15" customHeight="1" x14ac:dyDescent="0.25">
      <c r="B95" s="33">
        <f>IF($C95="","",COUNTA($C$18:$C95))</f>
        <v>78</v>
      </c>
      <c r="C95" s="34">
        <v>46187</v>
      </c>
      <c r="D95" s="35">
        <v>0.375</v>
      </c>
      <c r="E95" s="36" t="s">
        <v>55</v>
      </c>
      <c r="F95" s="37" t="str">
        <f>IF($E95="","",IFERROR(INDEX(Stammdaten!$D$22:$D$31,MATCH($E95,Stammdaten!$C$22:$C$31,0)),"?"))</f>
        <v>Lagerung</v>
      </c>
      <c r="G95" s="38">
        <f>IF($E95="","",IFERROR(INDEX(Stammdaten!$F$22:$F$31,MATCH($E95,Stammdaten!$C$22:$C$31,0)),""))</f>
        <v>10</v>
      </c>
      <c r="H95" s="38">
        <f>IF($E95="","",IFERROR(INDEX(Stammdaten!$G$22:$G$31,MATCH($E95,Stammdaten!$C$22:$C$31,0)),""))</f>
        <v>20</v>
      </c>
      <c r="I95" s="39">
        <v>17.100000000000001</v>
      </c>
      <c r="J95" s="40">
        <f t="shared" si="6"/>
        <v>0</v>
      </c>
      <c r="K95" s="41" t="str">
        <f t="shared" si="7"/>
        <v>OK</v>
      </c>
      <c r="L95" s="42" t="str">
        <f t="shared" si="8"/>
        <v>Nein</v>
      </c>
      <c r="M95" s="43"/>
      <c r="N95" s="44"/>
      <c r="O95" s="44" t="s">
        <v>59</v>
      </c>
      <c r="P95" s="45"/>
    </row>
    <row r="96" spans="2:16" ht="15" customHeight="1" x14ac:dyDescent="0.25">
      <c r="B96" s="33">
        <f>IF($C96="","",COUNTA($C$18:$C96))</f>
        <v>79</v>
      </c>
      <c r="C96" s="34">
        <v>46187</v>
      </c>
      <c r="D96" s="35">
        <v>0.51041666666666696</v>
      </c>
      <c r="E96" s="36" t="s">
        <v>58</v>
      </c>
      <c r="F96" s="37" t="str">
        <f>IF($E96="","",IFERROR(INDEX(Stammdaten!$D$22:$D$31,MATCH($E96,Stammdaten!$C$22:$C$31,0)),"?"))</f>
        <v>Warmhaltung</v>
      </c>
      <c r="G96" s="38">
        <f>IF($E96="","",IFERROR(INDEX(Stammdaten!$F$22:$F$31,MATCH($E96,Stammdaten!$C$22:$C$31,0)),""))</f>
        <v>65</v>
      </c>
      <c r="H96" s="38">
        <f>IF($E96="","",IFERROR(INDEX(Stammdaten!$G$22:$G$31,MATCH($E96,Stammdaten!$C$22:$C$31,0)),""))</f>
        <v>85</v>
      </c>
      <c r="I96" s="39">
        <v>70.900000000000006</v>
      </c>
      <c r="J96" s="40">
        <f t="shared" si="6"/>
        <v>0</v>
      </c>
      <c r="K96" s="41" t="str">
        <f t="shared" si="7"/>
        <v>OK</v>
      </c>
      <c r="L96" s="42" t="str">
        <f t="shared" si="8"/>
        <v>Nein</v>
      </c>
      <c r="M96" s="43"/>
      <c r="N96" s="44"/>
      <c r="O96" s="44" t="s">
        <v>52</v>
      </c>
      <c r="P96" s="45"/>
    </row>
    <row r="97" spans="2:16" ht="15" customHeight="1" x14ac:dyDescent="0.25">
      <c r="B97" s="33">
        <f>IF($C97="","",COUNTA($C$18:$C97))</f>
        <v>80</v>
      </c>
      <c r="C97" s="34">
        <v>46188</v>
      </c>
      <c r="D97" s="35">
        <v>0.33333333333333298</v>
      </c>
      <c r="E97" s="36" t="s">
        <v>49</v>
      </c>
      <c r="F97" s="37" t="str">
        <f>IF($E97="","",IFERROR(INDEX(Stammdaten!$D$22:$D$31,MATCH($E97,Stammdaten!$C$22:$C$31,0)),"?"))</f>
        <v>Kühlung</v>
      </c>
      <c r="G97" s="38">
        <f>IF($E97="","",IFERROR(INDEX(Stammdaten!$F$22:$F$31,MATCH($E97,Stammdaten!$C$22:$C$31,0)),""))</f>
        <v>2</v>
      </c>
      <c r="H97" s="38">
        <f>IF($E97="","",IFERROR(INDEX(Stammdaten!$G$22:$G$31,MATCH($E97,Stammdaten!$C$22:$C$31,0)),""))</f>
        <v>7</v>
      </c>
      <c r="I97" s="39">
        <v>4.7</v>
      </c>
      <c r="J97" s="40">
        <f t="shared" si="6"/>
        <v>0</v>
      </c>
      <c r="K97" s="41" t="str">
        <f t="shared" si="7"/>
        <v>OK</v>
      </c>
      <c r="L97" s="42" t="str">
        <f t="shared" si="8"/>
        <v>Nein</v>
      </c>
      <c r="M97" s="43"/>
      <c r="N97" s="44"/>
      <c r="O97" s="44" t="s">
        <v>57</v>
      </c>
      <c r="P97" s="45"/>
    </row>
    <row r="98" spans="2:16" ht="15" customHeight="1" x14ac:dyDescent="0.25">
      <c r="B98" s="33">
        <f>IF($C98="","",COUNTA($C$18:$C98))</f>
        <v>81</v>
      </c>
      <c r="C98" s="34">
        <v>46188</v>
      </c>
      <c r="D98" s="35">
        <v>0.34375</v>
      </c>
      <c r="E98" s="36" t="s">
        <v>51</v>
      </c>
      <c r="F98" s="37" t="str">
        <f>IF($E98="","",IFERROR(INDEX(Stammdaten!$D$22:$D$31,MATCH($E98,Stammdaten!$C$22:$C$31,0)),"?"))</f>
        <v>Kühlung</v>
      </c>
      <c r="G98" s="38">
        <f>IF($E98="","",IFERROR(INDEX(Stammdaten!$F$22:$F$31,MATCH($E98,Stammdaten!$C$22:$C$31,0)),""))</f>
        <v>0</v>
      </c>
      <c r="H98" s="38">
        <f>IF($E98="","",IFERROR(INDEX(Stammdaten!$G$22:$G$31,MATCH($E98,Stammdaten!$C$22:$C$31,0)),""))</f>
        <v>6</v>
      </c>
      <c r="I98" s="39">
        <v>3.4</v>
      </c>
      <c r="J98" s="40">
        <f t="shared" si="6"/>
        <v>0</v>
      </c>
      <c r="K98" s="41" t="str">
        <f t="shared" si="7"/>
        <v>OK</v>
      </c>
      <c r="L98" s="42" t="str">
        <f t="shared" si="8"/>
        <v>Nein</v>
      </c>
      <c r="M98" s="43"/>
      <c r="N98" s="44"/>
      <c r="O98" s="44" t="s">
        <v>50</v>
      </c>
      <c r="P98" s="45"/>
    </row>
    <row r="99" spans="2:16" ht="15" customHeight="1" x14ac:dyDescent="0.25">
      <c r="B99" s="33">
        <f>IF($C99="","",COUNTA($C$18:$C99))</f>
        <v>82</v>
      </c>
      <c r="C99" s="34">
        <v>46188</v>
      </c>
      <c r="D99" s="35">
        <v>0.35416666666666702</v>
      </c>
      <c r="E99" s="36" t="s">
        <v>53</v>
      </c>
      <c r="F99" s="37" t="str">
        <f>IF($E99="","",IFERROR(INDEX(Stammdaten!$D$22:$D$31,MATCH($E99,Stammdaten!$C$22:$C$31,0)),"?"))</f>
        <v>Tiefkühlung</v>
      </c>
      <c r="G99" s="38">
        <f>IF($E99="","",IFERROR(INDEX(Stammdaten!$F$22:$F$31,MATCH($E99,Stammdaten!$C$22:$C$31,0)),""))</f>
        <v>-24</v>
      </c>
      <c r="H99" s="38">
        <f>IF($E99="","",IFERROR(INDEX(Stammdaten!$G$22:$G$31,MATCH($E99,Stammdaten!$C$22:$C$31,0)),""))</f>
        <v>-18</v>
      </c>
      <c r="I99" s="39">
        <v>-21.5</v>
      </c>
      <c r="J99" s="40">
        <f t="shared" si="6"/>
        <v>0</v>
      </c>
      <c r="K99" s="41" t="str">
        <f t="shared" si="7"/>
        <v>OK</v>
      </c>
      <c r="L99" s="42" t="str">
        <f t="shared" si="8"/>
        <v>Nein</v>
      </c>
      <c r="M99" s="43"/>
      <c r="N99" s="44"/>
      <c r="O99" s="44" t="s">
        <v>52</v>
      </c>
      <c r="P99" s="45"/>
    </row>
    <row r="100" spans="2:16" ht="15" customHeight="1" x14ac:dyDescent="0.25">
      <c r="B100" s="33">
        <f>IF($C100="","",COUNTA($C$18:$C100))</f>
        <v>83</v>
      </c>
      <c r="C100" s="34">
        <v>46188</v>
      </c>
      <c r="D100" s="35">
        <v>0.375</v>
      </c>
      <c r="E100" s="36" t="s">
        <v>55</v>
      </c>
      <c r="F100" s="37" t="str">
        <f>IF($E100="","",IFERROR(INDEX(Stammdaten!$D$22:$D$31,MATCH($E100,Stammdaten!$C$22:$C$31,0)),"?"))</f>
        <v>Lagerung</v>
      </c>
      <c r="G100" s="38">
        <f>IF($E100="","",IFERROR(INDEX(Stammdaten!$F$22:$F$31,MATCH($E100,Stammdaten!$C$22:$C$31,0)),""))</f>
        <v>10</v>
      </c>
      <c r="H100" s="38">
        <f>IF($E100="","",IFERROR(INDEX(Stammdaten!$G$22:$G$31,MATCH($E100,Stammdaten!$C$22:$C$31,0)),""))</f>
        <v>20</v>
      </c>
      <c r="I100" s="39">
        <v>17.7</v>
      </c>
      <c r="J100" s="40">
        <f t="shared" si="6"/>
        <v>0</v>
      </c>
      <c r="K100" s="41" t="str">
        <f t="shared" si="7"/>
        <v>OK</v>
      </c>
      <c r="L100" s="42" t="str">
        <f t="shared" si="8"/>
        <v>Nein</v>
      </c>
      <c r="M100" s="43"/>
      <c r="N100" s="44"/>
      <c r="O100" s="44" t="s">
        <v>57</v>
      </c>
      <c r="P100" s="45"/>
    </row>
    <row r="101" spans="2:16" ht="15" customHeight="1" x14ac:dyDescent="0.25">
      <c r="B101" s="33">
        <f>IF($C101="","",COUNTA($C$18:$C101))</f>
        <v>84</v>
      </c>
      <c r="C101" s="34">
        <v>46188</v>
      </c>
      <c r="D101" s="35">
        <v>0.44791666666666702</v>
      </c>
      <c r="E101" s="36" t="s">
        <v>56</v>
      </c>
      <c r="F101" s="37" t="str">
        <f>IF($E101="","",IFERROR(INDEX(Stammdaten!$D$22:$D$31,MATCH($E101,Stammdaten!$C$22:$C$31,0)),"?"))</f>
        <v>Wareneingang</v>
      </c>
      <c r="G101" s="38">
        <f>IF($E101="","",IFERROR(INDEX(Stammdaten!$F$22:$F$31,MATCH($E101,Stammdaten!$C$22:$C$31,0)),""))</f>
        <v>0</v>
      </c>
      <c r="H101" s="38">
        <f>IF($E101="","",IFERROR(INDEX(Stammdaten!$G$22:$G$31,MATCH($E101,Stammdaten!$C$22:$C$31,0)),""))</f>
        <v>7</v>
      </c>
      <c r="I101" s="39">
        <v>5.6</v>
      </c>
      <c r="J101" s="40">
        <f t="shared" si="6"/>
        <v>0</v>
      </c>
      <c r="K101" s="41" t="str">
        <f t="shared" si="7"/>
        <v>OK</v>
      </c>
      <c r="L101" s="42" t="str">
        <f t="shared" si="8"/>
        <v>Nein</v>
      </c>
      <c r="M101" s="43"/>
      <c r="N101" s="44"/>
      <c r="O101" s="44" t="s">
        <v>59</v>
      </c>
      <c r="P101" s="45"/>
    </row>
    <row r="102" spans="2:16" ht="15" customHeight="1" x14ac:dyDescent="0.25">
      <c r="B102" s="33">
        <f>IF($C102="","",COUNTA($C$18:$C102))</f>
        <v>85</v>
      </c>
      <c r="C102" s="34">
        <v>46188</v>
      </c>
      <c r="D102" s="35">
        <v>0.51041666666666696</v>
      </c>
      <c r="E102" s="36" t="s">
        <v>58</v>
      </c>
      <c r="F102" s="37" t="str">
        <f>IF($E102="","",IFERROR(INDEX(Stammdaten!$D$22:$D$31,MATCH($E102,Stammdaten!$C$22:$C$31,0)),"?"))</f>
        <v>Warmhaltung</v>
      </c>
      <c r="G102" s="38">
        <f>IF($E102="","",IFERROR(INDEX(Stammdaten!$F$22:$F$31,MATCH($E102,Stammdaten!$C$22:$C$31,0)),""))</f>
        <v>65</v>
      </c>
      <c r="H102" s="38">
        <f>IF($E102="","",IFERROR(INDEX(Stammdaten!$G$22:$G$31,MATCH($E102,Stammdaten!$C$22:$C$31,0)),""))</f>
        <v>85</v>
      </c>
      <c r="I102" s="39">
        <v>71.400000000000006</v>
      </c>
      <c r="J102" s="40">
        <f t="shared" si="6"/>
        <v>0</v>
      </c>
      <c r="K102" s="41" t="str">
        <f t="shared" si="7"/>
        <v>OK</v>
      </c>
      <c r="L102" s="42" t="str">
        <f t="shared" si="8"/>
        <v>Nein</v>
      </c>
      <c r="M102" s="43"/>
      <c r="N102" s="44"/>
      <c r="O102" s="44" t="s">
        <v>54</v>
      </c>
      <c r="P102" s="45"/>
    </row>
    <row r="103" spans="2:16" ht="15" customHeight="1" x14ac:dyDescent="0.25">
      <c r="B103" s="33">
        <f>IF($C103="","",COUNTA($C$18:$C103))</f>
        <v>86</v>
      </c>
      <c r="C103" s="34">
        <v>46189</v>
      </c>
      <c r="D103" s="35">
        <v>0.33333333333333298</v>
      </c>
      <c r="E103" s="36" t="s">
        <v>49</v>
      </c>
      <c r="F103" s="37" t="str">
        <f>IF($E103="","",IFERROR(INDEX(Stammdaten!$D$22:$D$31,MATCH($E103,Stammdaten!$C$22:$C$31,0)),"?"))</f>
        <v>Kühlung</v>
      </c>
      <c r="G103" s="38">
        <f>IF($E103="","",IFERROR(INDEX(Stammdaten!$F$22:$F$31,MATCH($E103,Stammdaten!$C$22:$C$31,0)),""))</f>
        <v>2</v>
      </c>
      <c r="H103" s="38">
        <f>IF($E103="","",IFERROR(INDEX(Stammdaten!$G$22:$G$31,MATCH($E103,Stammdaten!$C$22:$C$31,0)),""))</f>
        <v>7</v>
      </c>
      <c r="I103" s="39">
        <v>4.5</v>
      </c>
      <c r="J103" s="40">
        <f t="shared" si="6"/>
        <v>0</v>
      </c>
      <c r="K103" s="41" t="str">
        <f t="shared" si="7"/>
        <v>OK</v>
      </c>
      <c r="L103" s="42" t="str">
        <f t="shared" si="8"/>
        <v>Nein</v>
      </c>
      <c r="M103" s="43"/>
      <c r="N103" s="44"/>
      <c r="O103" s="44" t="s">
        <v>50</v>
      </c>
      <c r="P103" s="45"/>
    </row>
    <row r="104" spans="2:16" ht="15" customHeight="1" x14ac:dyDescent="0.25">
      <c r="B104" s="33">
        <f>IF($C104="","",COUNTA($C$18:$C104))</f>
        <v>87</v>
      </c>
      <c r="C104" s="34">
        <v>46189</v>
      </c>
      <c r="D104" s="35">
        <v>0.34375</v>
      </c>
      <c r="E104" s="36" t="s">
        <v>51</v>
      </c>
      <c r="F104" s="37" t="str">
        <f>IF($E104="","",IFERROR(INDEX(Stammdaten!$D$22:$D$31,MATCH($E104,Stammdaten!$C$22:$C$31,0)),"?"))</f>
        <v>Kühlung</v>
      </c>
      <c r="G104" s="38">
        <f>IF($E104="","",IFERROR(INDEX(Stammdaten!$F$22:$F$31,MATCH($E104,Stammdaten!$C$22:$C$31,0)),""))</f>
        <v>0</v>
      </c>
      <c r="H104" s="38">
        <f>IF($E104="","",IFERROR(INDEX(Stammdaten!$G$22:$G$31,MATCH($E104,Stammdaten!$C$22:$C$31,0)),""))</f>
        <v>6</v>
      </c>
      <c r="I104" s="39">
        <v>3.6</v>
      </c>
      <c r="J104" s="40">
        <f t="shared" si="6"/>
        <v>0</v>
      </c>
      <c r="K104" s="41" t="str">
        <f t="shared" si="7"/>
        <v>OK</v>
      </c>
      <c r="L104" s="42" t="str">
        <f t="shared" si="8"/>
        <v>Nein</v>
      </c>
      <c r="M104" s="43"/>
      <c r="N104" s="44"/>
      <c r="O104" s="44" t="s">
        <v>52</v>
      </c>
      <c r="P104" s="45"/>
    </row>
    <row r="105" spans="2:16" ht="15" customHeight="1" x14ac:dyDescent="0.25">
      <c r="B105" s="33">
        <f>IF($C105="","",COUNTA($C$18:$C105))</f>
        <v>88</v>
      </c>
      <c r="C105" s="34">
        <v>46189</v>
      </c>
      <c r="D105" s="35">
        <v>0.35416666666666702</v>
      </c>
      <c r="E105" s="36" t="s">
        <v>53</v>
      </c>
      <c r="F105" s="37" t="str">
        <f>IF($E105="","",IFERROR(INDEX(Stammdaten!$D$22:$D$31,MATCH($E105,Stammdaten!$C$22:$C$31,0)),"?"))</f>
        <v>Tiefkühlung</v>
      </c>
      <c r="G105" s="38">
        <f>IF($E105="","",IFERROR(INDEX(Stammdaten!$F$22:$F$31,MATCH($E105,Stammdaten!$C$22:$C$31,0)),""))</f>
        <v>-24</v>
      </c>
      <c r="H105" s="38">
        <f>IF($E105="","",IFERROR(INDEX(Stammdaten!$G$22:$G$31,MATCH($E105,Stammdaten!$C$22:$C$31,0)),""))</f>
        <v>-18</v>
      </c>
      <c r="I105" s="39">
        <v>-21.6</v>
      </c>
      <c r="J105" s="40">
        <f t="shared" si="6"/>
        <v>0</v>
      </c>
      <c r="K105" s="41" t="str">
        <f t="shared" si="7"/>
        <v>OK</v>
      </c>
      <c r="L105" s="42" t="str">
        <f t="shared" si="8"/>
        <v>Nein</v>
      </c>
      <c r="M105" s="43"/>
      <c r="N105" s="44"/>
      <c r="O105" s="44" t="s">
        <v>54</v>
      </c>
      <c r="P105" s="45"/>
    </row>
    <row r="106" spans="2:16" ht="15" customHeight="1" x14ac:dyDescent="0.25">
      <c r="B106" s="33">
        <f>IF($C106="","",COUNTA($C$18:$C106))</f>
        <v>89</v>
      </c>
      <c r="C106" s="34">
        <v>46189</v>
      </c>
      <c r="D106" s="35">
        <v>0.375</v>
      </c>
      <c r="E106" s="36" t="s">
        <v>55</v>
      </c>
      <c r="F106" s="37" t="str">
        <f>IF($E106="","",IFERROR(INDEX(Stammdaten!$D$22:$D$31,MATCH($E106,Stammdaten!$C$22:$C$31,0)),"?"))</f>
        <v>Lagerung</v>
      </c>
      <c r="G106" s="38">
        <f>IF($E106="","",IFERROR(INDEX(Stammdaten!$F$22:$F$31,MATCH($E106,Stammdaten!$C$22:$C$31,0)),""))</f>
        <v>10</v>
      </c>
      <c r="H106" s="38">
        <f>IF($E106="","",IFERROR(INDEX(Stammdaten!$G$22:$G$31,MATCH($E106,Stammdaten!$C$22:$C$31,0)),""))</f>
        <v>20</v>
      </c>
      <c r="I106" s="39">
        <v>17</v>
      </c>
      <c r="J106" s="40">
        <f t="shared" si="6"/>
        <v>0</v>
      </c>
      <c r="K106" s="41" t="str">
        <f t="shared" si="7"/>
        <v>OK</v>
      </c>
      <c r="L106" s="42" t="str">
        <f t="shared" si="8"/>
        <v>Nein</v>
      </c>
      <c r="M106" s="43"/>
      <c r="N106" s="44"/>
      <c r="O106" s="44" t="s">
        <v>50</v>
      </c>
      <c r="P106" s="45"/>
    </row>
    <row r="107" spans="2:16" ht="15" customHeight="1" x14ac:dyDescent="0.25">
      <c r="B107" s="33">
        <f>IF($C107="","",COUNTA($C$18:$C107))</f>
        <v>90</v>
      </c>
      <c r="C107" s="34">
        <v>46189</v>
      </c>
      <c r="D107" s="35">
        <v>0.44791666666666702</v>
      </c>
      <c r="E107" s="36" t="s">
        <v>56</v>
      </c>
      <c r="F107" s="37" t="str">
        <f>IF($E107="","",IFERROR(INDEX(Stammdaten!$D$22:$D$31,MATCH($E107,Stammdaten!$C$22:$C$31,0)),"?"))</f>
        <v>Wareneingang</v>
      </c>
      <c r="G107" s="38">
        <f>IF($E107="","",IFERROR(INDEX(Stammdaten!$F$22:$F$31,MATCH($E107,Stammdaten!$C$22:$C$31,0)),""))</f>
        <v>0</v>
      </c>
      <c r="H107" s="38">
        <f>IF($E107="","",IFERROR(INDEX(Stammdaten!$G$22:$G$31,MATCH($E107,Stammdaten!$C$22:$C$31,0)),""))</f>
        <v>7</v>
      </c>
      <c r="I107" s="39">
        <v>4.5</v>
      </c>
      <c r="J107" s="40">
        <f t="shared" si="6"/>
        <v>0</v>
      </c>
      <c r="K107" s="41" t="str">
        <f t="shared" si="7"/>
        <v>OK</v>
      </c>
      <c r="L107" s="42" t="str">
        <f t="shared" si="8"/>
        <v>Nein</v>
      </c>
      <c r="M107" s="43"/>
      <c r="N107" s="44"/>
      <c r="O107" s="44" t="s">
        <v>57</v>
      </c>
      <c r="P107" s="45"/>
    </row>
    <row r="108" spans="2:16" ht="15" customHeight="1" x14ac:dyDescent="0.25">
      <c r="B108" s="33">
        <f>IF($C108="","",COUNTA($C$18:$C108))</f>
        <v>91</v>
      </c>
      <c r="C108" s="34">
        <v>46189</v>
      </c>
      <c r="D108" s="35">
        <v>0.51041666666666696</v>
      </c>
      <c r="E108" s="36" t="s">
        <v>58</v>
      </c>
      <c r="F108" s="37" t="str">
        <f>IF($E108="","",IFERROR(INDEX(Stammdaten!$D$22:$D$31,MATCH($E108,Stammdaten!$C$22:$C$31,0)),"?"))</f>
        <v>Warmhaltung</v>
      </c>
      <c r="G108" s="38">
        <f>IF($E108="","",IFERROR(INDEX(Stammdaten!$F$22:$F$31,MATCH($E108,Stammdaten!$C$22:$C$31,0)),""))</f>
        <v>65</v>
      </c>
      <c r="H108" s="38">
        <f>IF($E108="","",IFERROR(INDEX(Stammdaten!$G$22:$G$31,MATCH($E108,Stammdaten!$C$22:$C$31,0)),""))</f>
        <v>85</v>
      </c>
      <c r="I108" s="39">
        <v>68.099999999999994</v>
      </c>
      <c r="J108" s="40">
        <f t="shared" si="6"/>
        <v>0</v>
      </c>
      <c r="K108" s="41" t="str">
        <f t="shared" si="7"/>
        <v>OK</v>
      </c>
      <c r="L108" s="42" t="str">
        <f t="shared" si="8"/>
        <v>Nein</v>
      </c>
      <c r="M108" s="43"/>
      <c r="N108" s="44"/>
      <c r="O108" s="44" t="s">
        <v>59</v>
      </c>
      <c r="P108" s="45"/>
    </row>
    <row r="109" spans="2:16" ht="15" customHeight="1" x14ac:dyDescent="0.25">
      <c r="B109" s="33">
        <f>IF($C109="","",COUNTA($C$18:$C109))</f>
        <v>92</v>
      </c>
      <c r="C109" s="34">
        <v>46190</v>
      </c>
      <c r="D109" s="35">
        <v>0.33333333333333298</v>
      </c>
      <c r="E109" s="36" t="s">
        <v>49</v>
      </c>
      <c r="F109" s="37" t="str">
        <f>IF($E109="","",IFERROR(INDEX(Stammdaten!$D$22:$D$31,MATCH($E109,Stammdaten!$C$22:$C$31,0)),"?"))</f>
        <v>Kühlung</v>
      </c>
      <c r="G109" s="38">
        <f>IF($E109="","",IFERROR(INDEX(Stammdaten!$F$22:$F$31,MATCH($E109,Stammdaten!$C$22:$C$31,0)),""))</f>
        <v>2</v>
      </c>
      <c r="H109" s="38">
        <f>IF($E109="","",IFERROR(INDEX(Stammdaten!$G$22:$G$31,MATCH($E109,Stammdaten!$C$22:$C$31,0)),""))</f>
        <v>7</v>
      </c>
      <c r="I109" s="39">
        <v>4.2</v>
      </c>
      <c r="J109" s="40">
        <f t="shared" si="6"/>
        <v>0</v>
      </c>
      <c r="K109" s="41" t="str">
        <f t="shared" si="7"/>
        <v>OK</v>
      </c>
      <c r="L109" s="42" t="str">
        <f t="shared" si="8"/>
        <v>Nein</v>
      </c>
      <c r="M109" s="43"/>
      <c r="N109" s="44"/>
      <c r="O109" s="44" t="s">
        <v>52</v>
      </c>
      <c r="P109" s="45"/>
    </row>
    <row r="110" spans="2:16" ht="15" customHeight="1" x14ac:dyDescent="0.25">
      <c r="B110" s="33">
        <f>IF($C110="","",COUNTA($C$18:$C110))</f>
        <v>93</v>
      </c>
      <c r="C110" s="34">
        <v>46190</v>
      </c>
      <c r="D110" s="35">
        <v>0.34375</v>
      </c>
      <c r="E110" s="36" t="s">
        <v>51</v>
      </c>
      <c r="F110" s="37" t="str">
        <f>IF($E110="","",IFERROR(INDEX(Stammdaten!$D$22:$D$31,MATCH($E110,Stammdaten!$C$22:$C$31,0)),"?"))</f>
        <v>Kühlung</v>
      </c>
      <c r="G110" s="38">
        <f>IF($E110="","",IFERROR(INDEX(Stammdaten!$F$22:$F$31,MATCH($E110,Stammdaten!$C$22:$C$31,0)),""))</f>
        <v>0</v>
      </c>
      <c r="H110" s="38">
        <f>IF($E110="","",IFERROR(INDEX(Stammdaten!$G$22:$G$31,MATCH($E110,Stammdaten!$C$22:$C$31,0)),""))</f>
        <v>6</v>
      </c>
      <c r="I110" s="39">
        <v>6.7</v>
      </c>
      <c r="J110" s="40">
        <f t="shared" si="6"/>
        <v>0.7</v>
      </c>
      <c r="K110" s="41" t="str">
        <f t="shared" si="7"/>
        <v>Zu hoch</v>
      </c>
      <c r="L110" s="42" t="str">
        <f t="shared" si="8"/>
        <v>Ja</v>
      </c>
      <c r="M110" s="43" t="s">
        <v>63</v>
      </c>
      <c r="N110" s="44" t="s">
        <v>61</v>
      </c>
      <c r="O110" s="44" t="s">
        <v>54</v>
      </c>
      <c r="P110" s="45"/>
    </row>
    <row r="111" spans="2:16" ht="15" customHeight="1" x14ac:dyDescent="0.25">
      <c r="B111" s="33">
        <f>IF($C111="","",COUNTA($C$18:$C111))</f>
        <v>94</v>
      </c>
      <c r="C111" s="34">
        <v>46190</v>
      </c>
      <c r="D111" s="35">
        <v>0.35416666666666702</v>
      </c>
      <c r="E111" s="36" t="s">
        <v>53</v>
      </c>
      <c r="F111" s="37" t="str">
        <f>IF($E111="","",IFERROR(INDEX(Stammdaten!$D$22:$D$31,MATCH($E111,Stammdaten!$C$22:$C$31,0)),"?"))</f>
        <v>Tiefkühlung</v>
      </c>
      <c r="G111" s="38">
        <f>IF($E111="","",IFERROR(INDEX(Stammdaten!$F$22:$F$31,MATCH($E111,Stammdaten!$C$22:$C$31,0)),""))</f>
        <v>-24</v>
      </c>
      <c r="H111" s="38">
        <f>IF($E111="","",IFERROR(INDEX(Stammdaten!$G$22:$G$31,MATCH($E111,Stammdaten!$C$22:$C$31,0)),""))</f>
        <v>-18</v>
      </c>
      <c r="I111" s="39">
        <v>-18.8</v>
      </c>
      <c r="J111" s="40">
        <f t="shared" si="6"/>
        <v>0</v>
      </c>
      <c r="K111" s="41" t="str">
        <f t="shared" si="7"/>
        <v>OK</v>
      </c>
      <c r="L111" s="42" t="str">
        <f t="shared" si="8"/>
        <v>Nein</v>
      </c>
      <c r="M111" s="43"/>
      <c r="N111" s="44"/>
      <c r="O111" s="44" t="s">
        <v>59</v>
      </c>
      <c r="P111" s="45"/>
    </row>
    <row r="112" spans="2:16" ht="15" customHeight="1" x14ac:dyDescent="0.25">
      <c r="B112" s="33">
        <f>IF($C112="","",COUNTA($C$18:$C112))</f>
        <v>95</v>
      </c>
      <c r="C112" s="34">
        <v>46190</v>
      </c>
      <c r="D112" s="35">
        <v>0.375</v>
      </c>
      <c r="E112" s="36" t="s">
        <v>55</v>
      </c>
      <c r="F112" s="37" t="str">
        <f>IF($E112="","",IFERROR(INDEX(Stammdaten!$D$22:$D$31,MATCH($E112,Stammdaten!$C$22:$C$31,0)),"?"))</f>
        <v>Lagerung</v>
      </c>
      <c r="G112" s="38">
        <f>IF($E112="","",IFERROR(INDEX(Stammdaten!$F$22:$F$31,MATCH($E112,Stammdaten!$C$22:$C$31,0)),""))</f>
        <v>10</v>
      </c>
      <c r="H112" s="38">
        <f>IF($E112="","",IFERROR(INDEX(Stammdaten!$G$22:$G$31,MATCH($E112,Stammdaten!$C$22:$C$31,0)),""))</f>
        <v>20</v>
      </c>
      <c r="I112" s="39">
        <v>16.7</v>
      </c>
      <c r="J112" s="40">
        <f t="shared" si="6"/>
        <v>0</v>
      </c>
      <c r="K112" s="41" t="str">
        <f t="shared" si="7"/>
        <v>OK</v>
      </c>
      <c r="L112" s="42" t="str">
        <f t="shared" si="8"/>
        <v>Nein</v>
      </c>
      <c r="M112" s="43"/>
      <c r="N112" s="44"/>
      <c r="O112" s="44" t="s">
        <v>52</v>
      </c>
      <c r="P112" s="45"/>
    </row>
    <row r="113" spans="2:16" ht="15" customHeight="1" x14ac:dyDescent="0.25">
      <c r="B113" s="33">
        <f>IF($C113="","",COUNTA($C$18:$C113))</f>
        <v>96</v>
      </c>
      <c r="C113" s="34">
        <v>46190</v>
      </c>
      <c r="D113" s="35">
        <v>0.44791666666666702</v>
      </c>
      <c r="E113" s="36" t="s">
        <v>56</v>
      </c>
      <c r="F113" s="37" t="str">
        <f>IF($E113="","",IFERROR(INDEX(Stammdaten!$D$22:$D$31,MATCH($E113,Stammdaten!$C$22:$C$31,0)),"?"))</f>
        <v>Wareneingang</v>
      </c>
      <c r="G113" s="38">
        <f>IF($E113="","",IFERROR(INDEX(Stammdaten!$F$22:$F$31,MATCH($E113,Stammdaten!$C$22:$C$31,0)),""))</f>
        <v>0</v>
      </c>
      <c r="H113" s="38">
        <f>IF($E113="","",IFERROR(INDEX(Stammdaten!$G$22:$G$31,MATCH($E113,Stammdaten!$C$22:$C$31,0)),""))</f>
        <v>7</v>
      </c>
      <c r="I113" s="39">
        <v>3.2</v>
      </c>
      <c r="J113" s="40">
        <f t="shared" si="6"/>
        <v>0</v>
      </c>
      <c r="K113" s="41" t="str">
        <f t="shared" si="7"/>
        <v>OK</v>
      </c>
      <c r="L113" s="42" t="str">
        <f t="shared" si="8"/>
        <v>Nein</v>
      </c>
      <c r="M113" s="43"/>
      <c r="N113" s="44"/>
      <c r="O113" s="44" t="s">
        <v>50</v>
      </c>
      <c r="P113" s="45"/>
    </row>
    <row r="114" spans="2:16" ht="15" customHeight="1" x14ac:dyDescent="0.25">
      <c r="B114" s="33">
        <f>IF($C114="","",COUNTA($C$18:$C114))</f>
        <v>97</v>
      </c>
      <c r="C114" s="34">
        <v>46190</v>
      </c>
      <c r="D114" s="35">
        <v>0.51041666666666696</v>
      </c>
      <c r="E114" s="36" t="s">
        <v>58</v>
      </c>
      <c r="F114" s="37" t="str">
        <f>IF($E114="","",IFERROR(INDEX(Stammdaten!$D$22:$D$31,MATCH($E114,Stammdaten!$C$22:$C$31,0)),"?"))</f>
        <v>Warmhaltung</v>
      </c>
      <c r="G114" s="38">
        <f>IF($E114="","",IFERROR(INDEX(Stammdaten!$F$22:$F$31,MATCH($E114,Stammdaten!$C$22:$C$31,0)),""))</f>
        <v>65</v>
      </c>
      <c r="H114" s="38">
        <f>IF($E114="","",IFERROR(INDEX(Stammdaten!$G$22:$G$31,MATCH($E114,Stammdaten!$C$22:$C$31,0)),""))</f>
        <v>85</v>
      </c>
      <c r="I114" s="39">
        <v>67.599999999999994</v>
      </c>
      <c r="J114" s="40">
        <f t="shared" ref="J114:J145" si="9">IF($I114="","",IF($G114="","",IF($I114&lt;$G114,ROUND($I114-$G114,1),IF($I114&gt;$H114,ROUND($I114-$H114,1),0))))</f>
        <v>0</v>
      </c>
      <c r="K114" s="41" t="str">
        <f t="shared" ref="K114:K145" si="10">IF($I114="","",IF($J114="","",IF(ABS($J114)&gt;Toleranz_kritisch,"Kritisch",IF($J114&lt;0,"Zu niedrig",IF($J114&gt;0,"Zu hoch","OK")))))</f>
        <v>OK</v>
      </c>
      <c r="L114" s="42" t="str">
        <f t="shared" ref="L114:L145" si="11">IF($K114="","",IF($K114="OK","Nein","Ja"))</f>
        <v>Nein</v>
      </c>
      <c r="M114" s="43"/>
      <c r="N114" s="44"/>
      <c r="O114" s="44" t="s">
        <v>57</v>
      </c>
      <c r="P114" s="45"/>
    </row>
    <row r="115" spans="2:16" ht="15" customHeight="1" x14ac:dyDescent="0.25">
      <c r="B115" s="33">
        <f>IF($C115="","",COUNTA($C$18:$C115))</f>
        <v>98</v>
      </c>
      <c r="C115" s="34">
        <v>46191</v>
      </c>
      <c r="D115" s="35">
        <v>0.33333333333333298</v>
      </c>
      <c r="E115" s="36" t="s">
        <v>49</v>
      </c>
      <c r="F115" s="37" t="str">
        <f>IF($E115="","",IFERROR(INDEX(Stammdaten!$D$22:$D$31,MATCH($E115,Stammdaten!$C$22:$C$31,0)),"?"))</f>
        <v>Kühlung</v>
      </c>
      <c r="G115" s="38">
        <f>IF($E115="","",IFERROR(INDEX(Stammdaten!$F$22:$F$31,MATCH($E115,Stammdaten!$C$22:$C$31,0)),""))</f>
        <v>2</v>
      </c>
      <c r="H115" s="38">
        <f>IF($E115="","",IFERROR(INDEX(Stammdaten!$G$22:$G$31,MATCH($E115,Stammdaten!$C$22:$C$31,0)),""))</f>
        <v>7</v>
      </c>
      <c r="I115" s="39">
        <v>4.5999999999999996</v>
      </c>
      <c r="J115" s="40">
        <f t="shared" si="9"/>
        <v>0</v>
      </c>
      <c r="K115" s="41" t="str">
        <f t="shared" si="10"/>
        <v>OK</v>
      </c>
      <c r="L115" s="42" t="str">
        <f t="shared" si="11"/>
        <v>Nein</v>
      </c>
      <c r="M115" s="43"/>
      <c r="N115" s="44"/>
      <c r="O115" s="44" t="s">
        <v>54</v>
      </c>
      <c r="P115" s="45"/>
    </row>
    <row r="116" spans="2:16" ht="15" customHeight="1" x14ac:dyDescent="0.25">
      <c r="B116" s="33">
        <f>IF($C116="","",COUNTA($C$18:$C116))</f>
        <v>99</v>
      </c>
      <c r="C116" s="34">
        <v>46191</v>
      </c>
      <c r="D116" s="35">
        <v>0.34375</v>
      </c>
      <c r="E116" s="36" t="s">
        <v>51</v>
      </c>
      <c r="F116" s="37" t="str">
        <f>IF($E116="","",IFERROR(INDEX(Stammdaten!$D$22:$D$31,MATCH($E116,Stammdaten!$C$22:$C$31,0)),"?"))</f>
        <v>Kühlung</v>
      </c>
      <c r="G116" s="38">
        <f>IF($E116="","",IFERROR(INDEX(Stammdaten!$F$22:$F$31,MATCH($E116,Stammdaten!$C$22:$C$31,0)),""))</f>
        <v>0</v>
      </c>
      <c r="H116" s="38">
        <f>IF($E116="","",IFERROR(INDEX(Stammdaten!$G$22:$G$31,MATCH($E116,Stammdaten!$C$22:$C$31,0)),""))</f>
        <v>6</v>
      </c>
      <c r="I116" s="39">
        <v>3.5</v>
      </c>
      <c r="J116" s="40">
        <f t="shared" si="9"/>
        <v>0</v>
      </c>
      <c r="K116" s="41" t="str">
        <f t="shared" si="10"/>
        <v>OK</v>
      </c>
      <c r="L116" s="42" t="str">
        <f t="shared" si="11"/>
        <v>Nein</v>
      </c>
      <c r="M116" s="43"/>
      <c r="N116" s="44"/>
      <c r="O116" s="44" t="s">
        <v>59</v>
      </c>
      <c r="P116" s="45"/>
    </row>
    <row r="117" spans="2:16" ht="15" customHeight="1" x14ac:dyDescent="0.25">
      <c r="B117" s="33">
        <f>IF($C117="","",COUNTA($C$18:$C117))</f>
        <v>100</v>
      </c>
      <c r="C117" s="34">
        <v>46191</v>
      </c>
      <c r="D117" s="35">
        <v>0.35416666666666702</v>
      </c>
      <c r="E117" s="36" t="s">
        <v>53</v>
      </c>
      <c r="F117" s="37" t="str">
        <f>IF($E117="","",IFERROR(INDEX(Stammdaten!$D$22:$D$31,MATCH($E117,Stammdaten!$C$22:$C$31,0)),"?"))</f>
        <v>Tiefkühlung</v>
      </c>
      <c r="G117" s="38">
        <f>IF($E117="","",IFERROR(INDEX(Stammdaten!$F$22:$F$31,MATCH($E117,Stammdaten!$C$22:$C$31,0)),""))</f>
        <v>-24</v>
      </c>
      <c r="H117" s="38">
        <f>IF($E117="","",IFERROR(INDEX(Stammdaten!$G$22:$G$31,MATCH($E117,Stammdaten!$C$22:$C$31,0)),""))</f>
        <v>-18</v>
      </c>
      <c r="I117" s="39">
        <v>-21.3</v>
      </c>
      <c r="J117" s="40">
        <f t="shared" si="9"/>
        <v>0</v>
      </c>
      <c r="K117" s="41" t="str">
        <f t="shared" si="10"/>
        <v>OK</v>
      </c>
      <c r="L117" s="42" t="str">
        <f t="shared" si="11"/>
        <v>Nein</v>
      </c>
      <c r="M117" s="43"/>
      <c r="N117" s="44"/>
      <c r="O117" s="44" t="s">
        <v>57</v>
      </c>
      <c r="P117" s="45"/>
    </row>
    <row r="118" spans="2:16" ht="15" customHeight="1" x14ac:dyDescent="0.25">
      <c r="B118" s="33">
        <f>IF($C118="","",COUNTA($C$18:$C118))</f>
        <v>101</v>
      </c>
      <c r="C118" s="34">
        <v>46191</v>
      </c>
      <c r="D118" s="35">
        <v>0.375</v>
      </c>
      <c r="E118" s="36" t="s">
        <v>55</v>
      </c>
      <c r="F118" s="37" t="str">
        <f>IF($E118="","",IFERROR(INDEX(Stammdaten!$D$22:$D$31,MATCH($E118,Stammdaten!$C$22:$C$31,0)),"?"))</f>
        <v>Lagerung</v>
      </c>
      <c r="G118" s="38">
        <f>IF($E118="","",IFERROR(INDEX(Stammdaten!$F$22:$F$31,MATCH($E118,Stammdaten!$C$22:$C$31,0)),""))</f>
        <v>10</v>
      </c>
      <c r="H118" s="38">
        <f>IF($E118="","",IFERROR(INDEX(Stammdaten!$G$22:$G$31,MATCH($E118,Stammdaten!$C$22:$C$31,0)),""))</f>
        <v>20</v>
      </c>
      <c r="I118" s="39">
        <v>15.9</v>
      </c>
      <c r="J118" s="40">
        <f t="shared" si="9"/>
        <v>0</v>
      </c>
      <c r="K118" s="41" t="str">
        <f t="shared" si="10"/>
        <v>OK</v>
      </c>
      <c r="L118" s="42" t="str">
        <f t="shared" si="11"/>
        <v>Nein</v>
      </c>
      <c r="M118" s="43"/>
      <c r="N118" s="44"/>
      <c r="O118" s="44" t="s">
        <v>54</v>
      </c>
      <c r="P118" s="45"/>
    </row>
    <row r="119" spans="2:16" ht="15" customHeight="1" x14ac:dyDescent="0.25">
      <c r="B119" s="33">
        <f>IF($C119="","",COUNTA($C$18:$C119))</f>
        <v>102</v>
      </c>
      <c r="C119" s="34">
        <v>46191</v>
      </c>
      <c r="D119" s="35">
        <v>0.44791666666666702</v>
      </c>
      <c r="E119" s="36" t="s">
        <v>56</v>
      </c>
      <c r="F119" s="37" t="str">
        <f>IF($E119="","",IFERROR(INDEX(Stammdaten!$D$22:$D$31,MATCH($E119,Stammdaten!$C$22:$C$31,0)),"?"))</f>
        <v>Wareneingang</v>
      </c>
      <c r="G119" s="38">
        <f>IF($E119="","",IFERROR(INDEX(Stammdaten!$F$22:$F$31,MATCH($E119,Stammdaten!$C$22:$C$31,0)),""))</f>
        <v>0</v>
      </c>
      <c r="H119" s="38">
        <f>IF($E119="","",IFERROR(INDEX(Stammdaten!$G$22:$G$31,MATCH($E119,Stammdaten!$C$22:$C$31,0)),""))</f>
        <v>7</v>
      </c>
      <c r="I119" s="39">
        <v>4.2</v>
      </c>
      <c r="J119" s="40">
        <f t="shared" si="9"/>
        <v>0</v>
      </c>
      <c r="K119" s="41" t="str">
        <f t="shared" si="10"/>
        <v>OK</v>
      </c>
      <c r="L119" s="42" t="str">
        <f t="shared" si="11"/>
        <v>Nein</v>
      </c>
      <c r="M119" s="43"/>
      <c r="N119" s="44"/>
      <c r="O119" s="44" t="s">
        <v>52</v>
      </c>
      <c r="P119" s="45"/>
    </row>
    <row r="120" spans="2:16" ht="15" customHeight="1" x14ac:dyDescent="0.25">
      <c r="B120" s="33">
        <f>IF($C120="","",COUNTA($C$18:$C120))</f>
        <v>103</v>
      </c>
      <c r="C120" s="34">
        <v>46191</v>
      </c>
      <c r="D120" s="35">
        <v>0.51041666666666696</v>
      </c>
      <c r="E120" s="36" t="s">
        <v>58</v>
      </c>
      <c r="F120" s="37" t="str">
        <f>IF($E120="","",IFERROR(INDEX(Stammdaten!$D$22:$D$31,MATCH($E120,Stammdaten!$C$22:$C$31,0)),"?"))</f>
        <v>Warmhaltung</v>
      </c>
      <c r="G120" s="38">
        <f>IF($E120="","",IFERROR(INDEX(Stammdaten!$F$22:$F$31,MATCH($E120,Stammdaten!$C$22:$C$31,0)),""))</f>
        <v>65</v>
      </c>
      <c r="H120" s="38">
        <f>IF($E120="","",IFERROR(INDEX(Stammdaten!$G$22:$G$31,MATCH($E120,Stammdaten!$C$22:$C$31,0)),""))</f>
        <v>85</v>
      </c>
      <c r="I120" s="39">
        <v>67.599999999999994</v>
      </c>
      <c r="J120" s="40">
        <f t="shared" si="9"/>
        <v>0</v>
      </c>
      <c r="K120" s="41" t="str">
        <f t="shared" si="10"/>
        <v>OK</v>
      </c>
      <c r="L120" s="42" t="str">
        <f t="shared" si="11"/>
        <v>Nein</v>
      </c>
      <c r="M120" s="43"/>
      <c r="N120" s="44"/>
      <c r="O120" s="44" t="s">
        <v>50</v>
      </c>
      <c r="P120" s="45"/>
    </row>
    <row r="121" spans="2:16" ht="15" customHeight="1" x14ac:dyDescent="0.25">
      <c r="B121" s="33">
        <f>IF($C121="","",COUNTA($C$18:$C121))</f>
        <v>104</v>
      </c>
      <c r="C121" s="34">
        <v>46192</v>
      </c>
      <c r="D121" s="35">
        <v>0.33333333333333298</v>
      </c>
      <c r="E121" s="36" t="s">
        <v>49</v>
      </c>
      <c r="F121" s="37" t="str">
        <f>IF($E121="","",IFERROR(INDEX(Stammdaten!$D$22:$D$31,MATCH($E121,Stammdaten!$C$22:$C$31,0)),"?"))</f>
        <v>Kühlung</v>
      </c>
      <c r="G121" s="38">
        <f>IF($E121="","",IFERROR(INDEX(Stammdaten!$F$22:$F$31,MATCH($E121,Stammdaten!$C$22:$C$31,0)),""))</f>
        <v>2</v>
      </c>
      <c r="H121" s="38">
        <f>IF($E121="","",IFERROR(INDEX(Stammdaten!$G$22:$G$31,MATCH($E121,Stammdaten!$C$22:$C$31,0)),""))</f>
        <v>7</v>
      </c>
      <c r="I121" s="39">
        <v>4.2</v>
      </c>
      <c r="J121" s="40">
        <f t="shared" si="9"/>
        <v>0</v>
      </c>
      <c r="K121" s="41" t="str">
        <f t="shared" si="10"/>
        <v>OK</v>
      </c>
      <c r="L121" s="42" t="str">
        <f t="shared" si="11"/>
        <v>Nein</v>
      </c>
      <c r="M121" s="43"/>
      <c r="N121" s="44"/>
      <c r="O121" s="44" t="s">
        <v>59</v>
      </c>
      <c r="P121" s="45"/>
    </row>
    <row r="122" spans="2:16" ht="15" customHeight="1" x14ac:dyDescent="0.25">
      <c r="B122" s="33">
        <f>IF($C122="","",COUNTA($C$18:$C122))</f>
        <v>105</v>
      </c>
      <c r="C122" s="34">
        <v>46192</v>
      </c>
      <c r="D122" s="35">
        <v>0.34375</v>
      </c>
      <c r="E122" s="36" t="s">
        <v>51</v>
      </c>
      <c r="F122" s="37" t="str">
        <f>IF($E122="","",IFERROR(INDEX(Stammdaten!$D$22:$D$31,MATCH($E122,Stammdaten!$C$22:$C$31,0)),"?"))</f>
        <v>Kühlung</v>
      </c>
      <c r="G122" s="38">
        <f>IF($E122="","",IFERROR(INDEX(Stammdaten!$F$22:$F$31,MATCH($E122,Stammdaten!$C$22:$C$31,0)),""))</f>
        <v>0</v>
      </c>
      <c r="H122" s="38">
        <f>IF($E122="","",IFERROR(INDEX(Stammdaten!$G$22:$G$31,MATCH($E122,Stammdaten!$C$22:$C$31,0)),""))</f>
        <v>6</v>
      </c>
      <c r="I122" s="39">
        <v>2.2999999999999998</v>
      </c>
      <c r="J122" s="40">
        <f t="shared" si="9"/>
        <v>0</v>
      </c>
      <c r="K122" s="41" t="str">
        <f t="shared" si="10"/>
        <v>OK</v>
      </c>
      <c r="L122" s="42" t="str">
        <f t="shared" si="11"/>
        <v>Nein</v>
      </c>
      <c r="M122" s="43"/>
      <c r="N122" s="44"/>
      <c r="O122" s="44" t="s">
        <v>57</v>
      </c>
      <c r="P122" s="45"/>
    </row>
    <row r="123" spans="2:16" ht="15" customHeight="1" x14ac:dyDescent="0.25">
      <c r="B123" s="33">
        <f>IF($C123="","",COUNTA($C$18:$C123))</f>
        <v>106</v>
      </c>
      <c r="C123" s="34">
        <v>46192</v>
      </c>
      <c r="D123" s="35">
        <v>0.35416666666666702</v>
      </c>
      <c r="E123" s="36" t="s">
        <v>53</v>
      </c>
      <c r="F123" s="37" t="str">
        <f>IF($E123="","",IFERROR(INDEX(Stammdaten!$D$22:$D$31,MATCH($E123,Stammdaten!$C$22:$C$31,0)),"?"))</f>
        <v>Tiefkühlung</v>
      </c>
      <c r="G123" s="38">
        <f>IF($E123="","",IFERROR(INDEX(Stammdaten!$F$22:$F$31,MATCH($E123,Stammdaten!$C$22:$C$31,0)),""))</f>
        <v>-24</v>
      </c>
      <c r="H123" s="38">
        <f>IF($E123="","",IFERROR(INDEX(Stammdaten!$G$22:$G$31,MATCH($E123,Stammdaten!$C$22:$C$31,0)),""))</f>
        <v>-18</v>
      </c>
      <c r="I123" s="39">
        <v>-19.8</v>
      </c>
      <c r="J123" s="40">
        <f t="shared" si="9"/>
        <v>0</v>
      </c>
      <c r="K123" s="41" t="str">
        <f t="shared" si="10"/>
        <v>OK</v>
      </c>
      <c r="L123" s="42" t="str">
        <f t="shared" si="11"/>
        <v>Nein</v>
      </c>
      <c r="M123" s="43"/>
      <c r="N123" s="44"/>
      <c r="O123" s="44" t="s">
        <v>50</v>
      </c>
      <c r="P123" s="45"/>
    </row>
    <row r="124" spans="2:16" ht="15" customHeight="1" x14ac:dyDescent="0.25">
      <c r="B124" s="33">
        <f>IF($C124="","",COUNTA($C$18:$C124))</f>
        <v>107</v>
      </c>
      <c r="C124" s="34">
        <v>46192</v>
      </c>
      <c r="D124" s="35">
        <v>0.375</v>
      </c>
      <c r="E124" s="36" t="s">
        <v>55</v>
      </c>
      <c r="F124" s="37" t="str">
        <f>IF($E124="","",IFERROR(INDEX(Stammdaten!$D$22:$D$31,MATCH($E124,Stammdaten!$C$22:$C$31,0)),"?"))</f>
        <v>Lagerung</v>
      </c>
      <c r="G124" s="38">
        <f>IF($E124="","",IFERROR(INDEX(Stammdaten!$F$22:$F$31,MATCH($E124,Stammdaten!$C$22:$C$31,0)),""))</f>
        <v>10</v>
      </c>
      <c r="H124" s="38">
        <f>IF($E124="","",IFERROR(INDEX(Stammdaten!$G$22:$G$31,MATCH($E124,Stammdaten!$C$22:$C$31,0)),""))</f>
        <v>20</v>
      </c>
      <c r="I124" s="39">
        <v>16.5</v>
      </c>
      <c r="J124" s="40">
        <f t="shared" si="9"/>
        <v>0</v>
      </c>
      <c r="K124" s="41" t="str">
        <f t="shared" si="10"/>
        <v>OK</v>
      </c>
      <c r="L124" s="42" t="str">
        <f t="shared" si="11"/>
        <v>Nein</v>
      </c>
      <c r="M124" s="43"/>
      <c r="N124" s="44"/>
      <c r="O124" s="44" t="s">
        <v>59</v>
      </c>
      <c r="P124" s="45"/>
    </row>
    <row r="125" spans="2:16" ht="15" customHeight="1" x14ac:dyDescent="0.25">
      <c r="B125" s="33">
        <f>IF($C125="","",COUNTA($C$18:$C125))</f>
        <v>108</v>
      </c>
      <c r="C125" s="34">
        <v>46192</v>
      </c>
      <c r="D125" s="35">
        <v>0.44791666666666702</v>
      </c>
      <c r="E125" s="36" t="s">
        <v>56</v>
      </c>
      <c r="F125" s="37" t="str">
        <f>IF($E125="","",IFERROR(INDEX(Stammdaten!$D$22:$D$31,MATCH($E125,Stammdaten!$C$22:$C$31,0)),"?"))</f>
        <v>Wareneingang</v>
      </c>
      <c r="G125" s="38">
        <f>IF($E125="","",IFERROR(INDEX(Stammdaten!$F$22:$F$31,MATCH($E125,Stammdaten!$C$22:$C$31,0)),""))</f>
        <v>0</v>
      </c>
      <c r="H125" s="38">
        <f>IF($E125="","",IFERROR(INDEX(Stammdaten!$G$22:$G$31,MATCH($E125,Stammdaten!$C$22:$C$31,0)),""))</f>
        <v>7</v>
      </c>
      <c r="I125" s="39">
        <v>4.0999999999999996</v>
      </c>
      <c r="J125" s="40">
        <f t="shared" si="9"/>
        <v>0</v>
      </c>
      <c r="K125" s="41" t="str">
        <f t="shared" si="10"/>
        <v>OK</v>
      </c>
      <c r="L125" s="42" t="str">
        <f t="shared" si="11"/>
        <v>Nein</v>
      </c>
      <c r="M125" s="43"/>
      <c r="N125" s="44"/>
      <c r="O125" s="44" t="s">
        <v>54</v>
      </c>
      <c r="P125" s="45"/>
    </row>
    <row r="126" spans="2:16" ht="15" customHeight="1" x14ac:dyDescent="0.25">
      <c r="B126" s="33">
        <f>IF($C126="","",COUNTA($C$18:$C126))</f>
        <v>109</v>
      </c>
      <c r="C126" s="34">
        <v>46192</v>
      </c>
      <c r="D126" s="35">
        <v>0.51041666666666696</v>
      </c>
      <c r="E126" s="36" t="s">
        <v>58</v>
      </c>
      <c r="F126" s="37" t="str">
        <f>IF($E126="","",IFERROR(INDEX(Stammdaten!$D$22:$D$31,MATCH($E126,Stammdaten!$C$22:$C$31,0)),"?"))</f>
        <v>Warmhaltung</v>
      </c>
      <c r="G126" s="38">
        <f>IF($E126="","",IFERROR(INDEX(Stammdaten!$F$22:$F$31,MATCH($E126,Stammdaten!$C$22:$C$31,0)),""))</f>
        <v>65</v>
      </c>
      <c r="H126" s="38">
        <f>IF($E126="","",IFERROR(INDEX(Stammdaten!$G$22:$G$31,MATCH($E126,Stammdaten!$C$22:$C$31,0)),""))</f>
        <v>85</v>
      </c>
      <c r="I126" s="39">
        <v>61</v>
      </c>
      <c r="J126" s="40">
        <f t="shared" si="9"/>
        <v>-4</v>
      </c>
      <c r="K126" s="41" t="str">
        <f t="shared" si="10"/>
        <v>Kritisch</v>
      </c>
      <c r="L126" s="42" t="str">
        <f t="shared" si="11"/>
        <v>Ja</v>
      </c>
      <c r="M126" s="43" t="s">
        <v>69</v>
      </c>
      <c r="N126" s="44" t="s">
        <v>70</v>
      </c>
      <c r="O126" s="44" t="s">
        <v>52</v>
      </c>
      <c r="P126" s="45" t="s">
        <v>71</v>
      </c>
    </row>
    <row r="127" spans="2:16" ht="15" customHeight="1" x14ac:dyDescent="0.25">
      <c r="B127" s="33">
        <f>IF($C127="","",COUNTA($C$18:$C127))</f>
        <v>110</v>
      </c>
      <c r="C127" s="34">
        <v>46192</v>
      </c>
      <c r="D127" s="35">
        <v>0.60416666666666696</v>
      </c>
      <c r="E127" s="36" t="s">
        <v>58</v>
      </c>
      <c r="F127" s="37" t="str">
        <f>IF($E127="","",IFERROR(INDEX(Stammdaten!$D$22:$D$31,MATCH($E127,Stammdaten!$C$22:$C$31,0)),"?"))</f>
        <v>Warmhaltung</v>
      </c>
      <c r="G127" s="38">
        <f>IF($E127="","",IFERROR(INDEX(Stammdaten!$F$22:$F$31,MATCH($E127,Stammdaten!$C$22:$C$31,0)),""))</f>
        <v>65</v>
      </c>
      <c r="H127" s="38">
        <f>IF($E127="","",IFERROR(INDEX(Stammdaten!$G$22:$G$31,MATCH($E127,Stammdaten!$C$22:$C$31,0)),""))</f>
        <v>85</v>
      </c>
      <c r="I127" s="39">
        <v>69.400000000000006</v>
      </c>
      <c r="J127" s="40">
        <f t="shared" si="9"/>
        <v>0</v>
      </c>
      <c r="K127" s="41" t="str">
        <f t="shared" si="10"/>
        <v>OK</v>
      </c>
      <c r="L127" s="42" t="str">
        <f t="shared" si="11"/>
        <v>Nein</v>
      </c>
      <c r="M127" s="43" t="s">
        <v>72</v>
      </c>
      <c r="N127" s="44" t="s">
        <v>61</v>
      </c>
      <c r="O127" s="44" t="s">
        <v>52</v>
      </c>
      <c r="P127" s="45" t="s">
        <v>73</v>
      </c>
    </row>
    <row r="128" spans="2:16" ht="15" customHeight="1" x14ac:dyDescent="0.25">
      <c r="B128" s="33">
        <f>IF($C128="","",COUNTA($C$18:$C128))</f>
        <v>111</v>
      </c>
      <c r="C128" s="34">
        <v>46193</v>
      </c>
      <c r="D128" s="35">
        <v>0.33333333333333298</v>
      </c>
      <c r="E128" s="36" t="s">
        <v>49</v>
      </c>
      <c r="F128" s="37" t="str">
        <f>IF($E128="","",IFERROR(INDEX(Stammdaten!$D$22:$D$31,MATCH($E128,Stammdaten!$C$22:$C$31,0)),"?"))</f>
        <v>Kühlung</v>
      </c>
      <c r="G128" s="38">
        <f>IF($E128="","",IFERROR(INDEX(Stammdaten!$F$22:$F$31,MATCH($E128,Stammdaten!$C$22:$C$31,0)),""))</f>
        <v>2</v>
      </c>
      <c r="H128" s="38">
        <f>IF($E128="","",IFERROR(INDEX(Stammdaten!$G$22:$G$31,MATCH($E128,Stammdaten!$C$22:$C$31,0)),""))</f>
        <v>7</v>
      </c>
      <c r="I128" s="39">
        <v>4.3</v>
      </c>
      <c r="J128" s="40">
        <f t="shared" si="9"/>
        <v>0</v>
      </c>
      <c r="K128" s="41" t="str">
        <f t="shared" si="10"/>
        <v>OK</v>
      </c>
      <c r="L128" s="42" t="str">
        <f t="shared" si="11"/>
        <v>Nein</v>
      </c>
      <c r="M128" s="43"/>
      <c r="N128" s="44"/>
      <c r="O128" s="44" t="s">
        <v>57</v>
      </c>
      <c r="P128" s="45"/>
    </row>
    <row r="129" spans="2:16" ht="15" customHeight="1" x14ac:dyDescent="0.25">
      <c r="B129" s="33">
        <f>IF($C129="","",COUNTA($C$18:$C129))</f>
        <v>112</v>
      </c>
      <c r="C129" s="34">
        <v>46193</v>
      </c>
      <c r="D129" s="35">
        <v>0.34375</v>
      </c>
      <c r="E129" s="36" t="s">
        <v>51</v>
      </c>
      <c r="F129" s="37" t="str">
        <f>IF($E129="","",IFERROR(INDEX(Stammdaten!$D$22:$D$31,MATCH($E129,Stammdaten!$C$22:$C$31,0)),"?"))</f>
        <v>Kühlung</v>
      </c>
      <c r="G129" s="38">
        <f>IF($E129="","",IFERROR(INDEX(Stammdaten!$F$22:$F$31,MATCH($E129,Stammdaten!$C$22:$C$31,0)),""))</f>
        <v>0</v>
      </c>
      <c r="H129" s="38">
        <f>IF($E129="","",IFERROR(INDEX(Stammdaten!$G$22:$G$31,MATCH($E129,Stammdaten!$C$22:$C$31,0)),""))</f>
        <v>6</v>
      </c>
      <c r="I129" s="39">
        <v>2.2999999999999998</v>
      </c>
      <c r="J129" s="40">
        <f t="shared" si="9"/>
        <v>0</v>
      </c>
      <c r="K129" s="41" t="str">
        <f t="shared" si="10"/>
        <v>OK</v>
      </c>
      <c r="L129" s="42" t="str">
        <f t="shared" si="11"/>
        <v>Nein</v>
      </c>
      <c r="M129" s="43"/>
      <c r="N129" s="44"/>
      <c r="O129" s="44" t="s">
        <v>50</v>
      </c>
      <c r="P129" s="45"/>
    </row>
    <row r="130" spans="2:16" ht="15" customHeight="1" x14ac:dyDescent="0.25">
      <c r="B130" s="33">
        <f>IF($C130="","",COUNTA($C$18:$C130))</f>
        <v>113</v>
      </c>
      <c r="C130" s="34">
        <v>46193</v>
      </c>
      <c r="D130" s="35">
        <v>0.35416666666666702</v>
      </c>
      <c r="E130" s="36" t="s">
        <v>53</v>
      </c>
      <c r="F130" s="37" t="str">
        <f>IF($E130="","",IFERROR(INDEX(Stammdaten!$D$22:$D$31,MATCH($E130,Stammdaten!$C$22:$C$31,0)),"?"))</f>
        <v>Tiefkühlung</v>
      </c>
      <c r="G130" s="38">
        <f>IF($E130="","",IFERROR(INDEX(Stammdaten!$F$22:$F$31,MATCH($E130,Stammdaten!$C$22:$C$31,0)),""))</f>
        <v>-24</v>
      </c>
      <c r="H130" s="38">
        <f>IF($E130="","",IFERROR(INDEX(Stammdaten!$G$22:$G$31,MATCH($E130,Stammdaten!$C$22:$C$31,0)),""))</f>
        <v>-18</v>
      </c>
      <c r="I130" s="39">
        <v>-20.9</v>
      </c>
      <c r="J130" s="40">
        <f t="shared" si="9"/>
        <v>0</v>
      </c>
      <c r="K130" s="41" t="str">
        <f t="shared" si="10"/>
        <v>OK</v>
      </c>
      <c r="L130" s="42" t="str">
        <f t="shared" si="11"/>
        <v>Nein</v>
      </c>
      <c r="M130" s="43"/>
      <c r="N130" s="44"/>
      <c r="O130" s="44" t="s">
        <v>52</v>
      </c>
      <c r="P130" s="45"/>
    </row>
    <row r="131" spans="2:16" ht="15" customHeight="1" x14ac:dyDescent="0.25">
      <c r="B131" s="33">
        <f>IF($C131="","",COUNTA($C$18:$C131))</f>
        <v>114</v>
      </c>
      <c r="C131" s="34">
        <v>46193</v>
      </c>
      <c r="D131" s="35">
        <v>0.375</v>
      </c>
      <c r="E131" s="36" t="s">
        <v>55</v>
      </c>
      <c r="F131" s="37" t="str">
        <f>IF($E131="","",IFERROR(INDEX(Stammdaten!$D$22:$D$31,MATCH($E131,Stammdaten!$C$22:$C$31,0)),"?"))</f>
        <v>Lagerung</v>
      </c>
      <c r="G131" s="38">
        <f>IF($E131="","",IFERROR(INDEX(Stammdaten!$F$22:$F$31,MATCH($E131,Stammdaten!$C$22:$C$31,0)),""))</f>
        <v>10</v>
      </c>
      <c r="H131" s="38">
        <f>IF($E131="","",IFERROR(INDEX(Stammdaten!$G$22:$G$31,MATCH($E131,Stammdaten!$C$22:$C$31,0)),""))</f>
        <v>20</v>
      </c>
      <c r="I131" s="39">
        <v>15.6</v>
      </c>
      <c r="J131" s="40">
        <f t="shared" si="9"/>
        <v>0</v>
      </c>
      <c r="K131" s="41" t="str">
        <f t="shared" si="10"/>
        <v>OK</v>
      </c>
      <c r="L131" s="42" t="str">
        <f t="shared" si="11"/>
        <v>Nein</v>
      </c>
      <c r="M131" s="43"/>
      <c r="N131" s="44"/>
      <c r="O131" s="44" t="s">
        <v>57</v>
      </c>
      <c r="P131" s="45"/>
    </row>
    <row r="132" spans="2:16" ht="15" customHeight="1" x14ac:dyDescent="0.25">
      <c r="B132" s="33">
        <f>IF($C132="","",COUNTA($C$18:$C132))</f>
        <v>115</v>
      </c>
      <c r="C132" s="34">
        <v>46193</v>
      </c>
      <c r="D132" s="35">
        <v>0.51041666666666696</v>
      </c>
      <c r="E132" s="36" t="s">
        <v>58</v>
      </c>
      <c r="F132" s="37" t="str">
        <f>IF($E132="","",IFERROR(INDEX(Stammdaten!$D$22:$D$31,MATCH($E132,Stammdaten!$C$22:$C$31,0)),"?"))</f>
        <v>Warmhaltung</v>
      </c>
      <c r="G132" s="38">
        <f>IF($E132="","",IFERROR(INDEX(Stammdaten!$F$22:$F$31,MATCH($E132,Stammdaten!$C$22:$C$31,0)),""))</f>
        <v>65</v>
      </c>
      <c r="H132" s="38">
        <f>IF($E132="","",IFERROR(INDEX(Stammdaten!$G$22:$G$31,MATCH($E132,Stammdaten!$C$22:$C$31,0)),""))</f>
        <v>85</v>
      </c>
      <c r="I132" s="39">
        <v>72.2</v>
      </c>
      <c r="J132" s="40">
        <f t="shared" si="9"/>
        <v>0</v>
      </c>
      <c r="K132" s="41" t="str">
        <f t="shared" si="10"/>
        <v>OK</v>
      </c>
      <c r="L132" s="42" t="str">
        <f t="shared" si="11"/>
        <v>Nein</v>
      </c>
      <c r="M132" s="43"/>
      <c r="N132" s="44"/>
      <c r="O132" s="44" t="s">
        <v>54</v>
      </c>
      <c r="P132" s="45"/>
    </row>
    <row r="133" spans="2:16" ht="15" customHeight="1" x14ac:dyDescent="0.25">
      <c r="B133" s="33">
        <f>IF($C133="","",COUNTA($C$18:$C133))</f>
        <v>116</v>
      </c>
      <c r="C133" s="34">
        <v>46194</v>
      </c>
      <c r="D133" s="35">
        <v>0.33333333333333298</v>
      </c>
      <c r="E133" s="36" t="s">
        <v>49</v>
      </c>
      <c r="F133" s="37" t="str">
        <f>IF($E133="","",IFERROR(INDEX(Stammdaten!$D$22:$D$31,MATCH($E133,Stammdaten!$C$22:$C$31,0)),"?"))</f>
        <v>Kühlung</v>
      </c>
      <c r="G133" s="38">
        <f>IF($E133="","",IFERROR(INDEX(Stammdaten!$F$22:$F$31,MATCH($E133,Stammdaten!$C$22:$C$31,0)),""))</f>
        <v>2</v>
      </c>
      <c r="H133" s="38">
        <f>IF($E133="","",IFERROR(INDEX(Stammdaten!$G$22:$G$31,MATCH($E133,Stammdaten!$C$22:$C$31,0)),""))</f>
        <v>7</v>
      </c>
      <c r="I133" s="39">
        <v>4.2</v>
      </c>
      <c r="J133" s="40">
        <f t="shared" si="9"/>
        <v>0</v>
      </c>
      <c r="K133" s="41" t="str">
        <f t="shared" si="10"/>
        <v>OK</v>
      </c>
      <c r="L133" s="42" t="str">
        <f t="shared" si="11"/>
        <v>Nein</v>
      </c>
      <c r="M133" s="43"/>
      <c r="N133" s="44"/>
      <c r="O133" s="44" t="s">
        <v>50</v>
      </c>
      <c r="P133" s="45"/>
    </row>
    <row r="134" spans="2:16" ht="15" customHeight="1" x14ac:dyDescent="0.25">
      <c r="B134" s="33">
        <f>IF($C134="","",COUNTA($C$18:$C134))</f>
        <v>117</v>
      </c>
      <c r="C134" s="34">
        <v>46194</v>
      </c>
      <c r="D134" s="35">
        <v>0.34375</v>
      </c>
      <c r="E134" s="36" t="s">
        <v>51</v>
      </c>
      <c r="F134" s="37" t="str">
        <f>IF($E134="","",IFERROR(INDEX(Stammdaten!$D$22:$D$31,MATCH($E134,Stammdaten!$C$22:$C$31,0)),"?"))</f>
        <v>Kühlung</v>
      </c>
      <c r="G134" s="38">
        <f>IF($E134="","",IFERROR(INDEX(Stammdaten!$F$22:$F$31,MATCH($E134,Stammdaten!$C$22:$C$31,0)),""))</f>
        <v>0</v>
      </c>
      <c r="H134" s="38">
        <f>IF($E134="","",IFERROR(INDEX(Stammdaten!$G$22:$G$31,MATCH($E134,Stammdaten!$C$22:$C$31,0)),""))</f>
        <v>6</v>
      </c>
      <c r="I134" s="39">
        <v>4.5</v>
      </c>
      <c r="J134" s="40">
        <f t="shared" si="9"/>
        <v>0</v>
      </c>
      <c r="K134" s="41" t="str">
        <f t="shared" si="10"/>
        <v>OK</v>
      </c>
      <c r="L134" s="42" t="str">
        <f t="shared" si="11"/>
        <v>Nein</v>
      </c>
      <c r="M134" s="43"/>
      <c r="N134" s="44"/>
      <c r="O134" s="44" t="s">
        <v>52</v>
      </c>
      <c r="P134" s="45"/>
    </row>
    <row r="135" spans="2:16" ht="15" customHeight="1" x14ac:dyDescent="0.25">
      <c r="B135" s="33">
        <f>IF($C135="","",COUNTA($C$18:$C135))</f>
        <v>118</v>
      </c>
      <c r="C135" s="34">
        <v>46194</v>
      </c>
      <c r="D135" s="35">
        <v>0.35416666666666702</v>
      </c>
      <c r="E135" s="36" t="s">
        <v>53</v>
      </c>
      <c r="F135" s="37" t="str">
        <f>IF($E135="","",IFERROR(INDEX(Stammdaten!$D$22:$D$31,MATCH($E135,Stammdaten!$C$22:$C$31,0)),"?"))</f>
        <v>Tiefkühlung</v>
      </c>
      <c r="G135" s="38">
        <f>IF($E135="","",IFERROR(INDEX(Stammdaten!$F$22:$F$31,MATCH($E135,Stammdaten!$C$22:$C$31,0)),""))</f>
        <v>-24</v>
      </c>
      <c r="H135" s="38">
        <f>IF($E135="","",IFERROR(INDEX(Stammdaten!$G$22:$G$31,MATCH($E135,Stammdaten!$C$22:$C$31,0)),""))</f>
        <v>-18</v>
      </c>
      <c r="I135" s="39">
        <v>-22.9</v>
      </c>
      <c r="J135" s="40">
        <f t="shared" si="9"/>
        <v>0</v>
      </c>
      <c r="K135" s="41" t="str">
        <f t="shared" si="10"/>
        <v>OK</v>
      </c>
      <c r="L135" s="42" t="str">
        <f t="shared" si="11"/>
        <v>Nein</v>
      </c>
      <c r="M135" s="43"/>
      <c r="N135" s="44"/>
      <c r="O135" s="44" t="s">
        <v>54</v>
      </c>
      <c r="P135" s="45"/>
    </row>
    <row r="136" spans="2:16" ht="15" customHeight="1" x14ac:dyDescent="0.25">
      <c r="B136" s="33">
        <f>IF($C136="","",COUNTA($C$18:$C136))</f>
        <v>119</v>
      </c>
      <c r="C136" s="34">
        <v>46194</v>
      </c>
      <c r="D136" s="35">
        <v>0.375</v>
      </c>
      <c r="E136" s="36" t="s">
        <v>55</v>
      </c>
      <c r="F136" s="37" t="str">
        <f>IF($E136="","",IFERROR(INDEX(Stammdaten!$D$22:$D$31,MATCH($E136,Stammdaten!$C$22:$C$31,0)),"?"))</f>
        <v>Lagerung</v>
      </c>
      <c r="G136" s="38">
        <f>IF($E136="","",IFERROR(INDEX(Stammdaten!$F$22:$F$31,MATCH($E136,Stammdaten!$C$22:$C$31,0)),""))</f>
        <v>10</v>
      </c>
      <c r="H136" s="38">
        <f>IF($E136="","",IFERROR(INDEX(Stammdaten!$G$22:$G$31,MATCH($E136,Stammdaten!$C$22:$C$31,0)),""))</f>
        <v>20</v>
      </c>
      <c r="I136" s="39">
        <v>21.4</v>
      </c>
      <c r="J136" s="40">
        <f t="shared" si="9"/>
        <v>1.4</v>
      </c>
      <c r="K136" s="41" t="str">
        <f t="shared" si="10"/>
        <v>Zu hoch</v>
      </c>
      <c r="L136" s="42" t="str">
        <f t="shared" si="11"/>
        <v>Ja</v>
      </c>
      <c r="M136" s="43" t="s">
        <v>74</v>
      </c>
      <c r="N136" s="44" t="s">
        <v>61</v>
      </c>
      <c r="O136" s="44" t="s">
        <v>50</v>
      </c>
      <c r="P136" s="45" t="s">
        <v>75</v>
      </c>
    </row>
    <row r="137" spans="2:16" ht="15" customHeight="1" x14ac:dyDescent="0.25">
      <c r="B137" s="33">
        <f>IF($C137="","",COUNTA($C$18:$C137))</f>
        <v>120</v>
      </c>
      <c r="C137" s="34">
        <v>46194</v>
      </c>
      <c r="D137" s="35">
        <v>0.51041666666666696</v>
      </c>
      <c r="E137" s="36" t="s">
        <v>58</v>
      </c>
      <c r="F137" s="37" t="str">
        <f>IF($E137="","",IFERROR(INDEX(Stammdaten!$D$22:$D$31,MATCH($E137,Stammdaten!$C$22:$C$31,0)),"?"))</f>
        <v>Warmhaltung</v>
      </c>
      <c r="G137" s="38">
        <f>IF($E137="","",IFERROR(INDEX(Stammdaten!$F$22:$F$31,MATCH($E137,Stammdaten!$C$22:$C$31,0)),""))</f>
        <v>65</v>
      </c>
      <c r="H137" s="38">
        <f>IF($E137="","",IFERROR(INDEX(Stammdaten!$G$22:$G$31,MATCH($E137,Stammdaten!$C$22:$C$31,0)),""))</f>
        <v>85</v>
      </c>
      <c r="I137" s="39">
        <v>68.400000000000006</v>
      </c>
      <c r="J137" s="40">
        <f t="shared" si="9"/>
        <v>0</v>
      </c>
      <c r="K137" s="41" t="str">
        <f t="shared" si="10"/>
        <v>OK</v>
      </c>
      <c r="L137" s="42" t="str">
        <f t="shared" si="11"/>
        <v>Nein</v>
      </c>
      <c r="M137" s="43"/>
      <c r="N137" s="44"/>
      <c r="O137" s="44" t="s">
        <v>59</v>
      </c>
      <c r="P137" s="45"/>
    </row>
    <row r="138" spans="2:16" ht="15" customHeight="1" x14ac:dyDescent="0.25">
      <c r="B138" s="33">
        <f>IF($C138="","",COUNTA($C$18:$C138))</f>
        <v>121</v>
      </c>
      <c r="C138" s="34">
        <v>46195</v>
      </c>
      <c r="D138" s="35">
        <v>0.33333333333333298</v>
      </c>
      <c r="E138" s="36" t="s">
        <v>49</v>
      </c>
      <c r="F138" s="37" t="str">
        <f>IF($E138="","",IFERROR(INDEX(Stammdaten!$D$22:$D$31,MATCH($E138,Stammdaten!$C$22:$C$31,0)),"?"))</f>
        <v>Kühlung</v>
      </c>
      <c r="G138" s="38">
        <f>IF($E138="","",IFERROR(INDEX(Stammdaten!$F$22:$F$31,MATCH($E138,Stammdaten!$C$22:$C$31,0)),""))</f>
        <v>2</v>
      </c>
      <c r="H138" s="38">
        <f>IF($E138="","",IFERROR(INDEX(Stammdaten!$G$22:$G$31,MATCH($E138,Stammdaten!$C$22:$C$31,0)),""))</f>
        <v>7</v>
      </c>
      <c r="I138" s="39">
        <v>3.6</v>
      </c>
      <c r="J138" s="40">
        <f t="shared" si="9"/>
        <v>0</v>
      </c>
      <c r="K138" s="41" t="str">
        <f t="shared" si="10"/>
        <v>OK</v>
      </c>
      <c r="L138" s="42" t="str">
        <f t="shared" si="11"/>
        <v>Nein</v>
      </c>
      <c r="M138" s="43"/>
      <c r="N138" s="44"/>
      <c r="O138" s="44" t="s">
        <v>52</v>
      </c>
      <c r="P138" s="45"/>
    </row>
    <row r="139" spans="2:16" ht="15" customHeight="1" x14ac:dyDescent="0.25">
      <c r="B139" s="33">
        <f>IF($C139="","",COUNTA($C$18:$C139))</f>
        <v>122</v>
      </c>
      <c r="C139" s="34">
        <v>46195</v>
      </c>
      <c r="D139" s="35">
        <v>0.34375</v>
      </c>
      <c r="E139" s="36" t="s">
        <v>51</v>
      </c>
      <c r="F139" s="37" t="str">
        <f>IF($E139="","",IFERROR(INDEX(Stammdaten!$D$22:$D$31,MATCH($E139,Stammdaten!$C$22:$C$31,0)),"?"))</f>
        <v>Kühlung</v>
      </c>
      <c r="G139" s="38">
        <f>IF($E139="","",IFERROR(INDEX(Stammdaten!$F$22:$F$31,MATCH($E139,Stammdaten!$C$22:$C$31,0)),""))</f>
        <v>0</v>
      </c>
      <c r="H139" s="38">
        <f>IF($E139="","",IFERROR(INDEX(Stammdaten!$G$22:$G$31,MATCH($E139,Stammdaten!$C$22:$C$31,0)),""))</f>
        <v>6</v>
      </c>
      <c r="I139" s="39">
        <v>2.4</v>
      </c>
      <c r="J139" s="40">
        <f t="shared" si="9"/>
        <v>0</v>
      </c>
      <c r="K139" s="41" t="str">
        <f t="shared" si="10"/>
        <v>OK</v>
      </c>
      <c r="L139" s="42" t="str">
        <f t="shared" si="11"/>
        <v>Nein</v>
      </c>
      <c r="M139" s="43"/>
      <c r="N139" s="44"/>
      <c r="O139" s="44" t="s">
        <v>54</v>
      </c>
      <c r="P139" s="45"/>
    </row>
    <row r="140" spans="2:16" ht="15" customHeight="1" x14ac:dyDescent="0.25">
      <c r="B140" s="33">
        <f>IF($C140="","",COUNTA($C$18:$C140))</f>
        <v>123</v>
      </c>
      <c r="C140" s="34">
        <v>46195</v>
      </c>
      <c r="D140" s="35">
        <v>0.35416666666666702</v>
      </c>
      <c r="E140" s="36" t="s">
        <v>53</v>
      </c>
      <c r="F140" s="37" t="str">
        <f>IF($E140="","",IFERROR(INDEX(Stammdaten!$D$22:$D$31,MATCH($E140,Stammdaten!$C$22:$C$31,0)),"?"))</f>
        <v>Tiefkühlung</v>
      </c>
      <c r="G140" s="38">
        <f>IF($E140="","",IFERROR(INDEX(Stammdaten!$F$22:$F$31,MATCH($E140,Stammdaten!$C$22:$C$31,0)),""))</f>
        <v>-24</v>
      </c>
      <c r="H140" s="38">
        <f>IF($E140="","",IFERROR(INDEX(Stammdaten!$G$22:$G$31,MATCH($E140,Stammdaten!$C$22:$C$31,0)),""))</f>
        <v>-18</v>
      </c>
      <c r="I140" s="39">
        <v>-19.5</v>
      </c>
      <c r="J140" s="40">
        <f t="shared" si="9"/>
        <v>0</v>
      </c>
      <c r="K140" s="41" t="str">
        <f t="shared" si="10"/>
        <v>OK</v>
      </c>
      <c r="L140" s="42" t="str">
        <f t="shared" si="11"/>
        <v>Nein</v>
      </c>
      <c r="M140" s="43"/>
      <c r="N140" s="44"/>
      <c r="O140" s="44" t="s">
        <v>59</v>
      </c>
      <c r="P140" s="45"/>
    </row>
    <row r="141" spans="2:16" ht="15" customHeight="1" x14ac:dyDescent="0.25">
      <c r="B141" s="33">
        <f>IF($C141="","",COUNTA($C$18:$C141))</f>
        <v>124</v>
      </c>
      <c r="C141" s="34">
        <v>46195</v>
      </c>
      <c r="D141" s="35">
        <v>0.375</v>
      </c>
      <c r="E141" s="36" t="s">
        <v>55</v>
      </c>
      <c r="F141" s="37" t="str">
        <f>IF($E141="","",IFERROR(INDEX(Stammdaten!$D$22:$D$31,MATCH($E141,Stammdaten!$C$22:$C$31,0)),"?"))</f>
        <v>Lagerung</v>
      </c>
      <c r="G141" s="38">
        <f>IF($E141="","",IFERROR(INDEX(Stammdaten!$F$22:$F$31,MATCH($E141,Stammdaten!$C$22:$C$31,0)),""))</f>
        <v>10</v>
      </c>
      <c r="H141" s="38">
        <f>IF($E141="","",IFERROR(INDEX(Stammdaten!$G$22:$G$31,MATCH($E141,Stammdaten!$C$22:$C$31,0)),""))</f>
        <v>20</v>
      </c>
      <c r="I141" s="39">
        <v>20.9</v>
      </c>
      <c r="J141" s="40">
        <f t="shared" si="9"/>
        <v>0.9</v>
      </c>
      <c r="K141" s="41" t="str">
        <f t="shared" si="10"/>
        <v>Zu hoch</v>
      </c>
      <c r="L141" s="42" t="str">
        <f t="shared" si="11"/>
        <v>Ja</v>
      </c>
      <c r="M141" s="43" t="s">
        <v>67</v>
      </c>
      <c r="N141" s="44" t="s">
        <v>76</v>
      </c>
      <c r="O141" s="44" t="s">
        <v>52</v>
      </c>
      <c r="P141" s="45" t="s">
        <v>77</v>
      </c>
    </row>
    <row r="142" spans="2:16" ht="15" customHeight="1" x14ac:dyDescent="0.25">
      <c r="B142" s="33">
        <f>IF($C142="","",COUNTA($C$18:$C142))</f>
        <v>125</v>
      </c>
      <c r="C142" s="34">
        <v>46195</v>
      </c>
      <c r="D142" s="35">
        <v>0.44791666666666702</v>
      </c>
      <c r="E142" s="36" t="s">
        <v>56</v>
      </c>
      <c r="F142" s="37" t="str">
        <f>IF($E142="","",IFERROR(INDEX(Stammdaten!$D$22:$D$31,MATCH($E142,Stammdaten!$C$22:$C$31,0)),"?"))</f>
        <v>Wareneingang</v>
      </c>
      <c r="G142" s="38">
        <f>IF($E142="","",IFERROR(INDEX(Stammdaten!$F$22:$F$31,MATCH($E142,Stammdaten!$C$22:$C$31,0)),""))</f>
        <v>0</v>
      </c>
      <c r="H142" s="38">
        <f>IF($E142="","",IFERROR(INDEX(Stammdaten!$G$22:$G$31,MATCH($E142,Stammdaten!$C$22:$C$31,0)),""))</f>
        <v>7</v>
      </c>
      <c r="I142" s="39">
        <v>4.9000000000000004</v>
      </c>
      <c r="J142" s="40">
        <f t="shared" si="9"/>
        <v>0</v>
      </c>
      <c r="K142" s="41" t="str">
        <f t="shared" si="10"/>
        <v>OK</v>
      </c>
      <c r="L142" s="42" t="str">
        <f t="shared" si="11"/>
        <v>Nein</v>
      </c>
      <c r="M142" s="43"/>
      <c r="N142" s="44"/>
      <c r="O142" s="44" t="s">
        <v>50</v>
      </c>
      <c r="P142" s="45"/>
    </row>
    <row r="143" spans="2:16" ht="15" customHeight="1" x14ac:dyDescent="0.25">
      <c r="B143" s="33">
        <f>IF($C143="","",COUNTA($C$18:$C143))</f>
        <v>126</v>
      </c>
      <c r="C143" s="34">
        <v>46195</v>
      </c>
      <c r="D143" s="35">
        <v>0.51041666666666696</v>
      </c>
      <c r="E143" s="36" t="s">
        <v>58</v>
      </c>
      <c r="F143" s="37" t="str">
        <f>IF($E143="","",IFERROR(INDEX(Stammdaten!$D$22:$D$31,MATCH($E143,Stammdaten!$C$22:$C$31,0)),"?"))</f>
        <v>Warmhaltung</v>
      </c>
      <c r="G143" s="38">
        <f>IF($E143="","",IFERROR(INDEX(Stammdaten!$F$22:$F$31,MATCH($E143,Stammdaten!$C$22:$C$31,0)),""))</f>
        <v>65</v>
      </c>
      <c r="H143" s="38">
        <f>IF($E143="","",IFERROR(INDEX(Stammdaten!$G$22:$G$31,MATCH($E143,Stammdaten!$C$22:$C$31,0)),""))</f>
        <v>85</v>
      </c>
      <c r="I143" s="39">
        <v>71.7</v>
      </c>
      <c r="J143" s="40">
        <f t="shared" si="9"/>
        <v>0</v>
      </c>
      <c r="K143" s="41" t="str">
        <f t="shared" si="10"/>
        <v>OK</v>
      </c>
      <c r="L143" s="42" t="str">
        <f t="shared" si="11"/>
        <v>Nein</v>
      </c>
      <c r="M143" s="43"/>
      <c r="N143" s="44"/>
      <c r="O143" s="44" t="s">
        <v>57</v>
      </c>
      <c r="P143" s="45"/>
    </row>
    <row r="144" spans="2:16" ht="15" customHeight="1" x14ac:dyDescent="0.25">
      <c r="B144" s="33">
        <f>IF($C144="","",COUNTA($C$18:$C144))</f>
        <v>127</v>
      </c>
      <c r="C144" s="34">
        <v>46196</v>
      </c>
      <c r="D144" s="35">
        <v>0.33333333333333298</v>
      </c>
      <c r="E144" s="36" t="s">
        <v>49</v>
      </c>
      <c r="F144" s="37" t="str">
        <f>IF($E144="","",IFERROR(INDEX(Stammdaten!$D$22:$D$31,MATCH($E144,Stammdaten!$C$22:$C$31,0)),"?"))</f>
        <v>Kühlung</v>
      </c>
      <c r="G144" s="38">
        <f>IF($E144="","",IFERROR(INDEX(Stammdaten!$F$22:$F$31,MATCH($E144,Stammdaten!$C$22:$C$31,0)),""))</f>
        <v>2</v>
      </c>
      <c r="H144" s="38">
        <f>IF($E144="","",IFERROR(INDEX(Stammdaten!$G$22:$G$31,MATCH($E144,Stammdaten!$C$22:$C$31,0)),""))</f>
        <v>7</v>
      </c>
      <c r="I144" s="39">
        <v>9.6</v>
      </c>
      <c r="J144" s="40">
        <f t="shared" si="9"/>
        <v>2.6</v>
      </c>
      <c r="K144" s="41" t="str">
        <f t="shared" si="10"/>
        <v>Kritisch</v>
      </c>
      <c r="L144" s="42" t="str">
        <f t="shared" si="11"/>
        <v>Ja</v>
      </c>
      <c r="M144" s="43" t="s">
        <v>60</v>
      </c>
      <c r="N144" s="44" t="s">
        <v>61</v>
      </c>
      <c r="O144" s="44" t="s">
        <v>54</v>
      </c>
      <c r="P144" s="45" t="s">
        <v>78</v>
      </c>
    </row>
    <row r="145" spans="2:16" ht="15" customHeight="1" x14ac:dyDescent="0.25">
      <c r="B145" s="33">
        <f>IF($C145="","",COUNTA($C$18:$C145))</f>
        <v>128</v>
      </c>
      <c r="C145" s="34">
        <v>46196</v>
      </c>
      <c r="D145" s="35">
        <v>0.34375</v>
      </c>
      <c r="E145" s="36" t="s">
        <v>51</v>
      </c>
      <c r="F145" s="37" t="str">
        <f>IF($E145="","",IFERROR(INDEX(Stammdaten!$D$22:$D$31,MATCH($E145,Stammdaten!$C$22:$C$31,0)),"?"))</f>
        <v>Kühlung</v>
      </c>
      <c r="G145" s="38">
        <f>IF($E145="","",IFERROR(INDEX(Stammdaten!$F$22:$F$31,MATCH($E145,Stammdaten!$C$22:$C$31,0)),""))</f>
        <v>0</v>
      </c>
      <c r="H145" s="38">
        <f>IF($E145="","",IFERROR(INDEX(Stammdaten!$G$22:$G$31,MATCH($E145,Stammdaten!$C$22:$C$31,0)),""))</f>
        <v>6</v>
      </c>
      <c r="I145" s="39">
        <v>4.0999999999999996</v>
      </c>
      <c r="J145" s="40">
        <f t="shared" si="9"/>
        <v>0</v>
      </c>
      <c r="K145" s="41" t="str">
        <f t="shared" si="10"/>
        <v>OK</v>
      </c>
      <c r="L145" s="42" t="str">
        <f t="shared" si="11"/>
        <v>Nein</v>
      </c>
      <c r="M145" s="43"/>
      <c r="N145" s="44"/>
      <c r="O145" s="44" t="s">
        <v>59</v>
      </c>
      <c r="P145" s="45"/>
    </row>
    <row r="146" spans="2:16" ht="15" customHeight="1" x14ac:dyDescent="0.25">
      <c r="B146" s="33">
        <f>IF($C146="","",COUNTA($C$18:$C146))</f>
        <v>129</v>
      </c>
      <c r="C146" s="34">
        <v>46196</v>
      </c>
      <c r="D146" s="35">
        <v>0.35416666666666702</v>
      </c>
      <c r="E146" s="36" t="s">
        <v>53</v>
      </c>
      <c r="F146" s="37" t="str">
        <f>IF($E146="","",IFERROR(INDEX(Stammdaten!$D$22:$D$31,MATCH($E146,Stammdaten!$C$22:$C$31,0)),"?"))</f>
        <v>Tiefkühlung</v>
      </c>
      <c r="G146" s="38">
        <f>IF($E146="","",IFERROR(INDEX(Stammdaten!$F$22:$F$31,MATCH($E146,Stammdaten!$C$22:$C$31,0)),""))</f>
        <v>-24</v>
      </c>
      <c r="H146" s="38">
        <f>IF($E146="","",IFERROR(INDEX(Stammdaten!$G$22:$G$31,MATCH($E146,Stammdaten!$C$22:$C$31,0)),""))</f>
        <v>-18</v>
      </c>
      <c r="I146" s="39">
        <v>-20.5</v>
      </c>
      <c r="J146" s="40">
        <f t="shared" ref="J146:J177" si="12">IF($I146="","",IF($G146="","",IF($I146&lt;$G146,ROUND($I146-$G146,1),IF($I146&gt;$H146,ROUND($I146-$H146,1),0))))</f>
        <v>0</v>
      </c>
      <c r="K146" s="41" t="str">
        <f t="shared" ref="K146:K177" si="13">IF($I146="","",IF($J146="","",IF(ABS($J146)&gt;Toleranz_kritisch,"Kritisch",IF($J146&lt;0,"Zu niedrig",IF($J146&gt;0,"Zu hoch","OK")))))</f>
        <v>OK</v>
      </c>
      <c r="L146" s="42" t="str">
        <f t="shared" ref="L146:L177" si="14">IF($K146="","",IF($K146="OK","Nein","Ja"))</f>
        <v>Nein</v>
      </c>
      <c r="M146" s="43"/>
      <c r="N146" s="44"/>
      <c r="O146" s="44" t="s">
        <v>57</v>
      </c>
      <c r="P146" s="45"/>
    </row>
    <row r="147" spans="2:16" ht="15" customHeight="1" x14ac:dyDescent="0.25">
      <c r="B147" s="33">
        <f>IF($C147="","",COUNTA($C$18:$C147))</f>
        <v>130</v>
      </c>
      <c r="C147" s="34">
        <v>46196</v>
      </c>
      <c r="D147" s="35">
        <v>0.375</v>
      </c>
      <c r="E147" s="36" t="s">
        <v>55</v>
      </c>
      <c r="F147" s="37" t="str">
        <f>IF($E147="","",IFERROR(INDEX(Stammdaten!$D$22:$D$31,MATCH($E147,Stammdaten!$C$22:$C$31,0)),"?"))</f>
        <v>Lagerung</v>
      </c>
      <c r="G147" s="38">
        <f>IF($E147="","",IFERROR(INDEX(Stammdaten!$F$22:$F$31,MATCH($E147,Stammdaten!$C$22:$C$31,0)),""))</f>
        <v>10</v>
      </c>
      <c r="H147" s="38">
        <f>IF($E147="","",IFERROR(INDEX(Stammdaten!$G$22:$G$31,MATCH($E147,Stammdaten!$C$22:$C$31,0)),""))</f>
        <v>20</v>
      </c>
      <c r="I147" s="39">
        <v>14.8</v>
      </c>
      <c r="J147" s="40">
        <f t="shared" si="12"/>
        <v>0</v>
      </c>
      <c r="K147" s="41" t="str">
        <f t="shared" si="13"/>
        <v>OK</v>
      </c>
      <c r="L147" s="42" t="str">
        <f t="shared" si="14"/>
        <v>Nein</v>
      </c>
      <c r="M147" s="43"/>
      <c r="N147" s="44"/>
      <c r="O147" s="44" t="s">
        <v>54</v>
      </c>
      <c r="P147" s="45"/>
    </row>
    <row r="148" spans="2:16" ht="15" customHeight="1" x14ac:dyDescent="0.25">
      <c r="B148" s="33">
        <f>IF($C148="","",COUNTA($C$18:$C148))</f>
        <v>131</v>
      </c>
      <c r="C148" s="34">
        <v>46196</v>
      </c>
      <c r="D148" s="35">
        <v>0.44791666666666702</v>
      </c>
      <c r="E148" s="36" t="s">
        <v>56</v>
      </c>
      <c r="F148" s="37" t="str">
        <f>IF($E148="","",IFERROR(INDEX(Stammdaten!$D$22:$D$31,MATCH($E148,Stammdaten!$C$22:$C$31,0)),"?"))</f>
        <v>Wareneingang</v>
      </c>
      <c r="G148" s="38">
        <f>IF($E148="","",IFERROR(INDEX(Stammdaten!$F$22:$F$31,MATCH($E148,Stammdaten!$C$22:$C$31,0)),""))</f>
        <v>0</v>
      </c>
      <c r="H148" s="38">
        <f>IF($E148="","",IFERROR(INDEX(Stammdaten!$G$22:$G$31,MATCH($E148,Stammdaten!$C$22:$C$31,0)),""))</f>
        <v>7</v>
      </c>
      <c r="I148" s="39">
        <v>4.0999999999999996</v>
      </c>
      <c r="J148" s="40">
        <f t="shared" si="12"/>
        <v>0</v>
      </c>
      <c r="K148" s="41" t="str">
        <f t="shared" si="13"/>
        <v>OK</v>
      </c>
      <c r="L148" s="42" t="str">
        <f t="shared" si="14"/>
        <v>Nein</v>
      </c>
      <c r="M148" s="43"/>
      <c r="N148" s="44"/>
      <c r="O148" s="44" t="s">
        <v>52</v>
      </c>
      <c r="P148" s="45"/>
    </row>
    <row r="149" spans="2:16" ht="15" customHeight="1" x14ac:dyDescent="0.25">
      <c r="B149" s="33">
        <f>IF($C149="","",COUNTA($C$18:$C149))</f>
        <v>132</v>
      </c>
      <c r="C149" s="34">
        <v>46196</v>
      </c>
      <c r="D149" s="35">
        <v>0.51041666666666696</v>
      </c>
      <c r="E149" s="36" t="s">
        <v>58</v>
      </c>
      <c r="F149" s="37" t="str">
        <f>IF($E149="","",IFERROR(INDEX(Stammdaten!$D$22:$D$31,MATCH($E149,Stammdaten!$C$22:$C$31,0)),"?"))</f>
        <v>Warmhaltung</v>
      </c>
      <c r="G149" s="38">
        <f>IF($E149="","",IFERROR(INDEX(Stammdaten!$F$22:$F$31,MATCH($E149,Stammdaten!$C$22:$C$31,0)),""))</f>
        <v>65</v>
      </c>
      <c r="H149" s="38">
        <f>IF($E149="","",IFERROR(INDEX(Stammdaten!$G$22:$G$31,MATCH($E149,Stammdaten!$C$22:$C$31,0)),""))</f>
        <v>85</v>
      </c>
      <c r="I149" s="39">
        <v>75.5</v>
      </c>
      <c r="J149" s="40">
        <f t="shared" si="12"/>
        <v>0</v>
      </c>
      <c r="K149" s="41" t="str">
        <f t="shared" si="13"/>
        <v>OK</v>
      </c>
      <c r="L149" s="42" t="str">
        <f t="shared" si="14"/>
        <v>Nein</v>
      </c>
      <c r="M149" s="43"/>
      <c r="N149" s="44"/>
      <c r="O149" s="44" t="s">
        <v>50</v>
      </c>
      <c r="P149" s="45"/>
    </row>
    <row r="150" spans="2:16" ht="15" customHeight="1" x14ac:dyDescent="0.25">
      <c r="B150" s="33">
        <f>IF($C150="","",COUNTA($C$18:$C150))</f>
        <v>133</v>
      </c>
      <c r="C150" s="34">
        <v>46196</v>
      </c>
      <c r="D150" s="35">
        <v>0.60416666666666696</v>
      </c>
      <c r="E150" s="36" t="s">
        <v>49</v>
      </c>
      <c r="F150" s="37" t="str">
        <f>IF($E150="","",IFERROR(INDEX(Stammdaten!$D$22:$D$31,MATCH($E150,Stammdaten!$C$22:$C$31,0)),"?"))</f>
        <v>Kühlung</v>
      </c>
      <c r="G150" s="38">
        <f>IF($E150="","",IFERROR(INDEX(Stammdaten!$F$22:$F$31,MATCH($E150,Stammdaten!$C$22:$C$31,0)),""))</f>
        <v>2</v>
      </c>
      <c r="H150" s="38">
        <f>IF($E150="","",IFERROR(INDEX(Stammdaten!$G$22:$G$31,MATCH($E150,Stammdaten!$C$22:$C$31,0)),""))</f>
        <v>7</v>
      </c>
      <c r="I150" s="39">
        <v>5.2</v>
      </c>
      <c r="J150" s="40">
        <f t="shared" si="12"/>
        <v>0</v>
      </c>
      <c r="K150" s="41" t="str">
        <f t="shared" si="13"/>
        <v>OK</v>
      </c>
      <c r="L150" s="42" t="str">
        <f t="shared" si="14"/>
        <v>Nein</v>
      </c>
      <c r="M150" s="43" t="s">
        <v>72</v>
      </c>
      <c r="N150" s="44" t="s">
        <v>61</v>
      </c>
      <c r="O150" s="44" t="s">
        <v>54</v>
      </c>
      <c r="P150" s="45" t="s">
        <v>73</v>
      </c>
    </row>
    <row r="151" spans="2:16" ht="15" customHeight="1" x14ac:dyDescent="0.25">
      <c r="B151" s="33">
        <f>IF($C151="","",COUNTA($C$18:$C151))</f>
        <v>134</v>
      </c>
      <c r="C151" s="34">
        <v>46197</v>
      </c>
      <c r="D151" s="35">
        <v>0.33333333333333298</v>
      </c>
      <c r="E151" s="36" t="s">
        <v>49</v>
      </c>
      <c r="F151" s="37" t="str">
        <f>IF($E151="","",IFERROR(INDEX(Stammdaten!$D$22:$D$31,MATCH($E151,Stammdaten!$C$22:$C$31,0)),"?"))</f>
        <v>Kühlung</v>
      </c>
      <c r="G151" s="38">
        <f>IF($E151="","",IFERROR(INDEX(Stammdaten!$F$22:$F$31,MATCH($E151,Stammdaten!$C$22:$C$31,0)),""))</f>
        <v>2</v>
      </c>
      <c r="H151" s="38">
        <f>IF($E151="","",IFERROR(INDEX(Stammdaten!$G$22:$G$31,MATCH($E151,Stammdaten!$C$22:$C$31,0)),""))</f>
        <v>7</v>
      </c>
      <c r="I151" s="39">
        <v>4.0999999999999996</v>
      </c>
      <c r="J151" s="40">
        <f t="shared" si="12"/>
        <v>0</v>
      </c>
      <c r="K151" s="41" t="str">
        <f t="shared" si="13"/>
        <v>OK</v>
      </c>
      <c r="L151" s="42" t="str">
        <f t="shared" si="14"/>
        <v>Nein</v>
      </c>
      <c r="M151" s="43"/>
      <c r="N151" s="44"/>
      <c r="O151" s="44" t="s">
        <v>59</v>
      </c>
      <c r="P151" s="45"/>
    </row>
    <row r="152" spans="2:16" ht="15" customHeight="1" x14ac:dyDescent="0.25">
      <c r="B152" s="33">
        <f>IF($C152="","",COUNTA($C$18:$C152))</f>
        <v>135</v>
      </c>
      <c r="C152" s="34">
        <v>46197</v>
      </c>
      <c r="D152" s="35">
        <v>0.34375</v>
      </c>
      <c r="E152" s="36" t="s">
        <v>51</v>
      </c>
      <c r="F152" s="37" t="str">
        <f>IF($E152="","",IFERROR(INDEX(Stammdaten!$D$22:$D$31,MATCH($E152,Stammdaten!$C$22:$C$31,0)),"?"))</f>
        <v>Kühlung</v>
      </c>
      <c r="G152" s="38">
        <f>IF($E152="","",IFERROR(INDEX(Stammdaten!$F$22:$F$31,MATCH($E152,Stammdaten!$C$22:$C$31,0)),""))</f>
        <v>0</v>
      </c>
      <c r="H152" s="38">
        <f>IF($E152="","",IFERROR(INDEX(Stammdaten!$G$22:$G$31,MATCH($E152,Stammdaten!$C$22:$C$31,0)),""))</f>
        <v>6</v>
      </c>
      <c r="I152" s="39">
        <v>1.6</v>
      </c>
      <c r="J152" s="40">
        <f t="shared" si="12"/>
        <v>0</v>
      </c>
      <c r="K152" s="41" t="str">
        <f t="shared" si="13"/>
        <v>OK</v>
      </c>
      <c r="L152" s="42" t="str">
        <f t="shared" si="14"/>
        <v>Nein</v>
      </c>
      <c r="M152" s="43"/>
      <c r="N152" s="44"/>
      <c r="O152" s="44" t="s">
        <v>57</v>
      </c>
      <c r="P152" s="45"/>
    </row>
    <row r="153" spans="2:16" ht="15" customHeight="1" x14ac:dyDescent="0.25">
      <c r="B153" s="33">
        <f>IF($C153="","",COUNTA($C$18:$C153))</f>
        <v>136</v>
      </c>
      <c r="C153" s="34">
        <v>46197</v>
      </c>
      <c r="D153" s="35">
        <v>0.35416666666666702</v>
      </c>
      <c r="E153" s="36" t="s">
        <v>53</v>
      </c>
      <c r="F153" s="37" t="str">
        <f>IF($E153="","",IFERROR(INDEX(Stammdaten!$D$22:$D$31,MATCH($E153,Stammdaten!$C$22:$C$31,0)),"?"))</f>
        <v>Tiefkühlung</v>
      </c>
      <c r="G153" s="38">
        <f>IF($E153="","",IFERROR(INDEX(Stammdaten!$F$22:$F$31,MATCH($E153,Stammdaten!$C$22:$C$31,0)),""))</f>
        <v>-24</v>
      </c>
      <c r="H153" s="38">
        <f>IF($E153="","",IFERROR(INDEX(Stammdaten!$G$22:$G$31,MATCH($E153,Stammdaten!$C$22:$C$31,0)),""))</f>
        <v>-18</v>
      </c>
      <c r="I153" s="39">
        <v>-19.5</v>
      </c>
      <c r="J153" s="40">
        <f t="shared" si="12"/>
        <v>0</v>
      </c>
      <c r="K153" s="41" t="str">
        <f t="shared" si="13"/>
        <v>OK</v>
      </c>
      <c r="L153" s="42" t="str">
        <f t="shared" si="14"/>
        <v>Nein</v>
      </c>
      <c r="M153" s="43"/>
      <c r="N153" s="44"/>
      <c r="O153" s="44" t="s">
        <v>50</v>
      </c>
      <c r="P153" s="45"/>
    </row>
    <row r="154" spans="2:16" ht="15" customHeight="1" x14ac:dyDescent="0.25">
      <c r="B154" s="33">
        <f>IF($C154="","",COUNTA($C$18:$C154))</f>
        <v>137</v>
      </c>
      <c r="C154" s="34">
        <v>46197</v>
      </c>
      <c r="D154" s="35">
        <v>0.375</v>
      </c>
      <c r="E154" s="36" t="s">
        <v>55</v>
      </c>
      <c r="F154" s="37" t="str">
        <f>IF($E154="","",IFERROR(INDEX(Stammdaten!$D$22:$D$31,MATCH($E154,Stammdaten!$C$22:$C$31,0)),"?"))</f>
        <v>Lagerung</v>
      </c>
      <c r="G154" s="38">
        <f>IF($E154="","",IFERROR(INDEX(Stammdaten!$F$22:$F$31,MATCH($E154,Stammdaten!$C$22:$C$31,0)),""))</f>
        <v>10</v>
      </c>
      <c r="H154" s="38">
        <f>IF($E154="","",IFERROR(INDEX(Stammdaten!$G$22:$G$31,MATCH($E154,Stammdaten!$C$22:$C$31,0)),""))</f>
        <v>20</v>
      </c>
      <c r="I154" s="39">
        <v>16.8</v>
      </c>
      <c r="J154" s="40">
        <f t="shared" si="12"/>
        <v>0</v>
      </c>
      <c r="K154" s="41" t="str">
        <f t="shared" si="13"/>
        <v>OK</v>
      </c>
      <c r="L154" s="42" t="str">
        <f t="shared" si="14"/>
        <v>Nein</v>
      </c>
      <c r="M154" s="43"/>
      <c r="N154" s="44"/>
      <c r="O154" s="44" t="s">
        <v>59</v>
      </c>
      <c r="P154" s="45"/>
    </row>
    <row r="155" spans="2:16" ht="15" customHeight="1" x14ac:dyDescent="0.25">
      <c r="B155" s="33">
        <f>IF($C155="","",COUNTA($C$18:$C155))</f>
        <v>138</v>
      </c>
      <c r="C155" s="34">
        <v>46197</v>
      </c>
      <c r="D155" s="35">
        <v>0.44791666666666702</v>
      </c>
      <c r="E155" s="36" t="s">
        <v>56</v>
      </c>
      <c r="F155" s="37" t="str">
        <f>IF($E155="","",IFERROR(INDEX(Stammdaten!$D$22:$D$31,MATCH($E155,Stammdaten!$C$22:$C$31,0)),"?"))</f>
        <v>Wareneingang</v>
      </c>
      <c r="G155" s="38">
        <f>IF($E155="","",IFERROR(INDEX(Stammdaten!$F$22:$F$31,MATCH($E155,Stammdaten!$C$22:$C$31,0)),""))</f>
        <v>0</v>
      </c>
      <c r="H155" s="38">
        <f>IF($E155="","",IFERROR(INDEX(Stammdaten!$G$22:$G$31,MATCH($E155,Stammdaten!$C$22:$C$31,0)),""))</f>
        <v>7</v>
      </c>
      <c r="I155" s="39">
        <v>3.8</v>
      </c>
      <c r="J155" s="40">
        <f t="shared" si="12"/>
        <v>0</v>
      </c>
      <c r="K155" s="41" t="str">
        <f t="shared" si="13"/>
        <v>OK</v>
      </c>
      <c r="L155" s="42" t="str">
        <f t="shared" si="14"/>
        <v>Nein</v>
      </c>
      <c r="M155" s="43"/>
      <c r="N155" s="44"/>
      <c r="O155" s="44" t="s">
        <v>54</v>
      </c>
      <c r="P155" s="45"/>
    </row>
    <row r="156" spans="2:16" ht="15" customHeight="1" x14ac:dyDescent="0.25">
      <c r="B156" s="33">
        <f>IF($C156="","",COUNTA($C$18:$C156))</f>
        <v>139</v>
      </c>
      <c r="C156" s="34">
        <v>46197</v>
      </c>
      <c r="D156" s="35">
        <v>0.51041666666666696</v>
      </c>
      <c r="E156" s="36" t="s">
        <v>58</v>
      </c>
      <c r="F156" s="37" t="str">
        <f>IF($E156="","",IFERROR(INDEX(Stammdaten!$D$22:$D$31,MATCH($E156,Stammdaten!$C$22:$C$31,0)),"?"))</f>
        <v>Warmhaltung</v>
      </c>
      <c r="G156" s="38">
        <f>IF($E156="","",IFERROR(INDEX(Stammdaten!$F$22:$F$31,MATCH($E156,Stammdaten!$C$22:$C$31,0)),""))</f>
        <v>65</v>
      </c>
      <c r="H156" s="38">
        <f>IF($E156="","",IFERROR(INDEX(Stammdaten!$G$22:$G$31,MATCH($E156,Stammdaten!$C$22:$C$31,0)),""))</f>
        <v>85</v>
      </c>
      <c r="I156" s="39">
        <v>74.400000000000006</v>
      </c>
      <c r="J156" s="40">
        <f t="shared" si="12"/>
        <v>0</v>
      </c>
      <c r="K156" s="41" t="str">
        <f t="shared" si="13"/>
        <v>OK</v>
      </c>
      <c r="L156" s="42" t="str">
        <f t="shared" si="14"/>
        <v>Nein</v>
      </c>
      <c r="M156" s="43"/>
      <c r="N156" s="44"/>
      <c r="O156" s="44" t="s">
        <v>52</v>
      </c>
      <c r="P156" s="45"/>
    </row>
    <row r="157" spans="2:16" ht="15" customHeight="1" x14ac:dyDescent="0.25">
      <c r="B157" s="33">
        <f>IF($C157="","",COUNTA($C$18:$C157))</f>
        <v>140</v>
      </c>
      <c r="C157" s="34">
        <v>46198</v>
      </c>
      <c r="D157" s="35">
        <v>0.33333333333333298</v>
      </c>
      <c r="E157" s="36" t="s">
        <v>49</v>
      </c>
      <c r="F157" s="37" t="str">
        <f>IF($E157="","",IFERROR(INDEX(Stammdaten!$D$22:$D$31,MATCH($E157,Stammdaten!$C$22:$C$31,0)),"?"))</f>
        <v>Kühlung</v>
      </c>
      <c r="G157" s="38">
        <f>IF($E157="","",IFERROR(INDEX(Stammdaten!$F$22:$F$31,MATCH($E157,Stammdaten!$C$22:$C$31,0)),""))</f>
        <v>2</v>
      </c>
      <c r="H157" s="38">
        <f>IF($E157="","",IFERROR(INDEX(Stammdaten!$G$22:$G$31,MATCH($E157,Stammdaten!$C$22:$C$31,0)),""))</f>
        <v>7</v>
      </c>
      <c r="I157" s="39">
        <v>4.5999999999999996</v>
      </c>
      <c r="J157" s="40">
        <f t="shared" si="12"/>
        <v>0</v>
      </c>
      <c r="K157" s="41" t="str">
        <f t="shared" si="13"/>
        <v>OK</v>
      </c>
      <c r="L157" s="42" t="str">
        <f t="shared" si="14"/>
        <v>Nein</v>
      </c>
      <c r="M157" s="43"/>
      <c r="N157" s="44"/>
      <c r="O157" s="44" t="s">
        <v>57</v>
      </c>
      <c r="P157" s="45"/>
    </row>
    <row r="158" spans="2:16" ht="15" customHeight="1" x14ac:dyDescent="0.25">
      <c r="B158" s="33">
        <f>IF($C158="","",COUNTA($C$18:$C158))</f>
        <v>141</v>
      </c>
      <c r="C158" s="34">
        <v>46198</v>
      </c>
      <c r="D158" s="35">
        <v>0.34375</v>
      </c>
      <c r="E158" s="36" t="s">
        <v>51</v>
      </c>
      <c r="F158" s="37" t="str">
        <f>IF($E158="","",IFERROR(INDEX(Stammdaten!$D$22:$D$31,MATCH($E158,Stammdaten!$C$22:$C$31,0)),"?"))</f>
        <v>Kühlung</v>
      </c>
      <c r="G158" s="38">
        <f>IF($E158="","",IFERROR(INDEX(Stammdaten!$F$22:$F$31,MATCH($E158,Stammdaten!$C$22:$C$31,0)),""))</f>
        <v>0</v>
      </c>
      <c r="H158" s="38">
        <f>IF($E158="","",IFERROR(INDEX(Stammdaten!$G$22:$G$31,MATCH($E158,Stammdaten!$C$22:$C$31,0)),""))</f>
        <v>6</v>
      </c>
      <c r="I158" s="39">
        <v>3.3</v>
      </c>
      <c r="J158" s="40">
        <f t="shared" si="12"/>
        <v>0</v>
      </c>
      <c r="K158" s="41" t="str">
        <f t="shared" si="13"/>
        <v>OK</v>
      </c>
      <c r="L158" s="42" t="str">
        <f t="shared" si="14"/>
        <v>Nein</v>
      </c>
      <c r="M158" s="43"/>
      <c r="N158" s="44"/>
      <c r="O158" s="44" t="s">
        <v>50</v>
      </c>
      <c r="P158" s="45"/>
    </row>
    <row r="159" spans="2:16" ht="15" customHeight="1" x14ac:dyDescent="0.25">
      <c r="B159" s="33">
        <f>IF($C159="","",COUNTA($C$18:$C159))</f>
        <v>142</v>
      </c>
      <c r="C159" s="34">
        <v>46198</v>
      </c>
      <c r="D159" s="35">
        <v>0.35416666666666702</v>
      </c>
      <c r="E159" s="36" t="s">
        <v>53</v>
      </c>
      <c r="F159" s="37" t="str">
        <f>IF($E159="","",IFERROR(INDEX(Stammdaten!$D$22:$D$31,MATCH($E159,Stammdaten!$C$22:$C$31,0)),"?"))</f>
        <v>Tiefkühlung</v>
      </c>
      <c r="G159" s="38">
        <f>IF($E159="","",IFERROR(INDEX(Stammdaten!$F$22:$F$31,MATCH($E159,Stammdaten!$C$22:$C$31,0)),""))</f>
        <v>-24</v>
      </c>
      <c r="H159" s="38">
        <f>IF($E159="","",IFERROR(INDEX(Stammdaten!$G$22:$G$31,MATCH($E159,Stammdaten!$C$22:$C$31,0)),""))</f>
        <v>-18</v>
      </c>
      <c r="I159" s="39">
        <v>-19.899999999999999</v>
      </c>
      <c r="J159" s="40">
        <f t="shared" si="12"/>
        <v>0</v>
      </c>
      <c r="K159" s="41" t="str">
        <f t="shared" si="13"/>
        <v>OK</v>
      </c>
      <c r="L159" s="42" t="str">
        <f t="shared" si="14"/>
        <v>Nein</v>
      </c>
      <c r="M159" s="43"/>
      <c r="N159" s="44"/>
      <c r="O159" s="44" t="s">
        <v>52</v>
      </c>
      <c r="P159" s="45"/>
    </row>
    <row r="160" spans="2:16" ht="15" customHeight="1" x14ac:dyDescent="0.25">
      <c r="B160" s="33">
        <f>IF($C160="","",COUNTA($C$18:$C160))</f>
        <v>143</v>
      </c>
      <c r="C160" s="34">
        <v>46198</v>
      </c>
      <c r="D160" s="35">
        <v>0.375</v>
      </c>
      <c r="E160" s="36" t="s">
        <v>55</v>
      </c>
      <c r="F160" s="37" t="str">
        <f>IF($E160="","",IFERROR(INDEX(Stammdaten!$D$22:$D$31,MATCH($E160,Stammdaten!$C$22:$C$31,0)),"?"))</f>
        <v>Lagerung</v>
      </c>
      <c r="G160" s="38">
        <f>IF($E160="","",IFERROR(INDEX(Stammdaten!$F$22:$F$31,MATCH($E160,Stammdaten!$C$22:$C$31,0)),""))</f>
        <v>10</v>
      </c>
      <c r="H160" s="38">
        <f>IF($E160="","",IFERROR(INDEX(Stammdaten!$G$22:$G$31,MATCH($E160,Stammdaten!$C$22:$C$31,0)),""))</f>
        <v>20</v>
      </c>
      <c r="I160" s="39">
        <v>14.7</v>
      </c>
      <c r="J160" s="40">
        <f t="shared" si="12"/>
        <v>0</v>
      </c>
      <c r="K160" s="41" t="str">
        <f t="shared" si="13"/>
        <v>OK</v>
      </c>
      <c r="L160" s="42" t="str">
        <f t="shared" si="14"/>
        <v>Nein</v>
      </c>
      <c r="M160" s="43"/>
      <c r="N160" s="44"/>
      <c r="O160" s="44" t="s">
        <v>57</v>
      </c>
      <c r="P160" s="45"/>
    </row>
    <row r="161" spans="2:16" ht="15" customHeight="1" x14ac:dyDescent="0.25">
      <c r="B161" s="33">
        <f>IF($C161="","",COUNTA($C$18:$C161))</f>
        <v>144</v>
      </c>
      <c r="C161" s="34">
        <v>46198</v>
      </c>
      <c r="D161" s="35">
        <v>0.44791666666666702</v>
      </c>
      <c r="E161" s="36" t="s">
        <v>56</v>
      </c>
      <c r="F161" s="37" t="str">
        <f>IF($E161="","",IFERROR(INDEX(Stammdaten!$D$22:$D$31,MATCH($E161,Stammdaten!$C$22:$C$31,0)),"?"))</f>
        <v>Wareneingang</v>
      </c>
      <c r="G161" s="38">
        <f>IF($E161="","",IFERROR(INDEX(Stammdaten!$F$22:$F$31,MATCH($E161,Stammdaten!$C$22:$C$31,0)),""))</f>
        <v>0</v>
      </c>
      <c r="H161" s="38">
        <f>IF($E161="","",IFERROR(INDEX(Stammdaten!$G$22:$G$31,MATCH($E161,Stammdaten!$C$22:$C$31,0)),""))</f>
        <v>7</v>
      </c>
      <c r="I161" s="39">
        <v>4.5999999999999996</v>
      </c>
      <c r="J161" s="40">
        <f t="shared" si="12"/>
        <v>0</v>
      </c>
      <c r="K161" s="41" t="str">
        <f t="shared" si="13"/>
        <v>OK</v>
      </c>
      <c r="L161" s="42" t="str">
        <f t="shared" si="14"/>
        <v>Nein</v>
      </c>
      <c r="M161" s="43"/>
      <c r="N161" s="44"/>
      <c r="O161" s="44" t="s">
        <v>59</v>
      </c>
      <c r="P161" s="45"/>
    </row>
    <row r="162" spans="2:16" ht="15" customHeight="1" x14ac:dyDescent="0.25">
      <c r="B162" s="33">
        <f>IF($C162="","",COUNTA($C$18:$C162))</f>
        <v>145</v>
      </c>
      <c r="C162" s="34">
        <v>46198</v>
      </c>
      <c r="D162" s="35">
        <v>0.51041666666666696</v>
      </c>
      <c r="E162" s="36" t="s">
        <v>58</v>
      </c>
      <c r="F162" s="37" t="str">
        <f>IF($E162="","",IFERROR(INDEX(Stammdaten!$D$22:$D$31,MATCH($E162,Stammdaten!$C$22:$C$31,0)),"?"))</f>
        <v>Warmhaltung</v>
      </c>
      <c r="G162" s="38">
        <f>IF($E162="","",IFERROR(INDEX(Stammdaten!$F$22:$F$31,MATCH($E162,Stammdaten!$C$22:$C$31,0)),""))</f>
        <v>65</v>
      </c>
      <c r="H162" s="38">
        <f>IF($E162="","",IFERROR(INDEX(Stammdaten!$G$22:$G$31,MATCH($E162,Stammdaten!$C$22:$C$31,0)),""))</f>
        <v>85</v>
      </c>
      <c r="I162" s="39">
        <v>70</v>
      </c>
      <c r="J162" s="40">
        <f t="shared" si="12"/>
        <v>0</v>
      </c>
      <c r="K162" s="41" t="str">
        <f t="shared" si="13"/>
        <v>OK</v>
      </c>
      <c r="L162" s="42" t="str">
        <f t="shared" si="14"/>
        <v>Nein</v>
      </c>
      <c r="M162" s="43"/>
      <c r="N162" s="44"/>
      <c r="O162" s="44" t="s">
        <v>54</v>
      </c>
      <c r="P162" s="45"/>
    </row>
    <row r="163" spans="2:16" ht="15" customHeight="1" x14ac:dyDescent="0.25">
      <c r="B163" s="33">
        <f>IF($C163="","",COUNTA($C$18:$C163))</f>
        <v>146</v>
      </c>
      <c r="C163" s="34">
        <v>46199</v>
      </c>
      <c r="D163" s="35">
        <v>0.33333333333333298</v>
      </c>
      <c r="E163" s="36" t="s">
        <v>49</v>
      </c>
      <c r="F163" s="37" t="str">
        <f>IF($E163="","",IFERROR(INDEX(Stammdaten!$D$22:$D$31,MATCH($E163,Stammdaten!$C$22:$C$31,0)),"?"))</f>
        <v>Kühlung</v>
      </c>
      <c r="G163" s="38">
        <f>IF($E163="","",IFERROR(INDEX(Stammdaten!$F$22:$F$31,MATCH($E163,Stammdaten!$C$22:$C$31,0)),""))</f>
        <v>2</v>
      </c>
      <c r="H163" s="38">
        <f>IF($E163="","",IFERROR(INDEX(Stammdaten!$G$22:$G$31,MATCH($E163,Stammdaten!$C$22:$C$31,0)),""))</f>
        <v>7</v>
      </c>
      <c r="I163" s="39">
        <v>5.4</v>
      </c>
      <c r="J163" s="40">
        <f t="shared" si="12"/>
        <v>0</v>
      </c>
      <c r="K163" s="41" t="str">
        <f t="shared" si="13"/>
        <v>OK</v>
      </c>
      <c r="L163" s="42" t="str">
        <f t="shared" si="14"/>
        <v>Nein</v>
      </c>
      <c r="M163" s="43"/>
      <c r="N163" s="44"/>
      <c r="O163" s="44" t="s">
        <v>50</v>
      </c>
      <c r="P163" s="45"/>
    </row>
    <row r="164" spans="2:16" ht="15" customHeight="1" x14ac:dyDescent="0.25">
      <c r="B164" s="33">
        <f>IF($C164="","",COUNTA($C$18:$C164))</f>
        <v>147</v>
      </c>
      <c r="C164" s="34">
        <v>46199</v>
      </c>
      <c r="D164" s="35">
        <v>0.34375</v>
      </c>
      <c r="E164" s="36" t="s">
        <v>51</v>
      </c>
      <c r="F164" s="37" t="str">
        <f>IF($E164="","",IFERROR(INDEX(Stammdaten!$D$22:$D$31,MATCH($E164,Stammdaten!$C$22:$C$31,0)),"?"))</f>
        <v>Kühlung</v>
      </c>
      <c r="G164" s="38">
        <f>IF($E164="","",IFERROR(INDEX(Stammdaten!$F$22:$F$31,MATCH($E164,Stammdaten!$C$22:$C$31,0)),""))</f>
        <v>0</v>
      </c>
      <c r="H164" s="38">
        <f>IF($E164="","",IFERROR(INDEX(Stammdaten!$G$22:$G$31,MATCH($E164,Stammdaten!$C$22:$C$31,0)),""))</f>
        <v>6</v>
      </c>
      <c r="I164" s="39">
        <v>4.8</v>
      </c>
      <c r="J164" s="40">
        <f t="shared" si="12"/>
        <v>0</v>
      </c>
      <c r="K164" s="41" t="str">
        <f t="shared" si="13"/>
        <v>OK</v>
      </c>
      <c r="L164" s="42" t="str">
        <f t="shared" si="14"/>
        <v>Nein</v>
      </c>
      <c r="M164" s="43"/>
      <c r="N164" s="44"/>
      <c r="O164" s="44" t="s">
        <v>52</v>
      </c>
      <c r="P164" s="45"/>
    </row>
    <row r="165" spans="2:16" ht="15" customHeight="1" x14ac:dyDescent="0.25">
      <c r="B165" s="33">
        <f>IF($C165="","",COUNTA($C$18:$C165))</f>
        <v>148</v>
      </c>
      <c r="C165" s="34">
        <v>46199</v>
      </c>
      <c r="D165" s="35">
        <v>0.35416666666666702</v>
      </c>
      <c r="E165" s="36" t="s">
        <v>53</v>
      </c>
      <c r="F165" s="37" t="str">
        <f>IF($E165="","",IFERROR(INDEX(Stammdaten!$D$22:$D$31,MATCH($E165,Stammdaten!$C$22:$C$31,0)),"?"))</f>
        <v>Tiefkühlung</v>
      </c>
      <c r="G165" s="38">
        <f>IF($E165="","",IFERROR(INDEX(Stammdaten!$F$22:$F$31,MATCH($E165,Stammdaten!$C$22:$C$31,0)),""))</f>
        <v>-24</v>
      </c>
      <c r="H165" s="38">
        <f>IF($E165="","",IFERROR(INDEX(Stammdaten!$G$22:$G$31,MATCH($E165,Stammdaten!$C$22:$C$31,0)),""))</f>
        <v>-18</v>
      </c>
      <c r="I165" s="39">
        <v>-20.399999999999999</v>
      </c>
      <c r="J165" s="40">
        <f t="shared" si="12"/>
        <v>0</v>
      </c>
      <c r="K165" s="41" t="str">
        <f t="shared" si="13"/>
        <v>OK</v>
      </c>
      <c r="L165" s="42" t="str">
        <f t="shared" si="14"/>
        <v>Nein</v>
      </c>
      <c r="M165" s="43"/>
      <c r="N165" s="44"/>
      <c r="O165" s="44" t="s">
        <v>54</v>
      </c>
      <c r="P165" s="45"/>
    </row>
    <row r="166" spans="2:16" ht="15" customHeight="1" x14ac:dyDescent="0.25">
      <c r="B166" s="33">
        <f>IF($C166="","",COUNTA($C$18:$C166))</f>
        <v>149</v>
      </c>
      <c r="C166" s="34">
        <v>46199</v>
      </c>
      <c r="D166" s="35">
        <v>0.375</v>
      </c>
      <c r="E166" s="36" t="s">
        <v>55</v>
      </c>
      <c r="F166" s="37" t="str">
        <f>IF($E166="","",IFERROR(INDEX(Stammdaten!$D$22:$D$31,MATCH($E166,Stammdaten!$C$22:$C$31,0)),"?"))</f>
        <v>Lagerung</v>
      </c>
      <c r="G166" s="38">
        <f>IF($E166="","",IFERROR(INDEX(Stammdaten!$F$22:$F$31,MATCH($E166,Stammdaten!$C$22:$C$31,0)),""))</f>
        <v>10</v>
      </c>
      <c r="H166" s="38">
        <f>IF($E166="","",IFERROR(INDEX(Stammdaten!$G$22:$G$31,MATCH($E166,Stammdaten!$C$22:$C$31,0)),""))</f>
        <v>20</v>
      </c>
      <c r="I166" s="39">
        <v>17</v>
      </c>
      <c r="J166" s="40">
        <f t="shared" si="12"/>
        <v>0</v>
      </c>
      <c r="K166" s="41" t="str">
        <f t="shared" si="13"/>
        <v>OK</v>
      </c>
      <c r="L166" s="42" t="str">
        <f t="shared" si="14"/>
        <v>Nein</v>
      </c>
      <c r="M166" s="43"/>
      <c r="N166" s="44"/>
      <c r="O166" s="44" t="s">
        <v>50</v>
      </c>
      <c r="P166" s="45"/>
    </row>
    <row r="167" spans="2:16" ht="15" customHeight="1" x14ac:dyDescent="0.25">
      <c r="B167" s="33">
        <f>IF($C167="","",COUNTA($C$18:$C167))</f>
        <v>150</v>
      </c>
      <c r="C167" s="34">
        <v>46199</v>
      </c>
      <c r="D167" s="35">
        <v>0.44791666666666702</v>
      </c>
      <c r="E167" s="36" t="s">
        <v>56</v>
      </c>
      <c r="F167" s="37" t="str">
        <f>IF($E167="","",IFERROR(INDEX(Stammdaten!$D$22:$D$31,MATCH($E167,Stammdaten!$C$22:$C$31,0)),"?"))</f>
        <v>Wareneingang</v>
      </c>
      <c r="G167" s="38">
        <f>IF($E167="","",IFERROR(INDEX(Stammdaten!$F$22:$F$31,MATCH($E167,Stammdaten!$C$22:$C$31,0)),""))</f>
        <v>0</v>
      </c>
      <c r="H167" s="38">
        <f>IF($E167="","",IFERROR(INDEX(Stammdaten!$G$22:$G$31,MATCH($E167,Stammdaten!$C$22:$C$31,0)),""))</f>
        <v>7</v>
      </c>
      <c r="I167" s="39">
        <v>5.2</v>
      </c>
      <c r="J167" s="40">
        <f t="shared" si="12"/>
        <v>0</v>
      </c>
      <c r="K167" s="41" t="str">
        <f t="shared" si="13"/>
        <v>OK</v>
      </c>
      <c r="L167" s="42" t="str">
        <f t="shared" si="14"/>
        <v>Nein</v>
      </c>
      <c r="M167" s="43"/>
      <c r="N167" s="44"/>
      <c r="O167" s="44" t="s">
        <v>57</v>
      </c>
      <c r="P167" s="45"/>
    </row>
    <row r="168" spans="2:16" ht="15" customHeight="1" x14ac:dyDescent="0.25">
      <c r="B168" s="33">
        <f>IF($C168="","",COUNTA($C$18:$C168))</f>
        <v>151</v>
      </c>
      <c r="C168" s="34">
        <v>46199</v>
      </c>
      <c r="D168" s="35">
        <v>0.51041666666666696</v>
      </c>
      <c r="E168" s="36" t="s">
        <v>58</v>
      </c>
      <c r="F168" s="37" t="str">
        <f>IF($E168="","",IFERROR(INDEX(Stammdaten!$D$22:$D$31,MATCH($E168,Stammdaten!$C$22:$C$31,0)),"?"))</f>
        <v>Warmhaltung</v>
      </c>
      <c r="G168" s="38">
        <f>IF($E168="","",IFERROR(INDEX(Stammdaten!$F$22:$F$31,MATCH($E168,Stammdaten!$C$22:$C$31,0)),""))</f>
        <v>65</v>
      </c>
      <c r="H168" s="38">
        <f>IF($E168="","",IFERROR(INDEX(Stammdaten!$G$22:$G$31,MATCH($E168,Stammdaten!$C$22:$C$31,0)),""))</f>
        <v>85</v>
      </c>
      <c r="I168" s="39">
        <v>73.099999999999994</v>
      </c>
      <c r="J168" s="40">
        <f t="shared" si="12"/>
        <v>0</v>
      </c>
      <c r="K168" s="41" t="str">
        <f t="shared" si="13"/>
        <v>OK</v>
      </c>
      <c r="L168" s="42" t="str">
        <f t="shared" si="14"/>
        <v>Nein</v>
      </c>
      <c r="M168" s="43"/>
      <c r="N168" s="44"/>
      <c r="O168" s="44" t="s">
        <v>59</v>
      </c>
      <c r="P168" s="45"/>
    </row>
    <row r="169" spans="2:16" ht="15" customHeight="1" x14ac:dyDescent="0.25">
      <c r="B169" s="33">
        <f>IF($C169="","",COUNTA($C$18:$C169))</f>
        <v>152</v>
      </c>
      <c r="C169" s="34">
        <v>46200</v>
      </c>
      <c r="D169" s="35">
        <v>0.33333333333333298</v>
      </c>
      <c r="E169" s="36" t="s">
        <v>49</v>
      </c>
      <c r="F169" s="37" t="str">
        <f>IF($E169="","",IFERROR(INDEX(Stammdaten!$D$22:$D$31,MATCH($E169,Stammdaten!$C$22:$C$31,0)),"?"))</f>
        <v>Kühlung</v>
      </c>
      <c r="G169" s="38">
        <f>IF($E169="","",IFERROR(INDEX(Stammdaten!$F$22:$F$31,MATCH($E169,Stammdaten!$C$22:$C$31,0)),""))</f>
        <v>2</v>
      </c>
      <c r="H169" s="38">
        <f>IF($E169="","",IFERROR(INDEX(Stammdaten!$G$22:$G$31,MATCH($E169,Stammdaten!$C$22:$C$31,0)),""))</f>
        <v>7</v>
      </c>
      <c r="I169" s="39">
        <v>5.5</v>
      </c>
      <c r="J169" s="40">
        <f t="shared" si="12"/>
        <v>0</v>
      </c>
      <c r="K169" s="41" t="str">
        <f t="shared" si="13"/>
        <v>OK</v>
      </c>
      <c r="L169" s="42" t="str">
        <f t="shared" si="14"/>
        <v>Nein</v>
      </c>
      <c r="M169" s="43"/>
      <c r="N169" s="44"/>
      <c r="O169" s="44" t="s">
        <v>52</v>
      </c>
      <c r="P169" s="45"/>
    </row>
    <row r="170" spans="2:16" ht="15" customHeight="1" x14ac:dyDescent="0.25">
      <c r="B170" s="33">
        <f>IF($C170="","",COUNTA($C$18:$C170))</f>
        <v>153</v>
      </c>
      <c r="C170" s="34">
        <v>46200</v>
      </c>
      <c r="D170" s="35">
        <v>0.34375</v>
      </c>
      <c r="E170" s="36" t="s">
        <v>51</v>
      </c>
      <c r="F170" s="37" t="str">
        <f>IF($E170="","",IFERROR(INDEX(Stammdaten!$D$22:$D$31,MATCH($E170,Stammdaten!$C$22:$C$31,0)),"?"))</f>
        <v>Kühlung</v>
      </c>
      <c r="G170" s="38">
        <f>IF($E170="","",IFERROR(INDEX(Stammdaten!$F$22:$F$31,MATCH($E170,Stammdaten!$C$22:$C$31,0)),""))</f>
        <v>0</v>
      </c>
      <c r="H170" s="38">
        <f>IF($E170="","",IFERROR(INDEX(Stammdaten!$G$22:$G$31,MATCH($E170,Stammdaten!$C$22:$C$31,0)),""))</f>
        <v>6</v>
      </c>
      <c r="I170" s="39">
        <v>3.6</v>
      </c>
      <c r="J170" s="40">
        <f t="shared" si="12"/>
        <v>0</v>
      </c>
      <c r="K170" s="41" t="str">
        <f t="shared" si="13"/>
        <v>OK</v>
      </c>
      <c r="L170" s="42" t="str">
        <f t="shared" si="14"/>
        <v>Nein</v>
      </c>
      <c r="M170" s="43"/>
      <c r="N170" s="44"/>
      <c r="O170" s="44" t="s">
        <v>54</v>
      </c>
      <c r="P170" s="45"/>
    </row>
    <row r="171" spans="2:16" ht="15" customHeight="1" x14ac:dyDescent="0.25">
      <c r="B171" s="33">
        <f>IF($C171="","",COUNTA($C$18:$C171))</f>
        <v>154</v>
      </c>
      <c r="C171" s="34">
        <v>46200</v>
      </c>
      <c r="D171" s="35">
        <v>0.35416666666666702</v>
      </c>
      <c r="E171" s="36" t="s">
        <v>53</v>
      </c>
      <c r="F171" s="37" t="str">
        <f>IF($E171="","",IFERROR(INDEX(Stammdaten!$D$22:$D$31,MATCH($E171,Stammdaten!$C$22:$C$31,0)),"?"))</f>
        <v>Tiefkühlung</v>
      </c>
      <c r="G171" s="38">
        <f>IF($E171="","",IFERROR(INDEX(Stammdaten!$F$22:$F$31,MATCH($E171,Stammdaten!$C$22:$C$31,0)),""))</f>
        <v>-24</v>
      </c>
      <c r="H171" s="38">
        <f>IF($E171="","",IFERROR(INDEX(Stammdaten!$G$22:$G$31,MATCH($E171,Stammdaten!$C$22:$C$31,0)),""))</f>
        <v>-18</v>
      </c>
      <c r="I171" s="39">
        <v>-19.8</v>
      </c>
      <c r="J171" s="40">
        <f t="shared" si="12"/>
        <v>0</v>
      </c>
      <c r="K171" s="41" t="str">
        <f t="shared" si="13"/>
        <v>OK</v>
      </c>
      <c r="L171" s="42" t="str">
        <f t="shared" si="14"/>
        <v>Nein</v>
      </c>
      <c r="M171" s="43"/>
      <c r="N171" s="44"/>
      <c r="O171" s="44" t="s">
        <v>59</v>
      </c>
      <c r="P171" s="45"/>
    </row>
    <row r="172" spans="2:16" ht="15" customHeight="1" x14ac:dyDescent="0.25">
      <c r="B172" s="33">
        <f>IF($C172="","",COUNTA($C$18:$C172))</f>
        <v>155</v>
      </c>
      <c r="C172" s="34">
        <v>46200</v>
      </c>
      <c r="D172" s="35">
        <v>0.375</v>
      </c>
      <c r="E172" s="36" t="s">
        <v>55</v>
      </c>
      <c r="F172" s="37" t="str">
        <f>IF($E172="","",IFERROR(INDEX(Stammdaten!$D$22:$D$31,MATCH($E172,Stammdaten!$C$22:$C$31,0)),"?"))</f>
        <v>Lagerung</v>
      </c>
      <c r="G172" s="38">
        <f>IF($E172="","",IFERROR(INDEX(Stammdaten!$F$22:$F$31,MATCH($E172,Stammdaten!$C$22:$C$31,0)),""))</f>
        <v>10</v>
      </c>
      <c r="H172" s="38">
        <f>IF($E172="","",IFERROR(INDEX(Stammdaten!$G$22:$G$31,MATCH($E172,Stammdaten!$C$22:$C$31,0)),""))</f>
        <v>20</v>
      </c>
      <c r="I172" s="39">
        <v>15.7</v>
      </c>
      <c r="J172" s="40">
        <f t="shared" si="12"/>
        <v>0</v>
      </c>
      <c r="K172" s="41" t="str">
        <f t="shared" si="13"/>
        <v>OK</v>
      </c>
      <c r="L172" s="42" t="str">
        <f t="shared" si="14"/>
        <v>Nein</v>
      </c>
      <c r="M172" s="43"/>
      <c r="N172" s="44"/>
      <c r="O172" s="44" t="s">
        <v>52</v>
      </c>
      <c r="P172" s="45"/>
    </row>
    <row r="173" spans="2:16" ht="15" customHeight="1" x14ac:dyDescent="0.25">
      <c r="B173" s="33">
        <f>IF($C173="","",COUNTA($C$18:$C173))</f>
        <v>156</v>
      </c>
      <c r="C173" s="34">
        <v>46200</v>
      </c>
      <c r="D173" s="35">
        <v>0.51041666666666696</v>
      </c>
      <c r="E173" s="36" t="s">
        <v>58</v>
      </c>
      <c r="F173" s="37" t="str">
        <f>IF($E173="","",IFERROR(INDEX(Stammdaten!$D$22:$D$31,MATCH($E173,Stammdaten!$C$22:$C$31,0)),"?"))</f>
        <v>Warmhaltung</v>
      </c>
      <c r="G173" s="38">
        <f>IF($E173="","",IFERROR(INDEX(Stammdaten!$F$22:$F$31,MATCH($E173,Stammdaten!$C$22:$C$31,0)),""))</f>
        <v>65</v>
      </c>
      <c r="H173" s="38">
        <f>IF($E173="","",IFERROR(INDEX(Stammdaten!$G$22:$G$31,MATCH($E173,Stammdaten!$C$22:$C$31,0)),""))</f>
        <v>85</v>
      </c>
      <c r="I173" s="39">
        <v>69.900000000000006</v>
      </c>
      <c r="J173" s="40">
        <f t="shared" si="12"/>
        <v>0</v>
      </c>
      <c r="K173" s="41" t="str">
        <f t="shared" si="13"/>
        <v>OK</v>
      </c>
      <c r="L173" s="42" t="str">
        <f t="shared" si="14"/>
        <v>Nein</v>
      </c>
      <c r="M173" s="43"/>
      <c r="N173" s="44"/>
      <c r="O173" s="44" t="s">
        <v>57</v>
      </c>
      <c r="P173" s="45"/>
    </row>
    <row r="174" spans="2:16" ht="15" customHeight="1" x14ac:dyDescent="0.25">
      <c r="B174" s="33">
        <f>IF($C174="","",COUNTA($C$18:$C174))</f>
        <v>157</v>
      </c>
      <c r="C174" s="34">
        <v>46201</v>
      </c>
      <c r="D174" s="35">
        <v>0.33333333333333298</v>
      </c>
      <c r="E174" s="36" t="s">
        <v>49</v>
      </c>
      <c r="F174" s="37" t="str">
        <f>IF($E174="","",IFERROR(INDEX(Stammdaten!$D$22:$D$31,MATCH($E174,Stammdaten!$C$22:$C$31,0)),"?"))</f>
        <v>Kühlung</v>
      </c>
      <c r="G174" s="38">
        <f>IF($E174="","",IFERROR(INDEX(Stammdaten!$F$22:$F$31,MATCH($E174,Stammdaten!$C$22:$C$31,0)),""))</f>
        <v>2</v>
      </c>
      <c r="H174" s="38">
        <f>IF($E174="","",IFERROR(INDEX(Stammdaten!$G$22:$G$31,MATCH($E174,Stammdaten!$C$22:$C$31,0)),""))</f>
        <v>7</v>
      </c>
      <c r="I174" s="39">
        <v>4.7</v>
      </c>
      <c r="J174" s="40">
        <f t="shared" si="12"/>
        <v>0</v>
      </c>
      <c r="K174" s="41" t="str">
        <f t="shared" si="13"/>
        <v>OK</v>
      </c>
      <c r="L174" s="42" t="str">
        <f t="shared" si="14"/>
        <v>Nein</v>
      </c>
      <c r="M174" s="43"/>
      <c r="N174" s="44"/>
      <c r="O174" s="44" t="s">
        <v>54</v>
      </c>
      <c r="P174" s="45"/>
    </row>
    <row r="175" spans="2:16" ht="15" customHeight="1" x14ac:dyDescent="0.25">
      <c r="B175" s="33">
        <f>IF($C175="","",COUNTA($C$18:$C175))</f>
        <v>158</v>
      </c>
      <c r="C175" s="34">
        <v>46201</v>
      </c>
      <c r="D175" s="35">
        <v>0.34375</v>
      </c>
      <c r="E175" s="36" t="s">
        <v>51</v>
      </c>
      <c r="F175" s="37" t="str">
        <f>IF($E175="","",IFERROR(INDEX(Stammdaten!$D$22:$D$31,MATCH($E175,Stammdaten!$C$22:$C$31,0)),"?"))</f>
        <v>Kühlung</v>
      </c>
      <c r="G175" s="38">
        <f>IF($E175="","",IFERROR(INDEX(Stammdaten!$F$22:$F$31,MATCH($E175,Stammdaten!$C$22:$C$31,0)),""))</f>
        <v>0</v>
      </c>
      <c r="H175" s="38">
        <f>IF($E175="","",IFERROR(INDEX(Stammdaten!$G$22:$G$31,MATCH($E175,Stammdaten!$C$22:$C$31,0)),""))</f>
        <v>6</v>
      </c>
      <c r="I175" s="39">
        <v>2.4</v>
      </c>
      <c r="J175" s="40">
        <f t="shared" si="12"/>
        <v>0</v>
      </c>
      <c r="K175" s="41" t="str">
        <f t="shared" si="13"/>
        <v>OK</v>
      </c>
      <c r="L175" s="42" t="str">
        <f t="shared" si="14"/>
        <v>Nein</v>
      </c>
      <c r="M175" s="43"/>
      <c r="N175" s="44"/>
      <c r="O175" s="44" t="s">
        <v>59</v>
      </c>
      <c r="P175" s="45"/>
    </row>
    <row r="176" spans="2:16" ht="15" customHeight="1" x14ac:dyDescent="0.25">
      <c r="B176" s="33">
        <f>IF($C176="","",COUNTA($C$18:$C176))</f>
        <v>159</v>
      </c>
      <c r="C176" s="34">
        <v>46201</v>
      </c>
      <c r="D176" s="35">
        <v>0.35416666666666702</v>
      </c>
      <c r="E176" s="36" t="s">
        <v>53</v>
      </c>
      <c r="F176" s="37" t="str">
        <f>IF($E176="","",IFERROR(INDEX(Stammdaten!$D$22:$D$31,MATCH($E176,Stammdaten!$C$22:$C$31,0)),"?"))</f>
        <v>Tiefkühlung</v>
      </c>
      <c r="G176" s="38">
        <f>IF($E176="","",IFERROR(INDEX(Stammdaten!$F$22:$F$31,MATCH($E176,Stammdaten!$C$22:$C$31,0)),""))</f>
        <v>-24</v>
      </c>
      <c r="H176" s="38">
        <f>IF($E176="","",IFERROR(INDEX(Stammdaten!$G$22:$G$31,MATCH($E176,Stammdaten!$C$22:$C$31,0)),""))</f>
        <v>-18</v>
      </c>
      <c r="I176" s="39">
        <v>-20.6</v>
      </c>
      <c r="J176" s="40">
        <f t="shared" si="12"/>
        <v>0</v>
      </c>
      <c r="K176" s="41" t="str">
        <f t="shared" si="13"/>
        <v>OK</v>
      </c>
      <c r="L176" s="42" t="str">
        <f t="shared" si="14"/>
        <v>Nein</v>
      </c>
      <c r="M176" s="43"/>
      <c r="N176" s="44"/>
      <c r="O176" s="44" t="s">
        <v>57</v>
      </c>
      <c r="P176" s="45"/>
    </row>
    <row r="177" spans="2:16" ht="15" customHeight="1" x14ac:dyDescent="0.25">
      <c r="B177" s="33">
        <f>IF($C177="","",COUNTA($C$18:$C177))</f>
        <v>160</v>
      </c>
      <c r="C177" s="34">
        <v>46201</v>
      </c>
      <c r="D177" s="35">
        <v>0.375</v>
      </c>
      <c r="E177" s="36" t="s">
        <v>55</v>
      </c>
      <c r="F177" s="37" t="str">
        <f>IF($E177="","",IFERROR(INDEX(Stammdaten!$D$22:$D$31,MATCH($E177,Stammdaten!$C$22:$C$31,0)),"?"))</f>
        <v>Lagerung</v>
      </c>
      <c r="G177" s="38">
        <f>IF($E177="","",IFERROR(INDEX(Stammdaten!$F$22:$F$31,MATCH($E177,Stammdaten!$C$22:$C$31,0)),""))</f>
        <v>10</v>
      </c>
      <c r="H177" s="38">
        <f>IF($E177="","",IFERROR(INDEX(Stammdaten!$G$22:$G$31,MATCH($E177,Stammdaten!$C$22:$C$31,0)),""))</f>
        <v>20</v>
      </c>
      <c r="I177" s="39">
        <v>19.3</v>
      </c>
      <c r="J177" s="40">
        <f t="shared" si="12"/>
        <v>0</v>
      </c>
      <c r="K177" s="41" t="str">
        <f t="shared" si="13"/>
        <v>OK</v>
      </c>
      <c r="L177" s="42" t="str">
        <f t="shared" si="14"/>
        <v>Nein</v>
      </c>
      <c r="M177" s="43"/>
      <c r="N177" s="44"/>
      <c r="O177" s="44" t="s">
        <v>54</v>
      </c>
      <c r="P177" s="45"/>
    </row>
    <row r="178" spans="2:16" ht="15" customHeight="1" x14ac:dyDescent="0.25">
      <c r="B178" s="33">
        <f>IF($C178="","",COUNTA($C$18:$C178))</f>
        <v>161</v>
      </c>
      <c r="C178" s="34">
        <v>46201</v>
      </c>
      <c r="D178" s="35">
        <v>0.51041666666666696</v>
      </c>
      <c r="E178" s="36" t="s">
        <v>58</v>
      </c>
      <c r="F178" s="37" t="str">
        <f>IF($E178="","",IFERROR(INDEX(Stammdaten!$D$22:$D$31,MATCH($E178,Stammdaten!$C$22:$C$31,0)),"?"))</f>
        <v>Warmhaltung</v>
      </c>
      <c r="G178" s="38">
        <f>IF($E178="","",IFERROR(INDEX(Stammdaten!$F$22:$F$31,MATCH($E178,Stammdaten!$C$22:$C$31,0)),""))</f>
        <v>65</v>
      </c>
      <c r="H178" s="38">
        <f>IF($E178="","",IFERROR(INDEX(Stammdaten!$G$22:$G$31,MATCH($E178,Stammdaten!$C$22:$C$31,0)),""))</f>
        <v>85</v>
      </c>
      <c r="I178" s="39">
        <v>70.2</v>
      </c>
      <c r="J178" s="40">
        <f t="shared" ref="J178:J209" si="15">IF($I178="","",IF($G178="","",IF($I178&lt;$G178,ROUND($I178-$G178,1),IF($I178&gt;$H178,ROUND($I178-$H178,1),0))))</f>
        <v>0</v>
      </c>
      <c r="K178" s="41" t="str">
        <f t="shared" ref="K178:K209" si="16">IF($I178="","",IF($J178="","",IF(ABS($J178)&gt;Toleranz_kritisch,"Kritisch",IF($J178&lt;0,"Zu niedrig",IF($J178&gt;0,"Zu hoch","OK")))))</f>
        <v>OK</v>
      </c>
      <c r="L178" s="42" t="str">
        <f t="shared" ref="L178:L209" si="17">IF($K178="","",IF($K178="OK","Nein","Ja"))</f>
        <v>Nein</v>
      </c>
      <c r="M178" s="43"/>
      <c r="N178" s="44"/>
      <c r="O178" s="44" t="s">
        <v>50</v>
      </c>
      <c r="P178" s="45"/>
    </row>
    <row r="179" spans="2:16" ht="15" customHeight="1" x14ac:dyDescent="0.25">
      <c r="B179" s="33">
        <f>IF($C179="","",COUNTA($C$18:$C179))</f>
        <v>162</v>
      </c>
      <c r="C179" s="34">
        <v>46202</v>
      </c>
      <c r="D179" s="35">
        <v>0.33333333333333298</v>
      </c>
      <c r="E179" s="36" t="s">
        <v>49</v>
      </c>
      <c r="F179" s="37" t="str">
        <f>IF($E179="","",IFERROR(INDEX(Stammdaten!$D$22:$D$31,MATCH($E179,Stammdaten!$C$22:$C$31,0)),"?"))</f>
        <v>Kühlung</v>
      </c>
      <c r="G179" s="38">
        <f>IF($E179="","",IFERROR(INDEX(Stammdaten!$F$22:$F$31,MATCH($E179,Stammdaten!$C$22:$C$31,0)),""))</f>
        <v>2</v>
      </c>
      <c r="H179" s="38">
        <f>IF($E179="","",IFERROR(INDEX(Stammdaten!$G$22:$G$31,MATCH($E179,Stammdaten!$C$22:$C$31,0)),""))</f>
        <v>7</v>
      </c>
      <c r="I179" s="39">
        <v>3.9</v>
      </c>
      <c r="J179" s="40">
        <f t="shared" si="15"/>
        <v>0</v>
      </c>
      <c r="K179" s="41" t="str">
        <f t="shared" si="16"/>
        <v>OK</v>
      </c>
      <c r="L179" s="42" t="str">
        <f t="shared" si="17"/>
        <v>Nein</v>
      </c>
      <c r="M179" s="43"/>
      <c r="N179" s="44"/>
      <c r="O179" s="44" t="s">
        <v>59</v>
      </c>
      <c r="P179" s="45"/>
    </row>
    <row r="180" spans="2:16" ht="15" customHeight="1" x14ac:dyDescent="0.25">
      <c r="B180" s="33">
        <f>IF($C180="","",COUNTA($C$18:$C180))</f>
        <v>163</v>
      </c>
      <c r="C180" s="34">
        <v>46202</v>
      </c>
      <c r="D180" s="35">
        <v>0.34375</v>
      </c>
      <c r="E180" s="36" t="s">
        <v>51</v>
      </c>
      <c r="F180" s="37" t="str">
        <f>IF($E180="","",IFERROR(INDEX(Stammdaten!$D$22:$D$31,MATCH($E180,Stammdaten!$C$22:$C$31,0)),"?"))</f>
        <v>Kühlung</v>
      </c>
      <c r="G180" s="38">
        <f>IF($E180="","",IFERROR(INDEX(Stammdaten!$F$22:$F$31,MATCH($E180,Stammdaten!$C$22:$C$31,0)),""))</f>
        <v>0</v>
      </c>
      <c r="H180" s="38">
        <f>IF($E180="","",IFERROR(INDEX(Stammdaten!$G$22:$G$31,MATCH($E180,Stammdaten!$C$22:$C$31,0)),""))</f>
        <v>6</v>
      </c>
      <c r="I180" s="39">
        <v>2.7</v>
      </c>
      <c r="J180" s="40">
        <f t="shared" si="15"/>
        <v>0</v>
      </c>
      <c r="K180" s="41" t="str">
        <f t="shared" si="16"/>
        <v>OK</v>
      </c>
      <c r="L180" s="42" t="str">
        <f t="shared" si="17"/>
        <v>Nein</v>
      </c>
      <c r="M180" s="43"/>
      <c r="N180" s="44"/>
      <c r="O180" s="44" t="s">
        <v>57</v>
      </c>
      <c r="P180" s="45"/>
    </row>
    <row r="181" spans="2:16" ht="15" customHeight="1" x14ac:dyDescent="0.25">
      <c r="B181" s="33">
        <f>IF($C181="","",COUNTA($C$18:$C181))</f>
        <v>164</v>
      </c>
      <c r="C181" s="34">
        <v>46202</v>
      </c>
      <c r="D181" s="35">
        <v>0.35416666666666702</v>
      </c>
      <c r="E181" s="36" t="s">
        <v>53</v>
      </c>
      <c r="F181" s="37" t="str">
        <f>IF($E181="","",IFERROR(INDEX(Stammdaten!$D$22:$D$31,MATCH($E181,Stammdaten!$C$22:$C$31,0)),"?"))</f>
        <v>Tiefkühlung</v>
      </c>
      <c r="G181" s="38">
        <f>IF($E181="","",IFERROR(INDEX(Stammdaten!$F$22:$F$31,MATCH($E181,Stammdaten!$C$22:$C$31,0)),""))</f>
        <v>-24</v>
      </c>
      <c r="H181" s="38">
        <f>IF($E181="","",IFERROR(INDEX(Stammdaten!$G$22:$G$31,MATCH($E181,Stammdaten!$C$22:$C$31,0)),""))</f>
        <v>-18</v>
      </c>
      <c r="I181" s="39">
        <v>-20.5</v>
      </c>
      <c r="J181" s="40">
        <f t="shared" si="15"/>
        <v>0</v>
      </c>
      <c r="K181" s="41" t="str">
        <f t="shared" si="16"/>
        <v>OK</v>
      </c>
      <c r="L181" s="42" t="str">
        <f t="shared" si="17"/>
        <v>Nein</v>
      </c>
      <c r="M181" s="43"/>
      <c r="N181" s="44"/>
      <c r="O181" s="44" t="s">
        <v>50</v>
      </c>
      <c r="P181" s="45"/>
    </row>
    <row r="182" spans="2:16" ht="15" customHeight="1" x14ac:dyDescent="0.25">
      <c r="B182" s="33">
        <f>IF($C182="","",COUNTA($C$18:$C182))</f>
        <v>165</v>
      </c>
      <c r="C182" s="34">
        <v>46202</v>
      </c>
      <c r="D182" s="35">
        <v>0.375</v>
      </c>
      <c r="E182" s="36" t="s">
        <v>55</v>
      </c>
      <c r="F182" s="37" t="str">
        <f>IF($E182="","",IFERROR(INDEX(Stammdaten!$D$22:$D$31,MATCH($E182,Stammdaten!$C$22:$C$31,0)),"?"))</f>
        <v>Lagerung</v>
      </c>
      <c r="G182" s="38">
        <f>IF($E182="","",IFERROR(INDEX(Stammdaten!$F$22:$F$31,MATCH($E182,Stammdaten!$C$22:$C$31,0)),""))</f>
        <v>10</v>
      </c>
      <c r="H182" s="38">
        <f>IF($E182="","",IFERROR(INDEX(Stammdaten!$G$22:$G$31,MATCH($E182,Stammdaten!$C$22:$C$31,0)),""))</f>
        <v>20</v>
      </c>
      <c r="I182" s="39">
        <v>17.3</v>
      </c>
      <c r="J182" s="40">
        <f t="shared" si="15"/>
        <v>0</v>
      </c>
      <c r="K182" s="41" t="str">
        <f t="shared" si="16"/>
        <v>OK</v>
      </c>
      <c r="L182" s="42" t="str">
        <f t="shared" si="17"/>
        <v>Nein</v>
      </c>
      <c r="M182" s="43"/>
      <c r="N182" s="44"/>
      <c r="O182" s="44" t="s">
        <v>59</v>
      </c>
      <c r="P182" s="45"/>
    </row>
    <row r="183" spans="2:16" ht="15" customHeight="1" x14ac:dyDescent="0.25">
      <c r="B183" s="33">
        <f>IF($C183="","",COUNTA($C$18:$C183))</f>
        <v>166</v>
      </c>
      <c r="C183" s="34">
        <v>46202</v>
      </c>
      <c r="D183" s="35">
        <v>0.44791666666666702</v>
      </c>
      <c r="E183" s="36" t="s">
        <v>56</v>
      </c>
      <c r="F183" s="37" t="str">
        <f>IF($E183="","",IFERROR(INDEX(Stammdaten!$D$22:$D$31,MATCH($E183,Stammdaten!$C$22:$C$31,0)),"?"))</f>
        <v>Wareneingang</v>
      </c>
      <c r="G183" s="38">
        <f>IF($E183="","",IFERROR(INDEX(Stammdaten!$F$22:$F$31,MATCH($E183,Stammdaten!$C$22:$C$31,0)),""))</f>
        <v>0</v>
      </c>
      <c r="H183" s="38">
        <f>IF($E183="","",IFERROR(INDEX(Stammdaten!$G$22:$G$31,MATCH($E183,Stammdaten!$C$22:$C$31,0)),""))</f>
        <v>7</v>
      </c>
      <c r="I183" s="39">
        <v>3.5</v>
      </c>
      <c r="J183" s="40">
        <f t="shared" si="15"/>
        <v>0</v>
      </c>
      <c r="K183" s="41" t="str">
        <f t="shared" si="16"/>
        <v>OK</v>
      </c>
      <c r="L183" s="42" t="str">
        <f t="shared" si="17"/>
        <v>Nein</v>
      </c>
      <c r="M183" s="43"/>
      <c r="N183" s="44"/>
      <c r="O183" s="44" t="s">
        <v>54</v>
      </c>
      <c r="P183" s="45"/>
    </row>
    <row r="184" spans="2:16" ht="15" customHeight="1" x14ac:dyDescent="0.25">
      <c r="B184" s="33">
        <f>IF($C184="","",COUNTA($C$18:$C184))</f>
        <v>167</v>
      </c>
      <c r="C184" s="34">
        <v>46202</v>
      </c>
      <c r="D184" s="35">
        <v>0.51041666666666696</v>
      </c>
      <c r="E184" s="36" t="s">
        <v>58</v>
      </c>
      <c r="F184" s="37" t="str">
        <f>IF($E184="","",IFERROR(INDEX(Stammdaten!$D$22:$D$31,MATCH($E184,Stammdaten!$C$22:$C$31,0)),"?"))</f>
        <v>Warmhaltung</v>
      </c>
      <c r="G184" s="38">
        <f>IF($E184="","",IFERROR(INDEX(Stammdaten!$F$22:$F$31,MATCH($E184,Stammdaten!$C$22:$C$31,0)),""))</f>
        <v>65</v>
      </c>
      <c r="H184" s="38">
        <f>IF($E184="","",IFERROR(INDEX(Stammdaten!$G$22:$G$31,MATCH($E184,Stammdaten!$C$22:$C$31,0)),""))</f>
        <v>85</v>
      </c>
      <c r="I184" s="39">
        <v>73.3</v>
      </c>
      <c r="J184" s="40">
        <f t="shared" si="15"/>
        <v>0</v>
      </c>
      <c r="K184" s="41" t="str">
        <f t="shared" si="16"/>
        <v>OK</v>
      </c>
      <c r="L184" s="42" t="str">
        <f t="shared" si="17"/>
        <v>Nein</v>
      </c>
      <c r="M184" s="43"/>
      <c r="N184" s="44"/>
      <c r="O184" s="44" t="s">
        <v>52</v>
      </c>
      <c r="P184" s="45"/>
    </row>
    <row r="185" spans="2:16" ht="15" customHeight="1" x14ac:dyDescent="0.25">
      <c r="B185" s="33">
        <f>IF($C185="","",COUNTA($C$18:$C185))</f>
        <v>168</v>
      </c>
      <c r="C185" s="34">
        <v>46203</v>
      </c>
      <c r="D185" s="35">
        <v>0.33333333333333298</v>
      </c>
      <c r="E185" s="36" t="s">
        <v>49</v>
      </c>
      <c r="F185" s="37" t="str">
        <f>IF($E185="","",IFERROR(INDEX(Stammdaten!$D$22:$D$31,MATCH($E185,Stammdaten!$C$22:$C$31,0)),"?"))</f>
        <v>Kühlung</v>
      </c>
      <c r="G185" s="38">
        <f>IF($E185="","",IFERROR(INDEX(Stammdaten!$F$22:$F$31,MATCH($E185,Stammdaten!$C$22:$C$31,0)),""))</f>
        <v>2</v>
      </c>
      <c r="H185" s="38">
        <f>IF($E185="","",IFERROR(INDEX(Stammdaten!$G$22:$G$31,MATCH($E185,Stammdaten!$C$22:$C$31,0)),""))</f>
        <v>7</v>
      </c>
      <c r="I185" s="39">
        <v>3.3</v>
      </c>
      <c r="J185" s="40">
        <f t="shared" si="15"/>
        <v>0</v>
      </c>
      <c r="K185" s="41" t="str">
        <f t="shared" si="16"/>
        <v>OK</v>
      </c>
      <c r="L185" s="42" t="str">
        <f t="shared" si="17"/>
        <v>Nein</v>
      </c>
      <c r="M185" s="43"/>
      <c r="N185" s="44"/>
      <c r="O185" s="44" t="s">
        <v>57</v>
      </c>
      <c r="P185" s="45"/>
    </row>
    <row r="186" spans="2:16" ht="15" customHeight="1" x14ac:dyDescent="0.25">
      <c r="B186" s="33">
        <f>IF($C186="","",COUNTA($C$18:$C186))</f>
        <v>169</v>
      </c>
      <c r="C186" s="34">
        <v>46203</v>
      </c>
      <c r="D186" s="35">
        <v>0.34375</v>
      </c>
      <c r="E186" s="36" t="s">
        <v>51</v>
      </c>
      <c r="F186" s="37" t="str">
        <f>IF($E186="","",IFERROR(INDEX(Stammdaten!$D$22:$D$31,MATCH($E186,Stammdaten!$C$22:$C$31,0)),"?"))</f>
        <v>Kühlung</v>
      </c>
      <c r="G186" s="38">
        <f>IF($E186="","",IFERROR(INDEX(Stammdaten!$F$22:$F$31,MATCH($E186,Stammdaten!$C$22:$C$31,0)),""))</f>
        <v>0</v>
      </c>
      <c r="H186" s="38">
        <f>IF($E186="","",IFERROR(INDEX(Stammdaten!$G$22:$G$31,MATCH($E186,Stammdaten!$C$22:$C$31,0)),""))</f>
        <v>6</v>
      </c>
      <c r="I186" s="39">
        <v>3</v>
      </c>
      <c r="J186" s="40">
        <f t="shared" si="15"/>
        <v>0</v>
      </c>
      <c r="K186" s="41" t="str">
        <f t="shared" si="16"/>
        <v>OK</v>
      </c>
      <c r="L186" s="42" t="str">
        <f t="shared" si="17"/>
        <v>Nein</v>
      </c>
      <c r="M186" s="43"/>
      <c r="N186" s="44"/>
      <c r="O186" s="44" t="s">
        <v>50</v>
      </c>
      <c r="P186" s="45"/>
    </row>
    <row r="187" spans="2:16" ht="15" customHeight="1" x14ac:dyDescent="0.25">
      <c r="B187" s="33">
        <f>IF($C187="","",COUNTA($C$18:$C187))</f>
        <v>170</v>
      </c>
      <c r="C187" s="34">
        <v>46203</v>
      </c>
      <c r="D187" s="35">
        <v>0.35416666666666702</v>
      </c>
      <c r="E187" s="36" t="s">
        <v>53</v>
      </c>
      <c r="F187" s="37" t="str">
        <f>IF($E187="","",IFERROR(INDEX(Stammdaten!$D$22:$D$31,MATCH($E187,Stammdaten!$C$22:$C$31,0)),"?"))</f>
        <v>Tiefkühlung</v>
      </c>
      <c r="G187" s="38">
        <f>IF($E187="","",IFERROR(INDEX(Stammdaten!$F$22:$F$31,MATCH($E187,Stammdaten!$C$22:$C$31,0)),""))</f>
        <v>-24</v>
      </c>
      <c r="H187" s="38">
        <f>IF($E187="","",IFERROR(INDEX(Stammdaten!$G$22:$G$31,MATCH($E187,Stammdaten!$C$22:$C$31,0)),""))</f>
        <v>-18</v>
      </c>
      <c r="I187" s="39">
        <v>-19.2</v>
      </c>
      <c r="J187" s="40">
        <f t="shared" si="15"/>
        <v>0</v>
      </c>
      <c r="K187" s="41" t="str">
        <f t="shared" si="16"/>
        <v>OK</v>
      </c>
      <c r="L187" s="42" t="str">
        <f t="shared" si="17"/>
        <v>Nein</v>
      </c>
      <c r="M187" s="43"/>
      <c r="N187" s="44"/>
      <c r="O187" s="44" t="s">
        <v>52</v>
      </c>
      <c r="P187" s="45"/>
    </row>
    <row r="188" spans="2:16" ht="15" customHeight="1" x14ac:dyDescent="0.25">
      <c r="B188" s="33">
        <f>IF($C188="","",COUNTA($C$18:$C188))</f>
        <v>171</v>
      </c>
      <c r="C188" s="34">
        <v>46203</v>
      </c>
      <c r="D188" s="35">
        <v>0.375</v>
      </c>
      <c r="E188" s="36" t="s">
        <v>55</v>
      </c>
      <c r="F188" s="37" t="str">
        <f>IF($E188="","",IFERROR(INDEX(Stammdaten!$D$22:$D$31,MATCH($E188,Stammdaten!$C$22:$C$31,0)),"?"))</f>
        <v>Lagerung</v>
      </c>
      <c r="G188" s="38">
        <f>IF($E188="","",IFERROR(INDEX(Stammdaten!$F$22:$F$31,MATCH($E188,Stammdaten!$C$22:$C$31,0)),""))</f>
        <v>10</v>
      </c>
      <c r="H188" s="38">
        <f>IF($E188="","",IFERROR(INDEX(Stammdaten!$G$22:$G$31,MATCH($E188,Stammdaten!$C$22:$C$31,0)),""))</f>
        <v>20</v>
      </c>
      <c r="I188" s="39">
        <v>16.399999999999999</v>
      </c>
      <c r="J188" s="40">
        <f t="shared" si="15"/>
        <v>0</v>
      </c>
      <c r="K188" s="41" t="str">
        <f t="shared" si="16"/>
        <v>OK</v>
      </c>
      <c r="L188" s="42" t="str">
        <f t="shared" si="17"/>
        <v>Nein</v>
      </c>
      <c r="M188" s="43"/>
      <c r="N188" s="44"/>
      <c r="O188" s="44" t="s">
        <v>57</v>
      </c>
      <c r="P188" s="45"/>
    </row>
    <row r="189" spans="2:16" ht="15" customHeight="1" x14ac:dyDescent="0.25">
      <c r="B189" s="33">
        <f>IF($C189="","",COUNTA($C$18:$C189))</f>
        <v>172</v>
      </c>
      <c r="C189" s="34">
        <v>46203</v>
      </c>
      <c r="D189" s="35">
        <v>0.44791666666666702</v>
      </c>
      <c r="E189" s="36" t="s">
        <v>56</v>
      </c>
      <c r="F189" s="37" t="str">
        <f>IF($E189="","",IFERROR(INDEX(Stammdaten!$D$22:$D$31,MATCH($E189,Stammdaten!$C$22:$C$31,0)),"?"))</f>
        <v>Wareneingang</v>
      </c>
      <c r="G189" s="38">
        <f>IF($E189="","",IFERROR(INDEX(Stammdaten!$F$22:$F$31,MATCH($E189,Stammdaten!$C$22:$C$31,0)),""))</f>
        <v>0</v>
      </c>
      <c r="H189" s="38">
        <f>IF($E189="","",IFERROR(INDEX(Stammdaten!$G$22:$G$31,MATCH($E189,Stammdaten!$C$22:$C$31,0)),""))</f>
        <v>7</v>
      </c>
      <c r="I189" s="39">
        <v>5.5</v>
      </c>
      <c r="J189" s="40">
        <f t="shared" si="15"/>
        <v>0</v>
      </c>
      <c r="K189" s="41" t="str">
        <f t="shared" si="16"/>
        <v>OK</v>
      </c>
      <c r="L189" s="42" t="str">
        <f t="shared" si="17"/>
        <v>Nein</v>
      </c>
      <c r="M189" s="43"/>
      <c r="N189" s="44"/>
      <c r="O189" s="44" t="s">
        <v>59</v>
      </c>
      <c r="P189" s="45"/>
    </row>
    <row r="190" spans="2:16" ht="15" customHeight="1" x14ac:dyDescent="0.25">
      <c r="B190" s="33">
        <f>IF($C190="","",COUNTA($C$18:$C190))</f>
        <v>173</v>
      </c>
      <c r="C190" s="34">
        <v>46203</v>
      </c>
      <c r="D190" s="35">
        <v>0.51041666666666696</v>
      </c>
      <c r="E190" s="36" t="s">
        <v>58</v>
      </c>
      <c r="F190" s="37" t="str">
        <f>IF($E190="","",IFERROR(INDEX(Stammdaten!$D$22:$D$31,MATCH($E190,Stammdaten!$C$22:$C$31,0)),"?"))</f>
        <v>Warmhaltung</v>
      </c>
      <c r="G190" s="38">
        <f>IF($E190="","",IFERROR(INDEX(Stammdaten!$F$22:$F$31,MATCH($E190,Stammdaten!$C$22:$C$31,0)),""))</f>
        <v>65</v>
      </c>
      <c r="H190" s="38">
        <f>IF($E190="","",IFERROR(INDEX(Stammdaten!$G$22:$G$31,MATCH($E190,Stammdaten!$C$22:$C$31,0)),""))</f>
        <v>85</v>
      </c>
      <c r="I190" s="39">
        <v>75.7</v>
      </c>
      <c r="J190" s="40">
        <f t="shared" si="15"/>
        <v>0</v>
      </c>
      <c r="K190" s="41" t="str">
        <f t="shared" si="16"/>
        <v>OK</v>
      </c>
      <c r="L190" s="42" t="str">
        <f t="shared" si="17"/>
        <v>Nein</v>
      </c>
      <c r="M190" s="43"/>
      <c r="N190" s="44"/>
      <c r="O190" s="44" t="s">
        <v>54</v>
      </c>
      <c r="P190" s="45"/>
    </row>
    <row r="191" spans="2:16" ht="15" customHeight="1" x14ac:dyDescent="0.25">
      <c r="B191" s="33" t="str">
        <f>IF($C191="","",COUNTA($C$18:$C191))</f>
        <v/>
      </c>
      <c r="C191" s="34"/>
      <c r="D191" s="35"/>
      <c r="E191" s="36"/>
      <c r="F191" s="37" t="str">
        <f>IF($E191="","",IFERROR(INDEX(Stammdaten!$D$22:$D$31,MATCH($E191,Stammdaten!$C$22:$C$31,0)),"?"))</f>
        <v/>
      </c>
      <c r="G191" s="38" t="str">
        <f>IF($E191="","",IFERROR(INDEX(Stammdaten!$F$22:$F$31,MATCH($E191,Stammdaten!$C$22:$C$31,0)),""))</f>
        <v/>
      </c>
      <c r="H191" s="38" t="str">
        <f>IF($E191="","",IFERROR(INDEX(Stammdaten!$G$22:$G$31,MATCH($E191,Stammdaten!$C$22:$C$31,0)),""))</f>
        <v/>
      </c>
      <c r="I191" s="39"/>
      <c r="J191" s="40" t="str">
        <f t="shared" si="15"/>
        <v/>
      </c>
      <c r="K191" s="41" t="str">
        <f t="shared" si="16"/>
        <v/>
      </c>
      <c r="L191" s="42" t="str">
        <f t="shared" si="17"/>
        <v/>
      </c>
      <c r="M191" s="43"/>
      <c r="N191" s="44"/>
      <c r="O191" s="44"/>
      <c r="P191" s="45"/>
    </row>
    <row r="192" spans="2:16" ht="15" customHeight="1" x14ac:dyDescent="0.25">
      <c r="B192" s="33" t="str">
        <f>IF($C192="","",COUNTA($C$18:$C192))</f>
        <v/>
      </c>
      <c r="C192" s="34"/>
      <c r="D192" s="35"/>
      <c r="E192" s="36"/>
      <c r="F192" s="37" t="str">
        <f>IF($E192="","",IFERROR(INDEX(Stammdaten!$D$22:$D$31,MATCH($E192,Stammdaten!$C$22:$C$31,0)),"?"))</f>
        <v/>
      </c>
      <c r="G192" s="38" t="str">
        <f>IF($E192="","",IFERROR(INDEX(Stammdaten!$F$22:$F$31,MATCH($E192,Stammdaten!$C$22:$C$31,0)),""))</f>
        <v/>
      </c>
      <c r="H192" s="38" t="str">
        <f>IF($E192="","",IFERROR(INDEX(Stammdaten!$G$22:$G$31,MATCH($E192,Stammdaten!$C$22:$C$31,0)),""))</f>
        <v/>
      </c>
      <c r="I192" s="39"/>
      <c r="J192" s="40" t="str">
        <f t="shared" si="15"/>
        <v/>
      </c>
      <c r="K192" s="41" t="str">
        <f t="shared" si="16"/>
        <v/>
      </c>
      <c r="L192" s="42" t="str">
        <f t="shared" si="17"/>
        <v/>
      </c>
      <c r="M192" s="43"/>
      <c r="N192" s="44"/>
      <c r="O192" s="44"/>
      <c r="P192" s="45"/>
    </row>
    <row r="193" spans="2:16" ht="15" customHeight="1" x14ac:dyDescent="0.25">
      <c r="B193" s="33" t="str">
        <f>IF($C193="","",COUNTA($C$18:$C193))</f>
        <v/>
      </c>
      <c r="C193" s="34"/>
      <c r="D193" s="35"/>
      <c r="E193" s="36"/>
      <c r="F193" s="37" t="str">
        <f>IF($E193="","",IFERROR(INDEX(Stammdaten!$D$22:$D$31,MATCH($E193,Stammdaten!$C$22:$C$31,0)),"?"))</f>
        <v/>
      </c>
      <c r="G193" s="38" t="str">
        <f>IF($E193="","",IFERROR(INDEX(Stammdaten!$F$22:$F$31,MATCH($E193,Stammdaten!$C$22:$C$31,0)),""))</f>
        <v/>
      </c>
      <c r="H193" s="38" t="str">
        <f>IF($E193="","",IFERROR(INDEX(Stammdaten!$G$22:$G$31,MATCH($E193,Stammdaten!$C$22:$C$31,0)),""))</f>
        <v/>
      </c>
      <c r="I193" s="39"/>
      <c r="J193" s="40" t="str">
        <f t="shared" si="15"/>
        <v/>
      </c>
      <c r="K193" s="41" t="str">
        <f t="shared" si="16"/>
        <v/>
      </c>
      <c r="L193" s="42" t="str">
        <f t="shared" si="17"/>
        <v/>
      </c>
      <c r="M193" s="43"/>
      <c r="N193" s="44"/>
      <c r="O193" s="44"/>
      <c r="P193" s="45"/>
    </row>
    <row r="194" spans="2:16" ht="15" customHeight="1" x14ac:dyDescent="0.25">
      <c r="B194" s="33" t="str">
        <f>IF($C194="","",COUNTA($C$18:$C194))</f>
        <v/>
      </c>
      <c r="C194" s="34"/>
      <c r="D194" s="35"/>
      <c r="E194" s="36"/>
      <c r="F194" s="37" t="str">
        <f>IF($E194="","",IFERROR(INDEX(Stammdaten!$D$22:$D$31,MATCH($E194,Stammdaten!$C$22:$C$31,0)),"?"))</f>
        <v/>
      </c>
      <c r="G194" s="38" t="str">
        <f>IF($E194="","",IFERROR(INDEX(Stammdaten!$F$22:$F$31,MATCH($E194,Stammdaten!$C$22:$C$31,0)),""))</f>
        <v/>
      </c>
      <c r="H194" s="38" t="str">
        <f>IF($E194="","",IFERROR(INDEX(Stammdaten!$G$22:$G$31,MATCH($E194,Stammdaten!$C$22:$C$31,0)),""))</f>
        <v/>
      </c>
      <c r="I194" s="39"/>
      <c r="J194" s="40" t="str">
        <f t="shared" si="15"/>
        <v/>
      </c>
      <c r="K194" s="41" t="str">
        <f t="shared" si="16"/>
        <v/>
      </c>
      <c r="L194" s="42" t="str">
        <f t="shared" si="17"/>
        <v/>
      </c>
      <c r="M194" s="43"/>
      <c r="N194" s="44"/>
      <c r="O194" s="44"/>
      <c r="P194" s="45"/>
    </row>
    <row r="195" spans="2:16" ht="15" customHeight="1" x14ac:dyDescent="0.25">
      <c r="B195" s="33" t="str">
        <f>IF($C195="","",COUNTA($C$18:$C195))</f>
        <v/>
      </c>
      <c r="C195" s="34"/>
      <c r="D195" s="35"/>
      <c r="E195" s="36"/>
      <c r="F195" s="37" t="str">
        <f>IF($E195="","",IFERROR(INDEX(Stammdaten!$D$22:$D$31,MATCH($E195,Stammdaten!$C$22:$C$31,0)),"?"))</f>
        <v/>
      </c>
      <c r="G195" s="38" t="str">
        <f>IF($E195="","",IFERROR(INDEX(Stammdaten!$F$22:$F$31,MATCH($E195,Stammdaten!$C$22:$C$31,0)),""))</f>
        <v/>
      </c>
      <c r="H195" s="38" t="str">
        <f>IF($E195="","",IFERROR(INDEX(Stammdaten!$G$22:$G$31,MATCH($E195,Stammdaten!$C$22:$C$31,0)),""))</f>
        <v/>
      </c>
      <c r="I195" s="39"/>
      <c r="J195" s="40" t="str">
        <f t="shared" si="15"/>
        <v/>
      </c>
      <c r="K195" s="41" t="str">
        <f t="shared" si="16"/>
        <v/>
      </c>
      <c r="L195" s="42" t="str">
        <f t="shared" si="17"/>
        <v/>
      </c>
      <c r="M195" s="43"/>
      <c r="N195" s="44"/>
      <c r="O195" s="44"/>
      <c r="P195" s="45"/>
    </row>
    <row r="196" spans="2:16" ht="15" customHeight="1" x14ac:dyDescent="0.25">
      <c r="B196" s="33" t="str">
        <f>IF($C196="","",COUNTA($C$18:$C196))</f>
        <v/>
      </c>
      <c r="C196" s="34"/>
      <c r="D196" s="35"/>
      <c r="E196" s="36"/>
      <c r="F196" s="37" t="str">
        <f>IF($E196="","",IFERROR(INDEX(Stammdaten!$D$22:$D$31,MATCH($E196,Stammdaten!$C$22:$C$31,0)),"?"))</f>
        <v/>
      </c>
      <c r="G196" s="38" t="str">
        <f>IF($E196="","",IFERROR(INDEX(Stammdaten!$F$22:$F$31,MATCH($E196,Stammdaten!$C$22:$C$31,0)),""))</f>
        <v/>
      </c>
      <c r="H196" s="38" t="str">
        <f>IF($E196="","",IFERROR(INDEX(Stammdaten!$G$22:$G$31,MATCH($E196,Stammdaten!$C$22:$C$31,0)),""))</f>
        <v/>
      </c>
      <c r="I196" s="39"/>
      <c r="J196" s="40" t="str">
        <f t="shared" si="15"/>
        <v/>
      </c>
      <c r="K196" s="41" t="str">
        <f t="shared" si="16"/>
        <v/>
      </c>
      <c r="L196" s="42" t="str">
        <f t="shared" si="17"/>
        <v/>
      </c>
      <c r="M196" s="43"/>
      <c r="N196" s="44"/>
      <c r="O196" s="44"/>
      <c r="P196" s="45"/>
    </row>
    <row r="197" spans="2:16" ht="15" customHeight="1" x14ac:dyDescent="0.25">
      <c r="B197" s="33" t="str">
        <f>IF($C197="","",COUNTA($C$18:$C197))</f>
        <v/>
      </c>
      <c r="C197" s="34"/>
      <c r="D197" s="35"/>
      <c r="E197" s="36"/>
      <c r="F197" s="37" t="str">
        <f>IF($E197="","",IFERROR(INDEX(Stammdaten!$D$22:$D$31,MATCH($E197,Stammdaten!$C$22:$C$31,0)),"?"))</f>
        <v/>
      </c>
      <c r="G197" s="38" t="str">
        <f>IF($E197="","",IFERROR(INDEX(Stammdaten!$F$22:$F$31,MATCH($E197,Stammdaten!$C$22:$C$31,0)),""))</f>
        <v/>
      </c>
      <c r="H197" s="38" t="str">
        <f>IF($E197="","",IFERROR(INDEX(Stammdaten!$G$22:$G$31,MATCH($E197,Stammdaten!$C$22:$C$31,0)),""))</f>
        <v/>
      </c>
      <c r="I197" s="39"/>
      <c r="J197" s="40" t="str">
        <f t="shared" si="15"/>
        <v/>
      </c>
      <c r="K197" s="41" t="str">
        <f t="shared" si="16"/>
        <v/>
      </c>
      <c r="L197" s="42" t="str">
        <f t="shared" si="17"/>
        <v/>
      </c>
      <c r="M197" s="43"/>
      <c r="N197" s="44"/>
      <c r="O197" s="44"/>
      <c r="P197" s="45"/>
    </row>
    <row r="198" spans="2:16" ht="15" customHeight="1" x14ac:dyDescent="0.25">
      <c r="B198" s="33" t="str">
        <f>IF($C198="","",COUNTA($C$18:$C198))</f>
        <v/>
      </c>
      <c r="C198" s="34"/>
      <c r="D198" s="35"/>
      <c r="E198" s="36"/>
      <c r="F198" s="37" t="str">
        <f>IF($E198="","",IFERROR(INDEX(Stammdaten!$D$22:$D$31,MATCH($E198,Stammdaten!$C$22:$C$31,0)),"?"))</f>
        <v/>
      </c>
      <c r="G198" s="38" t="str">
        <f>IF($E198="","",IFERROR(INDEX(Stammdaten!$F$22:$F$31,MATCH($E198,Stammdaten!$C$22:$C$31,0)),""))</f>
        <v/>
      </c>
      <c r="H198" s="38" t="str">
        <f>IF($E198="","",IFERROR(INDEX(Stammdaten!$G$22:$G$31,MATCH($E198,Stammdaten!$C$22:$C$31,0)),""))</f>
        <v/>
      </c>
      <c r="I198" s="39"/>
      <c r="J198" s="40" t="str">
        <f t="shared" si="15"/>
        <v/>
      </c>
      <c r="K198" s="41" t="str">
        <f t="shared" si="16"/>
        <v/>
      </c>
      <c r="L198" s="42" t="str">
        <f t="shared" si="17"/>
        <v/>
      </c>
      <c r="M198" s="43"/>
      <c r="N198" s="44"/>
      <c r="O198" s="44"/>
      <c r="P198" s="45"/>
    </row>
    <row r="199" spans="2:16" ht="15" customHeight="1" x14ac:dyDescent="0.25">
      <c r="B199" s="33" t="str">
        <f>IF($C199="","",COUNTA($C$18:$C199))</f>
        <v/>
      </c>
      <c r="C199" s="34"/>
      <c r="D199" s="35"/>
      <c r="E199" s="36"/>
      <c r="F199" s="37" t="str">
        <f>IF($E199="","",IFERROR(INDEX(Stammdaten!$D$22:$D$31,MATCH($E199,Stammdaten!$C$22:$C$31,0)),"?"))</f>
        <v/>
      </c>
      <c r="G199" s="38" t="str">
        <f>IF($E199="","",IFERROR(INDEX(Stammdaten!$F$22:$F$31,MATCH($E199,Stammdaten!$C$22:$C$31,0)),""))</f>
        <v/>
      </c>
      <c r="H199" s="38" t="str">
        <f>IF($E199="","",IFERROR(INDEX(Stammdaten!$G$22:$G$31,MATCH($E199,Stammdaten!$C$22:$C$31,0)),""))</f>
        <v/>
      </c>
      <c r="I199" s="39"/>
      <c r="J199" s="40" t="str">
        <f t="shared" si="15"/>
        <v/>
      </c>
      <c r="K199" s="41" t="str">
        <f t="shared" si="16"/>
        <v/>
      </c>
      <c r="L199" s="42" t="str">
        <f t="shared" si="17"/>
        <v/>
      </c>
      <c r="M199" s="43"/>
      <c r="N199" s="44"/>
      <c r="O199" s="44"/>
      <c r="P199" s="45"/>
    </row>
    <row r="200" spans="2:16" ht="15" customHeight="1" x14ac:dyDescent="0.25">
      <c r="B200" s="33" t="str">
        <f>IF($C200="","",COUNTA($C$18:$C200))</f>
        <v/>
      </c>
      <c r="C200" s="34"/>
      <c r="D200" s="35"/>
      <c r="E200" s="36"/>
      <c r="F200" s="37" t="str">
        <f>IF($E200="","",IFERROR(INDEX(Stammdaten!$D$22:$D$31,MATCH($E200,Stammdaten!$C$22:$C$31,0)),"?"))</f>
        <v/>
      </c>
      <c r="G200" s="38" t="str">
        <f>IF($E200="","",IFERROR(INDEX(Stammdaten!$F$22:$F$31,MATCH($E200,Stammdaten!$C$22:$C$31,0)),""))</f>
        <v/>
      </c>
      <c r="H200" s="38" t="str">
        <f>IF($E200="","",IFERROR(INDEX(Stammdaten!$G$22:$G$31,MATCH($E200,Stammdaten!$C$22:$C$31,0)),""))</f>
        <v/>
      </c>
      <c r="I200" s="39"/>
      <c r="J200" s="40" t="str">
        <f t="shared" si="15"/>
        <v/>
      </c>
      <c r="K200" s="41" t="str">
        <f t="shared" si="16"/>
        <v/>
      </c>
      <c r="L200" s="42" t="str">
        <f t="shared" si="17"/>
        <v/>
      </c>
      <c r="M200" s="43"/>
      <c r="N200" s="44"/>
      <c r="O200" s="44"/>
      <c r="P200" s="45"/>
    </row>
    <row r="201" spans="2:16" ht="15" customHeight="1" x14ac:dyDescent="0.25">
      <c r="B201" s="33" t="str">
        <f>IF($C201="","",COUNTA($C$18:$C201))</f>
        <v/>
      </c>
      <c r="C201" s="34"/>
      <c r="D201" s="35"/>
      <c r="E201" s="36"/>
      <c r="F201" s="37" t="str">
        <f>IF($E201="","",IFERROR(INDEX(Stammdaten!$D$22:$D$31,MATCH($E201,Stammdaten!$C$22:$C$31,0)),"?"))</f>
        <v/>
      </c>
      <c r="G201" s="38" t="str">
        <f>IF($E201="","",IFERROR(INDEX(Stammdaten!$F$22:$F$31,MATCH($E201,Stammdaten!$C$22:$C$31,0)),""))</f>
        <v/>
      </c>
      <c r="H201" s="38" t="str">
        <f>IF($E201="","",IFERROR(INDEX(Stammdaten!$G$22:$G$31,MATCH($E201,Stammdaten!$C$22:$C$31,0)),""))</f>
        <v/>
      </c>
      <c r="I201" s="39"/>
      <c r="J201" s="40" t="str">
        <f t="shared" si="15"/>
        <v/>
      </c>
      <c r="K201" s="41" t="str">
        <f t="shared" si="16"/>
        <v/>
      </c>
      <c r="L201" s="42" t="str">
        <f t="shared" si="17"/>
        <v/>
      </c>
      <c r="M201" s="43"/>
      <c r="N201" s="44"/>
      <c r="O201" s="44"/>
      <c r="P201" s="45"/>
    </row>
    <row r="202" spans="2:16" ht="15" customHeight="1" x14ac:dyDescent="0.25">
      <c r="B202" s="33" t="str">
        <f>IF($C202="","",COUNTA($C$18:$C202))</f>
        <v/>
      </c>
      <c r="C202" s="34"/>
      <c r="D202" s="35"/>
      <c r="E202" s="36"/>
      <c r="F202" s="37" t="str">
        <f>IF($E202="","",IFERROR(INDEX(Stammdaten!$D$22:$D$31,MATCH($E202,Stammdaten!$C$22:$C$31,0)),"?"))</f>
        <v/>
      </c>
      <c r="G202" s="38" t="str">
        <f>IF($E202="","",IFERROR(INDEX(Stammdaten!$F$22:$F$31,MATCH($E202,Stammdaten!$C$22:$C$31,0)),""))</f>
        <v/>
      </c>
      <c r="H202" s="38" t="str">
        <f>IF($E202="","",IFERROR(INDEX(Stammdaten!$G$22:$G$31,MATCH($E202,Stammdaten!$C$22:$C$31,0)),""))</f>
        <v/>
      </c>
      <c r="I202" s="39"/>
      <c r="J202" s="40" t="str">
        <f t="shared" si="15"/>
        <v/>
      </c>
      <c r="K202" s="41" t="str">
        <f t="shared" si="16"/>
        <v/>
      </c>
      <c r="L202" s="42" t="str">
        <f t="shared" si="17"/>
        <v/>
      </c>
      <c r="M202" s="43"/>
      <c r="N202" s="44"/>
      <c r="O202" s="44"/>
      <c r="P202" s="45"/>
    </row>
    <row r="203" spans="2:16" ht="15" customHeight="1" x14ac:dyDescent="0.25">
      <c r="B203" s="33" t="str">
        <f>IF($C203="","",COUNTA($C$18:$C203))</f>
        <v/>
      </c>
      <c r="C203" s="34"/>
      <c r="D203" s="35"/>
      <c r="E203" s="36"/>
      <c r="F203" s="37" t="str">
        <f>IF($E203="","",IFERROR(INDEX(Stammdaten!$D$22:$D$31,MATCH($E203,Stammdaten!$C$22:$C$31,0)),"?"))</f>
        <v/>
      </c>
      <c r="G203" s="38" t="str">
        <f>IF($E203="","",IFERROR(INDEX(Stammdaten!$F$22:$F$31,MATCH($E203,Stammdaten!$C$22:$C$31,0)),""))</f>
        <v/>
      </c>
      <c r="H203" s="38" t="str">
        <f>IF($E203="","",IFERROR(INDEX(Stammdaten!$G$22:$G$31,MATCH($E203,Stammdaten!$C$22:$C$31,0)),""))</f>
        <v/>
      </c>
      <c r="I203" s="39"/>
      <c r="J203" s="40" t="str">
        <f t="shared" si="15"/>
        <v/>
      </c>
      <c r="K203" s="41" t="str">
        <f t="shared" si="16"/>
        <v/>
      </c>
      <c r="L203" s="42" t="str">
        <f t="shared" si="17"/>
        <v/>
      </c>
      <c r="M203" s="43"/>
      <c r="N203" s="44"/>
      <c r="O203" s="44"/>
      <c r="P203" s="45"/>
    </row>
    <row r="204" spans="2:16" ht="15" customHeight="1" x14ac:dyDescent="0.25">
      <c r="B204" s="33" t="str">
        <f>IF($C204="","",COUNTA($C$18:$C204))</f>
        <v/>
      </c>
      <c r="C204" s="34"/>
      <c r="D204" s="35"/>
      <c r="E204" s="36"/>
      <c r="F204" s="37" t="str">
        <f>IF($E204="","",IFERROR(INDEX(Stammdaten!$D$22:$D$31,MATCH($E204,Stammdaten!$C$22:$C$31,0)),"?"))</f>
        <v/>
      </c>
      <c r="G204" s="38" t="str">
        <f>IF($E204="","",IFERROR(INDEX(Stammdaten!$F$22:$F$31,MATCH($E204,Stammdaten!$C$22:$C$31,0)),""))</f>
        <v/>
      </c>
      <c r="H204" s="38" t="str">
        <f>IF($E204="","",IFERROR(INDEX(Stammdaten!$G$22:$G$31,MATCH($E204,Stammdaten!$C$22:$C$31,0)),""))</f>
        <v/>
      </c>
      <c r="I204" s="39"/>
      <c r="J204" s="40" t="str">
        <f t="shared" si="15"/>
        <v/>
      </c>
      <c r="K204" s="41" t="str">
        <f t="shared" si="16"/>
        <v/>
      </c>
      <c r="L204" s="42" t="str">
        <f t="shared" si="17"/>
        <v/>
      </c>
      <c r="M204" s="43"/>
      <c r="N204" s="44"/>
      <c r="O204" s="44"/>
      <c r="P204" s="45"/>
    </row>
    <row r="205" spans="2:16" ht="15" customHeight="1" x14ac:dyDescent="0.25">
      <c r="B205" s="33" t="str">
        <f>IF($C205="","",COUNTA($C$18:$C205))</f>
        <v/>
      </c>
      <c r="C205" s="34"/>
      <c r="D205" s="35"/>
      <c r="E205" s="36"/>
      <c r="F205" s="37" t="str">
        <f>IF($E205="","",IFERROR(INDEX(Stammdaten!$D$22:$D$31,MATCH($E205,Stammdaten!$C$22:$C$31,0)),"?"))</f>
        <v/>
      </c>
      <c r="G205" s="38" t="str">
        <f>IF($E205="","",IFERROR(INDEX(Stammdaten!$F$22:$F$31,MATCH($E205,Stammdaten!$C$22:$C$31,0)),""))</f>
        <v/>
      </c>
      <c r="H205" s="38" t="str">
        <f>IF($E205="","",IFERROR(INDEX(Stammdaten!$G$22:$G$31,MATCH($E205,Stammdaten!$C$22:$C$31,0)),""))</f>
        <v/>
      </c>
      <c r="I205" s="39"/>
      <c r="J205" s="40" t="str">
        <f t="shared" si="15"/>
        <v/>
      </c>
      <c r="K205" s="41" t="str">
        <f t="shared" si="16"/>
        <v/>
      </c>
      <c r="L205" s="42" t="str">
        <f t="shared" si="17"/>
        <v/>
      </c>
      <c r="M205" s="43"/>
      <c r="N205" s="44"/>
      <c r="O205" s="44"/>
      <c r="P205" s="45"/>
    </row>
    <row r="206" spans="2:16" ht="15" customHeight="1" x14ac:dyDescent="0.25">
      <c r="B206" s="33" t="str">
        <f>IF($C206="","",COUNTA($C$18:$C206))</f>
        <v/>
      </c>
      <c r="C206" s="34"/>
      <c r="D206" s="35"/>
      <c r="E206" s="36"/>
      <c r="F206" s="37" t="str">
        <f>IF($E206="","",IFERROR(INDEX(Stammdaten!$D$22:$D$31,MATCH($E206,Stammdaten!$C$22:$C$31,0)),"?"))</f>
        <v/>
      </c>
      <c r="G206" s="38" t="str">
        <f>IF($E206="","",IFERROR(INDEX(Stammdaten!$F$22:$F$31,MATCH($E206,Stammdaten!$C$22:$C$31,0)),""))</f>
        <v/>
      </c>
      <c r="H206" s="38" t="str">
        <f>IF($E206="","",IFERROR(INDEX(Stammdaten!$G$22:$G$31,MATCH($E206,Stammdaten!$C$22:$C$31,0)),""))</f>
        <v/>
      </c>
      <c r="I206" s="39"/>
      <c r="J206" s="40" t="str">
        <f t="shared" si="15"/>
        <v/>
      </c>
      <c r="K206" s="41" t="str">
        <f t="shared" si="16"/>
        <v/>
      </c>
      <c r="L206" s="42" t="str">
        <f t="shared" si="17"/>
        <v/>
      </c>
      <c r="M206" s="43"/>
      <c r="N206" s="44"/>
      <c r="O206" s="44"/>
      <c r="P206" s="45"/>
    </row>
    <row r="207" spans="2:16" ht="15" customHeight="1" x14ac:dyDescent="0.25">
      <c r="B207" s="33" t="str">
        <f>IF($C207="","",COUNTA($C$18:$C207))</f>
        <v/>
      </c>
      <c r="C207" s="34"/>
      <c r="D207" s="35"/>
      <c r="E207" s="36"/>
      <c r="F207" s="37" t="str">
        <f>IF($E207="","",IFERROR(INDEX(Stammdaten!$D$22:$D$31,MATCH($E207,Stammdaten!$C$22:$C$31,0)),"?"))</f>
        <v/>
      </c>
      <c r="G207" s="38" t="str">
        <f>IF($E207="","",IFERROR(INDEX(Stammdaten!$F$22:$F$31,MATCH($E207,Stammdaten!$C$22:$C$31,0)),""))</f>
        <v/>
      </c>
      <c r="H207" s="38" t="str">
        <f>IF($E207="","",IFERROR(INDEX(Stammdaten!$G$22:$G$31,MATCH($E207,Stammdaten!$C$22:$C$31,0)),""))</f>
        <v/>
      </c>
      <c r="I207" s="39"/>
      <c r="J207" s="40" t="str">
        <f t="shared" si="15"/>
        <v/>
      </c>
      <c r="K207" s="41" t="str">
        <f t="shared" si="16"/>
        <v/>
      </c>
      <c r="L207" s="42" t="str">
        <f t="shared" si="17"/>
        <v/>
      </c>
      <c r="M207" s="43"/>
      <c r="N207" s="44"/>
      <c r="O207" s="44"/>
      <c r="P207" s="45"/>
    </row>
    <row r="208" spans="2:16" ht="15" customHeight="1" x14ac:dyDescent="0.25">
      <c r="B208" s="33" t="str">
        <f>IF($C208="","",COUNTA($C$18:$C208))</f>
        <v/>
      </c>
      <c r="C208" s="34"/>
      <c r="D208" s="35"/>
      <c r="E208" s="36"/>
      <c r="F208" s="37" t="str">
        <f>IF($E208="","",IFERROR(INDEX(Stammdaten!$D$22:$D$31,MATCH($E208,Stammdaten!$C$22:$C$31,0)),"?"))</f>
        <v/>
      </c>
      <c r="G208" s="38" t="str">
        <f>IF($E208="","",IFERROR(INDEX(Stammdaten!$F$22:$F$31,MATCH($E208,Stammdaten!$C$22:$C$31,0)),""))</f>
        <v/>
      </c>
      <c r="H208" s="38" t="str">
        <f>IF($E208="","",IFERROR(INDEX(Stammdaten!$G$22:$G$31,MATCH($E208,Stammdaten!$C$22:$C$31,0)),""))</f>
        <v/>
      </c>
      <c r="I208" s="39"/>
      <c r="J208" s="40" t="str">
        <f t="shared" si="15"/>
        <v/>
      </c>
      <c r="K208" s="41" t="str">
        <f t="shared" si="16"/>
        <v/>
      </c>
      <c r="L208" s="42" t="str">
        <f t="shared" si="17"/>
        <v/>
      </c>
      <c r="M208" s="43"/>
      <c r="N208" s="44"/>
      <c r="O208" s="44"/>
      <c r="P208" s="45"/>
    </row>
    <row r="209" spans="2:16" ht="15" customHeight="1" x14ac:dyDescent="0.25">
      <c r="B209" s="33" t="str">
        <f>IF($C209="","",COUNTA($C$18:$C209))</f>
        <v/>
      </c>
      <c r="C209" s="34"/>
      <c r="D209" s="35"/>
      <c r="E209" s="36"/>
      <c r="F209" s="37" t="str">
        <f>IF($E209="","",IFERROR(INDEX(Stammdaten!$D$22:$D$31,MATCH($E209,Stammdaten!$C$22:$C$31,0)),"?"))</f>
        <v/>
      </c>
      <c r="G209" s="38" t="str">
        <f>IF($E209="","",IFERROR(INDEX(Stammdaten!$F$22:$F$31,MATCH($E209,Stammdaten!$C$22:$C$31,0)),""))</f>
        <v/>
      </c>
      <c r="H209" s="38" t="str">
        <f>IF($E209="","",IFERROR(INDEX(Stammdaten!$G$22:$G$31,MATCH($E209,Stammdaten!$C$22:$C$31,0)),""))</f>
        <v/>
      </c>
      <c r="I209" s="39"/>
      <c r="J209" s="40" t="str">
        <f t="shared" si="15"/>
        <v/>
      </c>
      <c r="K209" s="41" t="str">
        <f t="shared" si="16"/>
        <v/>
      </c>
      <c r="L209" s="42" t="str">
        <f t="shared" si="17"/>
        <v/>
      </c>
      <c r="M209" s="43"/>
      <c r="N209" s="44"/>
      <c r="O209" s="44"/>
      <c r="P209" s="45"/>
    </row>
    <row r="210" spans="2:16" ht="15" customHeight="1" x14ac:dyDescent="0.25">
      <c r="B210" s="33" t="str">
        <f>IF($C210="","",COUNTA($C$18:$C210))</f>
        <v/>
      </c>
      <c r="C210" s="34"/>
      <c r="D210" s="35"/>
      <c r="E210" s="36"/>
      <c r="F210" s="37" t="str">
        <f>IF($E210="","",IFERROR(INDEX(Stammdaten!$D$22:$D$31,MATCH($E210,Stammdaten!$C$22:$C$31,0)),"?"))</f>
        <v/>
      </c>
      <c r="G210" s="38" t="str">
        <f>IF($E210="","",IFERROR(INDEX(Stammdaten!$F$22:$F$31,MATCH($E210,Stammdaten!$C$22:$C$31,0)),""))</f>
        <v/>
      </c>
      <c r="H210" s="38" t="str">
        <f>IF($E210="","",IFERROR(INDEX(Stammdaten!$G$22:$G$31,MATCH($E210,Stammdaten!$C$22:$C$31,0)),""))</f>
        <v/>
      </c>
      <c r="I210" s="39"/>
      <c r="J210" s="40" t="str">
        <f t="shared" ref="J210:J217" si="18">IF($I210="","",IF($G210="","",IF($I210&lt;$G210,ROUND($I210-$G210,1),IF($I210&gt;$H210,ROUND($I210-$H210,1),0))))</f>
        <v/>
      </c>
      <c r="K210" s="41" t="str">
        <f t="shared" ref="K210:K217" si="19">IF($I210="","",IF($J210="","",IF(ABS($J210)&gt;Toleranz_kritisch,"Kritisch",IF($J210&lt;0,"Zu niedrig",IF($J210&gt;0,"Zu hoch","OK")))))</f>
        <v/>
      </c>
      <c r="L210" s="42" t="str">
        <f t="shared" ref="L210:L217" si="20">IF($K210="","",IF($K210="OK","Nein","Ja"))</f>
        <v/>
      </c>
      <c r="M210" s="43"/>
      <c r="N210" s="44"/>
      <c r="O210" s="44"/>
      <c r="P210" s="45"/>
    </row>
    <row r="211" spans="2:16" ht="15" customHeight="1" x14ac:dyDescent="0.25">
      <c r="B211" s="33" t="str">
        <f>IF($C211="","",COUNTA($C$18:$C211))</f>
        <v/>
      </c>
      <c r="C211" s="34"/>
      <c r="D211" s="35"/>
      <c r="E211" s="36"/>
      <c r="F211" s="37" t="str">
        <f>IF($E211="","",IFERROR(INDEX(Stammdaten!$D$22:$D$31,MATCH($E211,Stammdaten!$C$22:$C$31,0)),"?"))</f>
        <v/>
      </c>
      <c r="G211" s="38" t="str">
        <f>IF($E211="","",IFERROR(INDEX(Stammdaten!$F$22:$F$31,MATCH($E211,Stammdaten!$C$22:$C$31,0)),""))</f>
        <v/>
      </c>
      <c r="H211" s="38" t="str">
        <f>IF($E211="","",IFERROR(INDEX(Stammdaten!$G$22:$G$31,MATCH($E211,Stammdaten!$C$22:$C$31,0)),""))</f>
        <v/>
      </c>
      <c r="I211" s="39"/>
      <c r="J211" s="40" t="str">
        <f t="shared" si="18"/>
        <v/>
      </c>
      <c r="K211" s="41" t="str">
        <f t="shared" si="19"/>
        <v/>
      </c>
      <c r="L211" s="42" t="str">
        <f t="shared" si="20"/>
        <v/>
      </c>
      <c r="M211" s="43"/>
      <c r="N211" s="44"/>
      <c r="O211" s="44"/>
      <c r="P211" s="45"/>
    </row>
    <row r="212" spans="2:16" ht="15" customHeight="1" x14ac:dyDescent="0.25">
      <c r="B212" s="33" t="str">
        <f>IF($C212="","",COUNTA($C$18:$C212))</f>
        <v/>
      </c>
      <c r="C212" s="34"/>
      <c r="D212" s="35"/>
      <c r="E212" s="36"/>
      <c r="F212" s="37" t="str">
        <f>IF($E212="","",IFERROR(INDEX(Stammdaten!$D$22:$D$31,MATCH($E212,Stammdaten!$C$22:$C$31,0)),"?"))</f>
        <v/>
      </c>
      <c r="G212" s="38" t="str">
        <f>IF($E212="","",IFERROR(INDEX(Stammdaten!$F$22:$F$31,MATCH($E212,Stammdaten!$C$22:$C$31,0)),""))</f>
        <v/>
      </c>
      <c r="H212" s="38" t="str">
        <f>IF($E212="","",IFERROR(INDEX(Stammdaten!$G$22:$G$31,MATCH($E212,Stammdaten!$C$22:$C$31,0)),""))</f>
        <v/>
      </c>
      <c r="I212" s="39"/>
      <c r="J212" s="40" t="str">
        <f t="shared" si="18"/>
        <v/>
      </c>
      <c r="K212" s="41" t="str">
        <f t="shared" si="19"/>
        <v/>
      </c>
      <c r="L212" s="42" t="str">
        <f t="shared" si="20"/>
        <v/>
      </c>
      <c r="M212" s="43"/>
      <c r="N212" s="44"/>
      <c r="O212" s="44"/>
      <c r="P212" s="45"/>
    </row>
    <row r="213" spans="2:16" ht="15" customHeight="1" x14ac:dyDescent="0.25">
      <c r="B213" s="33" t="str">
        <f>IF($C213="","",COUNTA($C$18:$C213))</f>
        <v/>
      </c>
      <c r="C213" s="34"/>
      <c r="D213" s="35"/>
      <c r="E213" s="36"/>
      <c r="F213" s="37" t="str">
        <f>IF($E213="","",IFERROR(INDEX(Stammdaten!$D$22:$D$31,MATCH($E213,Stammdaten!$C$22:$C$31,0)),"?"))</f>
        <v/>
      </c>
      <c r="G213" s="38" t="str">
        <f>IF($E213="","",IFERROR(INDEX(Stammdaten!$F$22:$F$31,MATCH($E213,Stammdaten!$C$22:$C$31,0)),""))</f>
        <v/>
      </c>
      <c r="H213" s="38" t="str">
        <f>IF($E213="","",IFERROR(INDEX(Stammdaten!$G$22:$G$31,MATCH($E213,Stammdaten!$C$22:$C$31,0)),""))</f>
        <v/>
      </c>
      <c r="I213" s="39"/>
      <c r="J213" s="40" t="str">
        <f t="shared" si="18"/>
        <v/>
      </c>
      <c r="K213" s="41" t="str">
        <f t="shared" si="19"/>
        <v/>
      </c>
      <c r="L213" s="42" t="str">
        <f t="shared" si="20"/>
        <v/>
      </c>
      <c r="M213" s="43"/>
      <c r="N213" s="44"/>
      <c r="O213" s="44"/>
      <c r="P213" s="45"/>
    </row>
    <row r="214" spans="2:16" ht="15" customHeight="1" x14ac:dyDescent="0.25">
      <c r="B214" s="33" t="str">
        <f>IF($C214="","",COUNTA($C$18:$C214))</f>
        <v/>
      </c>
      <c r="C214" s="34"/>
      <c r="D214" s="35"/>
      <c r="E214" s="36"/>
      <c r="F214" s="37" t="str">
        <f>IF($E214="","",IFERROR(INDEX(Stammdaten!$D$22:$D$31,MATCH($E214,Stammdaten!$C$22:$C$31,0)),"?"))</f>
        <v/>
      </c>
      <c r="G214" s="38" t="str">
        <f>IF($E214="","",IFERROR(INDEX(Stammdaten!$F$22:$F$31,MATCH($E214,Stammdaten!$C$22:$C$31,0)),""))</f>
        <v/>
      </c>
      <c r="H214" s="38" t="str">
        <f>IF($E214="","",IFERROR(INDEX(Stammdaten!$G$22:$G$31,MATCH($E214,Stammdaten!$C$22:$C$31,0)),""))</f>
        <v/>
      </c>
      <c r="I214" s="39"/>
      <c r="J214" s="40" t="str">
        <f t="shared" si="18"/>
        <v/>
      </c>
      <c r="K214" s="41" t="str">
        <f t="shared" si="19"/>
        <v/>
      </c>
      <c r="L214" s="42" t="str">
        <f t="shared" si="20"/>
        <v/>
      </c>
      <c r="M214" s="43"/>
      <c r="N214" s="44"/>
      <c r="O214" s="44"/>
      <c r="P214" s="45"/>
    </row>
    <row r="215" spans="2:16" ht="15" customHeight="1" x14ac:dyDescent="0.25">
      <c r="B215" s="33" t="str">
        <f>IF($C215="","",COUNTA($C$18:$C215))</f>
        <v/>
      </c>
      <c r="C215" s="34"/>
      <c r="D215" s="35"/>
      <c r="E215" s="36"/>
      <c r="F215" s="37" t="str">
        <f>IF($E215="","",IFERROR(INDEX(Stammdaten!$D$22:$D$31,MATCH($E215,Stammdaten!$C$22:$C$31,0)),"?"))</f>
        <v/>
      </c>
      <c r="G215" s="38" t="str">
        <f>IF($E215="","",IFERROR(INDEX(Stammdaten!$F$22:$F$31,MATCH($E215,Stammdaten!$C$22:$C$31,0)),""))</f>
        <v/>
      </c>
      <c r="H215" s="38" t="str">
        <f>IF($E215="","",IFERROR(INDEX(Stammdaten!$G$22:$G$31,MATCH($E215,Stammdaten!$C$22:$C$31,0)),""))</f>
        <v/>
      </c>
      <c r="I215" s="39"/>
      <c r="J215" s="40" t="str">
        <f t="shared" si="18"/>
        <v/>
      </c>
      <c r="K215" s="41" t="str">
        <f t="shared" si="19"/>
        <v/>
      </c>
      <c r="L215" s="42" t="str">
        <f t="shared" si="20"/>
        <v/>
      </c>
      <c r="M215" s="43"/>
      <c r="N215" s="44"/>
      <c r="O215" s="44"/>
      <c r="P215" s="45"/>
    </row>
    <row r="216" spans="2:16" ht="15" customHeight="1" x14ac:dyDescent="0.25">
      <c r="B216" s="33" t="str">
        <f>IF($C216="","",COUNTA($C$18:$C216))</f>
        <v/>
      </c>
      <c r="C216" s="34"/>
      <c r="D216" s="35"/>
      <c r="E216" s="36"/>
      <c r="F216" s="37" t="str">
        <f>IF($E216="","",IFERROR(INDEX(Stammdaten!$D$22:$D$31,MATCH($E216,Stammdaten!$C$22:$C$31,0)),"?"))</f>
        <v/>
      </c>
      <c r="G216" s="38" t="str">
        <f>IF($E216="","",IFERROR(INDEX(Stammdaten!$F$22:$F$31,MATCH($E216,Stammdaten!$C$22:$C$31,0)),""))</f>
        <v/>
      </c>
      <c r="H216" s="38" t="str">
        <f>IF($E216="","",IFERROR(INDEX(Stammdaten!$G$22:$G$31,MATCH($E216,Stammdaten!$C$22:$C$31,0)),""))</f>
        <v/>
      </c>
      <c r="I216" s="39"/>
      <c r="J216" s="40" t="str">
        <f t="shared" si="18"/>
        <v/>
      </c>
      <c r="K216" s="41" t="str">
        <f t="shared" si="19"/>
        <v/>
      </c>
      <c r="L216" s="42" t="str">
        <f t="shared" si="20"/>
        <v/>
      </c>
      <c r="M216" s="43"/>
      <c r="N216" s="44"/>
      <c r="O216" s="44"/>
      <c r="P216" s="45"/>
    </row>
    <row r="217" spans="2:16" ht="15" customHeight="1" x14ac:dyDescent="0.25">
      <c r="B217" s="33" t="str">
        <f>IF($C217="","",COUNTA($C$18:$C217))</f>
        <v/>
      </c>
      <c r="C217" s="34"/>
      <c r="D217" s="35"/>
      <c r="E217" s="36"/>
      <c r="F217" s="37" t="str">
        <f>IF($E217="","",IFERROR(INDEX(Stammdaten!$D$22:$D$31,MATCH($E217,Stammdaten!$C$22:$C$31,0)),"?"))</f>
        <v/>
      </c>
      <c r="G217" s="38" t="str">
        <f>IF($E217="","",IFERROR(INDEX(Stammdaten!$F$22:$F$31,MATCH($E217,Stammdaten!$C$22:$C$31,0)),""))</f>
        <v/>
      </c>
      <c r="H217" s="38" t="str">
        <f>IF($E217="","",IFERROR(INDEX(Stammdaten!$G$22:$G$31,MATCH($E217,Stammdaten!$C$22:$C$31,0)),""))</f>
        <v/>
      </c>
      <c r="I217" s="39"/>
      <c r="J217" s="40" t="str">
        <f t="shared" si="18"/>
        <v/>
      </c>
      <c r="K217" s="41" t="str">
        <f t="shared" si="19"/>
        <v/>
      </c>
      <c r="L217" s="42" t="str">
        <f t="shared" si="20"/>
        <v/>
      </c>
      <c r="M217" s="43"/>
      <c r="N217" s="44"/>
      <c r="O217" s="44"/>
      <c r="P217" s="45"/>
    </row>
    <row r="218" spans="2:16" ht="24" customHeight="1" x14ac:dyDescent="0.25">
      <c r="B218" s="133" t="str">
        <f>"MONATSBILANZ      ·      "&amp;COUNT($I$18:$I$217)&amp;" Messungen      ·      "&amp;COUNTIF($K$18:$K$217,"OK")&amp;" konform      ·      "&amp;(COUNTIF($K$18:$K$217,"Zu niedrig")+COUNTIF($K$18:$K$217,"Zu hoch"))&amp;" Grenzwertabweichungen      ·      "&amp;COUNTIF($K$18:$K$217,"Kritisch")&amp;" kritisch      ·      "&amp;COUNTIFS($L$18:$L$217,"Ja",$N$18:$N$217,"Offen")+COUNTIFS($L$18:$L$217,"Ja",$N$18:$N$217,"In Bearbeitung")&amp;" Maßnahmen offen"</f>
        <v>MONATSBILANZ      ·      173 Messungen      ·      164 konform      ·      7 Grenzwertabweichungen      ·      2 kritisch      ·      2 Maßnahmen offen</v>
      </c>
      <c r="C218" s="133"/>
      <c r="D218" s="133"/>
      <c r="E218" s="133"/>
      <c r="F218" s="133"/>
      <c r="G218" s="133"/>
      <c r="H218" s="133"/>
      <c r="I218" s="133"/>
      <c r="J218" s="133"/>
      <c r="K218" s="133"/>
      <c r="L218" s="133"/>
      <c r="M218" s="133"/>
      <c r="N218" s="133"/>
      <c r="O218" s="133"/>
      <c r="P218" s="133"/>
    </row>
    <row r="220" spans="2:16" ht="15.75" customHeight="1" x14ac:dyDescent="0.25">
      <c r="B220" s="46" t="s">
        <v>79</v>
      </c>
      <c r="D220" s="47" t="s">
        <v>80</v>
      </c>
      <c r="E220" s="48" t="s">
        <v>81</v>
      </c>
      <c r="F220" s="49" t="s">
        <v>82</v>
      </c>
      <c r="G220" s="50" t="s">
        <v>83</v>
      </c>
      <c r="H220" s="51" t="s">
        <v>84</v>
      </c>
      <c r="I220" s="52" t="s">
        <v>85</v>
      </c>
      <c r="J220" s="53" t="s">
        <v>86</v>
      </c>
      <c r="K220" s="54" t="s">
        <v>87</v>
      </c>
      <c r="L220" s="55" t="s">
        <v>88</v>
      </c>
      <c r="M220" s="56" t="s">
        <v>89</v>
      </c>
      <c r="N220" s="55" t="s">
        <v>88</v>
      </c>
      <c r="O220" s="57" t="s">
        <v>90</v>
      </c>
    </row>
  </sheetData>
  <autoFilter ref="B17:P217" xr:uid="{00000000-0009-0000-0000-000000000000}"/>
  <mergeCells count="44">
    <mergeCell ref="C16:F16"/>
    <mergeCell ref="G16:P16"/>
    <mergeCell ref="B218:P218"/>
    <mergeCell ref="N13:P13"/>
    <mergeCell ref="B14:C14"/>
    <mergeCell ref="D14:E14"/>
    <mergeCell ref="F14:H14"/>
    <mergeCell ref="I14:K14"/>
    <mergeCell ref="L14:M14"/>
    <mergeCell ref="N14:P14"/>
    <mergeCell ref="B13:C13"/>
    <mergeCell ref="D13:E13"/>
    <mergeCell ref="F13:H13"/>
    <mergeCell ref="I13:K13"/>
    <mergeCell ref="L13:M13"/>
    <mergeCell ref="C11:F11"/>
    <mergeCell ref="G11:P11"/>
    <mergeCell ref="B12:C12"/>
    <mergeCell ref="D12:E12"/>
    <mergeCell ref="F12:H12"/>
    <mergeCell ref="I12:K12"/>
    <mergeCell ref="L12:M12"/>
    <mergeCell ref="N12:P12"/>
    <mergeCell ref="B9:C9"/>
    <mergeCell ref="D9:F9"/>
    <mergeCell ref="G9:I9"/>
    <mergeCell ref="J9:L9"/>
    <mergeCell ref="N9:P9"/>
    <mergeCell ref="B8:C8"/>
    <mergeCell ref="D8:F8"/>
    <mergeCell ref="G8:I8"/>
    <mergeCell ref="J8:L8"/>
    <mergeCell ref="N8:P8"/>
    <mergeCell ref="B7:C7"/>
    <mergeCell ref="D7:F7"/>
    <mergeCell ref="G7:I7"/>
    <mergeCell ref="J7:L7"/>
    <mergeCell ref="N7:P7"/>
    <mergeCell ref="B2:I2"/>
    <mergeCell ref="J2:P2"/>
    <mergeCell ref="B3:I3"/>
    <mergeCell ref="J3:P3"/>
    <mergeCell ref="C6:F6"/>
    <mergeCell ref="G6:P6"/>
  </mergeCells>
  <conditionalFormatting sqref="C18:C217">
    <cfRule type="expression" dxfId="31" priority="16">
      <formula>IF($C18="",0,IF(WEEKDAY($C18,2)&gt;5,1,0))</formula>
    </cfRule>
  </conditionalFormatting>
  <conditionalFormatting sqref="I18:I217">
    <cfRule type="expression" dxfId="30" priority="6">
      <formula>$K18="Kritisch"</formula>
    </cfRule>
    <cfRule type="expression" dxfId="29" priority="7">
      <formula>$K18="Zu hoch"</formula>
    </cfRule>
    <cfRule type="expression" dxfId="28" priority="8">
      <formula>$K18="Zu niedrig"</formula>
    </cfRule>
  </conditionalFormatting>
  <conditionalFormatting sqref="J18:J217">
    <cfRule type="expression" dxfId="27" priority="9">
      <formula>$J18&lt;0</formula>
    </cfRule>
    <cfRule type="expression" dxfId="26" priority="10">
      <formula>$J18&gt;0</formula>
    </cfRule>
  </conditionalFormatting>
  <conditionalFormatting sqref="K18:K217">
    <cfRule type="cellIs" dxfId="25" priority="2" operator="equal">
      <formula>"OK"</formula>
    </cfRule>
    <cfRule type="cellIs" dxfId="24" priority="3" operator="equal">
      <formula>"Zu niedrig"</formula>
    </cfRule>
    <cfRule type="cellIs" dxfId="23" priority="4" operator="equal">
      <formula>"Zu hoch"</formula>
    </cfRule>
    <cfRule type="cellIs" dxfId="22" priority="5" operator="equal">
      <formula>"Kritisch"</formula>
    </cfRule>
  </conditionalFormatting>
  <conditionalFormatting sqref="L18:L217">
    <cfRule type="expression" dxfId="21" priority="11">
      <formula>$L18="Ja"</formula>
    </cfRule>
  </conditionalFormatting>
  <conditionalFormatting sqref="M18:M217">
    <cfRule type="expression" dxfId="20" priority="12">
      <formula>IF($L18="Ja",IF($M18="",1,0),0)</formula>
    </cfRule>
  </conditionalFormatting>
  <conditionalFormatting sqref="N18:N217">
    <cfRule type="cellIs" dxfId="19" priority="13" operator="equal">
      <formula>"Offen"</formula>
    </cfRule>
    <cfRule type="cellIs" dxfId="18" priority="14" operator="equal">
      <formula>"In Bearbeitung"</formula>
    </cfRule>
    <cfRule type="cellIs" dxfId="17" priority="15" operator="equal">
      <formula>"Erledigt"</formula>
    </cfRule>
  </conditionalFormatting>
  <dataValidations count="4">
    <dataValidation type="list" allowBlank="1" showErrorMessage="1" errorTitle="Ungültiger Eintrag" error="Bitte einen Wert aus der Liste wählen (Listen auf dem Blatt „Stammdaten“)." sqref="E18:E217" xr:uid="{00000000-0002-0000-0000-000000000000}">
      <formula1>Messstellen_Liste</formula1>
      <formula2>0</formula2>
    </dataValidation>
    <dataValidation type="list" allowBlank="1" sqref="M18:M217" xr:uid="{00000000-0002-0000-0000-000001000000}">
      <formula1>Massnahmen_Liste</formula1>
      <formula2>0</formula2>
    </dataValidation>
    <dataValidation type="list" allowBlank="1" showErrorMessage="1" errorTitle="Ungültiger Eintrag" error="Bitte einen Wert aus der Liste wählen (Listen auf dem Blatt „Stammdaten“)." sqref="N18:N217" xr:uid="{00000000-0002-0000-0000-000002000000}">
      <formula1>Status_Liste</formula1>
      <formula2>0</formula2>
    </dataValidation>
    <dataValidation type="list" allowBlank="1" sqref="O18:O217" xr:uid="{00000000-0002-0000-0000-000003000000}">
      <formula1>Pruefer_Liste</formula1>
      <formula2>0</formula2>
    </dataValidation>
  </dataValidations>
  <pageMargins left="0.3" right="0.3" top="0.4" bottom="0.4" header="0.511811023622047" footer="0.511811023622047"/>
  <pageSetup paperSize="9" fitToHeight="5"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63"/>
  <sheetViews>
    <sheetView showGridLines="0" zoomScaleNormal="100" workbookViewId="0">
      <pane xSplit="2" ySplit="13" topLeftCell="C14" activePane="bottomRight" state="frozen"/>
      <selection pane="topRight" activeCell="C1" sqref="C1"/>
      <selection pane="bottomLeft" activeCell="A14" sqref="A14"/>
      <selection pane="bottomRight"/>
    </sheetView>
  </sheetViews>
  <sheetFormatPr baseColWidth="10" defaultColWidth="8.7109375" defaultRowHeight="15" x14ac:dyDescent="0.25"/>
  <cols>
    <col min="1" max="1" width="2" customWidth="1"/>
    <col min="2" max="2" width="24" customWidth="1"/>
    <col min="3" max="33" width="3.85546875" customWidth="1"/>
    <col min="34" max="35" width="7.140625" customWidth="1"/>
    <col min="36" max="36" width="7.5703125" customWidth="1"/>
    <col min="37" max="37" width="6.85546875" customWidth="1"/>
    <col min="38" max="40" width="7.42578125" customWidth="1"/>
    <col min="41" max="41" width="8.42578125" customWidth="1"/>
    <col min="42" max="42" width="9.140625" customWidth="1"/>
  </cols>
  <sheetData>
    <row r="1" spans="1:42" ht="6" customHeight="1" x14ac:dyDescent="0.25">
      <c r="A1" s="58">
        <f>Ziel_Konformitaet</f>
        <v>0.94</v>
      </c>
      <c r="B1" s="59">
        <f>Toleranz_kritisch</f>
        <v>2</v>
      </c>
    </row>
    <row r="2" spans="1:42" ht="30" customHeight="1" x14ac:dyDescent="0.25">
      <c r="B2" s="14" t="s">
        <v>91</v>
      </c>
      <c r="C2" s="14"/>
      <c r="D2" s="14"/>
      <c r="E2" s="14"/>
      <c r="F2" s="14"/>
      <c r="G2" s="14"/>
      <c r="H2" s="14"/>
      <c r="I2" s="14"/>
      <c r="J2" s="14"/>
      <c r="K2" s="14"/>
      <c r="L2" s="14"/>
      <c r="M2" s="14"/>
      <c r="N2" s="14"/>
      <c r="O2" s="14"/>
      <c r="P2" s="14"/>
      <c r="Q2" s="14"/>
      <c r="R2" s="14"/>
      <c r="S2" s="14"/>
      <c r="T2" s="14"/>
      <c r="U2" s="14"/>
      <c r="V2" s="14"/>
      <c r="W2" s="14"/>
      <c r="X2" s="14"/>
      <c r="Y2" s="13" t="s">
        <v>92</v>
      </c>
      <c r="Z2" s="13"/>
      <c r="AA2" s="13"/>
      <c r="AB2" s="13"/>
      <c r="AC2" s="13"/>
      <c r="AD2" s="13"/>
      <c r="AE2" s="13"/>
      <c r="AF2" s="13"/>
      <c r="AG2" s="13"/>
      <c r="AH2" s="13"/>
      <c r="AI2" s="13"/>
      <c r="AJ2" s="13"/>
      <c r="AK2" s="13"/>
      <c r="AL2" s="13"/>
      <c r="AM2" s="13"/>
      <c r="AN2" s="13"/>
      <c r="AO2" s="13"/>
      <c r="AP2" s="13"/>
    </row>
    <row r="3" spans="1:42" ht="16.5" customHeight="1" x14ac:dyDescent="0.25">
      <c r="B3" s="12" t="s">
        <v>93</v>
      </c>
      <c r="C3" s="12"/>
      <c r="D3" s="12"/>
      <c r="E3" s="12"/>
      <c r="F3" s="12"/>
      <c r="G3" s="12"/>
      <c r="H3" s="12"/>
      <c r="I3" s="12"/>
      <c r="J3" s="12"/>
      <c r="K3" s="12"/>
      <c r="L3" s="12"/>
      <c r="M3" s="12"/>
      <c r="N3" s="12"/>
      <c r="O3" s="12"/>
      <c r="P3" s="12"/>
      <c r="Q3" s="12"/>
      <c r="R3" s="12"/>
      <c r="S3" s="12"/>
      <c r="T3" s="12"/>
      <c r="U3" s="12"/>
      <c r="V3" s="12"/>
      <c r="W3" s="12"/>
      <c r="X3" s="12"/>
      <c r="Y3" s="11" t="s">
        <v>94</v>
      </c>
      <c r="Z3" s="11"/>
      <c r="AA3" s="11"/>
      <c r="AB3" s="11"/>
      <c r="AC3" s="11"/>
      <c r="AD3" s="11"/>
      <c r="AE3" s="11"/>
      <c r="AF3" s="11"/>
      <c r="AG3" s="11"/>
      <c r="AH3" s="11"/>
      <c r="AI3" s="11"/>
      <c r="AJ3" s="11"/>
      <c r="AK3" s="11"/>
      <c r="AL3" s="11"/>
      <c r="AM3" s="11"/>
      <c r="AN3" s="11"/>
      <c r="AO3" s="11"/>
      <c r="AP3" s="11"/>
    </row>
    <row r="4" spans="1:42" ht="4.5" customHeight="1" x14ac:dyDescent="0.25">
      <c r="B4" s="15"/>
      <c r="C4" s="60"/>
      <c r="D4" s="61"/>
      <c r="E4" s="62"/>
      <c r="F4" s="63"/>
      <c r="G4" s="64"/>
      <c r="H4" s="17"/>
      <c r="I4" s="65"/>
      <c r="J4" s="66"/>
      <c r="K4" s="67"/>
      <c r="L4" s="68"/>
      <c r="M4" s="19"/>
      <c r="N4" s="69"/>
      <c r="O4" s="70"/>
      <c r="P4" s="71"/>
      <c r="Q4" s="72"/>
      <c r="R4" s="73"/>
      <c r="S4" s="74"/>
      <c r="T4" s="75"/>
      <c r="U4" s="76"/>
      <c r="V4" s="22"/>
      <c r="W4" s="77"/>
      <c r="X4" s="78"/>
      <c r="Y4" s="79"/>
      <c r="Z4" s="80"/>
      <c r="AA4" s="81"/>
      <c r="AB4" s="82"/>
      <c r="AC4" s="83"/>
      <c r="AD4" s="84"/>
      <c r="AE4" s="85"/>
      <c r="AF4" s="86"/>
      <c r="AG4" s="87"/>
      <c r="AH4" s="88"/>
      <c r="AI4" s="89"/>
      <c r="AJ4" s="90"/>
      <c r="AK4" s="91"/>
      <c r="AL4" s="92"/>
      <c r="AM4" s="93"/>
      <c r="AN4" s="94"/>
      <c r="AO4" s="95"/>
      <c r="AP4" s="29"/>
    </row>
    <row r="5" spans="1:42" ht="7.5" customHeight="1" x14ac:dyDescent="0.25"/>
    <row r="6" spans="1:42" ht="19.5" customHeight="1" x14ac:dyDescent="0.25">
      <c r="B6" s="30" t="s">
        <v>4</v>
      </c>
      <c r="C6" s="10" t="s">
        <v>95</v>
      </c>
      <c r="D6" s="10"/>
      <c r="E6" s="10"/>
      <c r="F6" s="10"/>
      <c r="G6" s="10"/>
      <c r="H6" s="10"/>
      <c r="I6" s="10"/>
      <c r="J6" s="10"/>
      <c r="K6" s="10"/>
      <c r="L6" s="10"/>
      <c r="M6" s="10"/>
      <c r="N6" s="10"/>
      <c r="O6" s="10"/>
      <c r="P6" s="9" t="s">
        <v>96</v>
      </c>
      <c r="Q6" s="9"/>
      <c r="R6" s="9"/>
      <c r="S6" s="9"/>
      <c r="T6" s="9"/>
      <c r="U6" s="9"/>
      <c r="V6" s="9"/>
      <c r="W6" s="9"/>
      <c r="X6" s="9"/>
      <c r="Y6" s="9"/>
      <c r="Z6" s="9"/>
      <c r="AA6" s="9"/>
      <c r="AB6" s="9"/>
      <c r="AC6" s="9"/>
      <c r="AD6" s="9"/>
      <c r="AE6" s="9"/>
      <c r="AF6" s="9"/>
      <c r="AG6" s="9"/>
      <c r="AH6" s="9"/>
      <c r="AI6" s="9"/>
      <c r="AJ6" s="9"/>
      <c r="AK6" s="9"/>
      <c r="AL6" s="9"/>
      <c r="AM6" s="9"/>
      <c r="AN6" s="9"/>
      <c r="AO6" s="9"/>
      <c r="AP6" s="9"/>
    </row>
    <row r="7" spans="1:42" ht="13.5" customHeight="1" x14ac:dyDescent="0.25">
      <c r="C7" s="5" t="s">
        <v>19</v>
      </c>
      <c r="D7" s="5"/>
      <c r="E7" s="5"/>
      <c r="F7" s="5"/>
      <c r="G7" s="5"/>
      <c r="H7" s="4" t="s">
        <v>20</v>
      </c>
      <c r="I7" s="4"/>
      <c r="J7" s="4"/>
      <c r="K7" s="4"/>
      <c r="L7" s="4"/>
      <c r="M7" s="3" t="s">
        <v>21</v>
      </c>
      <c r="N7" s="3"/>
      <c r="O7" s="3"/>
      <c r="P7" s="3"/>
      <c r="Q7" s="3"/>
      <c r="R7" s="2" t="s">
        <v>97</v>
      </c>
      <c r="S7" s="2"/>
      <c r="T7" s="2"/>
      <c r="U7" s="2"/>
      <c r="V7" s="2"/>
      <c r="W7" s="1" t="s">
        <v>98</v>
      </c>
      <c r="X7" s="1"/>
      <c r="Y7" s="1"/>
      <c r="Z7" s="1"/>
      <c r="AA7" s="1"/>
      <c r="AB7" s="5" t="s">
        <v>23</v>
      </c>
      <c r="AC7" s="5"/>
      <c r="AD7" s="5"/>
      <c r="AE7" s="5"/>
      <c r="AF7" s="5"/>
      <c r="AG7" s="5"/>
      <c r="AH7" s="134" t="s">
        <v>99</v>
      </c>
      <c r="AI7" s="134"/>
      <c r="AJ7" s="134"/>
      <c r="AK7" s="134"/>
      <c r="AL7" s="134"/>
      <c r="AM7" s="134"/>
      <c r="AN7" s="134"/>
      <c r="AO7" s="134"/>
      <c r="AP7" s="134"/>
    </row>
    <row r="8" spans="1:42" ht="21.75" customHeight="1" x14ac:dyDescent="0.25">
      <c r="C8" s="126">
        <f>COUNT(Temperaturprotokoll!$I$18:$I$217)</f>
        <v>173</v>
      </c>
      <c r="D8" s="126"/>
      <c r="E8" s="126"/>
      <c r="F8" s="126"/>
      <c r="G8" s="126"/>
      <c r="H8" s="135">
        <f>IFERROR(COUNTIF(Temperaturprotokoll!$K$18:$K$217,"OK")/SUMPRODUCT((Temperaturprotokoll!$K$18:$K$217&lt;&gt;"")*1),"")</f>
        <v>0.94797687861271673</v>
      </c>
      <c r="I8" s="135"/>
      <c r="J8" s="135"/>
      <c r="K8" s="135"/>
      <c r="L8" s="135"/>
      <c r="M8" s="128">
        <f>COUNTIF(Temperaturprotokoll!$K$18:$K$217,"Zu hoch")+COUNTIF(Temperaturprotokoll!$K$18:$K$217,"Zu niedrig")+COUNTIF(Temperaturprotokoll!$K$18:$K$217,"Kritisch")</f>
        <v>9</v>
      </c>
      <c r="N8" s="128"/>
      <c r="O8" s="128"/>
      <c r="P8" s="128"/>
      <c r="Q8" s="128"/>
      <c r="R8" s="129">
        <f>COUNTIF(Temperaturprotokoll!$K$18:$K$217,"Kritisch")</f>
        <v>2</v>
      </c>
      <c r="S8" s="129"/>
      <c r="T8" s="129"/>
      <c r="U8" s="129"/>
      <c r="V8" s="129"/>
      <c r="W8" s="130">
        <f>SUM($AK$14:$AK$23)</f>
        <v>1</v>
      </c>
      <c r="X8" s="130"/>
      <c r="Y8" s="130"/>
      <c r="Z8" s="130"/>
      <c r="AA8" s="130"/>
      <c r="AB8" s="126">
        <f>COUNTIFS(Temperaturprotokoll!$L$18:$L$217,"Ja",Temperaturprotokoll!$N$18:$N$217,"Offen")+COUNTIFS(Temperaturprotokoll!$L$18:$L$217,"Ja",Temperaturprotokoll!$N$18:$N$217,"In Bearbeitung")</f>
        <v>2</v>
      </c>
      <c r="AC8" s="126"/>
      <c r="AD8" s="126"/>
      <c r="AE8" s="126"/>
      <c r="AF8" s="126"/>
      <c r="AG8" s="126"/>
      <c r="AH8" s="136" t="str">
        <f>TEXT(Monatsstart,"DD.MM.YYYY")&amp;"  –  "&amp;TEXT(Monatsende,"DD.MM.YYYY")</f>
        <v>01.06.YYYY  –  30.06.YYYY</v>
      </c>
      <c r="AI8" s="136"/>
      <c r="AJ8" s="136"/>
      <c r="AK8" s="136"/>
      <c r="AL8" s="136"/>
      <c r="AM8" s="136"/>
      <c r="AN8" s="136"/>
      <c r="AO8" s="136"/>
      <c r="AP8" s="136"/>
    </row>
    <row r="9" spans="1:42" ht="12.75" customHeight="1" x14ac:dyDescent="0.25">
      <c r="C9" s="132" t="s">
        <v>100</v>
      </c>
      <c r="D9" s="132"/>
      <c r="E9" s="132"/>
      <c r="F9" s="132"/>
      <c r="G9" s="132"/>
      <c r="H9" s="132" t="s">
        <v>81</v>
      </c>
      <c r="I9" s="132"/>
      <c r="J9" s="132"/>
      <c r="K9" s="132"/>
      <c r="L9" s="132"/>
      <c r="M9" s="132" t="s">
        <v>101</v>
      </c>
      <c r="N9" s="132"/>
      <c r="O9" s="132"/>
      <c r="P9" s="132"/>
      <c r="Q9" s="132"/>
      <c r="R9" s="132" t="s">
        <v>102</v>
      </c>
      <c r="S9" s="132"/>
      <c r="T9" s="132"/>
      <c r="U9" s="132"/>
      <c r="V9" s="132"/>
      <c r="W9" s="132" t="s">
        <v>103</v>
      </c>
      <c r="X9" s="132"/>
      <c r="Y9" s="132"/>
      <c r="Z9" s="132"/>
      <c r="AA9" s="132"/>
      <c r="AB9" s="132" t="s">
        <v>104</v>
      </c>
      <c r="AC9" s="132"/>
      <c r="AD9" s="132"/>
      <c r="AE9" s="132"/>
      <c r="AF9" s="132"/>
      <c r="AG9" s="132"/>
      <c r="AH9" s="132" t="str">
        <f>Stammdaten!$D$7&amp;"  ·  "&amp;Stammdaten!$I$7</f>
        <v>Muster Betriebsgastronomie GmbH  ·  Betriebsrestaurant Nord · Küche &amp; Lager</v>
      </c>
      <c r="AI9" s="132"/>
      <c r="AJ9" s="132"/>
      <c r="AK9" s="132"/>
      <c r="AL9" s="132"/>
      <c r="AM9" s="132"/>
      <c r="AN9" s="132"/>
      <c r="AO9" s="132"/>
      <c r="AP9" s="132"/>
    </row>
    <row r="11" spans="1:42" ht="19.5" customHeight="1" x14ac:dyDescent="0.25">
      <c r="B11" s="30" t="s">
        <v>16</v>
      </c>
      <c r="C11" s="10" t="s">
        <v>105</v>
      </c>
      <c r="D11" s="10"/>
      <c r="E11" s="10"/>
      <c r="F11" s="10"/>
      <c r="G11" s="10"/>
      <c r="H11" s="10"/>
      <c r="I11" s="10"/>
      <c r="J11" s="10"/>
      <c r="K11" s="10"/>
      <c r="L11" s="10"/>
      <c r="M11" s="10"/>
      <c r="N11" s="10"/>
      <c r="O11" s="10"/>
      <c r="P11" s="9" t="s">
        <v>106</v>
      </c>
      <c r="Q11" s="9"/>
      <c r="R11" s="9"/>
      <c r="S11" s="9"/>
      <c r="T11" s="9"/>
      <c r="U11" s="9"/>
      <c r="V11" s="9"/>
      <c r="W11" s="9"/>
      <c r="X11" s="9"/>
      <c r="Y11" s="9"/>
      <c r="Z11" s="9"/>
      <c r="AA11" s="9"/>
      <c r="AB11" s="9"/>
      <c r="AC11" s="9"/>
      <c r="AD11" s="9"/>
      <c r="AE11" s="9"/>
      <c r="AF11" s="9"/>
      <c r="AG11" s="9"/>
      <c r="AH11" s="9"/>
      <c r="AI11" s="9"/>
      <c r="AJ11" s="9"/>
      <c r="AK11" s="9"/>
      <c r="AL11" s="9"/>
      <c r="AM11" s="9"/>
      <c r="AN11" s="9"/>
      <c r="AO11" s="9"/>
      <c r="AP11" s="9"/>
    </row>
    <row r="12" spans="1:42" ht="12" customHeight="1" x14ac:dyDescent="0.25">
      <c r="B12" s="137" t="s">
        <v>107</v>
      </c>
      <c r="C12" s="97" t="str">
        <f>IF(C$13="","",INDEX({"So","Mo","Di","Mi","Do","Fr","Sa"},WEEKDAY(C$13)))</f>
        <v>Mo</v>
      </c>
      <c r="D12" s="97" t="str">
        <f>IF(D$13="","",INDEX({"So","Mo","Di","Mi","Do","Fr","Sa"},WEEKDAY(D$13)))</f>
        <v>Di</v>
      </c>
      <c r="E12" s="97" t="str">
        <f>IF(E$13="","",INDEX({"So","Mo","Di","Mi","Do","Fr","Sa"},WEEKDAY(E$13)))</f>
        <v>Mi</v>
      </c>
      <c r="F12" s="97" t="str">
        <f>IF(F$13="","",INDEX({"So","Mo","Di","Mi","Do","Fr","Sa"},WEEKDAY(F$13)))</f>
        <v>Do</v>
      </c>
      <c r="G12" s="97" t="str">
        <f>IF(G$13="","",INDEX({"So","Mo","Di","Mi","Do","Fr","Sa"},WEEKDAY(G$13)))</f>
        <v>Fr</v>
      </c>
      <c r="H12" s="97" t="str">
        <f>IF(H$13="","",INDEX({"So","Mo","Di","Mi","Do","Fr","Sa"},WEEKDAY(H$13)))</f>
        <v>Sa</v>
      </c>
      <c r="I12" s="97" t="str">
        <f>IF(I$13="","",INDEX({"So","Mo","Di","Mi","Do","Fr","Sa"},WEEKDAY(I$13)))</f>
        <v>So</v>
      </c>
      <c r="J12" s="97" t="str">
        <f>IF(J$13="","",INDEX({"So","Mo","Di","Mi","Do","Fr","Sa"},WEEKDAY(J$13)))</f>
        <v>Mo</v>
      </c>
      <c r="K12" s="97" t="str">
        <f>IF(K$13="","",INDEX({"So","Mo","Di","Mi","Do","Fr","Sa"},WEEKDAY(K$13)))</f>
        <v>Di</v>
      </c>
      <c r="L12" s="97" t="str">
        <f>IF(L$13="","",INDEX({"So","Mo","Di","Mi","Do","Fr","Sa"},WEEKDAY(L$13)))</f>
        <v>Mi</v>
      </c>
      <c r="M12" s="97" t="str">
        <f>IF(M$13="","",INDEX({"So","Mo","Di","Mi","Do","Fr","Sa"},WEEKDAY(M$13)))</f>
        <v>Do</v>
      </c>
      <c r="N12" s="97" t="str">
        <f>IF(N$13="","",INDEX({"So","Mo","Di","Mi","Do","Fr","Sa"},WEEKDAY(N$13)))</f>
        <v>Fr</v>
      </c>
      <c r="O12" s="97" t="str">
        <f>IF(O$13="","",INDEX({"So","Mo","Di","Mi","Do","Fr","Sa"},WEEKDAY(O$13)))</f>
        <v>Sa</v>
      </c>
      <c r="P12" s="97" t="str">
        <f>IF(P$13="","",INDEX({"So","Mo","Di","Mi","Do","Fr","Sa"},WEEKDAY(P$13)))</f>
        <v>So</v>
      </c>
      <c r="Q12" s="97" t="str">
        <f>IF(Q$13="","",INDEX({"So","Mo","Di","Mi","Do","Fr","Sa"},WEEKDAY(Q$13)))</f>
        <v>Mo</v>
      </c>
      <c r="R12" s="97" t="str">
        <f>IF(R$13="","",INDEX({"So","Mo","Di","Mi","Do","Fr","Sa"},WEEKDAY(R$13)))</f>
        <v>Di</v>
      </c>
      <c r="S12" s="97" t="str">
        <f>IF(S$13="","",INDEX({"So","Mo","Di","Mi","Do","Fr","Sa"},WEEKDAY(S$13)))</f>
        <v>Mi</v>
      </c>
      <c r="T12" s="97" t="str">
        <f>IF(T$13="","",INDEX({"So","Mo","Di","Mi","Do","Fr","Sa"},WEEKDAY(T$13)))</f>
        <v>Do</v>
      </c>
      <c r="U12" s="97" t="str">
        <f>IF(U$13="","",INDEX({"So","Mo","Di","Mi","Do","Fr","Sa"},WEEKDAY(U$13)))</f>
        <v>Fr</v>
      </c>
      <c r="V12" s="97" t="str">
        <f>IF(V$13="","",INDEX({"So","Mo","Di","Mi","Do","Fr","Sa"},WEEKDAY(V$13)))</f>
        <v>Sa</v>
      </c>
      <c r="W12" s="97" t="str">
        <f>IF(W$13="","",INDEX({"So","Mo","Di","Mi","Do","Fr","Sa"},WEEKDAY(W$13)))</f>
        <v>So</v>
      </c>
      <c r="X12" s="97" t="str">
        <f>IF(X$13="","",INDEX({"So","Mo","Di","Mi","Do","Fr","Sa"},WEEKDAY(X$13)))</f>
        <v>Mo</v>
      </c>
      <c r="Y12" s="97" t="str">
        <f>IF(Y$13="","",INDEX({"So","Mo","Di","Mi","Do","Fr","Sa"},WEEKDAY(Y$13)))</f>
        <v>Di</v>
      </c>
      <c r="Z12" s="97" t="str">
        <f>IF(Z$13="","",INDEX({"So","Mo","Di","Mi","Do","Fr","Sa"},WEEKDAY(Z$13)))</f>
        <v>Mi</v>
      </c>
      <c r="AA12" s="97" t="str">
        <f>IF(AA$13="","",INDEX({"So","Mo","Di","Mi","Do","Fr","Sa"},WEEKDAY(AA$13)))</f>
        <v>Do</v>
      </c>
      <c r="AB12" s="97" t="str">
        <f>IF(AB$13="","",INDEX({"So","Mo","Di","Mi","Do","Fr","Sa"},WEEKDAY(AB$13)))</f>
        <v>Fr</v>
      </c>
      <c r="AC12" s="97" t="str">
        <f>IF(AC$13="","",INDEX({"So","Mo","Di","Mi","Do","Fr","Sa"},WEEKDAY(AC$13)))</f>
        <v>Sa</v>
      </c>
      <c r="AD12" s="97" t="str">
        <f>IF(AD$13="","",INDEX({"So","Mo","Di","Mi","Do","Fr","Sa"},WEEKDAY(AD$13)))</f>
        <v>So</v>
      </c>
      <c r="AE12" s="97" t="str">
        <f>IF(AE$13="","",INDEX({"So","Mo","Di","Mi","Do","Fr","Sa"},WEEKDAY(AE$13)))</f>
        <v>Mo</v>
      </c>
      <c r="AF12" s="97" t="str">
        <f>IF(AF$13="","",INDEX({"So","Mo","Di","Mi","Do","Fr","Sa"},WEEKDAY(AF$13)))</f>
        <v>Di</v>
      </c>
      <c r="AG12" s="97" t="str">
        <f>IF(AG$13="","",INDEX({"So","Mo","Di","Mi","Do","Fr","Sa"},WEEKDAY(AG$13)))</f>
        <v/>
      </c>
      <c r="AH12" s="138" t="s">
        <v>39</v>
      </c>
      <c r="AI12" s="138" t="s">
        <v>40</v>
      </c>
      <c r="AJ12" s="138" t="s">
        <v>108</v>
      </c>
      <c r="AK12" s="138" t="s">
        <v>109</v>
      </c>
      <c r="AL12" s="138" t="s">
        <v>110</v>
      </c>
      <c r="AM12" s="138" t="s">
        <v>111</v>
      </c>
      <c r="AN12" s="138" t="s">
        <v>112</v>
      </c>
      <c r="AO12" s="138" t="s">
        <v>113</v>
      </c>
      <c r="AP12" s="138" t="s">
        <v>114</v>
      </c>
    </row>
    <row r="13" spans="1:42" ht="15" customHeight="1" x14ac:dyDescent="0.25">
      <c r="B13" s="137"/>
      <c r="C13" s="98">
        <f>IF(1&lt;=Tage_im_Monat,Monatsstart+0,"")</f>
        <v>46174</v>
      </c>
      <c r="D13" s="98">
        <f>IF(2&lt;=Tage_im_Monat,Monatsstart+1,"")</f>
        <v>46175</v>
      </c>
      <c r="E13" s="98">
        <f>IF(3&lt;=Tage_im_Monat,Monatsstart+2,"")</f>
        <v>46176</v>
      </c>
      <c r="F13" s="98">
        <f>IF(4&lt;=Tage_im_Monat,Monatsstart+3,"")</f>
        <v>46177</v>
      </c>
      <c r="G13" s="98">
        <f>IF(5&lt;=Tage_im_Monat,Monatsstart+4,"")</f>
        <v>46178</v>
      </c>
      <c r="H13" s="98">
        <f>IF(6&lt;=Tage_im_Monat,Monatsstart+5,"")</f>
        <v>46179</v>
      </c>
      <c r="I13" s="98">
        <f>IF(7&lt;=Tage_im_Monat,Monatsstart+6,"")</f>
        <v>46180</v>
      </c>
      <c r="J13" s="98">
        <f>IF(8&lt;=Tage_im_Monat,Monatsstart+7,"")</f>
        <v>46181</v>
      </c>
      <c r="K13" s="98">
        <f>IF(9&lt;=Tage_im_Monat,Monatsstart+8,"")</f>
        <v>46182</v>
      </c>
      <c r="L13" s="98">
        <f>IF(10&lt;=Tage_im_Monat,Monatsstart+9,"")</f>
        <v>46183</v>
      </c>
      <c r="M13" s="98">
        <f>IF(11&lt;=Tage_im_Monat,Monatsstart+10,"")</f>
        <v>46184</v>
      </c>
      <c r="N13" s="98">
        <f>IF(12&lt;=Tage_im_Monat,Monatsstart+11,"")</f>
        <v>46185</v>
      </c>
      <c r="O13" s="98">
        <f>IF(13&lt;=Tage_im_Monat,Monatsstart+12,"")</f>
        <v>46186</v>
      </c>
      <c r="P13" s="98">
        <f>IF(14&lt;=Tage_im_Monat,Monatsstart+13,"")</f>
        <v>46187</v>
      </c>
      <c r="Q13" s="98">
        <f>IF(15&lt;=Tage_im_Monat,Monatsstart+14,"")</f>
        <v>46188</v>
      </c>
      <c r="R13" s="98">
        <f>IF(16&lt;=Tage_im_Monat,Monatsstart+15,"")</f>
        <v>46189</v>
      </c>
      <c r="S13" s="98">
        <f>IF(17&lt;=Tage_im_Monat,Monatsstart+16,"")</f>
        <v>46190</v>
      </c>
      <c r="T13" s="98">
        <f>IF(18&lt;=Tage_im_Monat,Monatsstart+17,"")</f>
        <v>46191</v>
      </c>
      <c r="U13" s="98">
        <f>IF(19&lt;=Tage_im_Monat,Monatsstart+18,"")</f>
        <v>46192</v>
      </c>
      <c r="V13" s="98">
        <f>IF(20&lt;=Tage_im_Monat,Monatsstart+19,"")</f>
        <v>46193</v>
      </c>
      <c r="W13" s="98">
        <f>IF(21&lt;=Tage_im_Monat,Monatsstart+20,"")</f>
        <v>46194</v>
      </c>
      <c r="X13" s="98">
        <f>IF(22&lt;=Tage_im_Monat,Monatsstart+21,"")</f>
        <v>46195</v>
      </c>
      <c r="Y13" s="98">
        <f>IF(23&lt;=Tage_im_Monat,Monatsstart+22,"")</f>
        <v>46196</v>
      </c>
      <c r="Z13" s="98">
        <f>IF(24&lt;=Tage_im_Monat,Monatsstart+23,"")</f>
        <v>46197</v>
      </c>
      <c r="AA13" s="98">
        <f>IF(25&lt;=Tage_im_Monat,Monatsstart+24,"")</f>
        <v>46198</v>
      </c>
      <c r="AB13" s="98">
        <f>IF(26&lt;=Tage_im_Monat,Monatsstart+25,"")</f>
        <v>46199</v>
      </c>
      <c r="AC13" s="98">
        <f>IF(27&lt;=Tage_im_Monat,Monatsstart+26,"")</f>
        <v>46200</v>
      </c>
      <c r="AD13" s="98">
        <f>IF(28&lt;=Tage_im_Monat,Monatsstart+27,"")</f>
        <v>46201</v>
      </c>
      <c r="AE13" s="98">
        <f>IF(29&lt;=Tage_im_Monat,Monatsstart+28,"")</f>
        <v>46202</v>
      </c>
      <c r="AF13" s="98">
        <f>IF(30&lt;=Tage_im_Monat,Monatsstart+29,"")</f>
        <v>46203</v>
      </c>
      <c r="AG13" s="98" t="str">
        <f>IF(31&lt;=Tage_im_Monat,Monatsstart+30,"")</f>
        <v/>
      </c>
      <c r="AH13" s="138"/>
      <c r="AI13" s="138"/>
      <c r="AJ13" s="138"/>
      <c r="AK13" s="138"/>
      <c r="AL13" s="138"/>
      <c r="AM13" s="138"/>
      <c r="AN13" s="138"/>
      <c r="AO13" s="138"/>
      <c r="AP13" s="138"/>
    </row>
    <row r="14" spans="1:42" ht="15" customHeight="1" x14ac:dyDescent="0.25">
      <c r="B14" s="99" t="str">
        <f>IF(Stammdaten!$C22="","",Stammdaten!$C22)</f>
        <v>KS-01 · Kühlschrank Küche</v>
      </c>
      <c r="C14" s="100">
        <f>IFERROR(AVERAGEIFS(Temperaturprotokoll!$I$18:$I$217,Temperaturprotokoll!$E$18:$E$217,$B14,Temperaturprotokoll!$C$18:$C$217,C$13),"")</f>
        <v>3.8</v>
      </c>
      <c r="D14" s="100">
        <f>IFERROR(AVERAGEIFS(Temperaturprotokoll!$I$18:$I$217,Temperaturprotokoll!$E$18:$E$217,$B14,Temperaturprotokoll!$C$18:$C$217,D$13),"")</f>
        <v>4.8</v>
      </c>
      <c r="E14" s="100">
        <f>IFERROR(AVERAGEIFS(Temperaturprotokoll!$I$18:$I$217,Temperaturprotokoll!$E$18:$E$217,$B14,Temperaturprotokoll!$C$18:$C$217,E$13),"")</f>
        <v>4</v>
      </c>
      <c r="F14" s="100">
        <f>IFERROR(AVERAGEIFS(Temperaturprotokoll!$I$18:$I$217,Temperaturprotokoll!$E$18:$E$217,$B14,Temperaturprotokoll!$C$18:$C$217,F$13),"")</f>
        <v>5.8</v>
      </c>
      <c r="G14" s="100">
        <f>IFERROR(AVERAGEIFS(Temperaturprotokoll!$I$18:$I$217,Temperaturprotokoll!$E$18:$E$217,$B14,Temperaturprotokoll!$C$18:$C$217,G$13),"")</f>
        <v>3.1</v>
      </c>
      <c r="H14" s="100">
        <f>IFERROR(AVERAGEIFS(Temperaturprotokoll!$I$18:$I$217,Temperaturprotokoll!$E$18:$E$217,$B14,Temperaturprotokoll!$C$18:$C$217,H$13),"")</f>
        <v>4.9000000000000004</v>
      </c>
      <c r="I14" s="100">
        <f>IFERROR(AVERAGEIFS(Temperaturprotokoll!$I$18:$I$217,Temperaturprotokoll!$E$18:$E$217,$B14,Temperaturprotokoll!$C$18:$C$217,I$13),"")</f>
        <v>5.8</v>
      </c>
      <c r="J14" s="100">
        <f>IFERROR(AVERAGEIFS(Temperaturprotokoll!$I$18:$I$217,Temperaturprotokoll!$E$18:$E$217,$B14,Temperaturprotokoll!$C$18:$C$217,J$13),"")</f>
        <v>3.1</v>
      </c>
      <c r="K14" s="100">
        <f>IFERROR(AVERAGEIFS(Temperaturprotokoll!$I$18:$I$217,Temperaturprotokoll!$E$18:$E$217,$B14,Temperaturprotokoll!$C$18:$C$217,K$13),"")</f>
        <v>8.4</v>
      </c>
      <c r="L14" s="100">
        <f>IFERROR(AVERAGEIFS(Temperaturprotokoll!$I$18:$I$217,Temperaturprotokoll!$E$18:$E$217,$B14,Temperaturprotokoll!$C$18:$C$217,L$13),"")</f>
        <v>3.6</v>
      </c>
      <c r="M14" s="100">
        <f>IFERROR(AVERAGEIFS(Temperaturprotokoll!$I$18:$I$217,Temperaturprotokoll!$E$18:$E$217,$B14,Temperaturprotokoll!$C$18:$C$217,M$13),"")</f>
        <v>3.5</v>
      </c>
      <c r="N14" s="100">
        <f>IFERROR(AVERAGEIFS(Temperaturprotokoll!$I$18:$I$217,Temperaturprotokoll!$E$18:$E$217,$B14,Temperaturprotokoll!$C$18:$C$217,N$13),"")</f>
        <v>5.3</v>
      </c>
      <c r="O14" s="100">
        <f>IFERROR(AVERAGEIFS(Temperaturprotokoll!$I$18:$I$217,Temperaturprotokoll!$E$18:$E$217,$B14,Temperaturprotokoll!$C$18:$C$217,O$13),"")</f>
        <v>3.9</v>
      </c>
      <c r="P14" s="100">
        <f>IFERROR(AVERAGEIFS(Temperaturprotokoll!$I$18:$I$217,Temperaturprotokoll!$E$18:$E$217,$B14,Temperaturprotokoll!$C$18:$C$217,P$13),"")</f>
        <v>3.2</v>
      </c>
      <c r="Q14" s="100">
        <f>IFERROR(AVERAGEIFS(Temperaturprotokoll!$I$18:$I$217,Temperaturprotokoll!$E$18:$E$217,$B14,Temperaturprotokoll!$C$18:$C$217,Q$13),"")</f>
        <v>4.7</v>
      </c>
      <c r="R14" s="100">
        <f>IFERROR(AVERAGEIFS(Temperaturprotokoll!$I$18:$I$217,Temperaturprotokoll!$E$18:$E$217,$B14,Temperaturprotokoll!$C$18:$C$217,R$13),"")</f>
        <v>4.5</v>
      </c>
      <c r="S14" s="100">
        <f>IFERROR(AVERAGEIFS(Temperaturprotokoll!$I$18:$I$217,Temperaturprotokoll!$E$18:$E$217,$B14,Temperaturprotokoll!$C$18:$C$217,S$13),"")</f>
        <v>4.2</v>
      </c>
      <c r="T14" s="100">
        <f>IFERROR(AVERAGEIFS(Temperaturprotokoll!$I$18:$I$217,Temperaturprotokoll!$E$18:$E$217,$B14,Temperaturprotokoll!$C$18:$C$217,T$13),"")</f>
        <v>4.5999999999999996</v>
      </c>
      <c r="U14" s="100">
        <f>IFERROR(AVERAGEIFS(Temperaturprotokoll!$I$18:$I$217,Temperaturprotokoll!$E$18:$E$217,$B14,Temperaturprotokoll!$C$18:$C$217,U$13),"")</f>
        <v>4.2</v>
      </c>
      <c r="V14" s="100">
        <f>IFERROR(AVERAGEIFS(Temperaturprotokoll!$I$18:$I$217,Temperaturprotokoll!$E$18:$E$217,$B14,Temperaturprotokoll!$C$18:$C$217,V$13),"")</f>
        <v>4.3</v>
      </c>
      <c r="W14" s="100">
        <f>IFERROR(AVERAGEIFS(Temperaturprotokoll!$I$18:$I$217,Temperaturprotokoll!$E$18:$E$217,$B14,Temperaturprotokoll!$C$18:$C$217,W$13),"")</f>
        <v>4.2</v>
      </c>
      <c r="X14" s="100">
        <f>IFERROR(AVERAGEIFS(Temperaturprotokoll!$I$18:$I$217,Temperaturprotokoll!$E$18:$E$217,$B14,Temperaturprotokoll!$C$18:$C$217,X$13),"")</f>
        <v>3.6</v>
      </c>
      <c r="Y14" s="100">
        <f>IFERROR(AVERAGEIFS(Temperaturprotokoll!$I$18:$I$217,Temperaturprotokoll!$E$18:$E$217,$B14,Temperaturprotokoll!$C$18:$C$217,Y$13),"")</f>
        <v>7.4</v>
      </c>
      <c r="Z14" s="100">
        <f>IFERROR(AVERAGEIFS(Temperaturprotokoll!$I$18:$I$217,Temperaturprotokoll!$E$18:$E$217,$B14,Temperaturprotokoll!$C$18:$C$217,Z$13),"")</f>
        <v>4.0999999999999996</v>
      </c>
      <c r="AA14" s="100">
        <f>IFERROR(AVERAGEIFS(Temperaturprotokoll!$I$18:$I$217,Temperaturprotokoll!$E$18:$E$217,$B14,Temperaturprotokoll!$C$18:$C$217,AA$13),"")</f>
        <v>4.5999999999999996</v>
      </c>
      <c r="AB14" s="100">
        <f>IFERROR(AVERAGEIFS(Temperaturprotokoll!$I$18:$I$217,Temperaturprotokoll!$E$18:$E$217,$B14,Temperaturprotokoll!$C$18:$C$217,AB$13),"")</f>
        <v>5.4</v>
      </c>
      <c r="AC14" s="100">
        <f>IFERROR(AVERAGEIFS(Temperaturprotokoll!$I$18:$I$217,Temperaturprotokoll!$E$18:$E$217,$B14,Temperaturprotokoll!$C$18:$C$217,AC$13),"")</f>
        <v>5.5</v>
      </c>
      <c r="AD14" s="100">
        <f>IFERROR(AVERAGEIFS(Temperaturprotokoll!$I$18:$I$217,Temperaturprotokoll!$E$18:$E$217,$B14,Temperaturprotokoll!$C$18:$C$217,AD$13),"")</f>
        <v>4.7</v>
      </c>
      <c r="AE14" s="100">
        <f>IFERROR(AVERAGEIFS(Temperaturprotokoll!$I$18:$I$217,Temperaturprotokoll!$E$18:$E$217,$B14,Temperaturprotokoll!$C$18:$C$217,AE$13),"")</f>
        <v>3.9</v>
      </c>
      <c r="AF14" s="100">
        <f>IFERROR(AVERAGEIFS(Temperaturprotokoll!$I$18:$I$217,Temperaturprotokoll!$E$18:$E$217,$B14,Temperaturprotokoll!$C$18:$C$217,AF$13),"")</f>
        <v>3.3</v>
      </c>
      <c r="AG14" s="100" t="str">
        <f>IFERROR(AVERAGEIFS(Temperaturprotokoll!$I$18:$I$217,Temperaturprotokoll!$E$18:$E$217,$B14,Temperaturprotokoll!$C$18:$C$217,AG$13),"")</f>
        <v/>
      </c>
      <c r="AH14" s="101">
        <f>IF($B14="","",IFERROR(INDEX(Stammdaten!$F$22:$F$31,MATCH($B14,Stammdaten!$C$22:$C$31,0)),""))</f>
        <v>2</v>
      </c>
      <c r="AI14" s="102">
        <f>IF($B14="","",IFERROR(INDEX(Stammdaten!$G$22:$G$31,MATCH($B14,Stammdaten!$C$22:$C$31,0)),""))</f>
        <v>7</v>
      </c>
      <c r="AJ14" s="103">
        <f>IF($B14="","",COUNTIFS(Temperaturprotokoll!$E$18:$E$217,$B14))</f>
        <v>31</v>
      </c>
      <c r="AK14" s="103">
        <f>IF($B14="","",MAX(0,IF(IFERROR(INDEX(Stammdaten!$I$22:$I$31,MATCH($B14,Stammdaten!$C$22:$C$31,0)),"")="werktäglich",Werktage,Tage_im_Monat)-COUNT($C14:$AG14)))</f>
        <v>0</v>
      </c>
      <c r="AL14" s="102">
        <f>IF($B14="","",IFERROR(AVERAGEIFS(Temperaturprotokoll!$I$18:$I$217,Temperaturprotokoll!$E$18:$E$217,$B14),""))</f>
        <v>4.6387096774193539</v>
      </c>
      <c r="AM14" s="104">
        <f t="shared" ref="AM14:AM23" si="0">IF($B14="","",IF(COUNT($C14:$AG14)=0,"",MIN($C14:$AG14)))</f>
        <v>3.1</v>
      </c>
      <c r="AN14" s="105">
        <f t="shared" ref="AN14:AN23" si="1">IF($B14="","",IF(COUNT($C14:$AG14)=0,"",MAX($C14:$AG14)))</f>
        <v>8.4</v>
      </c>
      <c r="AO14" s="103">
        <f>IF($B14="","",COUNTIFS(Temperaturprotokoll!$E$18:$E$217,$B14,Temperaturprotokoll!$K$18:$K$217,"Zu hoch")+COUNTIFS(Temperaturprotokoll!$E$18:$E$217,$B14,Temperaturprotokoll!$K$18:$K$217,"Zu niedrig")+COUNTIFS(Temperaturprotokoll!$E$18:$E$217,$B14,Temperaturprotokoll!$K$18:$K$217,"Kritisch"))</f>
        <v>2</v>
      </c>
      <c r="AP14" s="106">
        <f>IF($B14="","",IFERROR(COUNTIFS(Temperaturprotokoll!$E$18:$E$217,$B14,Temperaturprotokoll!$K$18:$K$217,"OK")/AJ14,""))</f>
        <v>0.93548387096774188</v>
      </c>
    </row>
    <row r="15" spans="1:42" ht="15" customHeight="1" x14ac:dyDescent="0.25">
      <c r="B15" s="99" t="str">
        <f>IF(Stammdaten!$C23="","",Stammdaten!$C23)</f>
        <v>KZ-01 · Kühlzelle Lager</v>
      </c>
      <c r="C15" s="100">
        <f>IFERROR(AVERAGEIFS(Temperaturprotokoll!$I$18:$I$217,Temperaturprotokoll!$E$18:$E$217,$B15,Temperaturprotokoll!$C$18:$C$217,C$13),"")</f>
        <v>4.7</v>
      </c>
      <c r="D15" s="100">
        <f>IFERROR(AVERAGEIFS(Temperaturprotokoll!$I$18:$I$217,Temperaturprotokoll!$E$18:$E$217,$B15,Temperaturprotokoll!$C$18:$C$217,D$13),"")</f>
        <v>4</v>
      </c>
      <c r="E15" s="100">
        <f>IFERROR(AVERAGEIFS(Temperaturprotokoll!$I$18:$I$217,Temperaturprotokoll!$E$18:$E$217,$B15,Temperaturprotokoll!$C$18:$C$217,E$13),"")</f>
        <v>2.9</v>
      </c>
      <c r="F15" s="100">
        <f>IFERROR(AVERAGEIFS(Temperaturprotokoll!$I$18:$I$217,Temperaturprotokoll!$E$18:$E$217,$B15,Temperaturprotokoll!$C$18:$C$217,F$13),"")</f>
        <v>1.8</v>
      </c>
      <c r="G15" s="100">
        <f>IFERROR(AVERAGEIFS(Temperaturprotokoll!$I$18:$I$217,Temperaturprotokoll!$E$18:$E$217,$B15,Temperaturprotokoll!$C$18:$C$217,G$13),"")</f>
        <v>2.9</v>
      </c>
      <c r="H15" s="100">
        <f>IFERROR(AVERAGEIFS(Temperaturprotokoll!$I$18:$I$217,Temperaturprotokoll!$E$18:$E$217,$B15,Temperaturprotokoll!$C$18:$C$217,H$13),"")</f>
        <v>3.4</v>
      </c>
      <c r="I15" s="100">
        <f>IFERROR(AVERAGEIFS(Temperaturprotokoll!$I$18:$I$217,Temperaturprotokoll!$E$18:$E$217,$B15,Temperaturprotokoll!$C$18:$C$217,I$13),"")</f>
        <v>3.1</v>
      </c>
      <c r="J15" s="100">
        <f>IFERROR(AVERAGEIFS(Temperaturprotokoll!$I$18:$I$217,Temperaturprotokoll!$E$18:$E$217,$B15,Temperaturprotokoll!$C$18:$C$217,J$13),"")</f>
        <v>2.7</v>
      </c>
      <c r="K15" s="100">
        <f>IFERROR(AVERAGEIFS(Temperaturprotokoll!$I$18:$I$217,Temperaturprotokoll!$E$18:$E$217,$B15,Temperaturprotokoll!$C$18:$C$217,K$13),"")</f>
        <v>1.7</v>
      </c>
      <c r="L15" s="100">
        <f>IFERROR(AVERAGEIFS(Temperaturprotokoll!$I$18:$I$217,Temperaturprotokoll!$E$18:$E$217,$B15,Temperaturprotokoll!$C$18:$C$217,L$13),"")</f>
        <v>3.6</v>
      </c>
      <c r="M15" s="100">
        <f>IFERROR(AVERAGEIFS(Temperaturprotokoll!$I$18:$I$217,Temperaturprotokoll!$E$18:$E$217,$B15,Temperaturprotokoll!$C$18:$C$217,M$13),"")</f>
        <v>3.4</v>
      </c>
      <c r="N15" s="100">
        <f>IFERROR(AVERAGEIFS(Temperaturprotokoll!$I$18:$I$217,Temperaturprotokoll!$E$18:$E$217,$B15,Temperaturprotokoll!$C$18:$C$217,N$13),"")</f>
        <v>2.1</v>
      </c>
      <c r="O15" s="100">
        <f>IFERROR(AVERAGEIFS(Temperaturprotokoll!$I$18:$I$217,Temperaturprotokoll!$E$18:$E$217,$B15,Temperaturprotokoll!$C$18:$C$217,O$13),"")</f>
        <v>2.2000000000000002</v>
      </c>
      <c r="P15" s="100" t="str">
        <f>IFERROR(AVERAGEIFS(Temperaturprotokoll!$I$18:$I$217,Temperaturprotokoll!$E$18:$E$217,$B15,Temperaturprotokoll!$C$18:$C$217,P$13),"")</f>
        <v/>
      </c>
      <c r="Q15" s="100">
        <f>IFERROR(AVERAGEIFS(Temperaturprotokoll!$I$18:$I$217,Temperaturprotokoll!$E$18:$E$217,$B15,Temperaturprotokoll!$C$18:$C$217,Q$13),"")</f>
        <v>3.4</v>
      </c>
      <c r="R15" s="100">
        <f>IFERROR(AVERAGEIFS(Temperaturprotokoll!$I$18:$I$217,Temperaturprotokoll!$E$18:$E$217,$B15,Temperaturprotokoll!$C$18:$C$217,R$13),"")</f>
        <v>3.6</v>
      </c>
      <c r="S15" s="100">
        <f>IFERROR(AVERAGEIFS(Temperaturprotokoll!$I$18:$I$217,Temperaturprotokoll!$E$18:$E$217,$B15,Temperaturprotokoll!$C$18:$C$217,S$13),"")</f>
        <v>6.7</v>
      </c>
      <c r="T15" s="100">
        <f>IFERROR(AVERAGEIFS(Temperaturprotokoll!$I$18:$I$217,Temperaturprotokoll!$E$18:$E$217,$B15,Temperaturprotokoll!$C$18:$C$217,T$13),"")</f>
        <v>3.5</v>
      </c>
      <c r="U15" s="100">
        <f>IFERROR(AVERAGEIFS(Temperaturprotokoll!$I$18:$I$217,Temperaturprotokoll!$E$18:$E$217,$B15,Temperaturprotokoll!$C$18:$C$217,U$13),"")</f>
        <v>2.2999999999999998</v>
      </c>
      <c r="V15" s="100">
        <f>IFERROR(AVERAGEIFS(Temperaturprotokoll!$I$18:$I$217,Temperaturprotokoll!$E$18:$E$217,$B15,Temperaturprotokoll!$C$18:$C$217,V$13),"")</f>
        <v>2.2999999999999998</v>
      </c>
      <c r="W15" s="100">
        <f>IFERROR(AVERAGEIFS(Temperaturprotokoll!$I$18:$I$217,Temperaturprotokoll!$E$18:$E$217,$B15,Temperaturprotokoll!$C$18:$C$217,W$13),"")</f>
        <v>4.5</v>
      </c>
      <c r="X15" s="100">
        <f>IFERROR(AVERAGEIFS(Temperaturprotokoll!$I$18:$I$217,Temperaturprotokoll!$E$18:$E$217,$B15,Temperaturprotokoll!$C$18:$C$217,X$13),"")</f>
        <v>2.4</v>
      </c>
      <c r="Y15" s="100">
        <f>IFERROR(AVERAGEIFS(Temperaturprotokoll!$I$18:$I$217,Temperaturprotokoll!$E$18:$E$217,$B15,Temperaturprotokoll!$C$18:$C$217,Y$13),"")</f>
        <v>4.0999999999999996</v>
      </c>
      <c r="Z15" s="100">
        <f>IFERROR(AVERAGEIFS(Temperaturprotokoll!$I$18:$I$217,Temperaturprotokoll!$E$18:$E$217,$B15,Temperaturprotokoll!$C$18:$C$217,Z$13),"")</f>
        <v>1.6</v>
      </c>
      <c r="AA15" s="100">
        <f>IFERROR(AVERAGEIFS(Temperaturprotokoll!$I$18:$I$217,Temperaturprotokoll!$E$18:$E$217,$B15,Temperaturprotokoll!$C$18:$C$217,AA$13),"")</f>
        <v>3.3</v>
      </c>
      <c r="AB15" s="100">
        <f>IFERROR(AVERAGEIFS(Temperaturprotokoll!$I$18:$I$217,Temperaturprotokoll!$E$18:$E$217,$B15,Temperaturprotokoll!$C$18:$C$217,AB$13),"")</f>
        <v>4.8</v>
      </c>
      <c r="AC15" s="100">
        <f>IFERROR(AVERAGEIFS(Temperaturprotokoll!$I$18:$I$217,Temperaturprotokoll!$E$18:$E$217,$B15,Temperaturprotokoll!$C$18:$C$217,AC$13),"")</f>
        <v>3.6</v>
      </c>
      <c r="AD15" s="100">
        <f>IFERROR(AVERAGEIFS(Temperaturprotokoll!$I$18:$I$217,Temperaturprotokoll!$E$18:$E$217,$B15,Temperaturprotokoll!$C$18:$C$217,AD$13),"")</f>
        <v>2.4</v>
      </c>
      <c r="AE15" s="100">
        <f>IFERROR(AVERAGEIFS(Temperaturprotokoll!$I$18:$I$217,Temperaturprotokoll!$E$18:$E$217,$B15,Temperaturprotokoll!$C$18:$C$217,AE$13),"")</f>
        <v>2.7</v>
      </c>
      <c r="AF15" s="100">
        <f>IFERROR(AVERAGEIFS(Temperaturprotokoll!$I$18:$I$217,Temperaturprotokoll!$E$18:$E$217,$B15,Temperaturprotokoll!$C$18:$C$217,AF$13),"")</f>
        <v>3</v>
      </c>
      <c r="AG15" s="100" t="str">
        <f>IFERROR(AVERAGEIFS(Temperaturprotokoll!$I$18:$I$217,Temperaturprotokoll!$E$18:$E$217,$B15,Temperaturprotokoll!$C$18:$C$217,AG$13),"")</f>
        <v/>
      </c>
      <c r="AH15" s="101">
        <f>IF($B15="","",IFERROR(INDEX(Stammdaten!$F$22:$F$31,MATCH($B15,Stammdaten!$C$22:$C$31,0)),""))</f>
        <v>0</v>
      </c>
      <c r="AI15" s="102">
        <f>IF($B15="","",IFERROR(INDEX(Stammdaten!$G$22:$G$31,MATCH($B15,Stammdaten!$C$22:$C$31,0)),""))</f>
        <v>6</v>
      </c>
      <c r="AJ15" s="103">
        <f>IF($B15="","",COUNTIFS(Temperaturprotokoll!$E$18:$E$217,$B15))</f>
        <v>29</v>
      </c>
      <c r="AK15" s="103">
        <f>IF($B15="","",MAX(0,IF(IFERROR(INDEX(Stammdaten!$I$22:$I$31,MATCH($B15,Stammdaten!$C$22:$C$31,0)),"")="werktäglich",Werktage,Tage_im_Monat)-COUNT($C15:$AG15)))</f>
        <v>1</v>
      </c>
      <c r="AL15" s="102">
        <f>IF($B15="","",IFERROR(AVERAGEIFS(Temperaturprotokoll!$I$18:$I$217,Temperaturprotokoll!$E$18:$E$217,$B15),""))</f>
        <v>3.1965517241379313</v>
      </c>
      <c r="AM15" s="104">
        <f t="shared" si="0"/>
        <v>1.6</v>
      </c>
      <c r="AN15" s="105">
        <f t="shared" si="1"/>
        <v>6.7</v>
      </c>
      <c r="AO15" s="103">
        <f>IF($B15="","",COUNTIFS(Temperaturprotokoll!$E$18:$E$217,$B15,Temperaturprotokoll!$K$18:$K$217,"Zu hoch")+COUNTIFS(Temperaturprotokoll!$E$18:$E$217,$B15,Temperaturprotokoll!$K$18:$K$217,"Zu niedrig")+COUNTIFS(Temperaturprotokoll!$E$18:$E$217,$B15,Temperaturprotokoll!$K$18:$K$217,"Kritisch"))</f>
        <v>1</v>
      </c>
      <c r="AP15" s="106">
        <f>IF($B15="","",IFERROR(COUNTIFS(Temperaturprotokoll!$E$18:$E$217,$B15,Temperaturprotokoll!$K$18:$K$217,"OK")/AJ15,""))</f>
        <v>0.96551724137931039</v>
      </c>
    </row>
    <row r="16" spans="1:42" ht="15" customHeight="1" x14ac:dyDescent="0.25">
      <c r="B16" s="99" t="str">
        <f>IF(Stammdaten!$C24="","",Stammdaten!$C24)</f>
        <v>TK-01 · Tiefkühltruhe</v>
      </c>
      <c r="C16" s="100">
        <f>IFERROR(AVERAGEIFS(Temperaturprotokoll!$I$18:$I$217,Temperaturprotokoll!$E$18:$E$217,$B16,Temperaturprotokoll!$C$18:$C$217,C$13),"")</f>
        <v>-21.3</v>
      </c>
      <c r="D16" s="100">
        <f>IFERROR(AVERAGEIFS(Temperaturprotokoll!$I$18:$I$217,Temperaturprotokoll!$E$18:$E$217,$B16,Temperaturprotokoll!$C$18:$C$217,D$13),"")</f>
        <v>-20.5</v>
      </c>
      <c r="E16" s="100">
        <f>IFERROR(AVERAGEIFS(Temperaturprotokoll!$I$18:$I$217,Temperaturprotokoll!$E$18:$E$217,$B16,Temperaturprotokoll!$C$18:$C$217,E$13),"")</f>
        <v>-20.3</v>
      </c>
      <c r="F16" s="100">
        <f>IFERROR(AVERAGEIFS(Temperaturprotokoll!$I$18:$I$217,Temperaturprotokoll!$E$18:$E$217,$B16,Temperaturprotokoll!$C$18:$C$217,F$13),"")</f>
        <v>-20.3</v>
      </c>
      <c r="G16" s="100">
        <f>IFERROR(AVERAGEIFS(Temperaturprotokoll!$I$18:$I$217,Temperaturprotokoll!$E$18:$E$217,$B16,Temperaturprotokoll!$C$18:$C$217,G$13),"")</f>
        <v>-19.5</v>
      </c>
      <c r="H16" s="100">
        <f>IFERROR(AVERAGEIFS(Temperaturprotokoll!$I$18:$I$217,Temperaturprotokoll!$E$18:$E$217,$B16,Temperaturprotokoll!$C$18:$C$217,H$13),"")</f>
        <v>-19.5</v>
      </c>
      <c r="I16" s="100">
        <f>IFERROR(AVERAGEIFS(Temperaturprotokoll!$I$18:$I$217,Temperaturprotokoll!$E$18:$E$217,$B16,Temperaturprotokoll!$C$18:$C$217,I$13),"")</f>
        <v>-21.4</v>
      </c>
      <c r="J16" s="100">
        <f>IFERROR(AVERAGEIFS(Temperaturprotokoll!$I$18:$I$217,Temperaturprotokoll!$E$18:$E$217,$B16,Temperaturprotokoll!$C$18:$C$217,J$13),"")</f>
        <v>-20.399999999999999</v>
      </c>
      <c r="K16" s="100">
        <f>IFERROR(AVERAGEIFS(Temperaturprotokoll!$I$18:$I$217,Temperaturprotokoll!$E$18:$E$217,$B16,Temperaturprotokoll!$C$18:$C$217,K$13),"")</f>
        <v>-19.8</v>
      </c>
      <c r="L16" s="100">
        <f>IFERROR(AVERAGEIFS(Temperaturprotokoll!$I$18:$I$217,Temperaturprotokoll!$E$18:$E$217,$B16,Temperaturprotokoll!$C$18:$C$217,L$13),"")</f>
        <v>-20.7</v>
      </c>
      <c r="M16" s="100">
        <f>IFERROR(AVERAGEIFS(Temperaturprotokoll!$I$18:$I$217,Temperaturprotokoll!$E$18:$E$217,$B16,Temperaturprotokoll!$C$18:$C$217,M$13),"")</f>
        <v>-20.2</v>
      </c>
      <c r="N16" s="100">
        <f>IFERROR(AVERAGEIFS(Temperaturprotokoll!$I$18:$I$217,Temperaturprotokoll!$E$18:$E$217,$B16,Temperaturprotokoll!$C$18:$C$217,N$13),"")</f>
        <v>-16.8</v>
      </c>
      <c r="O16" s="100">
        <f>IFERROR(AVERAGEIFS(Temperaturprotokoll!$I$18:$I$217,Temperaturprotokoll!$E$18:$E$217,$B16,Temperaturprotokoll!$C$18:$C$217,O$13),"")</f>
        <v>-20.100000000000001</v>
      </c>
      <c r="P16" s="100">
        <f>IFERROR(AVERAGEIFS(Temperaturprotokoll!$I$18:$I$217,Temperaturprotokoll!$E$18:$E$217,$B16,Temperaturprotokoll!$C$18:$C$217,P$13),"")</f>
        <v>-21.3</v>
      </c>
      <c r="Q16" s="100">
        <f>IFERROR(AVERAGEIFS(Temperaturprotokoll!$I$18:$I$217,Temperaturprotokoll!$E$18:$E$217,$B16,Temperaturprotokoll!$C$18:$C$217,Q$13),"")</f>
        <v>-21.5</v>
      </c>
      <c r="R16" s="100">
        <f>IFERROR(AVERAGEIFS(Temperaturprotokoll!$I$18:$I$217,Temperaturprotokoll!$E$18:$E$217,$B16,Temperaturprotokoll!$C$18:$C$217,R$13),"")</f>
        <v>-21.6</v>
      </c>
      <c r="S16" s="100">
        <f>IFERROR(AVERAGEIFS(Temperaturprotokoll!$I$18:$I$217,Temperaturprotokoll!$E$18:$E$217,$B16,Temperaturprotokoll!$C$18:$C$217,S$13),"")</f>
        <v>-18.8</v>
      </c>
      <c r="T16" s="100">
        <f>IFERROR(AVERAGEIFS(Temperaturprotokoll!$I$18:$I$217,Temperaturprotokoll!$E$18:$E$217,$B16,Temperaturprotokoll!$C$18:$C$217,T$13),"")</f>
        <v>-21.3</v>
      </c>
      <c r="U16" s="100">
        <f>IFERROR(AVERAGEIFS(Temperaturprotokoll!$I$18:$I$217,Temperaturprotokoll!$E$18:$E$217,$B16,Temperaturprotokoll!$C$18:$C$217,U$13),"")</f>
        <v>-19.8</v>
      </c>
      <c r="V16" s="100">
        <f>IFERROR(AVERAGEIFS(Temperaturprotokoll!$I$18:$I$217,Temperaturprotokoll!$E$18:$E$217,$B16,Temperaturprotokoll!$C$18:$C$217,V$13),"")</f>
        <v>-20.9</v>
      </c>
      <c r="W16" s="100">
        <f>IFERROR(AVERAGEIFS(Temperaturprotokoll!$I$18:$I$217,Temperaturprotokoll!$E$18:$E$217,$B16,Temperaturprotokoll!$C$18:$C$217,W$13),"")</f>
        <v>-22.9</v>
      </c>
      <c r="X16" s="100">
        <f>IFERROR(AVERAGEIFS(Temperaturprotokoll!$I$18:$I$217,Temperaturprotokoll!$E$18:$E$217,$B16,Temperaturprotokoll!$C$18:$C$217,X$13),"")</f>
        <v>-19.5</v>
      </c>
      <c r="Y16" s="100">
        <f>IFERROR(AVERAGEIFS(Temperaturprotokoll!$I$18:$I$217,Temperaturprotokoll!$E$18:$E$217,$B16,Temperaturprotokoll!$C$18:$C$217,Y$13),"")</f>
        <v>-20.5</v>
      </c>
      <c r="Z16" s="100">
        <f>IFERROR(AVERAGEIFS(Temperaturprotokoll!$I$18:$I$217,Temperaturprotokoll!$E$18:$E$217,$B16,Temperaturprotokoll!$C$18:$C$217,Z$13),"")</f>
        <v>-19.5</v>
      </c>
      <c r="AA16" s="100">
        <f>IFERROR(AVERAGEIFS(Temperaturprotokoll!$I$18:$I$217,Temperaturprotokoll!$E$18:$E$217,$B16,Temperaturprotokoll!$C$18:$C$217,AA$13),"")</f>
        <v>-19.899999999999999</v>
      </c>
      <c r="AB16" s="100">
        <f>IFERROR(AVERAGEIFS(Temperaturprotokoll!$I$18:$I$217,Temperaturprotokoll!$E$18:$E$217,$B16,Temperaturprotokoll!$C$18:$C$217,AB$13),"")</f>
        <v>-20.399999999999999</v>
      </c>
      <c r="AC16" s="100">
        <f>IFERROR(AVERAGEIFS(Temperaturprotokoll!$I$18:$I$217,Temperaturprotokoll!$E$18:$E$217,$B16,Temperaturprotokoll!$C$18:$C$217,AC$13),"")</f>
        <v>-19.8</v>
      </c>
      <c r="AD16" s="100">
        <f>IFERROR(AVERAGEIFS(Temperaturprotokoll!$I$18:$I$217,Temperaturprotokoll!$E$18:$E$217,$B16,Temperaturprotokoll!$C$18:$C$217,AD$13),"")</f>
        <v>-20.6</v>
      </c>
      <c r="AE16" s="100">
        <f>IFERROR(AVERAGEIFS(Temperaturprotokoll!$I$18:$I$217,Temperaturprotokoll!$E$18:$E$217,$B16,Temperaturprotokoll!$C$18:$C$217,AE$13),"")</f>
        <v>-20.5</v>
      </c>
      <c r="AF16" s="100">
        <f>IFERROR(AVERAGEIFS(Temperaturprotokoll!$I$18:$I$217,Temperaturprotokoll!$E$18:$E$217,$B16,Temperaturprotokoll!$C$18:$C$217,AF$13),"")</f>
        <v>-19.2</v>
      </c>
      <c r="AG16" s="100" t="str">
        <f>IFERROR(AVERAGEIFS(Temperaturprotokoll!$I$18:$I$217,Temperaturprotokoll!$E$18:$E$217,$B16,Temperaturprotokoll!$C$18:$C$217,AG$13),"")</f>
        <v/>
      </c>
      <c r="AH16" s="101">
        <f>IF($B16="","",IFERROR(INDEX(Stammdaten!$F$22:$F$31,MATCH($B16,Stammdaten!$C$22:$C$31,0)),""))</f>
        <v>-24</v>
      </c>
      <c r="AI16" s="102">
        <f>IF($B16="","",IFERROR(INDEX(Stammdaten!$G$22:$G$31,MATCH($B16,Stammdaten!$C$22:$C$31,0)),""))</f>
        <v>-18</v>
      </c>
      <c r="AJ16" s="103">
        <f>IF($B16="","",COUNTIFS(Temperaturprotokoll!$E$18:$E$217,$B16))</f>
        <v>30</v>
      </c>
      <c r="AK16" s="103">
        <f>IF($B16="","",MAX(0,IF(IFERROR(INDEX(Stammdaten!$I$22:$I$31,MATCH($B16,Stammdaten!$C$22:$C$31,0)),"")="werktäglich",Werktage,Tage_im_Monat)-COUNT($C16:$AG16)))</f>
        <v>0</v>
      </c>
      <c r="AL16" s="102">
        <f>IF($B16="","",IFERROR(AVERAGEIFS(Temperaturprotokoll!$I$18:$I$217,Temperaturprotokoll!$E$18:$E$217,$B16),""))</f>
        <v>-20.293333333333337</v>
      </c>
      <c r="AM16" s="104">
        <f t="shared" si="0"/>
        <v>-22.9</v>
      </c>
      <c r="AN16" s="105">
        <f t="shared" si="1"/>
        <v>-16.8</v>
      </c>
      <c r="AO16" s="103">
        <f>IF($B16="","",COUNTIFS(Temperaturprotokoll!$E$18:$E$217,$B16,Temperaturprotokoll!$K$18:$K$217,"Zu hoch")+COUNTIFS(Temperaturprotokoll!$E$18:$E$217,$B16,Temperaturprotokoll!$K$18:$K$217,"Zu niedrig")+COUNTIFS(Temperaturprotokoll!$E$18:$E$217,$B16,Temperaturprotokoll!$K$18:$K$217,"Kritisch"))</f>
        <v>1</v>
      </c>
      <c r="AP16" s="106">
        <f>IF($B16="","",IFERROR(COUNTIFS(Temperaturprotokoll!$E$18:$E$217,$B16,Temperaturprotokoll!$K$18:$K$217,"OK")/AJ16,""))</f>
        <v>0.96666666666666667</v>
      </c>
    </row>
    <row r="17" spans="2:42" ht="15" customHeight="1" x14ac:dyDescent="0.25">
      <c r="B17" s="99" t="str">
        <f>IF(Stammdaten!$C25="","",Stammdaten!$C25)</f>
        <v>WA-01 · Warmhaltetheke</v>
      </c>
      <c r="C17" s="100">
        <f>IFERROR(AVERAGEIFS(Temperaturprotokoll!$I$18:$I$217,Temperaturprotokoll!$E$18:$E$217,$B17,Temperaturprotokoll!$C$18:$C$217,C$13),"")</f>
        <v>73</v>
      </c>
      <c r="D17" s="100">
        <f>IFERROR(AVERAGEIFS(Temperaturprotokoll!$I$18:$I$217,Temperaturprotokoll!$E$18:$E$217,$B17,Temperaturprotokoll!$C$18:$C$217,D$13),"")</f>
        <v>75.7</v>
      </c>
      <c r="E17" s="100">
        <f>IFERROR(AVERAGEIFS(Temperaturprotokoll!$I$18:$I$217,Temperaturprotokoll!$E$18:$E$217,$B17,Temperaturprotokoll!$C$18:$C$217,E$13),"")</f>
        <v>73.099999999999994</v>
      </c>
      <c r="F17" s="100">
        <f>IFERROR(AVERAGEIFS(Temperaturprotokoll!$I$18:$I$217,Temperaturprotokoll!$E$18:$E$217,$B17,Temperaturprotokoll!$C$18:$C$217,F$13),"")</f>
        <v>71.3</v>
      </c>
      <c r="G17" s="100">
        <f>IFERROR(AVERAGEIFS(Temperaturprotokoll!$I$18:$I$217,Temperaturprotokoll!$E$18:$E$217,$B17,Temperaturprotokoll!$C$18:$C$217,G$13),"")</f>
        <v>63.5</v>
      </c>
      <c r="H17" s="100">
        <f>IFERROR(AVERAGEIFS(Temperaturprotokoll!$I$18:$I$217,Temperaturprotokoll!$E$18:$E$217,$B17,Temperaturprotokoll!$C$18:$C$217,H$13),"")</f>
        <v>72.3</v>
      </c>
      <c r="I17" s="100">
        <f>IFERROR(AVERAGEIFS(Temperaturprotokoll!$I$18:$I$217,Temperaturprotokoll!$E$18:$E$217,$B17,Temperaturprotokoll!$C$18:$C$217,I$13),"")</f>
        <v>69.599999999999994</v>
      </c>
      <c r="J17" s="100">
        <f>IFERROR(AVERAGEIFS(Temperaturprotokoll!$I$18:$I$217,Temperaturprotokoll!$E$18:$E$217,$B17,Temperaturprotokoll!$C$18:$C$217,J$13),"")</f>
        <v>68.900000000000006</v>
      </c>
      <c r="K17" s="100">
        <f>IFERROR(AVERAGEIFS(Temperaturprotokoll!$I$18:$I$217,Temperaturprotokoll!$E$18:$E$217,$B17,Temperaturprotokoll!$C$18:$C$217,K$13),"")</f>
        <v>70.5</v>
      </c>
      <c r="L17" s="100">
        <f>IFERROR(AVERAGEIFS(Temperaturprotokoll!$I$18:$I$217,Temperaturprotokoll!$E$18:$E$217,$B17,Temperaturprotokoll!$C$18:$C$217,L$13),"")</f>
        <v>70.8</v>
      </c>
      <c r="M17" s="100">
        <f>IFERROR(AVERAGEIFS(Temperaturprotokoll!$I$18:$I$217,Temperaturprotokoll!$E$18:$E$217,$B17,Temperaturprotokoll!$C$18:$C$217,M$13),"")</f>
        <v>67.3</v>
      </c>
      <c r="N17" s="100">
        <f>IFERROR(AVERAGEIFS(Temperaturprotokoll!$I$18:$I$217,Temperaturprotokoll!$E$18:$E$217,$B17,Temperaturprotokoll!$C$18:$C$217,N$13),"")</f>
        <v>66.099999999999994</v>
      </c>
      <c r="O17" s="100">
        <f>IFERROR(AVERAGEIFS(Temperaturprotokoll!$I$18:$I$217,Temperaturprotokoll!$E$18:$E$217,$B17,Temperaturprotokoll!$C$18:$C$217,O$13),"")</f>
        <v>68.099999999999994</v>
      </c>
      <c r="P17" s="100">
        <f>IFERROR(AVERAGEIFS(Temperaturprotokoll!$I$18:$I$217,Temperaturprotokoll!$E$18:$E$217,$B17,Temperaturprotokoll!$C$18:$C$217,P$13),"")</f>
        <v>70.900000000000006</v>
      </c>
      <c r="Q17" s="100">
        <f>IFERROR(AVERAGEIFS(Temperaturprotokoll!$I$18:$I$217,Temperaturprotokoll!$E$18:$E$217,$B17,Temperaturprotokoll!$C$18:$C$217,Q$13),"")</f>
        <v>71.400000000000006</v>
      </c>
      <c r="R17" s="100">
        <f>IFERROR(AVERAGEIFS(Temperaturprotokoll!$I$18:$I$217,Temperaturprotokoll!$E$18:$E$217,$B17,Temperaturprotokoll!$C$18:$C$217,R$13),"")</f>
        <v>68.099999999999994</v>
      </c>
      <c r="S17" s="100">
        <f>IFERROR(AVERAGEIFS(Temperaturprotokoll!$I$18:$I$217,Temperaturprotokoll!$E$18:$E$217,$B17,Temperaturprotokoll!$C$18:$C$217,S$13),"")</f>
        <v>67.599999999999994</v>
      </c>
      <c r="T17" s="100">
        <f>IFERROR(AVERAGEIFS(Temperaturprotokoll!$I$18:$I$217,Temperaturprotokoll!$E$18:$E$217,$B17,Temperaturprotokoll!$C$18:$C$217,T$13),"")</f>
        <v>67.599999999999994</v>
      </c>
      <c r="U17" s="100">
        <f>IFERROR(AVERAGEIFS(Temperaturprotokoll!$I$18:$I$217,Temperaturprotokoll!$E$18:$E$217,$B17,Temperaturprotokoll!$C$18:$C$217,U$13),"")</f>
        <v>65.2</v>
      </c>
      <c r="V17" s="100">
        <f>IFERROR(AVERAGEIFS(Temperaturprotokoll!$I$18:$I$217,Temperaturprotokoll!$E$18:$E$217,$B17,Temperaturprotokoll!$C$18:$C$217,V$13),"")</f>
        <v>72.2</v>
      </c>
      <c r="W17" s="100">
        <f>IFERROR(AVERAGEIFS(Temperaturprotokoll!$I$18:$I$217,Temperaturprotokoll!$E$18:$E$217,$B17,Temperaturprotokoll!$C$18:$C$217,W$13),"")</f>
        <v>68.400000000000006</v>
      </c>
      <c r="X17" s="100">
        <f>IFERROR(AVERAGEIFS(Temperaturprotokoll!$I$18:$I$217,Temperaturprotokoll!$E$18:$E$217,$B17,Temperaturprotokoll!$C$18:$C$217,X$13),"")</f>
        <v>71.7</v>
      </c>
      <c r="Y17" s="100">
        <f>IFERROR(AVERAGEIFS(Temperaturprotokoll!$I$18:$I$217,Temperaturprotokoll!$E$18:$E$217,$B17,Temperaturprotokoll!$C$18:$C$217,Y$13),"")</f>
        <v>75.5</v>
      </c>
      <c r="Z17" s="100">
        <f>IFERROR(AVERAGEIFS(Temperaturprotokoll!$I$18:$I$217,Temperaturprotokoll!$E$18:$E$217,$B17,Temperaturprotokoll!$C$18:$C$217,Z$13),"")</f>
        <v>74.400000000000006</v>
      </c>
      <c r="AA17" s="100">
        <f>IFERROR(AVERAGEIFS(Temperaturprotokoll!$I$18:$I$217,Temperaturprotokoll!$E$18:$E$217,$B17,Temperaturprotokoll!$C$18:$C$217,AA$13),"")</f>
        <v>70</v>
      </c>
      <c r="AB17" s="100">
        <f>IFERROR(AVERAGEIFS(Temperaturprotokoll!$I$18:$I$217,Temperaturprotokoll!$E$18:$E$217,$B17,Temperaturprotokoll!$C$18:$C$217,AB$13),"")</f>
        <v>73.099999999999994</v>
      </c>
      <c r="AC17" s="100">
        <f>IFERROR(AVERAGEIFS(Temperaturprotokoll!$I$18:$I$217,Temperaturprotokoll!$E$18:$E$217,$B17,Temperaturprotokoll!$C$18:$C$217,AC$13),"")</f>
        <v>69.900000000000006</v>
      </c>
      <c r="AD17" s="100">
        <f>IFERROR(AVERAGEIFS(Temperaturprotokoll!$I$18:$I$217,Temperaturprotokoll!$E$18:$E$217,$B17,Temperaturprotokoll!$C$18:$C$217,AD$13),"")</f>
        <v>70.2</v>
      </c>
      <c r="AE17" s="100">
        <f>IFERROR(AVERAGEIFS(Temperaturprotokoll!$I$18:$I$217,Temperaturprotokoll!$E$18:$E$217,$B17,Temperaturprotokoll!$C$18:$C$217,AE$13),"")</f>
        <v>73.3</v>
      </c>
      <c r="AF17" s="100">
        <f>IFERROR(AVERAGEIFS(Temperaturprotokoll!$I$18:$I$217,Temperaturprotokoll!$E$18:$E$217,$B17,Temperaturprotokoll!$C$18:$C$217,AF$13),"")</f>
        <v>75.7</v>
      </c>
      <c r="AG17" s="100" t="str">
        <f>IFERROR(AVERAGEIFS(Temperaturprotokoll!$I$18:$I$217,Temperaturprotokoll!$E$18:$E$217,$B17,Temperaturprotokoll!$C$18:$C$217,AG$13),"")</f>
        <v/>
      </c>
      <c r="AH17" s="101">
        <f>IF($B17="","",IFERROR(INDEX(Stammdaten!$F$22:$F$31,MATCH($B17,Stammdaten!$C$22:$C$31,0)),""))</f>
        <v>65</v>
      </c>
      <c r="AI17" s="102">
        <f>IF($B17="","",IFERROR(INDEX(Stammdaten!$G$22:$G$31,MATCH($B17,Stammdaten!$C$22:$C$31,0)),""))</f>
        <v>85</v>
      </c>
      <c r="AJ17" s="103">
        <f>IF($B17="","",COUNTIFS(Temperaturprotokoll!$E$18:$E$217,$B17))</f>
        <v>31</v>
      </c>
      <c r="AK17" s="103">
        <f>IF($B17="","",MAX(0,IF(IFERROR(INDEX(Stammdaten!$I$22:$I$31,MATCH($B17,Stammdaten!$C$22:$C$31,0)),"")="werktäglich",Werktage,Tage_im_Monat)-COUNT($C17:$AG17)))</f>
        <v>0</v>
      </c>
      <c r="AL17" s="102">
        <f>IF($B17="","",IFERROR(AVERAGEIFS(Temperaturprotokoll!$I$18:$I$217,Temperaturprotokoll!$E$18:$E$217,$B17),""))</f>
        <v>70.341935483870969</v>
      </c>
      <c r="AM17" s="104">
        <f t="shared" si="0"/>
        <v>63.5</v>
      </c>
      <c r="AN17" s="105">
        <f t="shared" si="1"/>
        <v>75.7</v>
      </c>
      <c r="AO17" s="103">
        <f>IF($B17="","",COUNTIFS(Temperaturprotokoll!$E$18:$E$217,$B17,Temperaturprotokoll!$K$18:$K$217,"Zu hoch")+COUNTIFS(Temperaturprotokoll!$E$18:$E$217,$B17,Temperaturprotokoll!$K$18:$K$217,"Zu niedrig")+COUNTIFS(Temperaturprotokoll!$E$18:$E$217,$B17,Temperaturprotokoll!$K$18:$K$217,"Kritisch"))</f>
        <v>2</v>
      </c>
      <c r="AP17" s="106">
        <f>IF($B17="","",IFERROR(COUNTIFS(Temperaturprotokoll!$E$18:$E$217,$B17,Temperaturprotokoll!$K$18:$K$217,"OK")/AJ17,""))</f>
        <v>0.93548387096774188</v>
      </c>
    </row>
    <row r="18" spans="2:42" ht="15" customHeight="1" x14ac:dyDescent="0.25">
      <c r="B18" s="99" t="str">
        <f>IF(Stammdaten!$C26="","",Stammdaten!$C26)</f>
        <v>WE-01 · Wareneingang Kühlware</v>
      </c>
      <c r="C18" s="100">
        <f>IFERROR(AVERAGEIFS(Temperaturprotokoll!$I$18:$I$217,Temperaturprotokoll!$E$18:$E$217,$B18,Temperaturprotokoll!$C$18:$C$217,C$13),"")</f>
        <v>6.3</v>
      </c>
      <c r="D18" s="100">
        <f>IFERROR(AVERAGEIFS(Temperaturprotokoll!$I$18:$I$217,Temperaturprotokoll!$E$18:$E$217,$B18,Temperaturprotokoll!$C$18:$C$217,D$13),"")</f>
        <v>3.6</v>
      </c>
      <c r="E18" s="100">
        <f>IFERROR(AVERAGEIFS(Temperaturprotokoll!$I$18:$I$217,Temperaturprotokoll!$E$18:$E$217,$B18,Temperaturprotokoll!$C$18:$C$217,E$13),"")</f>
        <v>3.2</v>
      </c>
      <c r="F18" s="100">
        <f>IFERROR(AVERAGEIFS(Temperaturprotokoll!$I$18:$I$217,Temperaturprotokoll!$E$18:$E$217,$B18,Temperaturprotokoll!$C$18:$C$217,F$13),"")</f>
        <v>3.4</v>
      </c>
      <c r="G18" s="100">
        <f>IFERROR(AVERAGEIFS(Temperaturprotokoll!$I$18:$I$217,Temperaturprotokoll!$E$18:$E$217,$B18,Temperaturprotokoll!$C$18:$C$217,G$13),"")</f>
        <v>2.9</v>
      </c>
      <c r="H18" s="100" t="str">
        <f>IFERROR(AVERAGEIFS(Temperaturprotokoll!$I$18:$I$217,Temperaturprotokoll!$E$18:$E$217,$B18,Temperaturprotokoll!$C$18:$C$217,H$13),"")</f>
        <v/>
      </c>
      <c r="I18" s="100" t="str">
        <f>IFERROR(AVERAGEIFS(Temperaturprotokoll!$I$18:$I$217,Temperaturprotokoll!$E$18:$E$217,$B18,Temperaturprotokoll!$C$18:$C$217,I$13),"")</f>
        <v/>
      </c>
      <c r="J18" s="100">
        <f>IFERROR(AVERAGEIFS(Temperaturprotokoll!$I$18:$I$217,Temperaturprotokoll!$E$18:$E$217,$B18,Temperaturprotokoll!$C$18:$C$217,J$13),"")</f>
        <v>4.5999999999999996</v>
      </c>
      <c r="K18" s="100">
        <f>IFERROR(AVERAGEIFS(Temperaturprotokoll!$I$18:$I$217,Temperaturprotokoll!$E$18:$E$217,$B18,Temperaturprotokoll!$C$18:$C$217,K$13),"")</f>
        <v>5.4</v>
      </c>
      <c r="L18" s="100">
        <f>IFERROR(AVERAGEIFS(Temperaturprotokoll!$I$18:$I$217,Temperaturprotokoll!$E$18:$E$217,$B18,Temperaturprotokoll!$C$18:$C$217,L$13),"")</f>
        <v>2.7</v>
      </c>
      <c r="M18" s="100">
        <f>IFERROR(AVERAGEIFS(Temperaturprotokoll!$I$18:$I$217,Temperaturprotokoll!$E$18:$E$217,$B18,Temperaturprotokoll!$C$18:$C$217,M$13),"")</f>
        <v>8.3000000000000007</v>
      </c>
      <c r="N18" s="100">
        <f>IFERROR(AVERAGEIFS(Temperaturprotokoll!$I$18:$I$217,Temperaturprotokoll!$E$18:$E$217,$B18,Temperaturprotokoll!$C$18:$C$217,N$13),"")</f>
        <v>4.5999999999999996</v>
      </c>
      <c r="O18" s="100" t="str">
        <f>IFERROR(AVERAGEIFS(Temperaturprotokoll!$I$18:$I$217,Temperaturprotokoll!$E$18:$E$217,$B18,Temperaturprotokoll!$C$18:$C$217,O$13),"")</f>
        <v/>
      </c>
      <c r="P18" s="100" t="str">
        <f>IFERROR(AVERAGEIFS(Temperaturprotokoll!$I$18:$I$217,Temperaturprotokoll!$E$18:$E$217,$B18,Temperaturprotokoll!$C$18:$C$217,P$13),"")</f>
        <v/>
      </c>
      <c r="Q18" s="100">
        <f>IFERROR(AVERAGEIFS(Temperaturprotokoll!$I$18:$I$217,Temperaturprotokoll!$E$18:$E$217,$B18,Temperaturprotokoll!$C$18:$C$217,Q$13),"")</f>
        <v>5.6</v>
      </c>
      <c r="R18" s="100">
        <f>IFERROR(AVERAGEIFS(Temperaturprotokoll!$I$18:$I$217,Temperaturprotokoll!$E$18:$E$217,$B18,Temperaturprotokoll!$C$18:$C$217,R$13),"")</f>
        <v>4.5</v>
      </c>
      <c r="S18" s="100">
        <f>IFERROR(AVERAGEIFS(Temperaturprotokoll!$I$18:$I$217,Temperaturprotokoll!$E$18:$E$217,$B18,Temperaturprotokoll!$C$18:$C$217,S$13),"")</f>
        <v>3.2</v>
      </c>
      <c r="T18" s="100">
        <f>IFERROR(AVERAGEIFS(Temperaturprotokoll!$I$18:$I$217,Temperaturprotokoll!$E$18:$E$217,$B18,Temperaturprotokoll!$C$18:$C$217,T$13),"")</f>
        <v>4.2</v>
      </c>
      <c r="U18" s="100">
        <f>IFERROR(AVERAGEIFS(Temperaturprotokoll!$I$18:$I$217,Temperaturprotokoll!$E$18:$E$217,$B18,Temperaturprotokoll!$C$18:$C$217,U$13),"")</f>
        <v>4.0999999999999996</v>
      </c>
      <c r="V18" s="100" t="str">
        <f>IFERROR(AVERAGEIFS(Temperaturprotokoll!$I$18:$I$217,Temperaturprotokoll!$E$18:$E$217,$B18,Temperaturprotokoll!$C$18:$C$217,V$13),"")</f>
        <v/>
      </c>
      <c r="W18" s="100" t="str">
        <f>IFERROR(AVERAGEIFS(Temperaturprotokoll!$I$18:$I$217,Temperaturprotokoll!$E$18:$E$217,$B18,Temperaturprotokoll!$C$18:$C$217,W$13),"")</f>
        <v/>
      </c>
      <c r="X18" s="100">
        <f>IFERROR(AVERAGEIFS(Temperaturprotokoll!$I$18:$I$217,Temperaturprotokoll!$E$18:$E$217,$B18,Temperaturprotokoll!$C$18:$C$217,X$13),"")</f>
        <v>4.9000000000000004</v>
      </c>
      <c r="Y18" s="100">
        <f>IFERROR(AVERAGEIFS(Temperaturprotokoll!$I$18:$I$217,Temperaturprotokoll!$E$18:$E$217,$B18,Temperaturprotokoll!$C$18:$C$217,Y$13),"")</f>
        <v>4.0999999999999996</v>
      </c>
      <c r="Z18" s="100">
        <f>IFERROR(AVERAGEIFS(Temperaturprotokoll!$I$18:$I$217,Temperaturprotokoll!$E$18:$E$217,$B18,Temperaturprotokoll!$C$18:$C$217,Z$13),"")</f>
        <v>3.8</v>
      </c>
      <c r="AA18" s="100">
        <f>IFERROR(AVERAGEIFS(Temperaturprotokoll!$I$18:$I$217,Temperaturprotokoll!$E$18:$E$217,$B18,Temperaturprotokoll!$C$18:$C$217,AA$13),"")</f>
        <v>4.5999999999999996</v>
      </c>
      <c r="AB18" s="100">
        <f>IFERROR(AVERAGEIFS(Temperaturprotokoll!$I$18:$I$217,Temperaturprotokoll!$E$18:$E$217,$B18,Temperaturprotokoll!$C$18:$C$217,AB$13),"")</f>
        <v>5.2</v>
      </c>
      <c r="AC18" s="100" t="str">
        <f>IFERROR(AVERAGEIFS(Temperaturprotokoll!$I$18:$I$217,Temperaturprotokoll!$E$18:$E$217,$B18,Temperaturprotokoll!$C$18:$C$217,AC$13),"")</f>
        <v/>
      </c>
      <c r="AD18" s="100" t="str">
        <f>IFERROR(AVERAGEIFS(Temperaturprotokoll!$I$18:$I$217,Temperaturprotokoll!$E$18:$E$217,$B18,Temperaturprotokoll!$C$18:$C$217,AD$13),"")</f>
        <v/>
      </c>
      <c r="AE18" s="100">
        <f>IFERROR(AVERAGEIFS(Temperaturprotokoll!$I$18:$I$217,Temperaturprotokoll!$E$18:$E$217,$B18,Temperaturprotokoll!$C$18:$C$217,AE$13),"")</f>
        <v>3.5</v>
      </c>
      <c r="AF18" s="100">
        <f>IFERROR(AVERAGEIFS(Temperaturprotokoll!$I$18:$I$217,Temperaturprotokoll!$E$18:$E$217,$B18,Temperaturprotokoll!$C$18:$C$217,AF$13),"")</f>
        <v>5.5</v>
      </c>
      <c r="AG18" s="100" t="str">
        <f>IFERROR(AVERAGEIFS(Temperaturprotokoll!$I$18:$I$217,Temperaturprotokoll!$E$18:$E$217,$B18,Temperaturprotokoll!$C$18:$C$217,AG$13),"")</f>
        <v/>
      </c>
      <c r="AH18" s="101">
        <f>IF($B18="","",IFERROR(INDEX(Stammdaten!$F$22:$F$31,MATCH($B18,Stammdaten!$C$22:$C$31,0)),""))</f>
        <v>0</v>
      </c>
      <c r="AI18" s="102">
        <f>IF($B18="","",IFERROR(INDEX(Stammdaten!$G$22:$G$31,MATCH($B18,Stammdaten!$C$22:$C$31,0)),""))</f>
        <v>7</v>
      </c>
      <c r="AJ18" s="103">
        <f>IF($B18="","",COUNTIFS(Temperaturprotokoll!$E$18:$E$217,$B18))</f>
        <v>22</v>
      </c>
      <c r="AK18" s="103">
        <f>IF($B18="","",MAX(0,IF(IFERROR(INDEX(Stammdaten!$I$22:$I$31,MATCH($B18,Stammdaten!$C$22:$C$31,0)),"")="werktäglich",Werktage,Tage_im_Monat)-COUNT($C18:$AG18)))</f>
        <v>0</v>
      </c>
      <c r="AL18" s="102">
        <f>IF($B18="","",IFERROR(AVERAGEIFS(Temperaturprotokoll!$I$18:$I$217,Temperaturprotokoll!$E$18:$E$217,$B18),""))</f>
        <v>4.4636363636363638</v>
      </c>
      <c r="AM18" s="104">
        <f t="shared" si="0"/>
        <v>2.7</v>
      </c>
      <c r="AN18" s="105">
        <f t="shared" si="1"/>
        <v>8.3000000000000007</v>
      </c>
      <c r="AO18" s="103">
        <f>IF($B18="","",COUNTIFS(Temperaturprotokoll!$E$18:$E$217,$B18,Temperaturprotokoll!$K$18:$K$217,"Zu hoch")+COUNTIFS(Temperaturprotokoll!$E$18:$E$217,$B18,Temperaturprotokoll!$K$18:$K$217,"Zu niedrig")+COUNTIFS(Temperaturprotokoll!$E$18:$E$217,$B18,Temperaturprotokoll!$K$18:$K$217,"Kritisch"))</f>
        <v>1</v>
      </c>
      <c r="AP18" s="106">
        <f>IF($B18="","",IFERROR(COUNTIFS(Temperaturprotokoll!$E$18:$E$217,$B18,Temperaturprotokoll!$K$18:$K$217,"OK")/AJ18,""))</f>
        <v>0.95454545454545459</v>
      </c>
    </row>
    <row r="19" spans="2:42" ht="15" customHeight="1" x14ac:dyDescent="0.25">
      <c r="B19" s="99" t="str">
        <f>IF(Stammdaten!$C27="","",Stammdaten!$C27)</f>
        <v>LR-01 · Trockenlager</v>
      </c>
      <c r="C19" s="100">
        <f>IFERROR(AVERAGEIFS(Temperaturprotokoll!$I$18:$I$217,Temperaturprotokoll!$E$18:$E$217,$B19,Temperaturprotokoll!$C$18:$C$217,C$13),"")</f>
        <v>17.2</v>
      </c>
      <c r="D19" s="100">
        <f>IFERROR(AVERAGEIFS(Temperaturprotokoll!$I$18:$I$217,Temperaturprotokoll!$E$18:$E$217,$B19,Temperaturprotokoll!$C$18:$C$217,D$13),"")</f>
        <v>16.600000000000001</v>
      </c>
      <c r="E19" s="100">
        <f>IFERROR(AVERAGEIFS(Temperaturprotokoll!$I$18:$I$217,Temperaturprotokoll!$E$18:$E$217,$B19,Temperaturprotokoll!$C$18:$C$217,E$13),"")</f>
        <v>18.5</v>
      </c>
      <c r="F19" s="100">
        <f>IFERROR(AVERAGEIFS(Temperaturprotokoll!$I$18:$I$217,Temperaturprotokoll!$E$18:$E$217,$B19,Temperaturprotokoll!$C$18:$C$217,F$13),"")</f>
        <v>16.399999999999999</v>
      </c>
      <c r="G19" s="100">
        <f>IFERROR(AVERAGEIFS(Temperaturprotokoll!$I$18:$I$217,Temperaturprotokoll!$E$18:$E$217,$B19,Temperaturprotokoll!$C$18:$C$217,G$13),"")</f>
        <v>16.899999999999999</v>
      </c>
      <c r="H19" s="100">
        <f>IFERROR(AVERAGEIFS(Temperaturprotokoll!$I$18:$I$217,Temperaturprotokoll!$E$18:$E$217,$B19,Temperaturprotokoll!$C$18:$C$217,H$13),"")</f>
        <v>16.600000000000001</v>
      </c>
      <c r="I19" s="100">
        <f>IFERROR(AVERAGEIFS(Temperaturprotokoll!$I$18:$I$217,Temperaturprotokoll!$E$18:$E$217,$B19,Temperaturprotokoll!$C$18:$C$217,I$13),"")</f>
        <v>16.600000000000001</v>
      </c>
      <c r="J19" s="100">
        <f>IFERROR(AVERAGEIFS(Temperaturprotokoll!$I$18:$I$217,Temperaturprotokoll!$E$18:$E$217,$B19,Temperaturprotokoll!$C$18:$C$217,J$13),"")</f>
        <v>18.600000000000001</v>
      </c>
      <c r="K19" s="100">
        <f>IFERROR(AVERAGEIFS(Temperaturprotokoll!$I$18:$I$217,Temperaturprotokoll!$E$18:$E$217,$B19,Temperaturprotokoll!$C$18:$C$217,K$13),"")</f>
        <v>16.8</v>
      </c>
      <c r="L19" s="100">
        <f>IFERROR(AVERAGEIFS(Temperaturprotokoll!$I$18:$I$217,Temperaturprotokoll!$E$18:$E$217,$B19,Temperaturprotokoll!$C$18:$C$217,L$13),"")</f>
        <v>17.399999999999999</v>
      </c>
      <c r="M19" s="100">
        <f>IFERROR(AVERAGEIFS(Temperaturprotokoll!$I$18:$I$217,Temperaturprotokoll!$E$18:$E$217,$B19,Temperaturprotokoll!$C$18:$C$217,M$13),"")</f>
        <v>15.3</v>
      </c>
      <c r="N19" s="100">
        <f>IFERROR(AVERAGEIFS(Temperaturprotokoll!$I$18:$I$217,Temperaturprotokoll!$E$18:$E$217,$B19,Temperaturprotokoll!$C$18:$C$217,N$13),"")</f>
        <v>16.899999999999999</v>
      </c>
      <c r="O19" s="100">
        <f>IFERROR(AVERAGEIFS(Temperaturprotokoll!$I$18:$I$217,Temperaturprotokoll!$E$18:$E$217,$B19,Temperaturprotokoll!$C$18:$C$217,O$13),"")</f>
        <v>14.6</v>
      </c>
      <c r="P19" s="100">
        <f>IFERROR(AVERAGEIFS(Temperaturprotokoll!$I$18:$I$217,Temperaturprotokoll!$E$18:$E$217,$B19,Temperaturprotokoll!$C$18:$C$217,P$13),"")</f>
        <v>17.100000000000001</v>
      </c>
      <c r="Q19" s="100">
        <f>IFERROR(AVERAGEIFS(Temperaturprotokoll!$I$18:$I$217,Temperaturprotokoll!$E$18:$E$217,$B19,Temperaturprotokoll!$C$18:$C$217,Q$13),"")</f>
        <v>17.7</v>
      </c>
      <c r="R19" s="100">
        <f>IFERROR(AVERAGEIFS(Temperaturprotokoll!$I$18:$I$217,Temperaturprotokoll!$E$18:$E$217,$B19,Temperaturprotokoll!$C$18:$C$217,R$13),"")</f>
        <v>17</v>
      </c>
      <c r="S19" s="100">
        <f>IFERROR(AVERAGEIFS(Temperaturprotokoll!$I$18:$I$217,Temperaturprotokoll!$E$18:$E$217,$B19,Temperaturprotokoll!$C$18:$C$217,S$13),"")</f>
        <v>16.7</v>
      </c>
      <c r="T19" s="100">
        <f>IFERROR(AVERAGEIFS(Temperaturprotokoll!$I$18:$I$217,Temperaturprotokoll!$E$18:$E$217,$B19,Temperaturprotokoll!$C$18:$C$217,T$13),"")</f>
        <v>15.9</v>
      </c>
      <c r="U19" s="100">
        <f>IFERROR(AVERAGEIFS(Temperaturprotokoll!$I$18:$I$217,Temperaturprotokoll!$E$18:$E$217,$B19,Temperaturprotokoll!$C$18:$C$217,U$13),"")</f>
        <v>16.5</v>
      </c>
      <c r="V19" s="100">
        <f>IFERROR(AVERAGEIFS(Temperaturprotokoll!$I$18:$I$217,Temperaturprotokoll!$E$18:$E$217,$B19,Temperaturprotokoll!$C$18:$C$217,V$13),"")</f>
        <v>15.6</v>
      </c>
      <c r="W19" s="100">
        <f>IFERROR(AVERAGEIFS(Temperaturprotokoll!$I$18:$I$217,Temperaturprotokoll!$E$18:$E$217,$B19,Temperaturprotokoll!$C$18:$C$217,W$13),"")</f>
        <v>21.4</v>
      </c>
      <c r="X19" s="100">
        <f>IFERROR(AVERAGEIFS(Temperaturprotokoll!$I$18:$I$217,Temperaturprotokoll!$E$18:$E$217,$B19,Temperaturprotokoll!$C$18:$C$217,X$13),"")</f>
        <v>20.9</v>
      </c>
      <c r="Y19" s="100">
        <f>IFERROR(AVERAGEIFS(Temperaturprotokoll!$I$18:$I$217,Temperaturprotokoll!$E$18:$E$217,$B19,Temperaturprotokoll!$C$18:$C$217,Y$13),"")</f>
        <v>14.8</v>
      </c>
      <c r="Z19" s="100">
        <f>IFERROR(AVERAGEIFS(Temperaturprotokoll!$I$18:$I$217,Temperaturprotokoll!$E$18:$E$217,$B19,Temperaturprotokoll!$C$18:$C$217,Z$13),"")</f>
        <v>16.8</v>
      </c>
      <c r="AA19" s="100">
        <f>IFERROR(AVERAGEIFS(Temperaturprotokoll!$I$18:$I$217,Temperaturprotokoll!$E$18:$E$217,$B19,Temperaturprotokoll!$C$18:$C$217,AA$13),"")</f>
        <v>14.7</v>
      </c>
      <c r="AB19" s="100">
        <f>IFERROR(AVERAGEIFS(Temperaturprotokoll!$I$18:$I$217,Temperaturprotokoll!$E$18:$E$217,$B19,Temperaturprotokoll!$C$18:$C$217,AB$13),"")</f>
        <v>17</v>
      </c>
      <c r="AC19" s="100">
        <f>IFERROR(AVERAGEIFS(Temperaturprotokoll!$I$18:$I$217,Temperaturprotokoll!$E$18:$E$217,$B19,Temperaturprotokoll!$C$18:$C$217,AC$13),"")</f>
        <v>15.7</v>
      </c>
      <c r="AD19" s="100">
        <f>IFERROR(AVERAGEIFS(Temperaturprotokoll!$I$18:$I$217,Temperaturprotokoll!$E$18:$E$217,$B19,Temperaturprotokoll!$C$18:$C$217,AD$13),"")</f>
        <v>19.3</v>
      </c>
      <c r="AE19" s="100">
        <f>IFERROR(AVERAGEIFS(Temperaturprotokoll!$I$18:$I$217,Temperaturprotokoll!$E$18:$E$217,$B19,Temperaturprotokoll!$C$18:$C$217,AE$13),"")</f>
        <v>17.3</v>
      </c>
      <c r="AF19" s="100">
        <f>IFERROR(AVERAGEIFS(Temperaturprotokoll!$I$18:$I$217,Temperaturprotokoll!$E$18:$E$217,$B19,Temperaturprotokoll!$C$18:$C$217,AF$13),"")</f>
        <v>16.399999999999999</v>
      </c>
      <c r="AG19" s="100" t="str">
        <f>IFERROR(AVERAGEIFS(Temperaturprotokoll!$I$18:$I$217,Temperaturprotokoll!$E$18:$E$217,$B19,Temperaturprotokoll!$C$18:$C$217,AG$13),"")</f>
        <v/>
      </c>
      <c r="AH19" s="101">
        <f>IF($B19="","",IFERROR(INDEX(Stammdaten!$F$22:$F$31,MATCH($B19,Stammdaten!$C$22:$C$31,0)),""))</f>
        <v>10</v>
      </c>
      <c r="AI19" s="102">
        <f>IF($B19="","",IFERROR(INDEX(Stammdaten!$G$22:$G$31,MATCH($B19,Stammdaten!$C$22:$C$31,0)),""))</f>
        <v>20</v>
      </c>
      <c r="AJ19" s="103">
        <f>IF($B19="","",COUNTIFS(Temperaturprotokoll!$E$18:$E$217,$B19))</f>
        <v>30</v>
      </c>
      <c r="AK19" s="103">
        <f>IF($B19="","",MAX(0,IF(IFERROR(INDEX(Stammdaten!$I$22:$I$31,MATCH($B19,Stammdaten!$C$22:$C$31,0)),"")="werktäglich",Werktage,Tage_im_Monat)-COUNT($C19:$AG19)))</f>
        <v>0</v>
      </c>
      <c r="AL19" s="102">
        <f>IF($B19="","",IFERROR(AVERAGEIFS(Temperaturprotokoll!$I$18:$I$217,Temperaturprotokoll!$E$18:$E$217,$B19),""))</f>
        <v>16.973333333333333</v>
      </c>
      <c r="AM19" s="104">
        <f t="shared" si="0"/>
        <v>14.6</v>
      </c>
      <c r="AN19" s="105">
        <f t="shared" si="1"/>
        <v>21.4</v>
      </c>
      <c r="AO19" s="103">
        <f>IF($B19="","",COUNTIFS(Temperaturprotokoll!$E$18:$E$217,$B19,Temperaturprotokoll!$K$18:$K$217,"Zu hoch")+COUNTIFS(Temperaturprotokoll!$E$18:$E$217,$B19,Temperaturprotokoll!$K$18:$K$217,"Zu niedrig")+COUNTIFS(Temperaturprotokoll!$E$18:$E$217,$B19,Temperaturprotokoll!$K$18:$K$217,"Kritisch"))</f>
        <v>2</v>
      </c>
      <c r="AP19" s="106">
        <f>IF($B19="","",IFERROR(COUNTIFS(Temperaturprotokoll!$E$18:$E$217,$B19,Temperaturprotokoll!$K$18:$K$217,"OK")/AJ19,""))</f>
        <v>0.93333333333333335</v>
      </c>
    </row>
    <row r="20" spans="2:42" ht="15" customHeight="1" x14ac:dyDescent="0.25">
      <c r="B20" s="99" t="str">
        <f>IF(Stammdaten!$C28="","",Stammdaten!$C28)</f>
        <v/>
      </c>
      <c r="C20" s="100" t="str">
        <f>IFERROR(AVERAGEIFS(Temperaturprotokoll!$I$18:$I$217,Temperaturprotokoll!$E$18:$E$217,$B20,Temperaturprotokoll!$C$18:$C$217,C$13),"")</f>
        <v/>
      </c>
      <c r="D20" s="100" t="str">
        <f>IFERROR(AVERAGEIFS(Temperaturprotokoll!$I$18:$I$217,Temperaturprotokoll!$E$18:$E$217,$B20,Temperaturprotokoll!$C$18:$C$217,D$13),"")</f>
        <v/>
      </c>
      <c r="E20" s="100" t="str">
        <f>IFERROR(AVERAGEIFS(Temperaturprotokoll!$I$18:$I$217,Temperaturprotokoll!$E$18:$E$217,$B20,Temperaturprotokoll!$C$18:$C$217,E$13),"")</f>
        <v/>
      </c>
      <c r="F20" s="100" t="str">
        <f>IFERROR(AVERAGEIFS(Temperaturprotokoll!$I$18:$I$217,Temperaturprotokoll!$E$18:$E$217,$B20,Temperaturprotokoll!$C$18:$C$217,F$13),"")</f>
        <v/>
      </c>
      <c r="G20" s="100" t="str">
        <f>IFERROR(AVERAGEIFS(Temperaturprotokoll!$I$18:$I$217,Temperaturprotokoll!$E$18:$E$217,$B20,Temperaturprotokoll!$C$18:$C$217,G$13),"")</f>
        <v/>
      </c>
      <c r="H20" s="100" t="str">
        <f>IFERROR(AVERAGEIFS(Temperaturprotokoll!$I$18:$I$217,Temperaturprotokoll!$E$18:$E$217,$B20,Temperaturprotokoll!$C$18:$C$217,H$13),"")</f>
        <v/>
      </c>
      <c r="I20" s="100" t="str">
        <f>IFERROR(AVERAGEIFS(Temperaturprotokoll!$I$18:$I$217,Temperaturprotokoll!$E$18:$E$217,$B20,Temperaturprotokoll!$C$18:$C$217,I$13),"")</f>
        <v/>
      </c>
      <c r="J20" s="100" t="str">
        <f>IFERROR(AVERAGEIFS(Temperaturprotokoll!$I$18:$I$217,Temperaturprotokoll!$E$18:$E$217,$B20,Temperaturprotokoll!$C$18:$C$217,J$13),"")</f>
        <v/>
      </c>
      <c r="K20" s="100" t="str">
        <f>IFERROR(AVERAGEIFS(Temperaturprotokoll!$I$18:$I$217,Temperaturprotokoll!$E$18:$E$217,$B20,Temperaturprotokoll!$C$18:$C$217,K$13),"")</f>
        <v/>
      </c>
      <c r="L20" s="100" t="str">
        <f>IFERROR(AVERAGEIFS(Temperaturprotokoll!$I$18:$I$217,Temperaturprotokoll!$E$18:$E$217,$B20,Temperaturprotokoll!$C$18:$C$217,L$13),"")</f>
        <v/>
      </c>
      <c r="M20" s="100" t="str">
        <f>IFERROR(AVERAGEIFS(Temperaturprotokoll!$I$18:$I$217,Temperaturprotokoll!$E$18:$E$217,$B20,Temperaturprotokoll!$C$18:$C$217,M$13),"")</f>
        <v/>
      </c>
      <c r="N20" s="100" t="str">
        <f>IFERROR(AVERAGEIFS(Temperaturprotokoll!$I$18:$I$217,Temperaturprotokoll!$E$18:$E$217,$B20,Temperaturprotokoll!$C$18:$C$217,N$13),"")</f>
        <v/>
      </c>
      <c r="O20" s="100" t="str">
        <f>IFERROR(AVERAGEIFS(Temperaturprotokoll!$I$18:$I$217,Temperaturprotokoll!$E$18:$E$217,$B20,Temperaturprotokoll!$C$18:$C$217,O$13),"")</f>
        <v/>
      </c>
      <c r="P20" s="100" t="str">
        <f>IFERROR(AVERAGEIFS(Temperaturprotokoll!$I$18:$I$217,Temperaturprotokoll!$E$18:$E$217,$B20,Temperaturprotokoll!$C$18:$C$217,P$13),"")</f>
        <v/>
      </c>
      <c r="Q20" s="100" t="str">
        <f>IFERROR(AVERAGEIFS(Temperaturprotokoll!$I$18:$I$217,Temperaturprotokoll!$E$18:$E$217,$B20,Temperaturprotokoll!$C$18:$C$217,Q$13),"")</f>
        <v/>
      </c>
      <c r="R20" s="100" t="str">
        <f>IFERROR(AVERAGEIFS(Temperaturprotokoll!$I$18:$I$217,Temperaturprotokoll!$E$18:$E$217,$B20,Temperaturprotokoll!$C$18:$C$217,R$13),"")</f>
        <v/>
      </c>
      <c r="S20" s="100" t="str">
        <f>IFERROR(AVERAGEIFS(Temperaturprotokoll!$I$18:$I$217,Temperaturprotokoll!$E$18:$E$217,$B20,Temperaturprotokoll!$C$18:$C$217,S$13),"")</f>
        <v/>
      </c>
      <c r="T20" s="100" t="str">
        <f>IFERROR(AVERAGEIFS(Temperaturprotokoll!$I$18:$I$217,Temperaturprotokoll!$E$18:$E$217,$B20,Temperaturprotokoll!$C$18:$C$217,T$13),"")</f>
        <v/>
      </c>
      <c r="U20" s="100" t="str">
        <f>IFERROR(AVERAGEIFS(Temperaturprotokoll!$I$18:$I$217,Temperaturprotokoll!$E$18:$E$217,$B20,Temperaturprotokoll!$C$18:$C$217,U$13),"")</f>
        <v/>
      </c>
      <c r="V20" s="100" t="str">
        <f>IFERROR(AVERAGEIFS(Temperaturprotokoll!$I$18:$I$217,Temperaturprotokoll!$E$18:$E$217,$B20,Temperaturprotokoll!$C$18:$C$217,V$13),"")</f>
        <v/>
      </c>
      <c r="W20" s="100" t="str">
        <f>IFERROR(AVERAGEIFS(Temperaturprotokoll!$I$18:$I$217,Temperaturprotokoll!$E$18:$E$217,$B20,Temperaturprotokoll!$C$18:$C$217,W$13),"")</f>
        <v/>
      </c>
      <c r="X20" s="100" t="str">
        <f>IFERROR(AVERAGEIFS(Temperaturprotokoll!$I$18:$I$217,Temperaturprotokoll!$E$18:$E$217,$B20,Temperaturprotokoll!$C$18:$C$217,X$13),"")</f>
        <v/>
      </c>
      <c r="Y20" s="100" t="str">
        <f>IFERROR(AVERAGEIFS(Temperaturprotokoll!$I$18:$I$217,Temperaturprotokoll!$E$18:$E$217,$B20,Temperaturprotokoll!$C$18:$C$217,Y$13),"")</f>
        <v/>
      </c>
      <c r="Z20" s="100" t="str">
        <f>IFERROR(AVERAGEIFS(Temperaturprotokoll!$I$18:$I$217,Temperaturprotokoll!$E$18:$E$217,$B20,Temperaturprotokoll!$C$18:$C$217,Z$13),"")</f>
        <v/>
      </c>
      <c r="AA20" s="100" t="str">
        <f>IFERROR(AVERAGEIFS(Temperaturprotokoll!$I$18:$I$217,Temperaturprotokoll!$E$18:$E$217,$B20,Temperaturprotokoll!$C$18:$C$217,AA$13),"")</f>
        <v/>
      </c>
      <c r="AB20" s="100" t="str">
        <f>IFERROR(AVERAGEIFS(Temperaturprotokoll!$I$18:$I$217,Temperaturprotokoll!$E$18:$E$217,$B20,Temperaturprotokoll!$C$18:$C$217,AB$13),"")</f>
        <v/>
      </c>
      <c r="AC20" s="100" t="str">
        <f>IFERROR(AVERAGEIFS(Temperaturprotokoll!$I$18:$I$217,Temperaturprotokoll!$E$18:$E$217,$B20,Temperaturprotokoll!$C$18:$C$217,AC$13),"")</f>
        <v/>
      </c>
      <c r="AD20" s="100" t="str">
        <f>IFERROR(AVERAGEIFS(Temperaturprotokoll!$I$18:$I$217,Temperaturprotokoll!$E$18:$E$217,$B20,Temperaturprotokoll!$C$18:$C$217,AD$13),"")</f>
        <v/>
      </c>
      <c r="AE20" s="100" t="str">
        <f>IFERROR(AVERAGEIFS(Temperaturprotokoll!$I$18:$I$217,Temperaturprotokoll!$E$18:$E$217,$B20,Temperaturprotokoll!$C$18:$C$217,AE$13),"")</f>
        <v/>
      </c>
      <c r="AF20" s="100" t="str">
        <f>IFERROR(AVERAGEIFS(Temperaturprotokoll!$I$18:$I$217,Temperaturprotokoll!$E$18:$E$217,$B20,Temperaturprotokoll!$C$18:$C$217,AF$13),"")</f>
        <v/>
      </c>
      <c r="AG20" s="100" t="str">
        <f>IFERROR(AVERAGEIFS(Temperaturprotokoll!$I$18:$I$217,Temperaturprotokoll!$E$18:$E$217,$B20,Temperaturprotokoll!$C$18:$C$217,AG$13),"")</f>
        <v/>
      </c>
      <c r="AH20" s="101" t="str">
        <f>IF($B20="","",IFERROR(INDEX(Stammdaten!$F$22:$F$31,MATCH($B20,Stammdaten!$C$22:$C$31,0)),""))</f>
        <v/>
      </c>
      <c r="AI20" s="102" t="str">
        <f>IF($B20="","",IFERROR(INDEX(Stammdaten!$G$22:$G$31,MATCH($B20,Stammdaten!$C$22:$C$31,0)),""))</f>
        <v/>
      </c>
      <c r="AJ20" s="103" t="str">
        <f>IF($B20="","",COUNTIFS(Temperaturprotokoll!$E$18:$E$217,$B20))</f>
        <v/>
      </c>
      <c r="AK20" s="103" t="str">
        <f>IF($B20="","",MAX(0,IF(IFERROR(INDEX(Stammdaten!$I$22:$I$31,MATCH($B20,Stammdaten!$C$22:$C$31,0)),"")="werktäglich",Werktage,Tage_im_Monat)-COUNT($C20:$AG20)))</f>
        <v/>
      </c>
      <c r="AL20" s="102" t="str">
        <f>IF($B20="","",IFERROR(AVERAGEIFS(Temperaturprotokoll!$I$18:$I$217,Temperaturprotokoll!$E$18:$E$217,$B20),""))</f>
        <v/>
      </c>
      <c r="AM20" s="104" t="str">
        <f t="shared" si="0"/>
        <v/>
      </c>
      <c r="AN20" s="105" t="str">
        <f t="shared" si="1"/>
        <v/>
      </c>
      <c r="AO20" s="103" t="str">
        <f>IF($B20="","",COUNTIFS(Temperaturprotokoll!$E$18:$E$217,$B20,Temperaturprotokoll!$K$18:$K$217,"Zu hoch")+COUNTIFS(Temperaturprotokoll!$E$18:$E$217,$B20,Temperaturprotokoll!$K$18:$K$217,"Zu niedrig")+COUNTIFS(Temperaturprotokoll!$E$18:$E$217,$B20,Temperaturprotokoll!$K$18:$K$217,"Kritisch"))</f>
        <v/>
      </c>
      <c r="AP20" s="106" t="str">
        <f>IF($B20="","",IFERROR(COUNTIFS(Temperaturprotokoll!$E$18:$E$217,$B20,Temperaturprotokoll!$K$18:$K$217,"OK")/AJ20,""))</f>
        <v/>
      </c>
    </row>
    <row r="21" spans="2:42" ht="15" customHeight="1" x14ac:dyDescent="0.25">
      <c r="B21" s="99" t="str">
        <f>IF(Stammdaten!$C29="","",Stammdaten!$C29)</f>
        <v/>
      </c>
      <c r="C21" s="100" t="str">
        <f>IFERROR(AVERAGEIFS(Temperaturprotokoll!$I$18:$I$217,Temperaturprotokoll!$E$18:$E$217,$B21,Temperaturprotokoll!$C$18:$C$217,C$13),"")</f>
        <v/>
      </c>
      <c r="D21" s="100" t="str">
        <f>IFERROR(AVERAGEIFS(Temperaturprotokoll!$I$18:$I$217,Temperaturprotokoll!$E$18:$E$217,$B21,Temperaturprotokoll!$C$18:$C$217,D$13),"")</f>
        <v/>
      </c>
      <c r="E21" s="100" t="str">
        <f>IFERROR(AVERAGEIFS(Temperaturprotokoll!$I$18:$I$217,Temperaturprotokoll!$E$18:$E$217,$B21,Temperaturprotokoll!$C$18:$C$217,E$13),"")</f>
        <v/>
      </c>
      <c r="F21" s="100" t="str">
        <f>IFERROR(AVERAGEIFS(Temperaturprotokoll!$I$18:$I$217,Temperaturprotokoll!$E$18:$E$217,$B21,Temperaturprotokoll!$C$18:$C$217,F$13),"")</f>
        <v/>
      </c>
      <c r="G21" s="100" t="str">
        <f>IFERROR(AVERAGEIFS(Temperaturprotokoll!$I$18:$I$217,Temperaturprotokoll!$E$18:$E$217,$B21,Temperaturprotokoll!$C$18:$C$217,G$13),"")</f>
        <v/>
      </c>
      <c r="H21" s="100" t="str">
        <f>IFERROR(AVERAGEIFS(Temperaturprotokoll!$I$18:$I$217,Temperaturprotokoll!$E$18:$E$217,$B21,Temperaturprotokoll!$C$18:$C$217,H$13),"")</f>
        <v/>
      </c>
      <c r="I21" s="100" t="str">
        <f>IFERROR(AVERAGEIFS(Temperaturprotokoll!$I$18:$I$217,Temperaturprotokoll!$E$18:$E$217,$B21,Temperaturprotokoll!$C$18:$C$217,I$13),"")</f>
        <v/>
      </c>
      <c r="J21" s="100" t="str">
        <f>IFERROR(AVERAGEIFS(Temperaturprotokoll!$I$18:$I$217,Temperaturprotokoll!$E$18:$E$217,$B21,Temperaturprotokoll!$C$18:$C$217,J$13),"")</f>
        <v/>
      </c>
      <c r="K21" s="100" t="str">
        <f>IFERROR(AVERAGEIFS(Temperaturprotokoll!$I$18:$I$217,Temperaturprotokoll!$E$18:$E$217,$B21,Temperaturprotokoll!$C$18:$C$217,K$13),"")</f>
        <v/>
      </c>
      <c r="L21" s="100" t="str">
        <f>IFERROR(AVERAGEIFS(Temperaturprotokoll!$I$18:$I$217,Temperaturprotokoll!$E$18:$E$217,$B21,Temperaturprotokoll!$C$18:$C$217,L$13),"")</f>
        <v/>
      </c>
      <c r="M21" s="100" t="str">
        <f>IFERROR(AVERAGEIFS(Temperaturprotokoll!$I$18:$I$217,Temperaturprotokoll!$E$18:$E$217,$B21,Temperaturprotokoll!$C$18:$C$217,M$13),"")</f>
        <v/>
      </c>
      <c r="N21" s="100" t="str">
        <f>IFERROR(AVERAGEIFS(Temperaturprotokoll!$I$18:$I$217,Temperaturprotokoll!$E$18:$E$217,$B21,Temperaturprotokoll!$C$18:$C$217,N$13),"")</f>
        <v/>
      </c>
      <c r="O21" s="100" t="str">
        <f>IFERROR(AVERAGEIFS(Temperaturprotokoll!$I$18:$I$217,Temperaturprotokoll!$E$18:$E$217,$B21,Temperaturprotokoll!$C$18:$C$217,O$13),"")</f>
        <v/>
      </c>
      <c r="P21" s="100" t="str">
        <f>IFERROR(AVERAGEIFS(Temperaturprotokoll!$I$18:$I$217,Temperaturprotokoll!$E$18:$E$217,$B21,Temperaturprotokoll!$C$18:$C$217,P$13),"")</f>
        <v/>
      </c>
      <c r="Q21" s="100" t="str">
        <f>IFERROR(AVERAGEIFS(Temperaturprotokoll!$I$18:$I$217,Temperaturprotokoll!$E$18:$E$217,$B21,Temperaturprotokoll!$C$18:$C$217,Q$13),"")</f>
        <v/>
      </c>
      <c r="R21" s="100" t="str">
        <f>IFERROR(AVERAGEIFS(Temperaturprotokoll!$I$18:$I$217,Temperaturprotokoll!$E$18:$E$217,$B21,Temperaturprotokoll!$C$18:$C$217,R$13),"")</f>
        <v/>
      </c>
      <c r="S21" s="100" t="str">
        <f>IFERROR(AVERAGEIFS(Temperaturprotokoll!$I$18:$I$217,Temperaturprotokoll!$E$18:$E$217,$B21,Temperaturprotokoll!$C$18:$C$217,S$13),"")</f>
        <v/>
      </c>
      <c r="T21" s="100" t="str">
        <f>IFERROR(AVERAGEIFS(Temperaturprotokoll!$I$18:$I$217,Temperaturprotokoll!$E$18:$E$217,$B21,Temperaturprotokoll!$C$18:$C$217,T$13),"")</f>
        <v/>
      </c>
      <c r="U21" s="100" t="str">
        <f>IFERROR(AVERAGEIFS(Temperaturprotokoll!$I$18:$I$217,Temperaturprotokoll!$E$18:$E$217,$B21,Temperaturprotokoll!$C$18:$C$217,U$13),"")</f>
        <v/>
      </c>
      <c r="V21" s="100" t="str">
        <f>IFERROR(AVERAGEIFS(Temperaturprotokoll!$I$18:$I$217,Temperaturprotokoll!$E$18:$E$217,$B21,Temperaturprotokoll!$C$18:$C$217,V$13),"")</f>
        <v/>
      </c>
      <c r="W21" s="100" t="str">
        <f>IFERROR(AVERAGEIFS(Temperaturprotokoll!$I$18:$I$217,Temperaturprotokoll!$E$18:$E$217,$B21,Temperaturprotokoll!$C$18:$C$217,W$13),"")</f>
        <v/>
      </c>
      <c r="X21" s="100" t="str">
        <f>IFERROR(AVERAGEIFS(Temperaturprotokoll!$I$18:$I$217,Temperaturprotokoll!$E$18:$E$217,$B21,Temperaturprotokoll!$C$18:$C$217,X$13),"")</f>
        <v/>
      </c>
      <c r="Y21" s="100" t="str">
        <f>IFERROR(AVERAGEIFS(Temperaturprotokoll!$I$18:$I$217,Temperaturprotokoll!$E$18:$E$217,$B21,Temperaturprotokoll!$C$18:$C$217,Y$13),"")</f>
        <v/>
      </c>
      <c r="Z21" s="100" t="str">
        <f>IFERROR(AVERAGEIFS(Temperaturprotokoll!$I$18:$I$217,Temperaturprotokoll!$E$18:$E$217,$B21,Temperaturprotokoll!$C$18:$C$217,Z$13),"")</f>
        <v/>
      </c>
      <c r="AA21" s="100" t="str">
        <f>IFERROR(AVERAGEIFS(Temperaturprotokoll!$I$18:$I$217,Temperaturprotokoll!$E$18:$E$217,$B21,Temperaturprotokoll!$C$18:$C$217,AA$13),"")</f>
        <v/>
      </c>
      <c r="AB21" s="100" t="str">
        <f>IFERROR(AVERAGEIFS(Temperaturprotokoll!$I$18:$I$217,Temperaturprotokoll!$E$18:$E$217,$B21,Temperaturprotokoll!$C$18:$C$217,AB$13),"")</f>
        <v/>
      </c>
      <c r="AC21" s="100" t="str">
        <f>IFERROR(AVERAGEIFS(Temperaturprotokoll!$I$18:$I$217,Temperaturprotokoll!$E$18:$E$217,$B21,Temperaturprotokoll!$C$18:$C$217,AC$13),"")</f>
        <v/>
      </c>
      <c r="AD21" s="100" t="str">
        <f>IFERROR(AVERAGEIFS(Temperaturprotokoll!$I$18:$I$217,Temperaturprotokoll!$E$18:$E$217,$B21,Temperaturprotokoll!$C$18:$C$217,AD$13),"")</f>
        <v/>
      </c>
      <c r="AE21" s="100" t="str">
        <f>IFERROR(AVERAGEIFS(Temperaturprotokoll!$I$18:$I$217,Temperaturprotokoll!$E$18:$E$217,$B21,Temperaturprotokoll!$C$18:$C$217,AE$13),"")</f>
        <v/>
      </c>
      <c r="AF21" s="100" t="str">
        <f>IFERROR(AVERAGEIFS(Temperaturprotokoll!$I$18:$I$217,Temperaturprotokoll!$E$18:$E$217,$B21,Temperaturprotokoll!$C$18:$C$217,AF$13),"")</f>
        <v/>
      </c>
      <c r="AG21" s="100" t="str">
        <f>IFERROR(AVERAGEIFS(Temperaturprotokoll!$I$18:$I$217,Temperaturprotokoll!$E$18:$E$217,$B21,Temperaturprotokoll!$C$18:$C$217,AG$13),"")</f>
        <v/>
      </c>
      <c r="AH21" s="101" t="str">
        <f>IF($B21="","",IFERROR(INDEX(Stammdaten!$F$22:$F$31,MATCH($B21,Stammdaten!$C$22:$C$31,0)),""))</f>
        <v/>
      </c>
      <c r="AI21" s="102" t="str">
        <f>IF($B21="","",IFERROR(INDEX(Stammdaten!$G$22:$G$31,MATCH($B21,Stammdaten!$C$22:$C$31,0)),""))</f>
        <v/>
      </c>
      <c r="AJ21" s="103" t="str">
        <f>IF($B21="","",COUNTIFS(Temperaturprotokoll!$E$18:$E$217,$B21))</f>
        <v/>
      </c>
      <c r="AK21" s="103" t="str">
        <f>IF($B21="","",MAX(0,IF(IFERROR(INDEX(Stammdaten!$I$22:$I$31,MATCH($B21,Stammdaten!$C$22:$C$31,0)),"")="werktäglich",Werktage,Tage_im_Monat)-COUNT($C21:$AG21)))</f>
        <v/>
      </c>
      <c r="AL21" s="102" t="str">
        <f>IF($B21="","",IFERROR(AVERAGEIFS(Temperaturprotokoll!$I$18:$I$217,Temperaturprotokoll!$E$18:$E$217,$B21),""))</f>
        <v/>
      </c>
      <c r="AM21" s="104" t="str">
        <f t="shared" si="0"/>
        <v/>
      </c>
      <c r="AN21" s="105" t="str">
        <f t="shared" si="1"/>
        <v/>
      </c>
      <c r="AO21" s="103" t="str">
        <f>IF($B21="","",COUNTIFS(Temperaturprotokoll!$E$18:$E$217,$B21,Temperaturprotokoll!$K$18:$K$217,"Zu hoch")+COUNTIFS(Temperaturprotokoll!$E$18:$E$217,$B21,Temperaturprotokoll!$K$18:$K$217,"Zu niedrig")+COUNTIFS(Temperaturprotokoll!$E$18:$E$217,$B21,Temperaturprotokoll!$K$18:$K$217,"Kritisch"))</f>
        <v/>
      </c>
      <c r="AP21" s="106" t="str">
        <f>IF($B21="","",IFERROR(COUNTIFS(Temperaturprotokoll!$E$18:$E$217,$B21,Temperaturprotokoll!$K$18:$K$217,"OK")/AJ21,""))</f>
        <v/>
      </c>
    </row>
    <row r="22" spans="2:42" ht="15" customHeight="1" x14ac:dyDescent="0.25">
      <c r="B22" s="99" t="str">
        <f>IF(Stammdaten!$C30="","",Stammdaten!$C30)</f>
        <v/>
      </c>
      <c r="C22" s="100" t="str">
        <f>IFERROR(AVERAGEIFS(Temperaturprotokoll!$I$18:$I$217,Temperaturprotokoll!$E$18:$E$217,$B22,Temperaturprotokoll!$C$18:$C$217,C$13),"")</f>
        <v/>
      </c>
      <c r="D22" s="100" t="str">
        <f>IFERROR(AVERAGEIFS(Temperaturprotokoll!$I$18:$I$217,Temperaturprotokoll!$E$18:$E$217,$B22,Temperaturprotokoll!$C$18:$C$217,D$13),"")</f>
        <v/>
      </c>
      <c r="E22" s="100" t="str">
        <f>IFERROR(AVERAGEIFS(Temperaturprotokoll!$I$18:$I$217,Temperaturprotokoll!$E$18:$E$217,$B22,Temperaturprotokoll!$C$18:$C$217,E$13),"")</f>
        <v/>
      </c>
      <c r="F22" s="100" t="str">
        <f>IFERROR(AVERAGEIFS(Temperaturprotokoll!$I$18:$I$217,Temperaturprotokoll!$E$18:$E$217,$B22,Temperaturprotokoll!$C$18:$C$217,F$13),"")</f>
        <v/>
      </c>
      <c r="G22" s="100" t="str">
        <f>IFERROR(AVERAGEIFS(Temperaturprotokoll!$I$18:$I$217,Temperaturprotokoll!$E$18:$E$217,$B22,Temperaturprotokoll!$C$18:$C$217,G$13),"")</f>
        <v/>
      </c>
      <c r="H22" s="100" t="str">
        <f>IFERROR(AVERAGEIFS(Temperaturprotokoll!$I$18:$I$217,Temperaturprotokoll!$E$18:$E$217,$B22,Temperaturprotokoll!$C$18:$C$217,H$13),"")</f>
        <v/>
      </c>
      <c r="I22" s="100" t="str">
        <f>IFERROR(AVERAGEIFS(Temperaturprotokoll!$I$18:$I$217,Temperaturprotokoll!$E$18:$E$217,$B22,Temperaturprotokoll!$C$18:$C$217,I$13),"")</f>
        <v/>
      </c>
      <c r="J22" s="100" t="str">
        <f>IFERROR(AVERAGEIFS(Temperaturprotokoll!$I$18:$I$217,Temperaturprotokoll!$E$18:$E$217,$B22,Temperaturprotokoll!$C$18:$C$217,J$13),"")</f>
        <v/>
      </c>
      <c r="K22" s="100" t="str">
        <f>IFERROR(AVERAGEIFS(Temperaturprotokoll!$I$18:$I$217,Temperaturprotokoll!$E$18:$E$217,$B22,Temperaturprotokoll!$C$18:$C$217,K$13),"")</f>
        <v/>
      </c>
      <c r="L22" s="100" t="str">
        <f>IFERROR(AVERAGEIFS(Temperaturprotokoll!$I$18:$I$217,Temperaturprotokoll!$E$18:$E$217,$B22,Temperaturprotokoll!$C$18:$C$217,L$13),"")</f>
        <v/>
      </c>
      <c r="M22" s="100" t="str">
        <f>IFERROR(AVERAGEIFS(Temperaturprotokoll!$I$18:$I$217,Temperaturprotokoll!$E$18:$E$217,$B22,Temperaturprotokoll!$C$18:$C$217,M$13),"")</f>
        <v/>
      </c>
      <c r="N22" s="100" t="str">
        <f>IFERROR(AVERAGEIFS(Temperaturprotokoll!$I$18:$I$217,Temperaturprotokoll!$E$18:$E$217,$B22,Temperaturprotokoll!$C$18:$C$217,N$13),"")</f>
        <v/>
      </c>
      <c r="O22" s="100" t="str">
        <f>IFERROR(AVERAGEIFS(Temperaturprotokoll!$I$18:$I$217,Temperaturprotokoll!$E$18:$E$217,$B22,Temperaturprotokoll!$C$18:$C$217,O$13),"")</f>
        <v/>
      </c>
      <c r="P22" s="100" t="str">
        <f>IFERROR(AVERAGEIFS(Temperaturprotokoll!$I$18:$I$217,Temperaturprotokoll!$E$18:$E$217,$B22,Temperaturprotokoll!$C$18:$C$217,P$13),"")</f>
        <v/>
      </c>
      <c r="Q22" s="100" t="str">
        <f>IFERROR(AVERAGEIFS(Temperaturprotokoll!$I$18:$I$217,Temperaturprotokoll!$E$18:$E$217,$B22,Temperaturprotokoll!$C$18:$C$217,Q$13),"")</f>
        <v/>
      </c>
      <c r="R22" s="100" t="str">
        <f>IFERROR(AVERAGEIFS(Temperaturprotokoll!$I$18:$I$217,Temperaturprotokoll!$E$18:$E$217,$B22,Temperaturprotokoll!$C$18:$C$217,R$13),"")</f>
        <v/>
      </c>
      <c r="S22" s="100" t="str">
        <f>IFERROR(AVERAGEIFS(Temperaturprotokoll!$I$18:$I$217,Temperaturprotokoll!$E$18:$E$217,$B22,Temperaturprotokoll!$C$18:$C$217,S$13),"")</f>
        <v/>
      </c>
      <c r="T22" s="100" t="str">
        <f>IFERROR(AVERAGEIFS(Temperaturprotokoll!$I$18:$I$217,Temperaturprotokoll!$E$18:$E$217,$B22,Temperaturprotokoll!$C$18:$C$217,T$13),"")</f>
        <v/>
      </c>
      <c r="U22" s="100" t="str">
        <f>IFERROR(AVERAGEIFS(Temperaturprotokoll!$I$18:$I$217,Temperaturprotokoll!$E$18:$E$217,$B22,Temperaturprotokoll!$C$18:$C$217,U$13),"")</f>
        <v/>
      </c>
      <c r="V22" s="100" t="str">
        <f>IFERROR(AVERAGEIFS(Temperaturprotokoll!$I$18:$I$217,Temperaturprotokoll!$E$18:$E$217,$B22,Temperaturprotokoll!$C$18:$C$217,V$13),"")</f>
        <v/>
      </c>
      <c r="W22" s="100" t="str">
        <f>IFERROR(AVERAGEIFS(Temperaturprotokoll!$I$18:$I$217,Temperaturprotokoll!$E$18:$E$217,$B22,Temperaturprotokoll!$C$18:$C$217,W$13),"")</f>
        <v/>
      </c>
      <c r="X22" s="100" t="str">
        <f>IFERROR(AVERAGEIFS(Temperaturprotokoll!$I$18:$I$217,Temperaturprotokoll!$E$18:$E$217,$B22,Temperaturprotokoll!$C$18:$C$217,X$13),"")</f>
        <v/>
      </c>
      <c r="Y22" s="100" t="str">
        <f>IFERROR(AVERAGEIFS(Temperaturprotokoll!$I$18:$I$217,Temperaturprotokoll!$E$18:$E$217,$B22,Temperaturprotokoll!$C$18:$C$217,Y$13),"")</f>
        <v/>
      </c>
      <c r="Z22" s="100" t="str">
        <f>IFERROR(AVERAGEIFS(Temperaturprotokoll!$I$18:$I$217,Temperaturprotokoll!$E$18:$E$217,$B22,Temperaturprotokoll!$C$18:$C$217,Z$13),"")</f>
        <v/>
      </c>
      <c r="AA22" s="100" t="str">
        <f>IFERROR(AVERAGEIFS(Temperaturprotokoll!$I$18:$I$217,Temperaturprotokoll!$E$18:$E$217,$B22,Temperaturprotokoll!$C$18:$C$217,AA$13),"")</f>
        <v/>
      </c>
      <c r="AB22" s="100" t="str">
        <f>IFERROR(AVERAGEIFS(Temperaturprotokoll!$I$18:$I$217,Temperaturprotokoll!$E$18:$E$217,$B22,Temperaturprotokoll!$C$18:$C$217,AB$13),"")</f>
        <v/>
      </c>
      <c r="AC22" s="100" t="str">
        <f>IFERROR(AVERAGEIFS(Temperaturprotokoll!$I$18:$I$217,Temperaturprotokoll!$E$18:$E$217,$B22,Temperaturprotokoll!$C$18:$C$217,AC$13),"")</f>
        <v/>
      </c>
      <c r="AD22" s="100" t="str">
        <f>IFERROR(AVERAGEIFS(Temperaturprotokoll!$I$18:$I$217,Temperaturprotokoll!$E$18:$E$217,$B22,Temperaturprotokoll!$C$18:$C$217,AD$13),"")</f>
        <v/>
      </c>
      <c r="AE22" s="100" t="str">
        <f>IFERROR(AVERAGEIFS(Temperaturprotokoll!$I$18:$I$217,Temperaturprotokoll!$E$18:$E$217,$B22,Temperaturprotokoll!$C$18:$C$217,AE$13),"")</f>
        <v/>
      </c>
      <c r="AF22" s="100" t="str">
        <f>IFERROR(AVERAGEIFS(Temperaturprotokoll!$I$18:$I$217,Temperaturprotokoll!$E$18:$E$217,$B22,Temperaturprotokoll!$C$18:$C$217,AF$13),"")</f>
        <v/>
      </c>
      <c r="AG22" s="100" t="str">
        <f>IFERROR(AVERAGEIFS(Temperaturprotokoll!$I$18:$I$217,Temperaturprotokoll!$E$18:$E$217,$B22,Temperaturprotokoll!$C$18:$C$217,AG$13),"")</f>
        <v/>
      </c>
      <c r="AH22" s="101" t="str">
        <f>IF($B22="","",IFERROR(INDEX(Stammdaten!$F$22:$F$31,MATCH($B22,Stammdaten!$C$22:$C$31,0)),""))</f>
        <v/>
      </c>
      <c r="AI22" s="102" t="str">
        <f>IF($B22="","",IFERROR(INDEX(Stammdaten!$G$22:$G$31,MATCH($B22,Stammdaten!$C$22:$C$31,0)),""))</f>
        <v/>
      </c>
      <c r="AJ22" s="103" t="str">
        <f>IF($B22="","",COUNTIFS(Temperaturprotokoll!$E$18:$E$217,$B22))</f>
        <v/>
      </c>
      <c r="AK22" s="103" t="str">
        <f>IF($B22="","",MAX(0,IF(IFERROR(INDEX(Stammdaten!$I$22:$I$31,MATCH($B22,Stammdaten!$C$22:$C$31,0)),"")="werktäglich",Werktage,Tage_im_Monat)-COUNT($C22:$AG22)))</f>
        <v/>
      </c>
      <c r="AL22" s="102" t="str">
        <f>IF($B22="","",IFERROR(AVERAGEIFS(Temperaturprotokoll!$I$18:$I$217,Temperaturprotokoll!$E$18:$E$217,$B22),""))</f>
        <v/>
      </c>
      <c r="AM22" s="104" t="str">
        <f t="shared" si="0"/>
        <v/>
      </c>
      <c r="AN22" s="105" t="str">
        <f t="shared" si="1"/>
        <v/>
      </c>
      <c r="AO22" s="103" t="str">
        <f>IF($B22="","",COUNTIFS(Temperaturprotokoll!$E$18:$E$217,$B22,Temperaturprotokoll!$K$18:$K$217,"Zu hoch")+COUNTIFS(Temperaturprotokoll!$E$18:$E$217,$B22,Temperaturprotokoll!$K$18:$K$217,"Zu niedrig")+COUNTIFS(Temperaturprotokoll!$E$18:$E$217,$B22,Temperaturprotokoll!$K$18:$K$217,"Kritisch"))</f>
        <v/>
      </c>
      <c r="AP22" s="106" t="str">
        <f>IF($B22="","",IFERROR(COUNTIFS(Temperaturprotokoll!$E$18:$E$217,$B22,Temperaturprotokoll!$K$18:$K$217,"OK")/AJ22,""))</f>
        <v/>
      </c>
    </row>
    <row r="23" spans="2:42" ht="15" customHeight="1" x14ac:dyDescent="0.25">
      <c r="B23" s="99" t="str">
        <f>IF(Stammdaten!$C31="","",Stammdaten!$C31)</f>
        <v/>
      </c>
      <c r="C23" s="100" t="str">
        <f>IFERROR(AVERAGEIFS(Temperaturprotokoll!$I$18:$I$217,Temperaturprotokoll!$E$18:$E$217,$B23,Temperaturprotokoll!$C$18:$C$217,C$13),"")</f>
        <v/>
      </c>
      <c r="D23" s="100" t="str">
        <f>IFERROR(AVERAGEIFS(Temperaturprotokoll!$I$18:$I$217,Temperaturprotokoll!$E$18:$E$217,$B23,Temperaturprotokoll!$C$18:$C$217,D$13),"")</f>
        <v/>
      </c>
      <c r="E23" s="100" t="str">
        <f>IFERROR(AVERAGEIFS(Temperaturprotokoll!$I$18:$I$217,Temperaturprotokoll!$E$18:$E$217,$B23,Temperaturprotokoll!$C$18:$C$217,E$13),"")</f>
        <v/>
      </c>
      <c r="F23" s="100" t="str">
        <f>IFERROR(AVERAGEIFS(Temperaturprotokoll!$I$18:$I$217,Temperaturprotokoll!$E$18:$E$217,$B23,Temperaturprotokoll!$C$18:$C$217,F$13),"")</f>
        <v/>
      </c>
      <c r="G23" s="100" t="str">
        <f>IFERROR(AVERAGEIFS(Temperaturprotokoll!$I$18:$I$217,Temperaturprotokoll!$E$18:$E$217,$B23,Temperaturprotokoll!$C$18:$C$217,G$13),"")</f>
        <v/>
      </c>
      <c r="H23" s="100" t="str">
        <f>IFERROR(AVERAGEIFS(Temperaturprotokoll!$I$18:$I$217,Temperaturprotokoll!$E$18:$E$217,$B23,Temperaturprotokoll!$C$18:$C$217,H$13),"")</f>
        <v/>
      </c>
      <c r="I23" s="100" t="str">
        <f>IFERROR(AVERAGEIFS(Temperaturprotokoll!$I$18:$I$217,Temperaturprotokoll!$E$18:$E$217,$B23,Temperaturprotokoll!$C$18:$C$217,I$13),"")</f>
        <v/>
      </c>
      <c r="J23" s="100" t="str">
        <f>IFERROR(AVERAGEIFS(Temperaturprotokoll!$I$18:$I$217,Temperaturprotokoll!$E$18:$E$217,$B23,Temperaturprotokoll!$C$18:$C$217,J$13),"")</f>
        <v/>
      </c>
      <c r="K23" s="100" t="str">
        <f>IFERROR(AVERAGEIFS(Temperaturprotokoll!$I$18:$I$217,Temperaturprotokoll!$E$18:$E$217,$B23,Temperaturprotokoll!$C$18:$C$217,K$13),"")</f>
        <v/>
      </c>
      <c r="L23" s="100" t="str">
        <f>IFERROR(AVERAGEIFS(Temperaturprotokoll!$I$18:$I$217,Temperaturprotokoll!$E$18:$E$217,$B23,Temperaturprotokoll!$C$18:$C$217,L$13),"")</f>
        <v/>
      </c>
      <c r="M23" s="100" t="str">
        <f>IFERROR(AVERAGEIFS(Temperaturprotokoll!$I$18:$I$217,Temperaturprotokoll!$E$18:$E$217,$B23,Temperaturprotokoll!$C$18:$C$217,M$13),"")</f>
        <v/>
      </c>
      <c r="N23" s="100" t="str">
        <f>IFERROR(AVERAGEIFS(Temperaturprotokoll!$I$18:$I$217,Temperaturprotokoll!$E$18:$E$217,$B23,Temperaturprotokoll!$C$18:$C$217,N$13),"")</f>
        <v/>
      </c>
      <c r="O23" s="100" t="str">
        <f>IFERROR(AVERAGEIFS(Temperaturprotokoll!$I$18:$I$217,Temperaturprotokoll!$E$18:$E$217,$B23,Temperaturprotokoll!$C$18:$C$217,O$13),"")</f>
        <v/>
      </c>
      <c r="P23" s="100" t="str">
        <f>IFERROR(AVERAGEIFS(Temperaturprotokoll!$I$18:$I$217,Temperaturprotokoll!$E$18:$E$217,$B23,Temperaturprotokoll!$C$18:$C$217,P$13),"")</f>
        <v/>
      </c>
      <c r="Q23" s="100" t="str">
        <f>IFERROR(AVERAGEIFS(Temperaturprotokoll!$I$18:$I$217,Temperaturprotokoll!$E$18:$E$217,$B23,Temperaturprotokoll!$C$18:$C$217,Q$13),"")</f>
        <v/>
      </c>
      <c r="R23" s="100" t="str">
        <f>IFERROR(AVERAGEIFS(Temperaturprotokoll!$I$18:$I$217,Temperaturprotokoll!$E$18:$E$217,$B23,Temperaturprotokoll!$C$18:$C$217,R$13),"")</f>
        <v/>
      </c>
      <c r="S23" s="100" t="str">
        <f>IFERROR(AVERAGEIFS(Temperaturprotokoll!$I$18:$I$217,Temperaturprotokoll!$E$18:$E$217,$B23,Temperaturprotokoll!$C$18:$C$217,S$13),"")</f>
        <v/>
      </c>
      <c r="T23" s="100" t="str">
        <f>IFERROR(AVERAGEIFS(Temperaturprotokoll!$I$18:$I$217,Temperaturprotokoll!$E$18:$E$217,$B23,Temperaturprotokoll!$C$18:$C$217,T$13),"")</f>
        <v/>
      </c>
      <c r="U23" s="100" t="str">
        <f>IFERROR(AVERAGEIFS(Temperaturprotokoll!$I$18:$I$217,Temperaturprotokoll!$E$18:$E$217,$B23,Temperaturprotokoll!$C$18:$C$217,U$13),"")</f>
        <v/>
      </c>
      <c r="V23" s="100" t="str">
        <f>IFERROR(AVERAGEIFS(Temperaturprotokoll!$I$18:$I$217,Temperaturprotokoll!$E$18:$E$217,$B23,Temperaturprotokoll!$C$18:$C$217,V$13),"")</f>
        <v/>
      </c>
      <c r="W23" s="100" t="str">
        <f>IFERROR(AVERAGEIFS(Temperaturprotokoll!$I$18:$I$217,Temperaturprotokoll!$E$18:$E$217,$B23,Temperaturprotokoll!$C$18:$C$217,W$13),"")</f>
        <v/>
      </c>
      <c r="X23" s="100" t="str">
        <f>IFERROR(AVERAGEIFS(Temperaturprotokoll!$I$18:$I$217,Temperaturprotokoll!$E$18:$E$217,$B23,Temperaturprotokoll!$C$18:$C$217,X$13),"")</f>
        <v/>
      </c>
      <c r="Y23" s="100" t="str">
        <f>IFERROR(AVERAGEIFS(Temperaturprotokoll!$I$18:$I$217,Temperaturprotokoll!$E$18:$E$217,$B23,Temperaturprotokoll!$C$18:$C$217,Y$13),"")</f>
        <v/>
      </c>
      <c r="Z23" s="100" t="str">
        <f>IFERROR(AVERAGEIFS(Temperaturprotokoll!$I$18:$I$217,Temperaturprotokoll!$E$18:$E$217,$B23,Temperaturprotokoll!$C$18:$C$217,Z$13),"")</f>
        <v/>
      </c>
      <c r="AA23" s="100" t="str">
        <f>IFERROR(AVERAGEIFS(Temperaturprotokoll!$I$18:$I$217,Temperaturprotokoll!$E$18:$E$217,$B23,Temperaturprotokoll!$C$18:$C$217,AA$13),"")</f>
        <v/>
      </c>
      <c r="AB23" s="100" t="str">
        <f>IFERROR(AVERAGEIFS(Temperaturprotokoll!$I$18:$I$217,Temperaturprotokoll!$E$18:$E$217,$B23,Temperaturprotokoll!$C$18:$C$217,AB$13),"")</f>
        <v/>
      </c>
      <c r="AC23" s="100" t="str">
        <f>IFERROR(AVERAGEIFS(Temperaturprotokoll!$I$18:$I$217,Temperaturprotokoll!$E$18:$E$217,$B23,Temperaturprotokoll!$C$18:$C$217,AC$13),"")</f>
        <v/>
      </c>
      <c r="AD23" s="100" t="str">
        <f>IFERROR(AVERAGEIFS(Temperaturprotokoll!$I$18:$I$217,Temperaturprotokoll!$E$18:$E$217,$B23,Temperaturprotokoll!$C$18:$C$217,AD$13),"")</f>
        <v/>
      </c>
      <c r="AE23" s="100" t="str">
        <f>IFERROR(AVERAGEIFS(Temperaturprotokoll!$I$18:$I$217,Temperaturprotokoll!$E$18:$E$217,$B23,Temperaturprotokoll!$C$18:$C$217,AE$13),"")</f>
        <v/>
      </c>
      <c r="AF23" s="100" t="str">
        <f>IFERROR(AVERAGEIFS(Temperaturprotokoll!$I$18:$I$217,Temperaturprotokoll!$E$18:$E$217,$B23,Temperaturprotokoll!$C$18:$C$217,AF$13),"")</f>
        <v/>
      </c>
      <c r="AG23" s="100" t="str">
        <f>IFERROR(AVERAGEIFS(Temperaturprotokoll!$I$18:$I$217,Temperaturprotokoll!$E$18:$E$217,$B23,Temperaturprotokoll!$C$18:$C$217,AG$13),"")</f>
        <v/>
      </c>
      <c r="AH23" s="101" t="str">
        <f>IF($B23="","",IFERROR(INDEX(Stammdaten!$F$22:$F$31,MATCH($B23,Stammdaten!$C$22:$C$31,0)),""))</f>
        <v/>
      </c>
      <c r="AI23" s="102" t="str">
        <f>IF($B23="","",IFERROR(INDEX(Stammdaten!$G$22:$G$31,MATCH($B23,Stammdaten!$C$22:$C$31,0)),""))</f>
        <v/>
      </c>
      <c r="AJ23" s="103" t="str">
        <f>IF($B23="","",COUNTIFS(Temperaturprotokoll!$E$18:$E$217,$B23))</f>
        <v/>
      </c>
      <c r="AK23" s="103" t="str">
        <f>IF($B23="","",MAX(0,IF(IFERROR(INDEX(Stammdaten!$I$22:$I$31,MATCH($B23,Stammdaten!$C$22:$C$31,0)),"")="werktäglich",Werktage,Tage_im_Monat)-COUNT($C23:$AG23)))</f>
        <v/>
      </c>
      <c r="AL23" s="102" t="str">
        <f>IF($B23="","",IFERROR(AVERAGEIFS(Temperaturprotokoll!$I$18:$I$217,Temperaturprotokoll!$E$18:$E$217,$B23),""))</f>
        <v/>
      </c>
      <c r="AM23" s="104" t="str">
        <f t="shared" si="0"/>
        <v/>
      </c>
      <c r="AN23" s="105" t="str">
        <f t="shared" si="1"/>
        <v/>
      </c>
      <c r="AO23" s="103" t="str">
        <f>IF($B23="","",COUNTIFS(Temperaturprotokoll!$E$18:$E$217,$B23,Temperaturprotokoll!$K$18:$K$217,"Zu hoch")+COUNTIFS(Temperaturprotokoll!$E$18:$E$217,$B23,Temperaturprotokoll!$K$18:$K$217,"Zu niedrig")+COUNTIFS(Temperaturprotokoll!$E$18:$E$217,$B23,Temperaturprotokoll!$K$18:$K$217,"Kritisch"))</f>
        <v/>
      </c>
      <c r="AP23" s="106" t="str">
        <f>IF($B23="","",IFERROR(COUNTIFS(Temperaturprotokoll!$E$18:$E$217,$B23,Temperaturprotokoll!$K$18:$K$217,"OK")/AJ23,""))</f>
        <v/>
      </c>
    </row>
    <row r="24" spans="2:42" ht="15.75" customHeight="1" x14ac:dyDescent="0.25">
      <c r="B24" s="96" t="s">
        <v>115</v>
      </c>
      <c r="C24" s="107">
        <f>IF(C$13="","",COUNTIFS(Temperaturprotokoll!$C$18:$C$217,C$13,Temperaturprotokoll!$K$18:$K$217,"Zu hoch")+COUNTIFS(Temperaturprotokoll!$C$18:$C$217,C$13,Temperaturprotokoll!$K$18:$K$217,"Zu niedrig")+COUNTIFS(Temperaturprotokoll!$C$18:$C$217,C$13,Temperaturprotokoll!$K$18:$K$217,"Kritisch"))</f>
        <v>0</v>
      </c>
      <c r="D24" s="107">
        <f>IF(D$13="","",COUNTIFS(Temperaturprotokoll!$C$18:$C$217,D$13,Temperaturprotokoll!$K$18:$K$217,"Zu hoch")+COUNTIFS(Temperaturprotokoll!$C$18:$C$217,D$13,Temperaturprotokoll!$K$18:$K$217,"Zu niedrig")+COUNTIFS(Temperaturprotokoll!$C$18:$C$217,D$13,Temperaturprotokoll!$K$18:$K$217,"Kritisch"))</f>
        <v>0</v>
      </c>
      <c r="E24" s="107">
        <f>IF(E$13="","",COUNTIFS(Temperaturprotokoll!$C$18:$C$217,E$13,Temperaturprotokoll!$K$18:$K$217,"Zu hoch")+COUNTIFS(Temperaturprotokoll!$C$18:$C$217,E$13,Temperaturprotokoll!$K$18:$K$217,"Zu niedrig")+COUNTIFS(Temperaturprotokoll!$C$18:$C$217,E$13,Temperaturprotokoll!$K$18:$K$217,"Kritisch"))</f>
        <v>0</v>
      </c>
      <c r="F24" s="107">
        <f>IF(F$13="","",COUNTIFS(Temperaturprotokoll!$C$18:$C$217,F$13,Temperaturprotokoll!$K$18:$K$217,"Zu hoch")+COUNTIFS(Temperaturprotokoll!$C$18:$C$217,F$13,Temperaturprotokoll!$K$18:$K$217,"Zu niedrig")+COUNTIFS(Temperaturprotokoll!$C$18:$C$217,F$13,Temperaturprotokoll!$K$18:$K$217,"Kritisch"))</f>
        <v>0</v>
      </c>
      <c r="G24" s="107">
        <f>IF(G$13="","",COUNTIFS(Temperaturprotokoll!$C$18:$C$217,G$13,Temperaturprotokoll!$K$18:$K$217,"Zu hoch")+COUNTIFS(Temperaturprotokoll!$C$18:$C$217,G$13,Temperaturprotokoll!$K$18:$K$217,"Zu niedrig")+COUNTIFS(Temperaturprotokoll!$C$18:$C$217,G$13,Temperaturprotokoll!$K$18:$K$217,"Kritisch"))</f>
        <v>1</v>
      </c>
      <c r="H24" s="107">
        <f>IF(H$13="","",COUNTIFS(Temperaturprotokoll!$C$18:$C$217,H$13,Temperaturprotokoll!$K$18:$K$217,"Zu hoch")+COUNTIFS(Temperaturprotokoll!$C$18:$C$217,H$13,Temperaturprotokoll!$K$18:$K$217,"Zu niedrig")+COUNTIFS(Temperaturprotokoll!$C$18:$C$217,H$13,Temperaturprotokoll!$K$18:$K$217,"Kritisch"))</f>
        <v>0</v>
      </c>
      <c r="I24" s="107">
        <f>IF(I$13="","",COUNTIFS(Temperaturprotokoll!$C$18:$C$217,I$13,Temperaturprotokoll!$K$18:$K$217,"Zu hoch")+COUNTIFS(Temperaturprotokoll!$C$18:$C$217,I$13,Temperaturprotokoll!$K$18:$K$217,"Zu niedrig")+COUNTIFS(Temperaturprotokoll!$C$18:$C$217,I$13,Temperaturprotokoll!$K$18:$K$217,"Kritisch"))</f>
        <v>0</v>
      </c>
      <c r="J24" s="107">
        <f>IF(J$13="","",COUNTIFS(Temperaturprotokoll!$C$18:$C$217,J$13,Temperaturprotokoll!$K$18:$K$217,"Zu hoch")+COUNTIFS(Temperaturprotokoll!$C$18:$C$217,J$13,Temperaturprotokoll!$K$18:$K$217,"Zu niedrig")+COUNTIFS(Temperaturprotokoll!$C$18:$C$217,J$13,Temperaturprotokoll!$K$18:$K$217,"Kritisch"))</f>
        <v>0</v>
      </c>
      <c r="K24" s="107">
        <f>IF(K$13="","",COUNTIFS(Temperaturprotokoll!$C$18:$C$217,K$13,Temperaturprotokoll!$K$18:$K$217,"Zu hoch")+COUNTIFS(Temperaturprotokoll!$C$18:$C$217,K$13,Temperaturprotokoll!$K$18:$K$217,"Zu niedrig")+COUNTIFS(Temperaturprotokoll!$C$18:$C$217,K$13,Temperaturprotokoll!$K$18:$K$217,"Kritisch"))</f>
        <v>1</v>
      </c>
      <c r="L24" s="107">
        <f>IF(L$13="","",COUNTIFS(Temperaturprotokoll!$C$18:$C$217,L$13,Temperaturprotokoll!$K$18:$K$217,"Zu hoch")+COUNTIFS(Temperaturprotokoll!$C$18:$C$217,L$13,Temperaturprotokoll!$K$18:$K$217,"Zu niedrig")+COUNTIFS(Temperaturprotokoll!$C$18:$C$217,L$13,Temperaturprotokoll!$K$18:$K$217,"Kritisch"))</f>
        <v>0</v>
      </c>
      <c r="M24" s="107">
        <f>IF(M$13="","",COUNTIFS(Temperaturprotokoll!$C$18:$C$217,M$13,Temperaturprotokoll!$K$18:$K$217,"Zu hoch")+COUNTIFS(Temperaturprotokoll!$C$18:$C$217,M$13,Temperaturprotokoll!$K$18:$K$217,"Zu niedrig")+COUNTIFS(Temperaturprotokoll!$C$18:$C$217,M$13,Temperaturprotokoll!$K$18:$K$217,"Kritisch"))</f>
        <v>1</v>
      </c>
      <c r="N24" s="107">
        <f>IF(N$13="","",COUNTIFS(Temperaturprotokoll!$C$18:$C$217,N$13,Temperaturprotokoll!$K$18:$K$217,"Zu hoch")+COUNTIFS(Temperaturprotokoll!$C$18:$C$217,N$13,Temperaturprotokoll!$K$18:$K$217,"Zu niedrig")+COUNTIFS(Temperaturprotokoll!$C$18:$C$217,N$13,Temperaturprotokoll!$K$18:$K$217,"Kritisch"))</f>
        <v>1</v>
      </c>
      <c r="O24" s="107">
        <f>IF(O$13="","",COUNTIFS(Temperaturprotokoll!$C$18:$C$217,O$13,Temperaturprotokoll!$K$18:$K$217,"Zu hoch")+COUNTIFS(Temperaturprotokoll!$C$18:$C$217,O$13,Temperaturprotokoll!$K$18:$K$217,"Zu niedrig")+COUNTIFS(Temperaturprotokoll!$C$18:$C$217,O$13,Temperaturprotokoll!$K$18:$K$217,"Kritisch"))</f>
        <v>0</v>
      </c>
      <c r="P24" s="107">
        <f>IF(P$13="","",COUNTIFS(Temperaturprotokoll!$C$18:$C$217,P$13,Temperaturprotokoll!$K$18:$K$217,"Zu hoch")+COUNTIFS(Temperaturprotokoll!$C$18:$C$217,P$13,Temperaturprotokoll!$K$18:$K$217,"Zu niedrig")+COUNTIFS(Temperaturprotokoll!$C$18:$C$217,P$13,Temperaturprotokoll!$K$18:$K$217,"Kritisch"))</f>
        <v>0</v>
      </c>
      <c r="Q24" s="107">
        <f>IF(Q$13="","",COUNTIFS(Temperaturprotokoll!$C$18:$C$217,Q$13,Temperaturprotokoll!$K$18:$K$217,"Zu hoch")+COUNTIFS(Temperaturprotokoll!$C$18:$C$217,Q$13,Temperaturprotokoll!$K$18:$K$217,"Zu niedrig")+COUNTIFS(Temperaturprotokoll!$C$18:$C$217,Q$13,Temperaturprotokoll!$K$18:$K$217,"Kritisch"))</f>
        <v>0</v>
      </c>
      <c r="R24" s="107">
        <f>IF(R$13="","",COUNTIFS(Temperaturprotokoll!$C$18:$C$217,R$13,Temperaturprotokoll!$K$18:$K$217,"Zu hoch")+COUNTIFS(Temperaturprotokoll!$C$18:$C$217,R$13,Temperaturprotokoll!$K$18:$K$217,"Zu niedrig")+COUNTIFS(Temperaturprotokoll!$C$18:$C$217,R$13,Temperaturprotokoll!$K$18:$K$217,"Kritisch"))</f>
        <v>0</v>
      </c>
      <c r="S24" s="107">
        <f>IF(S$13="","",COUNTIFS(Temperaturprotokoll!$C$18:$C$217,S$13,Temperaturprotokoll!$K$18:$K$217,"Zu hoch")+COUNTIFS(Temperaturprotokoll!$C$18:$C$217,S$13,Temperaturprotokoll!$K$18:$K$217,"Zu niedrig")+COUNTIFS(Temperaturprotokoll!$C$18:$C$217,S$13,Temperaturprotokoll!$K$18:$K$217,"Kritisch"))</f>
        <v>1</v>
      </c>
      <c r="T24" s="107">
        <f>IF(T$13="","",COUNTIFS(Temperaturprotokoll!$C$18:$C$217,T$13,Temperaturprotokoll!$K$18:$K$217,"Zu hoch")+COUNTIFS(Temperaturprotokoll!$C$18:$C$217,T$13,Temperaturprotokoll!$K$18:$K$217,"Zu niedrig")+COUNTIFS(Temperaturprotokoll!$C$18:$C$217,T$13,Temperaturprotokoll!$K$18:$K$217,"Kritisch"))</f>
        <v>0</v>
      </c>
      <c r="U24" s="107">
        <f>IF(U$13="","",COUNTIFS(Temperaturprotokoll!$C$18:$C$217,U$13,Temperaturprotokoll!$K$18:$K$217,"Zu hoch")+COUNTIFS(Temperaturprotokoll!$C$18:$C$217,U$13,Temperaturprotokoll!$K$18:$K$217,"Zu niedrig")+COUNTIFS(Temperaturprotokoll!$C$18:$C$217,U$13,Temperaturprotokoll!$K$18:$K$217,"Kritisch"))</f>
        <v>1</v>
      </c>
      <c r="V24" s="107">
        <f>IF(V$13="","",COUNTIFS(Temperaturprotokoll!$C$18:$C$217,V$13,Temperaturprotokoll!$K$18:$K$217,"Zu hoch")+COUNTIFS(Temperaturprotokoll!$C$18:$C$217,V$13,Temperaturprotokoll!$K$18:$K$217,"Zu niedrig")+COUNTIFS(Temperaturprotokoll!$C$18:$C$217,V$13,Temperaturprotokoll!$K$18:$K$217,"Kritisch"))</f>
        <v>0</v>
      </c>
      <c r="W24" s="107">
        <f>IF(W$13="","",COUNTIFS(Temperaturprotokoll!$C$18:$C$217,W$13,Temperaturprotokoll!$K$18:$K$217,"Zu hoch")+COUNTIFS(Temperaturprotokoll!$C$18:$C$217,W$13,Temperaturprotokoll!$K$18:$K$217,"Zu niedrig")+COUNTIFS(Temperaturprotokoll!$C$18:$C$217,W$13,Temperaturprotokoll!$K$18:$K$217,"Kritisch"))</f>
        <v>1</v>
      </c>
      <c r="X24" s="107">
        <f>IF(X$13="","",COUNTIFS(Temperaturprotokoll!$C$18:$C$217,X$13,Temperaturprotokoll!$K$18:$K$217,"Zu hoch")+COUNTIFS(Temperaturprotokoll!$C$18:$C$217,X$13,Temperaturprotokoll!$K$18:$K$217,"Zu niedrig")+COUNTIFS(Temperaturprotokoll!$C$18:$C$217,X$13,Temperaturprotokoll!$K$18:$K$217,"Kritisch"))</f>
        <v>1</v>
      </c>
      <c r="Y24" s="107">
        <f>IF(Y$13="","",COUNTIFS(Temperaturprotokoll!$C$18:$C$217,Y$13,Temperaturprotokoll!$K$18:$K$217,"Zu hoch")+COUNTIFS(Temperaturprotokoll!$C$18:$C$217,Y$13,Temperaturprotokoll!$K$18:$K$217,"Zu niedrig")+COUNTIFS(Temperaturprotokoll!$C$18:$C$217,Y$13,Temperaturprotokoll!$K$18:$K$217,"Kritisch"))</f>
        <v>1</v>
      </c>
      <c r="Z24" s="107">
        <f>IF(Z$13="","",COUNTIFS(Temperaturprotokoll!$C$18:$C$217,Z$13,Temperaturprotokoll!$K$18:$K$217,"Zu hoch")+COUNTIFS(Temperaturprotokoll!$C$18:$C$217,Z$13,Temperaturprotokoll!$K$18:$K$217,"Zu niedrig")+COUNTIFS(Temperaturprotokoll!$C$18:$C$217,Z$13,Temperaturprotokoll!$K$18:$K$217,"Kritisch"))</f>
        <v>0</v>
      </c>
      <c r="AA24" s="107">
        <f>IF(AA$13="","",COUNTIFS(Temperaturprotokoll!$C$18:$C$217,AA$13,Temperaturprotokoll!$K$18:$K$217,"Zu hoch")+COUNTIFS(Temperaturprotokoll!$C$18:$C$217,AA$13,Temperaturprotokoll!$K$18:$K$217,"Zu niedrig")+COUNTIFS(Temperaturprotokoll!$C$18:$C$217,AA$13,Temperaturprotokoll!$K$18:$K$217,"Kritisch"))</f>
        <v>0</v>
      </c>
      <c r="AB24" s="107">
        <f>IF(AB$13="","",COUNTIFS(Temperaturprotokoll!$C$18:$C$217,AB$13,Temperaturprotokoll!$K$18:$K$217,"Zu hoch")+COUNTIFS(Temperaturprotokoll!$C$18:$C$217,AB$13,Temperaturprotokoll!$K$18:$K$217,"Zu niedrig")+COUNTIFS(Temperaturprotokoll!$C$18:$C$217,AB$13,Temperaturprotokoll!$K$18:$K$217,"Kritisch"))</f>
        <v>0</v>
      </c>
      <c r="AC24" s="107">
        <f>IF(AC$13="","",COUNTIFS(Temperaturprotokoll!$C$18:$C$217,AC$13,Temperaturprotokoll!$K$18:$K$217,"Zu hoch")+COUNTIFS(Temperaturprotokoll!$C$18:$C$217,AC$13,Temperaturprotokoll!$K$18:$K$217,"Zu niedrig")+COUNTIFS(Temperaturprotokoll!$C$18:$C$217,AC$13,Temperaturprotokoll!$K$18:$K$217,"Kritisch"))</f>
        <v>0</v>
      </c>
      <c r="AD24" s="107">
        <f>IF(AD$13="","",COUNTIFS(Temperaturprotokoll!$C$18:$C$217,AD$13,Temperaturprotokoll!$K$18:$K$217,"Zu hoch")+COUNTIFS(Temperaturprotokoll!$C$18:$C$217,AD$13,Temperaturprotokoll!$K$18:$K$217,"Zu niedrig")+COUNTIFS(Temperaturprotokoll!$C$18:$C$217,AD$13,Temperaturprotokoll!$K$18:$K$217,"Kritisch"))</f>
        <v>0</v>
      </c>
      <c r="AE24" s="107">
        <f>IF(AE$13="","",COUNTIFS(Temperaturprotokoll!$C$18:$C$217,AE$13,Temperaturprotokoll!$K$18:$K$217,"Zu hoch")+COUNTIFS(Temperaturprotokoll!$C$18:$C$217,AE$13,Temperaturprotokoll!$K$18:$K$217,"Zu niedrig")+COUNTIFS(Temperaturprotokoll!$C$18:$C$217,AE$13,Temperaturprotokoll!$K$18:$K$217,"Kritisch"))</f>
        <v>0</v>
      </c>
      <c r="AF24" s="107">
        <f>IF(AF$13="","",COUNTIFS(Temperaturprotokoll!$C$18:$C$217,AF$13,Temperaturprotokoll!$K$18:$K$217,"Zu hoch")+COUNTIFS(Temperaturprotokoll!$C$18:$C$217,AF$13,Temperaturprotokoll!$K$18:$K$217,"Zu niedrig")+COUNTIFS(Temperaturprotokoll!$C$18:$C$217,AF$13,Temperaturprotokoll!$K$18:$K$217,"Kritisch"))</f>
        <v>0</v>
      </c>
      <c r="AG24" s="107" t="str">
        <f>IF(AG$13="","",COUNTIFS(Temperaturprotokoll!$C$18:$C$217,AG$13,Temperaturprotokoll!$K$18:$K$217,"Zu hoch")+COUNTIFS(Temperaturprotokoll!$C$18:$C$217,AG$13,Temperaturprotokoll!$K$18:$K$217,"Zu niedrig")+COUNTIFS(Temperaturprotokoll!$C$18:$C$217,AG$13,Temperaturprotokoll!$K$18:$K$217,"Kritisch"))</f>
        <v/>
      </c>
      <c r="AH24" s="108"/>
      <c r="AI24" s="108"/>
      <c r="AJ24" s="109">
        <f>SUM(AJ14:AJ23)</f>
        <v>173</v>
      </c>
      <c r="AK24" s="109">
        <f>SUM(AK14:AK23)</f>
        <v>1</v>
      </c>
      <c r="AL24" s="108"/>
      <c r="AM24" s="108"/>
      <c r="AN24" s="108"/>
      <c r="AO24" s="109">
        <f>SUM(AO14:AO23)</f>
        <v>9</v>
      </c>
      <c r="AP24" s="110">
        <f>IFERROR(COUNTIF(Temperaturprotokoll!$K$18:$K$217,"OK")/SUMPRODUCT((Temperaturprotokoll!$K$18:$K$217&lt;&gt;"")*1),"")</f>
        <v>0.94797687861271673</v>
      </c>
    </row>
    <row r="25" spans="2:42" ht="15" customHeight="1" x14ac:dyDescent="0.25">
      <c r="C25" s="49" t="s">
        <v>82</v>
      </c>
      <c r="D25" s="139" t="s">
        <v>83</v>
      </c>
      <c r="E25" s="139"/>
      <c r="F25" s="139"/>
      <c r="G25" s="139"/>
      <c r="H25" s="139"/>
      <c r="I25" s="139"/>
      <c r="J25" s="139"/>
      <c r="K25" s="51" t="s">
        <v>84</v>
      </c>
      <c r="L25" s="140" t="s">
        <v>85</v>
      </c>
      <c r="M25" s="140"/>
      <c r="N25" s="140"/>
      <c r="O25" s="140"/>
      <c r="P25" s="140"/>
      <c r="Q25" s="140"/>
      <c r="R25" s="140"/>
      <c r="S25" s="53" t="s">
        <v>86</v>
      </c>
      <c r="T25" s="141" t="s">
        <v>116</v>
      </c>
      <c r="U25" s="141"/>
      <c r="V25" s="141"/>
      <c r="W25" s="141"/>
      <c r="X25" s="141"/>
      <c r="Y25" s="141"/>
      <c r="Z25" s="141"/>
      <c r="AA25" s="55" t="s">
        <v>117</v>
      </c>
      <c r="AB25" s="142" t="s">
        <v>118</v>
      </c>
      <c r="AC25" s="142"/>
      <c r="AD25" s="142"/>
      <c r="AE25" s="142"/>
      <c r="AF25" s="142"/>
      <c r="AG25" s="142"/>
      <c r="AH25" s="142"/>
    </row>
    <row r="27" spans="2:42" ht="19.5" customHeight="1" x14ac:dyDescent="0.25">
      <c r="B27" s="30" t="s">
        <v>31</v>
      </c>
      <c r="C27" s="10" t="s">
        <v>119</v>
      </c>
      <c r="D27" s="10"/>
      <c r="E27" s="10"/>
      <c r="F27" s="10"/>
      <c r="G27" s="10"/>
      <c r="H27" s="10"/>
      <c r="I27" s="10"/>
      <c r="J27" s="10"/>
      <c r="K27" s="10"/>
      <c r="L27" s="10"/>
      <c r="M27" s="10"/>
      <c r="N27" s="10"/>
      <c r="O27" s="10"/>
      <c r="P27" s="9" t="s">
        <v>120</v>
      </c>
      <c r="Q27" s="9"/>
      <c r="R27" s="9"/>
      <c r="S27" s="9"/>
      <c r="T27" s="9"/>
      <c r="U27" s="9"/>
      <c r="V27" s="9"/>
      <c r="W27" s="9"/>
      <c r="X27" s="9"/>
      <c r="Y27" s="9"/>
      <c r="Z27" s="9"/>
      <c r="AA27" s="9"/>
      <c r="AB27" s="9"/>
      <c r="AC27" s="9"/>
      <c r="AD27" s="9"/>
      <c r="AE27" s="9"/>
      <c r="AF27" s="9"/>
      <c r="AG27" s="9"/>
      <c r="AH27" s="9"/>
      <c r="AI27" s="9"/>
      <c r="AJ27" s="9"/>
      <c r="AK27" s="9"/>
      <c r="AL27" s="9"/>
      <c r="AM27" s="9"/>
      <c r="AN27" s="9"/>
      <c r="AO27" s="9"/>
      <c r="AP27" s="9"/>
    </row>
    <row r="28" spans="2:42" ht="19.5" customHeight="1" x14ac:dyDescent="0.25">
      <c r="B28" s="111" t="s">
        <v>121</v>
      </c>
      <c r="C28" s="143" t="s">
        <v>122</v>
      </c>
      <c r="D28" s="143"/>
      <c r="E28" s="143"/>
      <c r="F28" s="143"/>
      <c r="G28" s="143"/>
      <c r="H28" s="143" t="s">
        <v>123</v>
      </c>
      <c r="I28" s="143"/>
      <c r="J28" s="143"/>
      <c r="K28" s="143"/>
      <c r="L28" s="143"/>
      <c r="M28" s="143" t="s">
        <v>124</v>
      </c>
      <c r="N28" s="143"/>
      <c r="O28" s="143"/>
      <c r="P28" s="143"/>
      <c r="Q28" s="143"/>
      <c r="R28" s="143" t="s">
        <v>125</v>
      </c>
      <c r="S28" s="143"/>
      <c r="T28" s="143"/>
      <c r="U28" s="143"/>
      <c r="V28" s="143"/>
      <c r="W28" s="143" t="s">
        <v>126</v>
      </c>
      <c r="X28" s="143"/>
      <c r="Y28" s="143"/>
      <c r="Z28" s="143"/>
      <c r="AA28" s="143"/>
      <c r="AB28" s="143" t="s">
        <v>127</v>
      </c>
      <c r="AC28" s="143"/>
      <c r="AD28" s="143"/>
      <c r="AE28" s="143"/>
      <c r="AF28" s="143"/>
      <c r="AG28" s="143"/>
      <c r="AH28" s="143" t="s">
        <v>43</v>
      </c>
      <c r="AI28" s="143"/>
      <c r="AJ28" s="143"/>
      <c r="AK28" s="143"/>
      <c r="AL28" s="143"/>
      <c r="AM28" s="143"/>
      <c r="AN28" s="143"/>
      <c r="AO28" s="143"/>
      <c r="AP28" s="143"/>
    </row>
    <row r="29" spans="2:42" ht="15.75" customHeight="1" x14ac:dyDescent="0.25">
      <c r="B29" s="112" t="s">
        <v>128</v>
      </c>
      <c r="C29" s="144">
        <f>COUNTIF(Stammdaten!$D$22:$D$31,$B29)</f>
        <v>2</v>
      </c>
      <c r="D29" s="144"/>
      <c r="E29" s="144"/>
      <c r="F29" s="144"/>
      <c r="G29" s="144"/>
      <c r="H29" s="144">
        <f>COUNTIFS(Temperaturprotokoll!$F$18:$F$217,$B29)</f>
        <v>60</v>
      </c>
      <c r="I29" s="144"/>
      <c r="J29" s="144"/>
      <c r="K29" s="144"/>
      <c r="L29" s="144"/>
      <c r="M29" s="145">
        <f>IFERROR(AVERAGEIFS(Temperaturprotokoll!$I$18:$I$217,Temperaturprotokoll!$F$18:$F$217,$B29),"")</f>
        <v>3.9416666666666669</v>
      </c>
      <c r="N29" s="145"/>
      <c r="O29" s="145"/>
      <c r="P29" s="145"/>
      <c r="Q29" s="145"/>
      <c r="R29" s="144">
        <f>COUNTIFS(Temperaturprotokoll!$F$18:$F$217,$B29,Temperaturprotokoll!$K$18:$K$217,"Zu hoch")+COUNTIFS(Temperaturprotokoll!$F$18:$F$217,$B29,Temperaturprotokoll!$K$18:$K$217,"Zu niedrig")+COUNTIFS(Temperaturprotokoll!$F$18:$F$217,$B29,Temperaturprotokoll!$K$18:$K$217,"Kritisch")</f>
        <v>3</v>
      </c>
      <c r="S29" s="144"/>
      <c r="T29" s="144"/>
      <c r="U29" s="144"/>
      <c r="V29" s="144"/>
      <c r="W29" s="144">
        <f>COUNTIFS(Temperaturprotokoll!$F$18:$F$217,$B29,Temperaturprotokoll!$K$18:$K$217,"Kritisch")</f>
        <v>1</v>
      </c>
      <c r="X29" s="144"/>
      <c r="Y29" s="144"/>
      <c r="Z29" s="144"/>
      <c r="AA29" s="144"/>
      <c r="AB29" s="146">
        <f>IFERROR(COUNTIFS(Temperaturprotokoll!$F$18:$F$217,$B29,Temperaturprotokoll!$K$18:$K$217,"OK")/COUNTIFS(Temperaturprotokoll!$F$18:$F$217,$B29),"")</f>
        <v>0.95</v>
      </c>
      <c r="AC29" s="146"/>
      <c r="AD29" s="146"/>
      <c r="AE29" s="146"/>
      <c r="AF29" s="146"/>
      <c r="AG29" s="146"/>
      <c r="AH29" s="147" t="str">
        <f>IF(COUNTIFS(Temperaturprotokoll!$F$18:$F$217,$B29)=0,"keine Messungen",IF(AB29&gt;=Ziel_Konformitaet,"Ziel erreicht",IF(AB29&gt;=Ziel_Konformitaet-0.05,"knapp unter Ziel","Maßnahmen erforderlich")))</f>
        <v>Ziel erreicht</v>
      </c>
      <c r="AI29" s="147"/>
      <c r="AJ29" s="147"/>
      <c r="AK29" s="147"/>
      <c r="AL29" s="147"/>
      <c r="AM29" s="147"/>
      <c r="AN29" s="147"/>
      <c r="AO29" s="147"/>
      <c r="AP29" s="147"/>
    </row>
    <row r="30" spans="2:42" ht="15.75" customHeight="1" x14ac:dyDescent="0.25">
      <c r="B30" s="112" t="s">
        <v>129</v>
      </c>
      <c r="C30" s="144">
        <f>COUNTIF(Stammdaten!$D$22:$D$31,$B30)</f>
        <v>1</v>
      </c>
      <c r="D30" s="144"/>
      <c r="E30" s="144"/>
      <c r="F30" s="144"/>
      <c r="G30" s="144"/>
      <c r="H30" s="144">
        <f>COUNTIFS(Temperaturprotokoll!$F$18:$F$217,$B30)</f>
        <v>30</v>
      </c>
      <c r="I30" s="144"/>
      <c r="J30" s="144"/>
      <c r="K30" s="144"/>
      <c r="L30" s="144"/>
      <c r="M30" s="145">
        <f>IFERROR(AVERAGEIFS(Temperaturprotokoll!$I$18:$I$217,Temperaturprotokoll!$F$18:$F$217,$B30),"")</f>
        <v>-20.293333333333337</v>
      </c>
      <c r="N30" s="145"/>
      <c r="O30" s="145"/>
      <c r="P30" s="145"/>
      <c r="Q30" s="145"/>
      <c r="R30" s="144">
        <f>COUNTIFS(Temperaturprotokoll!$F$18:$F$217,$B30,Temperaturprotokoll!$K$18:$K$217,"Zu hoch")+COUNTIFS(Temperaturprotokoll!$F$18:$F$217,$B30,Temperaturprotokoll!$K$18:$K$217,"Zu niedrig")+COUNTIFS(Temperaturprotokoll!$F$18:$F$217,$B30,Temperaturprotokoll!$K$18:$K$217,"Kritisch")</f>
        <v>1</v>
      </c>
      <c r="S30" s="144"/>
      <c r="T30" s="144"/>
      <c r="U30" s="144"/>
      <c r="V30" s="144"/>
      <c r="W30" s="144">
        <f>COUNTIFS(Temperaturprotokoll!$F$18:$F$217,$B30,Temperaturprotokoll!$K$18:$K$217,"Kritisch")</f>
        <v>0</v>
      </c>
      <c r="X30" s="144"/>
      <c r="Y30" s="144"/>
      <c r="Z30" s="144"/>
      <c r="AA30" s="144"/>
      <c r="AB30" s="146">
        <f>IFERROR(COUNTIFS(Temperaturprotokoll!$F$18:$F$217,$B30,Temperaturprotokoll!$K$18:$K$217,"OK")/COUNTIFS(Temperaturprotokoll!$F$18:$F$217,$B30),"")</f>
        <v>0.96666666666666667</v>
      </c>
      <c r="AC30" s="146"/>
      <c r="AD30" s="146"/>
      <c r="AE30" s="146"/>
      <c r="AF30" s="146"/>
      <c r="AG30" s="146"/>
      <c r="AH30" s="147" t="str">
        <f>IF(COUNTIFS(Temperaturprotokoll!$F$18:$F$217,$B30)=0,"keine Messungen",IF(AB30&gt;=Ziel_Konformitaet,"Ziel erreicht",IF(AB30&gt;=Ziel_Konformitaet-0.05,"knapp unter Ziel","Maßnahmen erforderlich")))</f>
        <v>Ziel erreicht</v>
      </c>
      <c r="AI30" s="147"/>
      <c r="AJ30" s="147"/>
      <c r="AK30" s="147"/>
      <c r="AL30" s="147"/>
      <c r="AM30" s="147"/>
      <c r="AN30" s="147"/>
      <c r="AO30" s="147"/>
      <c r="AP30" s="147"/>
    </row>
    <row r="31" spans="2:42" ht="15.75" customHeight="1" x14ac:dyDescent="0.25">
      <c r="B31" s="112" t="s">
        <v>130</v>
      </c>
      <c r="C31" s="144">
        <f>COUNTIF(Stammdaten!$D$22:$D$31,$B31)</f>
        <v>1</v>
      </c>
      <c r="D31" s="144"/>
      <c r="E31" s="144"/>
      <c r="F31" s="144"/>
      <c r="G31" s="144"/>
      <c r="H31" s="144">
        <f>COUNTIFS(Temperaturprotokoll!$F$18:$F$217,$B31)</f>
        <v>31</v>
      </c>
      <c r="I31" s="144"/>
      <c r="J31" s="144"/>
      <c r="K31" s="144"/>
      <c r="L31" s="144"/>
      <c r="M31" s="145">
        <f>IFERROR(AVERAGEIFS(Temperaturprotokoll!$I$18:$I$217,Temperaturprotokoll!$F$18:$F$217,$B31),"")</f>
        <v>70.341935483870969</v>
      </c>
      <c r="N31" s="145"/>
      <c r="O31" s="145"/>
      <c r="P31" s="145"/>
      <c r="Q31" s="145"/>
      <c r="R31" s="144">
        <f>COUNTIFS(Temperaturprotokoll!$F$18:$F$217,$B31,Temperaturprotokoll!$K$18:$K$217,"Zu hoch")+COUNTIFS(Temperaturprotokoll!$F$18:$F$217,$B31,Temperaturprotokoll!$K$18:$K$217,"Zu niedrig")+COUNTIFS(Temperaturprotokoll!$F$18:$F$217,$B31,Temperaturprotokoll!$K$18:$K$217,"Kritisch")</f>
        <v>2</v>
      </c>
      <c r="S31" s="144"/>
      <c r="T31" s="144"/>
      <c r="U31" s="144"/>
      <c r="V31" s="144"/>
      <c r="W31" s="144">
        <f>COUNTIFS(Temperaturprotokoll!$F$18:$F$217,$B31,Temperaturprotokoll!$K$18:$K$217,"Kritisch")</f>
        <v>1</v>
      </c>
      <c r="X31" s="144"/>
      <c r="Y31" s="144"/>
      <c r="Z31" s="144"/>
      <c r="AA31" s="144"/>
      <c r="AB31" s="146">
        <f>IFERROR(COUNTIFS(Temperaturprotokoll!$F$18:$F$217,$B31,Temperaturprotokoll!$K$18:$K$217,"OK")/COUNTIFS(Temperaturprotokoll!$F$18:$F$217,$B31),"")</f>
        <v>0.93548387096774188</v>
      </c>
      <c r="AC31" s="146"/>
      <c r="AD31" s="146"/>
      <c r="AE31" s="146"/>
      <c r="AF31" s="146"/>
      <c r="AG31" s="146"/>
      <c r="AH31" s="147" t="str">
        <f>IF(COUNTIFS(Temperaturprotokoll!$F$18:$F$217,$B31)=0,"keine Messungen",IF(AB31&gt;=Ziel_Konformitaet,"Ziel erreicht",IF(AB31&gt;=Ziel_Konformitaet-0.05,"knapp unter Ziel","Maßnahmen erforderlich")))</f>
        <v>knapp unter Ziel</v>
      </c>
      <c r="AI31" s="147"/>
      <c r="AJ31" s="147"/>
      <c r="AK31" s="147"/>
      <c r="AL31" s="147"/>
      <c r="AM31" s="147"/>
      <c r="AN31" s="147"/>
      <c r="AO31" s="147"/>
      <c r="AP31" s="147"/>
    </row>
    <row r="32" spans="2:42" ht="15.75" customHeight="1" x14ac:dyDescent="0.25">
      <c r="B32" s="112" t="s">
        <v>131</v>
      </c>
      <c r="C32" s="144">
        <f>COUNTIF(Stammdaten!$D$22:$D$31,$B32)</f>
        <v>1</v>
      </c>
      <c r="D32" s="144"/>
      <c r="E32" s="144"/>
      <c r="F32" s="144"/>
      <c r="G32" s="144"/>
      <c r="H32" s="144">
        <f>COUNTIFS(Temperaturprotokoll!$F$18:$F$217,$B32)</f>
        <v>22</v>
      </c>
      <c r="I32" s="144"/>
      <c r="J32" s="144"/>
      <c r="K32" s="144"/>
      <c r="L32" s="144"/>
      <c r="M32" s="145">
        <f>IFERROR(AVERAGEIFS(Temperaturprotokoll!$I$18:$I$217,Temperaturprotokoll!$F$18:$F$217,$B32),"")</f>
        <v>4.4636363636363638</v>
      </c>
      <c r="N32" s="145"/>
      <c r="O32" s="145"/>
      <c r="P32" s="145"/>
      <c r="Q32" s="145"/>
      <c r="R32" s="144">
        <f>COUNTIFS(Temperaturprotokoll!$F$18:$F$217,$B32,Temperaturprotokoll!$K$18:$K$217,"Zu hoch")+COUNTIFS(Temperaturprotokoll!$F$18:$F$217,$B32,Temperaturprotokoll!$K$18:$K$217,"Zu niedrig")+COUNTIFS(Temperaturprotokoll!$F$18:$F$217,$B32,Temperaturprotokoll!$K$18:$K$217,"Kritisch")</f>
        <v>1</v>
      </c>
      <c r="S32" s="144"/>
      <c r="T32" s="144"/>
      <c r="U32" s="144"/>
      <c r="V32" s="144"/>
      <c r="W32" s="144">
        <f>COUNTIFS(Temperaturprotokoll!$F$18:$F$217,$B32,Temperaturprotokoll!$K$18:$K$217,"Kritisch")</f>
        <v>0</v>
      </c>
      <c r="X32" s="144"/>
      <c r="Y32" s="144"/>
      <c r="Z32" s="144"/>
      <c r="AA32" s="144"/>
      <c r="AB32" s="146">
        <f>IFERROR(COUNTIFS(Temperaturprotokoll!$F$18:$F$217,$B32,Temperaturprotokoll!$K$18:$K$217,"OK")/COUNTIFS(Temperaturprotokoll!$F$18:$F$217,$B32),"")</f>
        <v>0.95454545454545459</v>
      </c>
      <c r="AC32" s="146"/>
      <c r="AD32" s="146"/>
      <c r="AE32" s="146"/>
      <c r="AF32" s="146"/>
      <c r="AG32" s="146"/>
      <c r="AH32" s="147" t="str">
        <f>IF(COUNTIFS(Temperaturprotokoll!$F$18:$F$217,$B32)=0,"keine Messungen",IF(AB32&gt;=Ziel_Konformitaet,"Ziel erreicht",IF(AB32&gt;=Ziel_Konformitaet-0.05,"knapp unter Ziel","Maßnahmen erforderlich")))</f>
        <v>Ziel erreicht</v>
      </c>
      <c r="AI32" s="147"/>
      <c r="AJ32" s="147"/>
      <c r="AK32" s="147"/>
      <c r="AL32" s="147"/>
      <c r="AM32" s="147"/>
      <c r="AN32" s="147"/>
      <c r="AO32" s="147"/>
      <c r="AP32" s="147"/>
    </row>
    <row r="33" spans="2:42" ht="15.75" customHeight="1" x14ac:dyDescent="0.25">
      <c r="B33" s="112" t="s">
        <v>132</v>
      </c>
      <c r="C33" s="144">
        <f>COUNTIF(Stammdaten!$D$22:$D$31,$B33)</f>
        <v>1</v>
      </c>
      <c r="D33" s="144"/>
      <c r="E33" s="144"/>
      <c r="F33" s="144"/>
      <c r="G33" s="144"/>
      <c r="H33" s="144">
        <f>COUNTIFS(Temperaturprotokoll!$F$18:$F$217,$B33)</f>
        <v>30</v>
      </c>
      <c r="I33" s="144"/>
      <c r="J33" s="144"/>
      <c r="K33" s="144"/>
      <c r="L33" s="144"/>
      <c r="M33" s="145">
        <f>IFERROR(AVERAGEIFS(Temperaturprotokoll!$I$18:$I$217,Temperaturprotokoll!$F$18:$F$217,$B33),"")</f>
        <v>16.973333333333333</v>
      </c>
      <c r="N33" s="145"/>
      <c r="O33" s="145"/>
      <c r="P33" s="145"/>
      <c r="Q33" s="145"/>
      <c r="R33" s="144">
        <f>COUNTIFS(Temperaturprotokoll!$F$18:$F$217,$B33,Temperaturprotokoll!$K$18:$K$217,"Zu hoch")+COUNTIFS(Temperaturprotokoll!$F$18:$F$217,$B33,Temperaturprotokoll!$K$18:$K$217,"Zu niedrig")+COUNTIFS(Temperaturprotokoll!$F$18:$F$217,$B33,Temperaturprotokoll!$K$18:$K$217,"Kritisch")</f>
        <v>2</v>
      </c>
      <c r="S33" s="144"/>
      <c r="T33" s="144"/>
      <c r="U33" s="144"/>
      <c r="V33" s="144"/>
      <c r="W33" s="144">
        <f>COUNTIFS(Temperaturprotokoll!$F$18:$F$217,$B33,Temperaturprotokoll!$K$18:$K$217,"Kritisch")</f>
        <v>0</v>
      </c>
      <c r="X33" s="144"/>
      <c r="Y33" s="144"/>
      <c r="Z33" s="144"/>
      <c r="AA33" s="144"/>
      <c r="AB33" s="146">
        <f>IFERROR(COUNTIFS(Temperaturprotokoll!$F$18:$F$217,$B33,Temperaturprotokoll!$K$18:$K$217,"OK")/COUNTIFS(Temperaturprotokoll!$F$18:$F$217,$B33),"")</f>
        <v>0.93333333333333335</v>
      </c>
      <c r="AC33" s="146"/>
      <c r="AD33" s="146"/>
      <c r="AE33" s="146"/>
      <c r="AF33" s="146"/>
      <c r="AG33" s="146"/>
      <c r="AH33" s="147" t="str">
        <f>IF(COUNTIFS(Temperaturprotokoll!$F$18:$F$217,$B33)=0,"keine Messungen",IF(AB33&gt;=Ziel_Konformitaet,"Ziel erreicht",IF(AB33&gt;=Ziel_Konformitaet-0.05,"knapp unter Ziel","Maßnahmen erforderlich")))</f>
        <v>knapp unter Ziel</v>
      </c>
      <c r="AI33" s="147"/>
      <c r="AJ33" s="147"/>
      <c r="AK33" s="147"/>
      <c r="AL33" s="147"/>
      <c r="AM33" s="147"/>
      <c r="AN33" s="147"/>
      <c r="AO33" s="147"/>
      <c r="AP33" s="147"/>
    </row>
    <row r="34" spans="2:42" ht="18" customHeight="1" x14ac:dyDescent="0.25">
      <c r="B34" s="113" t="s">
        <v>133</v>
      </c>
      <c r="C34" s="148">
        <f>SUM(C29:C33)</f>
        <v>6</v>
      </c>
      <c r="D34" s="148"/>
      <c r="E34" s="148"/>
      <c r="F34" s="148"/>
      <c r="G34" s="148"/>
      <c r="H34" s="148">
        <f>SUM(H29:H33)</f>
        <v>173</v>
      </c>
      <c r="I34" s="148"/>
      <c r="J34" s="148"/>
      <c r="K34" s="148"/>
      <c r="L34" s="148"/>
      <c r="M34" s="149"/>
      <c r="N34" s="149"/>
      <c r="O34" s="149"/>
      <c r="P34" s="149"/>
      <c r="Q34" s="149"/>
      <c r="R34" s="148">
        <f>SUM(R29:R33)</f>
        <v>9</v>
      </c>
      <c r="S34" s="148"/>
      <c r="T34" s="148"/>
      <c r="U34" s="148"/>
      <c r="V34" s="148"/>
      <c r="W34" s="148">
        <f>SUM(W29:W33)</f>
        <v>2</v>
      </c>
      <c r="X34" s="148"/>
      <c r="Y34" s="148"/>
      <c r="Z34" s="148"/>
      <c r="AA34" s="148"/>
      <c r="AB34" s="150">
        <f>IFERROR(COUNTIF(Temperaturprotokoll!$K$18:$K$217,"OK")/SUMPRODUCT((Temperaturprotokoll!$K$18:$K$217&lt;&gt;"")*1),"")</f>
        <v>0.94797687861271673</v>
      </c>
      <c r="AC34" s="150"/>
      <c r="AD34" s="150"/>
      <c r="AE34" s="150"/>
      <c r="AF34" s="150"/>
      <c r="AG34" s="150"/>
      <c r="AH34" s="149" t="str">
        <f>IF(IFERROR(COUNTIF(Temperaturprotokoll!$K$18:$K$217,"OK")/SUMPRODUCT((Temperaturprotokoll!$K$18:$K$217&lt;&gt;"")*1),0)&gt;=Ziel_Konformitaet,"Ziel-Konformität erreicht","Ziel-Konformität nicht erreicht")</f>
        <v>Ziel-Konformität erreicht</v>
      </c>
      <c r="AI34" s="149"/>
      <c r="AJ34" s="149"/>
      <c r="AK34" s="149"/>
      <c r="AL34" s="149"/>
      <c r="AM34" s="149"/>
      <c r="AN34" s="149"/>
      <c r="AO34" s="149"/>
      <c r="AP34" s="149"/>
    </row>
    <row r="36" spans="2:42" ht="19.5" customHeight="1" x14ac:dyDescent="0.25">
      <c r="B36" s="30" t="s">
        <v>134</v>
      </c>
      <c r="C36" s="10" t="s">
        <v>135</v>
      </c>
      <c r="D36" s="10"/>
      <c r="E36" s="10"/>
      <c r="F36" s="10"/>
      <c r="G36" s="10"/>
      <c r="H36" s="10"/>
      <c r="I36" s="10"/>
      <c r="J36" s="10"/>
      <c r="K36" s="10"/>
      <c r="L36" s="10"/>
      <c r="M36" s="10"/>
      <c r="N36" s="10"/>
      <c r="O36" s="10"/>
      <c r="P36" s="9" t="s">
        <v>136</v>
      </c>
      <c r="Q36" s="9"/>
      <c r="R36" s="9"/>
      <c r="S36" s="9"/>
      <c r="T36" s="9"/>
      <c r="U36" s="9"/>
      <c r="V36" s="9"/>
      <c r="W36" s="9"/>
      <c r="X36" s="9"/>
      <c r="Y36" s="9"/>
      <c r="Z36" s="9"/>
      <c r="AA36" s="9"/>
      <c r="AB36" s="9"/>
      <c r="AC36" s="9"/>
      <c r="AD36" s="9"/>
      <c r="AE36" s="9"/>
      <c r="AF36" s="9"/>
      <c r="AG36" s="9"/>
      <c r="AH36" s="9"/>
      <c r="AI36" s="9"/>
      <c r="AJ36" s="9"/>
      <c r="AK36" s="9"/>
      <c r="AL36" s="9"/>
      <c r="AM36" s="9"/>
      <c r="AN36" s="9"/>
      <c r="AO36" s="9"/>
      <c r="AP36" s="9"/>
    </row>
    <row r="37" spans="2:42" ht="19.5" customHeight="1" x14ac:dyDescent="0.25">
      <c r="B37" s="111" t="s">
        <v>137</v>
      </c>
      <c r="C37" s="143" t="s">
        <v>138</v>
      </c>
      <c r="D37" s="143"/>
      <c r="E37" s="143"/>
      <c r="F37" s="143"/>
      <c r="G37" s="143"/>
      <c r="H37" s="143"/>
      <c r="I37" s="143"/>
      <c r="J37" s="143"/>
      <c r="K37" s="143"/>
      <c r="L37" s="143"/>
      <c r="M37" s="143"/>
      <c r="N37" s="143"/>
      <c r="O37" s="143"/>
      <c r="P37" s="143"/>
      <c r="Q37" s="143"/>
      <c r="R37" s="143" t="s">
        <v>139</v>
      </c>
      <c r="S37" s="143"/>
      <c r="T37" s="143"/>
      <c r="U37" s="143"/>
      <c r="V37" s="143"/>
      <c r="W37" s="143"/>
      <c r="X37" s="143"/>
      <c r="Y37" s="143" t="s">
        <v>140</v>
      </c>
      <c r="Z37" s="143"/>
      <c r="AA37" s="143"/>
      <c r="AB37" s="143"/>
      <c r="AC37" s="143"/>
      <c r="AD37" s="143"/>
      <c r="AE37" s="143"/>
      <c r="AF37" s="143" t="s">
        <v>141</v>
      </c>
      <c r="AG37" s="143"/>
      <c r="AH37" s="143"/>
      <c r="AI37" s="143"/>
      <c r="AJ37" s="143"/>
      <c r="AK37" s="143"/>
      <c r="AL37" s="143"/>
      <c r="AM37" s="143"/>
      <c r="AN37" s="143"/>
      <c r="AO37" s="143"/>
      <c r="AP37" s="143"/>
    </row>
    <row r="38" spans="2:42" ht="15.75" customHeight="1" x14ac:dyDescent="0.25">
      <c r="B38" s="114">
        <v>1</v>
      </c>
      <c r="C38" s="151" t="s">
        <v>142</v>
      </c>
      <c r="D38" s="151"/>
      <c r="E38" s="151"/>
      <c r="F38" s="151"/>
      <c r="G38" s="151"/>
      <c r="H38" s="151"/>
      <c r="I38" s="151"/>
      <c r="J38" s="151"/>
      <c r="K38" s="151"/>
      <c r="L38" s="151"/>
      <c r="M38" s="151"/>
      <c r="N38" s="151"/>
      <c r="O38" s="151"/>
      <c r="P38" s="151"/>
      <c r="Q38" s="151"/>
      <c r="R38" s="152">
        <f>SUM($AK$14:$AK$23)</f>
        <v>1</v>
      </c>
      <c r="S38" s="152"/>
      <c r="T38" s="152"/>
      <c r="U38" s="152"/>
      <c r="V38" s="152"/>
      <c r="W38" s="152"/>
      <c r="X38" s="152"/>
      <c r="Y38" s="153" t="str">
        <f>IF(SUM($AK$14:$AK$23)=0,"OK","PRÜFEN")</f>
        <v>PRÜFEN</v>
      </c>
      <c r="Z38" s="153"/>
      <c r="AA38" s="153"/>
      <c r="AB38" s="153"/>
      <c r="AC38" s="153"/>
      <c r="AD38" s="153"/>
      <c r="AE38" s="153"/>
      <c r="AF38" s="154" t="s">
        <v>143</v>
      </c>
      <c r="AG38" s="154"/>
      <c r="AH38" s="154"/>
      <c r="AI38" s="154"/>
      <c r="AJ38" s="154"/>
      <c r="AK38" s="154"/>
      <c r="AL38" s="154"/>
      <c r="AM38" s="154"/>
      <c r="AN38" s="154"/>
      <c r="AO38" s="154"/>
      <c r="AP38" s="154"/>
    </row>
    <row r="39" spans="2:42" ht="15.75" customHeight="1" x14ac:dyDescent="0.25">
      <c r="B39" s="114">
        <v>2</v>
      </c>
      <c r="C39" s="151" t="s">
        <v>144</v>
      </c>
      <c r="D39" s="151"/>
      <c r="E39" s="151"/>
      <c r="F39" s="151"/>
      <c r="G39" s="151"/>
      <c r="H39" s="151"/>
      <c r="I39" s="151"/>
      <c r="J39" s="151"/>
      <c r="K39" s="151"/>
      <c r="L39" s="151"/>
      <c r="M39" s="151"/>
      <c r="N39" s="151"/>
      <c r="O39" s="151"/>
      <c r="P39" s="151"/>
      <c r="Q39" s="151"/>
      <c r="R39" s="152">
        <f>SUMPRODUCT((Temperaturprotokoll!$L$18:$L$217="Ja")*(Temperaturprotokoll!$M$18:$M$217=""))</f>
        <v>0</v>
      </c>
      <c r="S39" s="152"/>
      <c r="T39" s="152"/>
      <c r="U39" s="152"/>
      <c r="V39" s="152"/>
      <c r="W39" s="152"/>
      <c r="X39" s="152"/>
      <c r="Y39" s="153" t="str">
        <f>IF(SUMPRODUCT((Temperaturprotokoll!$L$18:$L$217="Ja")*(Temperaturprotokoll!$M$18:$M$217=""))=0,"OK","PRÜFEN")</f>
        <v>OK</v>
      </c>
      <c r="Z39" s="153"/>
      <c r="AA39" s="153"/>
      <c r="AB39" s="153"/>
      <c r="AC39" s="153"/>
      <c r="AD39" s="153"/>
      <c r="AE39" s="153"/>
      <c r="AF39" s="154" t="s">
        <v>145</v>
      </c>
      <c r="AG39" s="154"/>
      <c r="AH39" s="154"/>
      <c r="AI39" s="154"/>
      <c r="AJ39" s="154"/>
      <c r="AK39" s="154"/>
      <c r="AL39" s="154"/>
      <c r="AM39" s="154"/>
      <c r="AN39" s="154"/>
      <c r="AO39" s="154"/>
      <c r="AP39" s="154"/>
    </row>
    <row r="40" spans="2:42" ht="15.75" customHeight="1" x14ac:dyDescent="0.25">
      <c r="B40" s="114">
        <v>3</v>
      </c>
      <c r="C40" s="151" t="s">
        <v>146</v>
      </c>
      <c r="D40" s="151"/>
      <c r="E40" s="151"/>
      <c r="F40" s="151"/>
      <c r="G40" s="151"/>
      <c r="H40" s="151"/>
      <c r="I40" s="151"/>
      <c r="J40" s="151"/>
      <c r="K40" s="151"/>
      <c r="L40" s="151"/>
      <c r="M40" s="151"/>
      <c r="N40" s="151"/>
      <c r="O40" s="151"/>
      <c r="P40" s="151"/>
      <c r="Q40" s="151"/>
      <c r="R40" s="152">
        <f>COUNTIFS(Temperaturprotokoll!$L$18:$L$217,"Ja",Temperaturprotokoll!$N$18:$N$217,"Offen")+COUNTIFS(Temperaturprotokoll!$L$18:$L$217,"Ja",Temperaturprotokoll!$N$18:$N$217,"In Bearbeitung")</f>
        <v>2</v>
      </c>
      <c r="S40" s="152"/>
      <c r="T40" s="152"/>
      <c r="U40" s="152"/>
      <c r="V40" s="152"/>
      <c r="W40" s="152"/>
      <c r="X40" s="152"/>
      <c r="Y40" s="153" t="str">
        <f>IF(COUNTIFS(Temperaturprotokoll!$L$18:$L$217,"Ja",Temperaturprotokoll!$N$18:$N$217,"Offen")+COUNTIFS(Temperaturprotokoll!$L$18:$L$217,"Ja",Temperaturprotokoll!$N$18:$N$217,"In Bearbeitung")=0,"OK","PRÜFEN")</f>
        <v>PRÜFEN</v>
      </c>
      <c r="Z40" s="153"/>
      <c r="AA40" s="153"/>
      <c r="AB40" s="153"/>
      <c r="AC40" s="153"/>
      <c r="AD40" s="153"/>
      <c r="AE40" s="153"/>
      <c r="AF40" s="154" t="s">
        <v>147</v>
      </c>
      <c r="AG40" s="154"/>
      <c r="AH40" s="154"/>
      <c r="AI40" s="154"/>
      <c r="AJ40" s="154"/>
      <c r="AK40" s="154"/>
      <c r="AL40" s="154"/>
      <c r="AM40" s="154"/>
      <c r="AN40" s="154"/>
      <c r="AO40" s="154"/>
      <c r="AP40" s="154"/>
    </row>
    <row r="41" spans="2:42" ht="15.75" customHeight="1" x14ac:dyDescent="0.25">
      <c r="B41" s="114">
        <v>4</v>
      </c>
      <c r="C41" s="151" t="s">
        <v>148</v>
      </c>
      <c r="D41" s="151"/>
      <c r="E41" s="151"/>
      <c r="F41" s="151"/>
      <c r="G41" s="151"/>
      <c r="H41" s="151"/>
      <c r="I41" s="151"/>
      <c r="J41" s="151"/>
      <c r="K41" s="151"/>
      <c r="L41" s="151"/>
      <c r="M41" s="151"/>
      <c r="N41" s="151"/>
      <c r="O41" s="151"/>
      <c r="P41" s="151"/>
      <c r="Q41" s="151"/>
      <c r="R41" s="155">
        <f>IFERROR(COUNTIF(Temperaturprotokoll!$K$18:$K$217,"OK")/SUMPRODUCT((Temperaturprotokoll!$K$18:$K$217&lt;&gt;"")*1),"")</f>
        <v>0.94797687861271673</v>
      </c>
      <c r="S41" s="155"/>
      <c r="T41" s="155"/>
      <c r="U41" s="155"/>
      <c r="V41" s="155"/>
      <c r="W41" s="155"/>
      <c r="X41" s="155"/>
      <c r="Y41" s="153" t="str">
        <f>IF(IFERROR(COUNTIF(Temperaturprotokoll!$K$18:$K$217,"OK")/SUMPRODUCT((Temperaturprotokoll!$K$18:$K$217&lt;&gt;"")*1),0)&gt;=Ziel_Konformitaet,"OK","PRÜFEN")</f>
        <v>OK</v>
      </c>
      <c r="Z41" s="153"/>
      <c r="AA41" s="153"/>
      <c r="AB41" s="153"/>
      <c r="AC41" s="153"/>
      <c r="AD41" s="153"/>
      <c r="AE41" s="153"/>
      <c r="AF41" s="154" t="s">
        <v>149</v>
      </c>
      <c r="AG41" s="154"/>
      <c r="AH41" s="154"/>
      <c r="AI41" s="154"/>
      <c r="AJ41" s="154"/>
      <c r="AK41" s="154"/>
      <c r="AL41" s="154"/>
      <c r="AM41" s="154"/>
      <c r="AN41" s="154"/>
      <c r="AO41" s="154"/>
      <c r="AP41" s="154"/>
    </row>
    <row r="42" spans="2:42" ht="15.75" customHeight="1" x14ac:dyDescent="0.25">
      <c r="B42" s="114">
        <v>5</v>
      </c>
      <c r="C42" s="151" t="s">
        <v>150</v>
      </c>
      <c r="D42" s="151"/>
      <c r="E42" s="151"/>
      <c r="F42" s="151"/>
      <c r="G42" s="151"/>
      <c r="H42" s="151"/>
      <c r="I42" s="151"/>
      <c r="J42" s="151"/>
      <c r="K42" s="151"/>
      <c r="L42" s="151"/>
      <c r="M42" s="151"/>
      <c r="N42" s="151"/>
      <c r="O42" s="151"/>
      <c r="P42" s="151"/>
      <c r="Q42" s="151"/>
      <c r="R42" s="152">
        <f>COUNTIF(Temperaturprotokoll!$K$18:$K$217,"Kritisch")</f>
        <v>2</v>
      </c>
      <c r="S42" s="152"/>
      <c r="T42" s="152"/>
      <c r="U42" s="152"/>
      <c r="V42" s="152"/>
      <c r="W42" s="152"/>
      <c r="X42" s="152"/>
      <c r="Y42" s="153" t="str">
        <f>IF(COUNTIF(Temperaturprotokoll!$K$18:$K$217,"Kritisch")=0,"OK","PRÜFEN")</f>
        <v>PRÜFEN</v>
      </c>
      <c r="Z42" s="153"/>
      <c r="AA42" s="153"/>
      <c r="AB42" s="153"/>
      <c r="AC42" s="153"/>
      <c r="AD42" s="153"/>
      <c r="AE42" s="153"/>
      <c r="AF42" s="154" t="s">
        <v>151</v>
      </c>
      <c r="AG42" s="154"/>
      <c r="AH42" s="154"/>
      <c r="AI42" s="154"/>
      <c r="AJ42" s="154"/>
      <c r="AK42" s="154"/>
      <c r="AL42" s="154"/>
      <c r="AM42" s="154"/>
      <c r="AN42" s="154"/>
      <c r="AO42" s="154"/>
      <c r="AP42" s="154"/>
    </row>
    <row r="43" spans="2:42" ht="15.75" customHeight="1" x14ac:dyDescent="0.25">
      <c r="B43" s="114">
        <v>6</v>
      </c>
      <c r="C43" s="151" t="s">
        <v>152</v>
      </c>
      <c r="D43" s="151"/>
      <c r="E43" s="151"/>
      <c r="F43" s="151"/>
      <c r="G43" s="151"/>
      <c r="H43" s="151"/>
      <c r="I43" s="151"/>
      <c r="J43" s="151"/>
      <c r="K43" s="151"/>
      <c r="L43" s="151"/>
      <c r="M43" s="151"/>
      <c r="N43" s="151"/>
      <c r="O43" s="151"/>
      <c r="P43" s="151"/>
      <c r="Q43" s="151"/>
      <c r="R43" s="152">
        <f>SUMPRODUCT((Temperaturprotokoll!$I$18:$I$217&lt;&gt;"")*(Temperaturprotokoll!$O$18:$O$217=""))</f>
        <v>0</v>
      </c>
      <c r="S43" s="152"/>
      <c r="T43" s="152"/>
      <c r="U43" s="152"/>
      <c r="V43" s="152"/>
      <c r="W43" s="152"/>
      <c r="X43" s="152"/>
      <c r="Y43" s="153" t="str">
        <f>IF(SUMPRODUCT((Temperaturprotokoll!$I$18:$I$217&lt;&gt;"")*(Temperaturprotokoll!$O$18:$O$217=""))=0,"OK","PRÜFEN")</f>
        <v>OK</v>
      </c>
      <c r="Z43" s="153"/>
      <c r="AA43" s="153"/>
      <c r="AB43" s="153"/>
      <c r="AC43" s="153"/>
      <c r="AD43" s="153"/>
      <c r="AE43" s="153"/>
      <c r="AF43" s="154" t="s">
        <v>153</v>
      </c>
      <c r="AG43" s="154"/>
      <c r="AH43" s="154"/>
      <c r="AI43" s="154"/>
      <c r="AJ43" s="154"/>
      <c r="AK43" s="154"/>
      <c r="AL43" s="154"/>
      <c r="AM43" s="154"/>
      <c r="AN43" s="154"/>
      <c r="AO43" s="154"/>
      <c r="AP43" s="154"/>
    </row>
    <row r="44" spans="2:42" ht="15.75" customHeight="1" x14ac:dyDescent="0.25">
      <c r="B44" s="114">
        <v>7</v>
      </c>
      <c r="C44" s="151" t="s">
        <v>154</v>
      </c>
      <c r="D44" s="151"/>
      <c r="E44" s="151"/>
      <c r="F44" s="151"/>
      <c r="G44" s="151"/>
      <c r="H44" s="151"/>
      <c r="I44" s="151"/>
      <c r="J44" s="151"/>
      <c r="K44" s="151"/>
      <c r="L44" s="151"/>
      <c r="M44" s="151"/>
      <c r="N44" s="151"/>
      <c r="O44" s="151"/>
      <c r="P44" s="151"/>
      <c r="Q44" s="151"/>
      <c r="R44" s="156">
        <f>Stammdaten!$D$18</f>
        <v>46429</v>
      </c>
      <c r="S44" s="156"/>
      <c r="T44" s="156"/>
      <c r="U44" s="156"/>
      <c r="V44" s="156"/>
      <c r="W44" s="156"/>
      <c r="X44" s="156"/>
      <c r="Y44" s="153" t="str">
        <f>IF(Stammdaten!$D$18&gt;Monatsende,"OK","PRÜFEN")</f>
        <v>OK</v>
      </c>
      <c r="Z44" s="153"/>
      <c r="AA44" s="153"/>
      <c r="AB44" s="153"/>
      <c r="AC44" s="153"/>
      <c r="AD44" s="153"/>
      <c r="AE44" s="153"/>
      <c r="AF44" s="154" t="s">
        <v>155</v>
      </c>
      <c r="AG44" s="154"/>
      <c r="AH44" s="154"/>
      <c r="AI44" s="154"/>
      <c r="AJ44" s="154"/>
      <c r="AK44" s="154"/>
      <c r="AL44" s="154"/>
      <c r="AM44" s="154"/>
      <c r="AN44" s="154"/>
      <c r="AO44" s="154"/>
      <c r="AP44" s="154"/>
    </row>
    <row r="46" spans="2:42" ht="19.5" customHeight="1" x14ac:dyDescent="0.25">
      <c r="B46" s="30" t="s">
        <v>156</v>
      </c>
      <c r="C46" s="10" t="s">
        <v>157</v>
      </c>
      <c r="D46" s="10"/>
      <c r="E46" s="10"/>
      <c r="F46" s="10"/>
      <c r="G46" s="10"/>
      <c r="H46" s="10"/>
      <c r="I46" s="10"/>
      <c r="J46" s="10"/>
      <c r="K46" s="10"/>
      <c r="L46" s="10"/>
      <c r="M46" s="10"/>
      <c r="N46" s="10"/>
      <c r="O46" s="10"/>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row>
    <row r="47" spans="2:42" ht="13.5" customHeight="1" x14ac:dyDescent="0.25"/>
    <row r="48" spans="2:42"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sheetData>
  <mergeCells count="130">
    <mergeCell ref="C46:O46"/>
    <mergeCell ref="P46:AP46"/>
    <mergeCell ref="C42:Q42"/>
    <mergeCell ref="R42:X42"/>
    <mergeCell ref="Y42:AE42"/>
    <mergeCell ref="AF42:AP42"/>
    <mergeCell ref="C43:Q43"/>
    <mergeCell ref="R43:X43"/>
    <mergeCell ref="Y43:AE43"/>
    <mergeCell ref="AF43:AP43"/>
    <mergeCell ref="C44:Q44"/>
    <mergeCell ref="R44:X44"/>
    <mergeCell ref="Y44:AE44"/>
    <mergeCell ref="AF44:AP44"/>
    <mergeCell ref="C39:Q39"/>
    <mergeCell ref="R39:X39"/>
    <mergeCell ref="Y39:AE39"/>
    <mergeCell ref="AF39:AP39"/>
    <mergeCell ref="C40:Q40"/>
    <mergeCell ref="R40:X40"/>
    <mergeCell ref="Y40:AE40"/>
    <mergeCell ref="AF40:AP40"/>
    <mergeCell ref="C41:Q41"/>
    <mergeCell ref="R41:X41"/>
    <mergeCell ref="Y41:AE41"/>
    <mergeCell ref="AF41:AP41"/>
    <mergeCell ref="C36:O36"/>
    <mergeCell ref="P36:AP36"/>
    <mergeCell ref="C37:Q37"/>
    <mergeCell ref="R37:X37"/>
    <mergeCell ref="Y37:AE37"/>
    <mergeCell ref="AF37:AP37"/>
    <mergeCell ref="C38:Q38"/>
    <mergeCell ref="R38:X38"/>
    <mergeCell ref="Y38:AE38"/>
    <mergeCell ref="AF38:AP38"/>
    <mergeCell ref="C33:G33"/>
    <mergeCell ref="H33:L33"/>
    <mergeCell ref="M33:Q33"/>
    <mergeCell ref="R33:V33"/>
    <mergeCell ref="W33:AA33"/>
    <mergeCell ref="AB33:AG33"/>
    <mergeCell ref="AH33:AP33"/>
    <mergeCell ref="C34:G34"/>
    <mergeCell ref="H34:L34"/>
    <mergeCell ref="M34:Q34"/>
    <mergeCell ref="R34:V34"/>
    <mergeCell ref="W34:AA34"/>
    <mergeCell ref="AB34:AG34"/>
    <mergeCell ref="AH34:AP34"/>
    <mergeCell ref="C31:G31"/>
    <mergeCell ref="H31:L31"/>
    <mergeCell ref="M31:Q31"/>
    <mergeCell ref="R31:V31"/>
    <mergeCell ref="W31:AA31"/>
    <mergeCell ref="AB31:AG31"/>
    <mergeCell ref="AH31:AP31"/>
    <mergeCell ref="C32:G32"/>
    <mergeCell ref="H32:L32"/>
    <mergeCell ref="M32:Q32"/>
    <mergeCell ref="R32:V32"/>
    <mergeCell ref="W32:AA32"/>
    <mergeCell ref="AB32:AG32"/>
    <mergeCell ref="AH32:AP32"/>
    <mergeCell ref="C29:G29"/>
    <mergeCell ref="H29:L29"/>
    <mergeCell ref="M29:Q29"/>
    <mergeCell ref="R29:V29"/>
    <mergeCell ref="W29:AA29"/>
    <mergeCell ref="AB29:AG29"/>
    <mergeCell ref="AH29:AP29"/>
    <mergeCell ref="C30:G30"/>
    <mergeCell ref="H30:L30"/>
    <mergeCell ref="M30:Q30"/>
    <mergeCell ref="R30:V30"/>
    <mergeCell ref="W30:AA30"/>
    <mergeCell ref="AB30:AG30"/>
    <mergeCell ref="AH30:AP30"/>
    <mergeCell ref="D25:J25"/>
    <mergeCell ref="L25:R25"/>
    <mergeCell ref="T25:Z25"/>
    <mergeCell ref="AB25:AH25"/>
    <mergeCell ref="C27:O27"/>
    <mergeCell ref="P27:AP27"/>
    <mergeCell ref="C28:G28"/>
    <mergeCell ref="H28:L28"/>
    <mergeCell ref="M28:Q28"/>
    <mergeCell ref="R28:V28"/>
    <mergeCell ref="W28:AA28"/>
    <mergeCell ref="AB28:AG28"/>
    <mergeCell ref="AH28:AP28"/>
    <mergeCell ref="C11:O11"/>
    <mergeCell ref="P11:AP11"/>
    <mergeCell ref="B12:B13"/>
    <mergeCell ref="AH12:AH13"/>
    <mergeCell ref="AI12:AI13"/>
    <mergeCell ref="AJ12:AJ13"/>
    <mergeCell ref="AK12:AK13"/>
    <mergeCell ref="AL12:AL13"/>
    <mergeCell ref="AM12:AM13"/>
    <mergeCell ref="AN12:AN13"/>
    <mergeCell ref="AO12:AO13"/>
    <mergeCell ref="AP12:AP13"/>
    <mergeCell ref="C8:G8"/>
    <mergeCell ref="H8:L8"/>
    <mergeCell ref="M8:Q8"/>
    <mergeCell ref="R8:V8"/>
    <mergeCell ref="W8:AA8"/>
    <mergeCell ref="AB8:AG8"/>
    <mergeCell ref="AH8:AP8"/>
    <mergeCell ref="C9:G9"/>
    <mergeCell ref="H9:L9"/>
    <mergeCell ref="M9:Q9"/>
    <mergeCell ref="R9:V9"/>
    <mergeCell ref="W9:AA9"/>
    <mergeCell ref="AB9:AG9"/>
    <mergeCell ref="AH9:AP9"/>
    <mergeCell ref="B2:X2"/>
    <mergeCell ref="Y2:AP2"/>
    <mergeCell ref="B3:X3"/>
    <mergeCell ref="Y3:AP3"/>
    <mergeCell ref="C6:O6"/>
    <mergeCell ref="P6:AP6"/>
    <mergeCell ref="C7:G7"/>
    <mergeCell ref="H7:L7"/>
    <mergeCell ref="M7:Q7"/>
    <mergeCell ref="R7:V7"/>
    <mergeCell ref="W7:AA7"/>
    <mergeCell ref="AB7:AG7"/>
    <mergeCell ref="AH7:AP7"/>
  </mergeCells>
  <conditionalFormatting sqref="C14:AG23">
    <cfRule type="expression" dxfId="16" priority="2">
      <formula>IF($B14="",0,IF(C14="",0,IF(C14&gt;$AI14+$B$1,1,0)))</formula>
    </cfRule>
    <cfRule type="expression" dxfId="15" priority="3">
      <formula>IF($B14="",0,IF(C14="",0,IF(C14&lt;$AH14-$B$1,1,0)))</formula>
    </cfRule>
    <cfRule type="expression" dxfId="14" priority="4">
      <formula>IF($B14="",0,IF(C14="",0,IF(C14&gt;$AI14,1,0)))</formula>
    </cfRule>
    <cfRule type="expression" dxfId="13" priority="5">
      <formula>IF($B14="",0,IF(C14="",0,IF(C14&lt;$AH14,1,0)))</formula>
    </cfRule>
    <cfRule type="expression" dxfId="12" priority="6">
      <formula>IF($B14="",0,IF(C$13="",0,IF(C14="",1,0)))</formula>
    </cfRule>
  </conditionalFormatting>
  <conditionalFormatting sqref="C24:AG24">
    <cfRule type="expression" dxfId="11" priority="11">
      <formula>C24&gt;0</formula>
    </cfRule>
  </conditionalFormatting>
  <conditionalFormatting sqref="Y38:AE44">
    <cfRule type="expression" dxfId="10" priority="17">
      <formula>$Y38="OK"</formula>
    </cfRule>
    <cfRule type="expression" dxfId="9" priority="18">
      <formula>$Y38="PRÜFEN"</formula>
    </cfRule>
  </conditionalFormatting>
  <conditionalFormatting sqref="AB29:AG33">
    <cfRule type="expression" dxfId="8" priority="12">
      <formula>IF($AB29="",0,IF($AB29&gt;=$A$1,1,0))</formula>
    </cfRule>
    <cfRule type="expression" dxfId="7" priority="13">
      <formula>IF($AB29="",0,IF($AB29&lt;$A$1,1,0))</formula>
    </cfRule>
  </conditionalFormatting>
  <conditionalFormatting sqref="AH29:AP33">
    <cfRule type="expression" dxfId="6" priority="14">
      <formula>$AH29="Ziel erreicht"</formula>
    </cfRule>
    <cfRule type="expression" dxfId="5" priority="15">
      <formula>$AH29="knapp unter Ziel"</formula>
    </cfRule>
    <cfRule type="expression" dxfId="4" priority="16">
      <formula>$AH29="Maßnahmen erforderlich"</formula>
    </cfRule>
  </conditionalFormatting>
  <conditionalFormatting sqref="AK14:AK23">
    <cfRule type="expression" dxfId="3" priority="7">
      <formula>$AK14&gt;0</formula>
    </cfRule>
  </conditionalFormatting>
  <conditionalFormatting sqref="AO14:AO23">
    <cfRule type="expression" dxfId="2" priority="8">
      <formula>$AO14&gt;0</formula>
    </cfRule>
  </conditionalFormatting>
  <conditionalFormatting sqref="AP14:AP23">
    <cfRule type="expression" dxfId="1" priority="9">
      <formula>IF($AP14="",0,IF($AP14&gt;=$A$1,1,0))</formula>
    </cfRule>
    <cfRule type="expression" dxfId="0" priority="10">
      <formula>IF($AP14="",0,IF($AP14&lt;$A$1,1,0))</formula>
    </cfRule>
  </conditionalFormatting>
  <pageMargins left="0.3" right="0.3" top="0.4" bottom="0.4" header="0.511811023622047" footer="0.511811023622047"/>
  <pageSetup paperSize="9" fitToHeight="3" orientation="landscape" horizontalDpi="300" verticalDpi="300"/>
  <rowBreaks count="1" manualBreakCount="1">
    <brk id="45"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71"/>
  <sheetViews>
    <sheetView showGridLines="0" zoomScaleNormal="100" workbookViewId="0"/>
  </sheetViews>
  <sheetFormatPr baseColWidth="10" defaultColWidth="8.7109375" defaultRowHeight="15" x14ac:dyDescent="0.25"/>
  <cols>
    <col min="1" max="1" width="2" customWidth="1"/>
    <col min="2" max="2" width="5" customWidth="1"/>
    <col min="3" max="3" width="32" customWidth="1"/>
    <col min="4" max="4" width="17" customWidth="1"/>
    <col min="5" max="6" width="10" customWidth="1"/>
    <col min="7" max="7" width="11" customWidth="1"/>
    <col min="8" max="8" width="13" customWidth="1"/>
    <col min="9" max="9" width="16" customWidth="1"/>
    <col min="10" max="10" width="22" customWidth="1"/>
    <col min="11" max="11" width="27" customWidth="1"/>
  </cols>
  <sheetData>
    <row r="1" spans="2:11" ht="6" customHeight="1" x14ac:dyDescent="0.25"/>
    <row r="2" spans="2:11" ht="30" customHeight="1" x14ac:dyDescent="0.25">
      <c r="B2" s="14" t="s">
        <v>158</v>
      </c>
      <c r="C2" s="14"/>
      <c r="D2" s="14"/>
      <c r="E2" s="14"/>
      <c r="F2" s="14"/>
      <c r="G2" s="14"/>
      <c r="H2" s="13" t="s">
        <v>92</v>
      </c>
      <c r="I2" s="13"/>
      <c r="J2" s="13"/>
      <c r="K2" s="13"/>
    </row>
    <row r="3" spans="2:11" ht="16.5" customHeight="1" x14ac:dyDescent="0.25">
      <c r="B3" s="12" t="s">
        <v>159</v>
      </c>
      <c r="C3" s="12"/>
      <c r="D3" s="12"/>
      <c r="E3" s="12"/>
      <c r="F3" s="12"/>
      <c r="G3" s="12"/>
      <c r="H3" s="11" t="s">
        <v>160</v>
      </c>
      <c r="I3" s="11"/>
      <c r="J3" s="11"/>
      <c r="K3" s="11"/>
    </row>
    <row r="4" spans="2:11" ht="4.5" customHeight="1" x14ac:dyDescent="0.25">
      <c r="B4" s="15"/>
      <c r="C4" s="115"/>
      <c r="D4" s="67"/>
      <c r="E4" s="70"/>
      <c r="F4" s="75"/>
      <c r="G4" s="116"/>
      <c r="H4" s="117"/>
      <c r="I4" s="87"/>
      <c r="J4" s="118"/>
      <c r="K4" s="29"/>
    </row>
    <row r="5" spans="2:11" ht="7.5" customHeight="1" x14ac:dyDescent="0.25"/>
    <row r="6" spans="2:11" ht="19.5" customHeight="1" x14ac:dyDescent="0.25">
      <c r="B6" s="30" t="s">
        <v>4</v>
      </c>
      <c r="C6" s="10" t="s">
        <v>5</v>
      </c>
      <c r="D6" s="10"/>
      <c r="E6" s="10"/>
      <c r="F6" s="10"/>
      <c r="G6" s="9" t="s">
        <v>161</v>
      </c>
      <c r="H6" s="9"/>
      <c r="I6" s="9"/>
      <c r="J6" s="9"/>
      <c r="K6" s="9"/>
    </row>
    <row r="7" spans="2:11" ht="16.5" customHeight="1" x14ac:dyDescent="0.25">
      <c r="C7" s="31" t="s">
        <v>7</v>
      </c>
      <c r="D7" s="157" t="s">
        <v>162</v>
      </c>
      <c r="E7" s="157"/>
      <c r="F7" s="157"/>
      <c r="G7" s="8" t="s">
        <v>8</v>
      </c>
      <c r="H7" s="8"/>
      <c r="I7" s="157" t="s">
        <v>163</v>
      </c>
      <c r="J7" s="157"/>
      <c r="K7" s="157"/>
    </row>
    <row r="8" spans="2:11" ht="16.5" customHeight="1" x14ac:dyDescent="0.25">
      <c r="C8" s="31" t="s">
        <v>164</v>
      </c>
      <c r="D8" s="157" t="s">
        <v>165</v>
      </c>
      <c r="E8" s="157"/>
      <c r="F8" s="157"/>
      <c r="G8" s="8" t="s">
        <v>166</v>
      </c>
      <c r="H8" s="8"/>
      <c r="I8" s="157" t="s">
        <v>167</v>
      </c>
      <c r="J8" s="157"/>
      <c r="K8" s="157"/>
    </row>
    <row r="9" spans="2:11" ht="16.5" customHeight="1" x14ac:dyDescent="0.25">
      <c r="C9" s="31" t="s">
        <v>9</v>
      </c>
      <c r="D9" s="157" t="s">
        <v>168</v>
      </c>
      <c r="E9" s="157"/>
      <c r="F9" s="157"/>
      <c r="G9" s="8" t="s">
        <v>15</v>
      </c>
      <c r="H9" s="8"/>
      <c r="I9" s="157" t="s">
        <v>169</v>
      </c>
      <c r="J9" s="157"/>
      <c r="K9" s="157"/>
    </row>
    <row r="10" spans="2:11" ht="16.5" customHeight="1" x14ac:dyDescent="0.25">
      <c r="C10" s="31" t="s">
        <v>170</v>
      </c>
      <c r="D10" s="157" t="s">
        <v>171</v>
      </c>
      <c r="E10" s="157"/>
      <c r="F10" s="157"/>
      <c r="G10" s="8" t="s">
        <v>172</v>
      </c>
      <c r="H10" s="8"/>
      <c r="I10" s="158">
        <v>46204</v>
      </c>
      <c r="J10" s="158"/>
      <c r="K10" s="158"/>
    </row>
    <row r="12" spans="2:11" ht="19.5" customHeight="1" x14ac:dyDescent="0.25">
      <c r="B12" s="30" t="s">
        <v>16</v>
      </c>
      <c r="C12" s="10" t="s">
        <v>173</v>
      </c>
      <c r="D12" s="10"/>
      <c r="E12" s="10"/>
      <c r="F12" s="10"/>
      <c r="G12" s="9" t="s">
        <v>174</v>
      </c>
      <c r="H12" s="9"/>
      <c r="I12" s="9"/>
      <c r="J12" s="9"/>
      <c r="K12" s="9"/>
    </row>
    <row r="13" spans="2:11" ht="16.5" customHeight="1" x14ac:dyDescent="0.25">
      <c r="C13" s="31" t="s">
        <v>175</v>
      </c>
      <c r="D13" s="159">
        <v>6</v>
      </c>
      <c r="E13" s="159"/>
      <c r="F13" s="159"/>
      <c r="G13" s="8" t="s">
        <v>176</v>
      </c>
      <c r="H13" s="8"/>
      <c r="I13" s="159">
        <v>2026</v>
      </c>
      <c r="J13" s="159"/>
      <c r="K13" s="159"/>
    </row>
    <row r="14" spans="2:11" ht="16.5" customHeight="1" x14ac:dyDescent="0.25">
      <c r="C14" s="31" t="s">
        <v>177</v>
      </c>
      <c r="D14" s="6">
        <f>DATE(Berichtsjahr,Berichtsmonat,1)</f>
        <v>46174</v>
      </c>
      <c r="E14" s="6"/>
      <c r="F14" s="6"/>
      <c r="G14" s="8" t="s">
        <v>178</v>
      </c>
      <c r="H14" s="8"/>
      <c r="I14" s="6">
        <f>DATE(Berichtsjahr,Berichtsmonat+1,1)-1</f>
        <v>46203</v>
      </c>
      <c r="J14" s="6"/>
      <c r="K14" s="6"/>
    </row>
    <row r="15" spans="2:11" ht="16.5" customHeight="1" x14ac:dyDescent="0.25">
      <c r="C15" s="31" t="s">
        <v>179</v>
      </c>
      <c r="D15" s="160">
        <f>Monatsende-Monatsstart+1</f>
        <v>30</v>
      </c>
      <c r="E15" s="160"/>
      <c r="F15" s="160"/>
      <c r="G15" s="8" t="s">
        <v>180</v>
      </c>
      <c r="H15" s="8"/>
      <c r="I15" s="160">
        <f>NETWORKDAYS(Monatsstart,Monatsende)</f>
        <v>22</v>
      </c>
      <c r="J15" s="160"/>
      <c r="K15" s="160"/>
    </row>
    <row r="16" spans="2:11" ht="16.5" customHeight="1" x14ac:dyDescent="0.25">
      <c r="C16" s="31" t="s">
        <v>181</v>
      </c>
      <c r="D16" s="161">
        <v>2</v>
      </c>
      <c r="E16" s="161"/>
      <c r="F16" s="161"/>
      <c r="G16" s="8" t="s">
        <v>182</v>
      </c>
      <c r="H16" s="8"/>
      <c r="I16" s="162">
        <v>0.94</v>
      </c>
      <c r="J16" s="162"/>
      <c r="K16" s="162"/>
    </row>
    <row r="17" spans="2:11" ht="16.5" customHeight="1" x14ac:dyDescent="0.25">
      <c r="C17" s="31" t="s">
        <v>183</v>
      </c>
      <c r="D17" s="157" t="s">
        <v>184</v>
      </c>
      <c r="E17" s="157"/>
      <c r="F17" s="157"/>
      <c r="G17" s="8" t="s">
        <v>13</v>
      </c>
      <c r="H17" s="8"/>
      <c r="I17" s="158">
        <v>46065</v>
      </c>
      <c r="J17" s="158"/>
      <c r="K17" s="158"/>
    </row>
    <row r="18" spans="2:11" ht="16.5" customHeight="1" x14ac:dyDescent="0.25">
      <c r="C18" s="31" t="s">
        <v>14</v>
      </c>
      <c r="D18" s="158">
        <v>46429</v>
      </c>
      <c r="E18" s="158"/>
      <c r="F18" s="158"/>
      <c r="I18" s="163" t="s">
        <v>185</v>
      </c>
      <c r="J18" s="163"/>
      <c r="K18" s="163"/>
    </row>
    <row r="20" spans="2:11" ht="19.5" customHeight="1" x14ac:dyDescent="0.25">
      <c r="B20" s="30" t="s">
        <v>31</v>
      </c>
      <c r="C20" s="10" t="s">
        <v>186</v>
      </c>
      <c r="D20" s="10"/>
      <c r="E20" s="10"/>
      <c r="F20" s="10"/>
      <c r="G20" s="9" t="s">
        <v>187</v>
      </c>
      <c r="H20" s="9"/>
      <c r="I20" s="9"/>
      <c r="J20" s="9"/>
      <c r="K20" s="9"/>
    </row>
    <row r="21" spans="2:11" ht="27.75" customHeight="1" x14ac:dyDescent="0.25">
      <c r="B21" s="32" t="s">
        <v>34</v>
      </c>
      <c r="C21" s="32" t="s">
        <v>188</v>
      </c>
      <c r="D21" s="32" t="s">
        <v>38</v>
      </c>
      <c r="E21" s="32" t="s">
        <v>189</v>
      </c>
      <c r="F21" s="32" t="s">
        <v>190</v>
      </c>
      <c r="G21" s="32" t="s">
        <v>191</v>
      </c>
      <c r="H21" s="32" t="s">
        <v>192</v>
      </c>
      <c r="I21" s="32" t="s">
        <v>193</v>
      </c>
      <c r="J21" s="32" t="s">
        <v>194</v>
      </c>
      <c r="K21" s="32" t="s">
        <v>48</v>
      </c>
    </row>
    <row r="22" spans="2:11" ht="15.75" customHeight="1" x14ac:dyDescent="0.25">
      <c r="B22" s="33">
        <v>1</v>
      </c>
      <c r="C22" s="36" t="s">
        <v>49</v>
      </c>
      <c r="D22" s="36" t="s">
        <v>128</v>
      </c>
      <c r="E22" s="119">
        <v>4</v>
      </c>
      <c r="F22" s="119">
        <v>2</v>
      </c>
      <c r="G22" s="119">
        <v>7</v>
      </c>
      <c r="H22" s="120">
        <f t="shared" ref="H22:H31" si="0">IF($F22="","",$G22-$F22)</f>
        <v>5</v>
      </c>
      <c r="I22" s="121" t="s">
        <v>195</v>
      </c>
      <c r="J22" s="36" t="s">
        <v>196</v>
      </c>
      <c r="K22" s="45" t="s">
        <v>197</v>
      </c>
    </row>
    <row r="23" spans="2:11" ht="15.75" customHeight="1" x14ac:dyDescent="0.25">
      <c r="B23" s="33">
        <v>2</v>
      </c>
      <c r="C23" s="36" t="s">
        <v>51</v>
      </c>
      <c r="D23" s="36" t="s">
        <v>128</v>
      </c>
      <c r="E23" s="119">
        <v>3</v>
      </c>
      <c r="F23" s="119">
        <v>0</v>
      </c>
      <c r="G23" s="119">
        <v>6</v>
      </c>
      <c r="H23" s="120">
        <f t="shared" si="0"/>
        <v>6</v>
      </c>
      <c r="I23" s="121" t="s">
        <v>195</v>
      </c>
      <c r="J23" s="36" t="s">
        <v>198</v>
      </c>
      <c r="K23" s="45" t="s">
        <v>199</v>
      </c>
    </row>
    <row r="24" spans="2:11" ht="15.75" customHeight="1" x14ac:dyDescent="0.25">
      <c r="B24" s="33">
        <v>3</v>
      </c>
      <c r="C24" s="36" t="s">
        <v>53</v>
      </c>
      <c r="D24" s="36" t="s">
        <v>129</v>
      </c>
      <c r="E24" s="119">
        <v>-20</v>
      </c>
      <c r="F24" s="119">
        <v>-24</v>
      </c>
      <c r="G24" s="119">
        <v>-18</v>
      </c>
      <c r="H24" s="120">
        <f t="shared" si="0"/>
        <v>6</v>
      </c>
      <c r="I24" s="121" t="s">
        <v>195</v>
      </c>
      <c r="J24" s="36" t="s">
        <v>196</v>
      </c>
      <c r="K24" s="45" t="s">
        <v>200</v>
      </c>
    </row>
    <row r="25" spans="2:11" ht="15.75" customHeight="1" x14ac:dyDescent="0.25">
      <c r="B25" s="33">
        <v>4</v>
      </c>
      <c r="C25" s="36" t="s">
        <v>58</v>
      </c>
      <c r="D25" s="36" t="s">
        <v>130</v>
      </c>
      <c r="E25" s="119">
        <v>70</v>
      </c>
      <c r="F25" s="119">
        <v>65</v>
      </c>
      <c r="G25" s="119">
        <v>85</v>
      </c>
      <c r="H25" s="120">
        <f t="shared" si="0"/>
        <v>20</v>
      </c>
      <c r="I25" s="121" t="s">
        <v>195</v>
      </c>
      <c r="J25" s="36" t="s">
        <v>201</v>
      </c>
      <c r="K25" s="45" t="s">
        <v>202</v>
      </c>
    </row>
    <row r="26" spans="2:11" ht="15.75" customHeight="1" x14ac:dyDescent="0.25">
      <c r="B26" s="33">
        <v>5</v>
      </c>
      <c r="C26" s="36" t="s">
        <v>56</v>
      </c>
      <c r="D26" s="36" t="s">
        <v>131</v>
      </c>
      <c r="E26" s="119">
        <v>4</v>
      </c>
      <c r="F26" s="119">
        <v>0</v>
      </c>
      <c r="G26" s="119">
        <v>7</v>
      </c>
      <c r="H26" s="120">
        <f t="shared" si="0"/>
        <v>7</v>
      </c>
      <c r="I26" s="121" t="s">
        <v>203</v>
      </c>
      <c r="J26" s="36" t="s">
        <v>204</v>
      </c>
      <c r="K26" s="45" t="s">
        <v>205</v>
      </c>
    </row>
    <row r="27" spans="2:11" ht="15.75" customHeight="1" x14ac:dyDescent="0.25">
      <c r="B27" s="33">
        <v>6</v>
      </c>
      <c r="C27" s="36" t="s">
        <v>55</v>
      </c>
      <c r="D27" s="36" t="s">
        <v>132</v>
      </c>
      <c r="E27" s="119">
        <v>16</v>
      </c>
      <c r="F27" s="119">
        <v>10</v>
      </c>
      <c r="G27" s="119">
        <v>20</v>
      </c>
      <c r="H27" s="120">
        <f t="shared" si="0"/>
        <v>10</v>
      </c>
      <c r="I27" s="121" t="s">
        <v>195</v>
      </c>
      <c r="J27" s="36" t="s">
        <v>198</v>
      </c>
      <c r="K27" s="45" t="s">
        <v>206</v>
      </c>
    </row>
    <row r="28" spans="2:11" ht="15.75" customHeight="1" x14ac:dyDescent="0.25">
      <c r="B28" s="33"/>
      <c r="C28" s="36"/>
      <c r="D28" s="36"/>
      <c r="E28" s="119"/>
      <c r="F28" s="119"/>
      <c r="G28" s="119"/>
      <c r="H28" s="120" t="str">
        <f t="shared" si="0"/>
        <v/>
      </c>
      <c r="I28" s="121"/>
      <c r="J28" s="36"/>
      <c r="K28" s="45"/>
    </row>
    <row r="29" spans="2:11" ht="15.75" customHeight="1" x14ac:dyDescent="0.25">
      <c r="B29" s="33"/>
      <c r="C29" s="36"/>
      <c r="D29" s="36"/>
      <c r="E29" s="119"/>
      <c r="F29" s="119"/>
      <c r="G29" s="119"/>
      <c r="H29" s="120" t="str">
        <f t="shared" si="0"/>
        <v/>
      </c>
      <c r="I29" s="121"/>
      <c r="J29" s="36"/>
      <c r="K29" s="45"/>
    </row>
    <row r="30" spans="2:11" ht="15.75" customHeight="1" x14ac:dyDescent="0.25">
      <c r="B30" s="33"/>
      <c r="C30" s="36"/>
      <c r="D30" s="36"/>
      <c r="E30" s="119"/>
      <c r="F30" s="119"/>
      <c r="G30" s="119"/>
      <c r="H30" s="120" t="str">
        <f t="shared" si="0"/>
        <v/>
      </c>
      <c r="I30" s="121"/>
      <c r="J30" s="36"/>
      <c r="K30" s="45"/>
    </row>
    <row r="31" spans="2:11" ht="15.75" customHeight="1" x14ac:dyDescent="0.25">
      <c r="B31" s="33"/>
      <c r="C31" s="36"/>
      <c r="D31" s="36"/>
      <c r="E31" s="119"/>
      <c r="F31" s="119"/>
      <c r="G31" s="119"/>
      <c r="H31" s="120" t="str">
        <f t="shared" si="0"/>
        <v/>
      </c>
      <c r="I31" s="121"/>
      <c r="J31" s="36"/>
      <c r="K31" s="45"/>
    </row>
    <row r="33" spans="2:11" ht="19.5" customHeight="1" x14ac:dyDescent="0.25">
      <c r="B33" s="30" t="s">
        <v>134</v>
      </c>
      <c r="C33" s="10" t="s">
        <v>207</v>
      </c>
      <c r="D33" s="10"/>
      <c r="E33" s="10"/>
      <c r="F33" s="10"/>
      <c r="G33" s="9" t="s">
        <v>208</v>
      </c>
      <c r="H33" s="9"/>
      <c r="I33" s="9"/>
      <c r="J33" s="9"/>
      <c r="K33" s="9"/>
    </row>
    <row r="34" spans="2:11" x14ac:dyDescent="0.25">
      <c r="C34" s="122" t="s">
        <v>209</v>
      </c>
      <c r="E34" s="122" t="s">
        <v>210</v>
      </c>
      <c r="G34" s="122" t="s">
        <v>211</v>
      </c>
      <c r="I34" s="122" t="s">
        <v>212</v>
      </c>
    </row>
    <row r="35" spans="2:11" x14ac:dyDescent="0.25">
      <c r="C35" s="123" t="s">
        <v>128</v>
      </c>
      <c r="E35" s="123" t="s">
        <v>195</v>
      </c>
      <c r="G35" s="123" t="s">
        <v>76</v>
      </c>
      <c r="I35" s="123" t="s">
        <v>57</v>
      </c>
    </row>
    <row r="36" spans="2:11" x14ac:dyDescent="0.25">
      <c r="C36" s="123" t="s">
        <v>129</v>
      </c>
      <c r="E36" s="123" t="s">
        <v>203</v>
      </c>
      <c r="G36" s="123" t="s">
        <v>70</v>
      </c>
      <c r="I36" s="123" t="s">
        <v>50</v>
      </c>
    </row>
    <row r="37" spans="2:11" x14ac:dyDescent="0.25">
      <c r="C37" s="123" t="s">
        <v>130</v>
      </c>
      <c r="E37" s="123" t="s">
        <v>213</v>
      </c>
      <c r="G37" s="123" t="s">
        <v>61</v>
      </c>
      <c r="I37" s="123" t="s">
        <v>52</v>
      </c>
    </row>
    <row r="38" spans="2:11" x14ac:dyDescent="0.25">
      <c r="C38" s="123" t="s">
        <v>131</v>
      </c>
      <c r="E38" s="123" t="s">
        <v>214</v>
      </c>
      <c r="G38" s="124"/>
      <c r="I38" s="123" t="s">
        <v>54</v>
      </c>
    </row>
    <row r="39" spans="2:11" x14ac:dyDescent="0.25">
      <c r="C39" s="123" t="s">
        <v>132</v>
      </c>
      <c r="E39" s="124"/>
      <c r="G39" s="124"/>
      <c r="I39" s="123" t="s">
        <v>59</v>
      </c>
    </row>
    <row r="41" spans="2:11" x14ac:dyDescent="0.25">
      <c r="C41" s="122" t="s">
        <v>215</v>
      </c>
    </row>
    <row r="42" spans="2:11" ht="15" customHeight="1" x14ac:dyDescent="0.25">
      <c r="C42" s="123" t="s">
        <v>216</v>
      </c>
    </row>
    <row r="43" spans="2:11" ht="15" customHeight="1" x14ac:dyDescent="0.25">
      <c r="C43" s="123" t="s">
        <v>63</v>
      </c>
    </row>
    <row r="44" spans="2:11" ht="15" customHeight="1" x14ac:dyDescent="0.25">
      <c r="C44" s="123" t="s">
        <v>60</v>
      </c>
    </row>
    <row r="45" spans="2:11" ht="15" customHeight="1" x14ac:dyDescent="0.25">
      <c r="C45" s="123" t="s">
        <v>217</v>
      </c>
    </row>
    <row r="46" spans="2:11" ht="15" customHeight="1" x14ac:dyDescent="0.25">
      <c r="C46" s="123" t="s">
        <v>67</v>
      </c>
    </row>
    <row r="47" spans="2:11" ht="15" customHeight="1" x14ac:dyDescent="0.25">
      <c r="C47" s="123" t="s">
        <v>69</v>
      </c>
    </row>
    <row r="48" spans="2:11" ht="15" customHeight="1" x14ac:dyDescent="0.25">
      <c r="C48" s="123" t="s">
        <v>218</v>
      </c>
    </row>
    <row r="49" spans="2:11" ht="15" customHeight="1" x14ac:dyDescent="0.25">
      <c r="C49" s="123" t="s">
        <v>65</v>
      </c>
    </row>
    <row r="50" spans="2:11" ht="15" customHeight="1" x14ac:dyDescent="0.25">
      <c r="C50" s="123" t="s">
        <v>72</v>
      </c>
    </row>
    <row r="51" spans="2:11" ht="15" customHeight="1" x14ac:dyDescent="0.25">
      <c r="C51" s="123" t="s">
        <v>74</v>
      </c>
    </row>
    <row r="53" spans="2:11" ht="19.5" customHeight="1" x14ac:dyDescent="0.25">
      <c r="B53" s="30" t="s">
        <v>156</v>
      </c>
      <c r="C53" s="10" t="s">
        <v>219</v>
      </c>
      <c r="D53" s="10"/>
      <c r="E53" s="10"/>
      <c r="F53" s="10"/>
      <c r="G53" s="9"/>
      <c r="H53" s="9"/>
      <c r="I53" s="9"/>
      <c r="J53" s="9"/>
      <c r="K53" s="9"/>
    </row>
    <row r="54" spans="2:11" ht="25.5" customHeight="1" x14ac:dyDescent="0.25">
      <c r="C54" s="125" t="s">
        <v>220</v>
      </c>
      <c r="D54" s="164" t="s">
        <v>221</v>
      </c>
      <c r="E54" s="164"/>
      <c r="F54" s="164"/>
      <c r="G54" s="164"/>
      <c r="H54" s="164"/>
      <c r="I54" s="164"/>
      <c r="J54" s="164"/>
      <c r="K54" s="164"/>
    </row>
    <row r="55" spans="2:11" ht="25.5" customHeight="1" x14ac:dyDescent="0.25">
      <c r="C55" s="125" t="s">
        <v>222</v>
      </c>
      <c r="D55" s="164" t="s">
        <v>223</v>
      </c>
      <c r="E55" s="164"/>
      <c r="F55" s="164"/>
      <c r="G55" s="164"/>
      <c r="H55" s="164"/>
      <c r="I55" s="164"/>
      <c r="J55" s="164"/>
      <c r="K55" s="164"/>
    </row>
    <row r="56" spans="2:11" ht="25.5" customHeight="1" x14ac:dyDescent="0.25">
      <c r="C56" s="125" t="s">
        <v>224</v>
      </c>
      <c r="D56" s="164" t="s">
        <v>225</v>
      </c>
      <c r="E56" s="164"/>
      <c r="F56" s="164"/>
      <c r="G56" s="164"/>
      <c r="H56" s="164"/>
      <c r="I56" s="164"/>
      <c r="J56" s="164"/>
      <c r="K56" s="164"/>
    </row>
    <row r="57" spans="2:11" ht="25.5" customHeight="1" x14ac:dyDescent="0.25">
      <c r="C57" s="125" t="s">
        <v>226</v>
      </c>
      <c r="D57" s="164" t="s">
        <v>227</v>
      </c>
      <c r="E57" s="164"/>
      <c r="F57" s="164"/>
      <c r="G57" s="164"/>
      <c r="H57" s="164"/>
      <c r="I57" s="164"/>
      <c r="J57" s="164"/>
      <c r="K57" s="164"/>
    </row>
    <row r="58" spans="2:11" ht="25.5" customHeight="1" x14ac:dyDescent="0.25">
      <c r="C58" s="125" t="s">
        <v>228</v>
      </c>
      <c r="D58" s="164" t="s">
        <v>229</v>
      </c>
      <c r="E58" s="164"/>
      <c r="F58" s="164"/>
      <c r="G58" s="164"/>
      <c r="H58" s="164"/>
      <c r="I58" s="164"/>
      <c r="J58" s="164"/>
      <c r="K58" s="164"/>
    </row>
    <row r="59" spans="2:11" ht="25.5" customHeight="1" x14ac:dyDescent="0.25">
      <c r="C59" s="125" t="s">
        <v>230</v>
      </c>
      <c r="D59" s="164" t="s">
        <v>231</v>
      </c>
      <c r="E59" s="164"/>
      <c r="F59" s="164"/>
      <c r="G59" s="164"/>
      <c r="H59" s="164"/>
      <c r="I59" s="164"/>
      <c r="J59" s="164"/>
      <c r="K59" s="164"/>
    </row>
    <row r="60" spans="2:11" ht="25.5" customHeight="1" x14ac:dyDescent="0.25">
      <c r="C60" s="125" t="s">
        <v>232</v>
      </c>
      <c r="D60" s="164" t="s">
        <v>233</v>
      </c>
      <c r="E60" s="164"/>
      <c r="F60" s="164"/>
      <c r="G60" s="164"/>
      <c r="H60" s="164"/>
      <c r="I60" s="164"/>
      <c r="J60" s="164"/>
      <c r="K60" s="164"/>
    </row>
    <row r="62" spans="2:11" ht="19.5" customHeight="1" x14ac:dyDescent="0.25">
      <c r="B62" s="30" t="s">
        <v>234</v>
      </c>
      <c r="C62" s="10" t="s">
        <v>235</v>
      </c>
      <c r="D62" s="10"/>
      <c r="E62" s="10"/>
      <c r="F62" s="10"/>
      <c r="G62" s="9"/>
      <c r="H62" s="9"/>
      <c r="I62" s="9"/>
      <c r="J62" s="9"/>
      <c r="K62" s="9"/>
    </row>
    <row r="63" spans="2:11" ht="15.75" customHeight="1" x14ac:dyDescent="0.25">
      <c r="C63" s="47" t="s">
        <v>80</v>
      </c>
      <c r="D63" s="165" t="s">
        <v>236</v>
      </c>
      <c r="E63" s="165"/>
      <c r="F63" s="165"/>
      <c r="G63" s="165"/>
      <c r="H63" s="165"/>
    </row>
    <row r="64" spans="2:11" ht="15.75" customHeight="1" x14ac:dyDescent="0.25">
      <c r="C64" s="49" t="s">
        <v>82</v>
      </c>
      <c r="D64" s="139" t="s">
        <v>237</v>
      </c>
      <c r="E64" s="139"/>
      <c r="F64" s="139"/>
      <c r="G64" s="139"/>
      <c r="H64" s="139"/>
    </row>
    <row r="65" spans="3:11" ht="15.75" customHeight="1" x14ac:dyDescent="0.25">
      <c r="C65" s="51" t="s">
        <v>84</v>
      </c>
      <c r="D65" s="140" t="s">
        <v>238</v>
      </c>
      <c r="E65" s="140"/>
      <c r="F65" s="140"/>
      <c r="G65" s="140"/>
      <c r="H65" s="140"/>
    </row>
    <row r="66" spans="3:11" ht="15.75" customHeight="1" x14ac:dyDescent="0.25">
      <c r="C66" s="53" t="s">
        <v>86</v>
      </c>
      <c r="D66" s="141" t="s">
        <v>239</v>
      </c>
      <c r="E66" s="141"/>
      <c r="F66" s="141"/>
      <c r="G66" s="141"/>
      <c r="H66" s="141"/>
    </row>
    <row r="67" spans="3:11" ht="15.75" customHeight="1" x14ac:dyDescent="0.25">
      <c r="C67" s="55" t="s">
        <v>88</v>
      </c>
      <c r="D67" s="166" t="s">
        <v>240</v>
      </c>
      <c r="E67" s="166"/>
      <c r="F67" s="166"/>
      <c r="G67" s="166"/>
      <c r="H67" s="166"/>
    </row>
    <row r="68" spans="3:11" ht="15.75" customHeight="1" x14ac:dyDescent="0.25">
      <c r="C68" s="55" t="s">
        <v>88</v>
      </c>
      <c r="D68" s="167" t="s">
        <v>241</v>
      </c>
      <c r="E68" s="167"/>
      <c r="F68" s="167"/>
      <c r="G68" s="167"/>
      <c r="H68" s="167"/>
    </row>
    <row r="70" spans="3:11" ht="21.75" customHeight="1" x14ac:dyDescent="0.25">
      <c r="C70" s="168" t="s">
        <v>242</v>
      </c>
      <c r="D70" s="168"/>
      <c r="E70" s="168"/>
      <c r="F70" s="168"/>
      <c r="G70" s="168"/>
      <c r="H70" s="168"/>
      <c r="I70" s="168"/>
      <c r="J70" s="168"/>
      <c r="K70" s="168"/>
    </row>
    <row r="71" spans="3:11" ht="21.75" customHeight="1" x14ac:dyDescent="0.25">
      <c r="C71" s="168"/>
      <c r="D71" s="168"/>
      <c r="E71" s="168"/>
      <c r="F71" s="168"/>
      <c r="G71" s="168"/>
      <c r="H71" s="168"/>
      <c r="I71" s="168"/>
      <c r="J71" s="168"/>
      <c r="K71" s="168"/>
    </row>
  </sheetData>
  <mergeCells count="59">
    <mergeCell ref="D68:H68"/>
    <mergeCell ref="C70:K71"/>
    <mergeCell ref="D63:H63"/>
    <mergeCell ref="D64:H64"/>
    <mergeCell ref="D65:H65"/>
    <mergeCell ref="D66:H66"/>
    <mergeCell ref="D67:H67"/>
    <mergeCell ref="D57:K57"/>
    <mergeCell ref="D58:K58"/>
    <mergeCell ref="D59:K59"/>
    <mergeCell ref="D60:K60"/>
    <mergeCell ref="C62:F62"/>
    <mergeCell ref="G62:K62"/>
    <mergeCell ref="C53:F53"/>
    <mergeCell ref="G53:K53"/>
    <mergeCell ref="D54:K54"/>
    <mergeCell ref="D55:K55"/>
    <mergeCell ref="D56:K56"/>
    <mergeCell ref="D18:F18"/>
    <mergeCell ref="I18:K18"/>
    <mergeCell ref="C20:F20"/>
    <mergeCell ref="G20:K20"/>
    <mergeCell ref="C33:F33"/>
    <mergeCell ref="G33:K33"/>
    <mergeCell ref="D16:F16"/>
    <mergeCell ref="G16:H16"/>
    <mergeCell ref="I16:K16"/>
    <mergeCell ref="D17:F17"/>
    <mergeCell ref="G17:H17"/>
    <mergeCell ref="I17:K17"/>
    <mergeCell ref="D14:F14"/>
    <mergeCell ref="G14:H14"/>
    <mergeCell ref="I14:K14"/>
    <mergeCell ref="D15:F15"/>
    <mergeCell ref="G15:H15"/>
    <mergeCell ref="I15:K15"/>
    <mergeCell ref="C12:F12"/>
    <mergeCell ref="G12:K12"/>
    <mergeCell ref="D13:F13"/>
    <mergeCell ref="G13:H13"/>
    <mergeCell ref="I13:K13"/>
    <mergeCell ref="D9:F9"/>
    <mergeCell ref="G9:H9"/>
    <mergeCell ref="I9:K9"/>
    <mergeCell ref="D10:F10"/>
    <mergeCell ref="G10:H10"/>
    <mergeCell ref="I10:K10"/>
    <mergeCell ref="D7:F7"/>
    <mergeCell ref="G7:H7"/>
    <mergeCell ref="I7:K7"/>
    <mergeCell ref="D8:F8"/>
    <mergeCell ref="G8:H8"/>
    <mergeCell ref="I8:K8"/>
    <mergeCell ref="B2:G2"/>
    <mergeCell ref="H2:K2"/>
    <mergeCell ref="B3:G3"/>
    <mergeCell ref="H3:K3"/>
    <mergeCell ref="C6:F6"/>
    <mergeCell ref="G6:K6"/>
  </mergeCells>
  <dataValidations count="2">
    <dataValidation type="list" allowBlank="1" showErrorMessage="1" errorTitle="Ungültiger Eintrag" error="Bitte einen Wert aus der Liste wählen (Listen auf dem Blatt „Stammdaten“)." sqref="D22:D31" xr:uid="{00000000-0002-0000-0200-000000000000}">
      <formula1>Bereiche_Liste</formula1>
      <formula2>0</formula2>
    </dataValidation>
    <dataValidation type="list" allowBlank="1" showErrorMessage="1" errorTitle="Ungültiger Eintrag" error="Bitte einen Wert aus der Liste wählen (Listen auf dem Blatt „Stammdaten“)." sqref="I22:I31" xr:uid="{00000000-0002-0000-0200-000001000000}">
      <formula1>Haeufigkeit_Liste</formula1>
      <formula2>0</formula2>
    </dataValidation>
  </dataValidations>
  <pageMargins left="0.3" right="0.3" top="1" bottom="1" header="0.511811023622047" footer="0.511811023622047"/>
  <pageSetup paperSize="9" fitToHeight="2" orientation="landscape" horizontalDpi="300" verticalDpi="300"/>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17</vt:i4>
      </vt:variant>
    </vt:vector>
  </HeadingPairs>
  <TitlesOfParts>
    <vt:vector size="20" baseType="lpstr">
      <vt:lpstr>Temperaturprotokoll</vt:lpstr>
      <vt:lpstr>Auswertung</vt:lpstr>
      <vt:lpstr>Stammdaten</vt:lpstr>
      <vt:lpstr>Bereiche_Liste</vt:lpstr>
      <vt:lpstr>Berichtsjahr</vt:lpstr>
      <vt:lpstr>Berichtsmonat</vt:lpstr>
      <vt:lpstr>Stammdaten!Druckbereich</vt:lpstr>
      <vt:lpstr>Temperaturprotokoll!Druckbereich</vt:lpstr>
      <vt:lpstr>Temperaturprotokoll!Drucktitel</vt:lpstr>
      <vt:lpstr>Haeufigkeit_Liste</vt:lpstr>
      <vt:lpstr>Massnahmen_Liste</vt:lpstr>
      <vt:lpstr>Messstellen_Liste</vt:lpstr>
      <vt:lpstr>Monatsende</vt:lpstr>
      <vt:lpstr>Monatsstart</vt:lpstr>
      <vt:lpstr>Pruefer_Liste</vt:lpstr>
      <vt:lpstr>Status_Liste</vt:lpstr>
      <vt:lpstr>Tage_im_Monat</vt:lpstr>
      <vt:lpstr>Toleranz_kritisch</vt:lpstr>
      <vt:lpstr>Werktage</vt:lpstr>
      <vt:lpstr>Ziel_Konformitaet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Temperaturkontrolle Vorlage 2026</dc:title>
  <dc:subject/>
  <dc:creator>Muster Betriebsgastronomie GmbH</dc:creator>
  <dc:description/>
  <cp:lastModifiedBy>Sergio Jiménez Canales</cp:lastModifiedBy>
  <cp:revision>1</cp:revision>
  <dcterms:created xsi:type="dcterms:W3CDTF">2026-07-23T09:57:22Z</dcterms:created>
  <dcterms:modified xsi:type="dcterms:W3CDTF">2026-07-23T10:18:54Z</dcterms:modified>
  <dc:language>en-US</dc:language>
</cp:coreProperties>
</file>