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ergi\Documents\SEO\SEO\AA_Webs\Excel Vorlage\Generador\"/>
    </mc:Choice>
  </mc:AlternateContent>
  <xr:revisionPtr revIDLastSave="0" documentId="13_ncr:1_{EB7D5743-7D42-40CD-B688-604117FAB4F1}" xr6:coauthVersionLast="47" xr6:coauthVersionMax="47" xr10:uidLastSave="{00000000-0000-0000-0000-000000000000}"/>
  <bookViews>
    <workbookView xWindow="1035" yWindow="1035" windowWidth="25500" windowHeight="13500" xr2:uid="{00000000-000D-0000-FFFF-FFFF00000000}"/>
  </bookViews>
  <sheets>
    <sheet name="Wartungsplan" sheetId="1" r:id="rId1"/>
    <sheet name="Wartungsjourn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L38" i="2"/>
  <c r="L37" i="2"/>
  <c r="L36" i="2"/>
  <c r="L35" i="2"/>
  <c r="L34" i="2"/>
  <c r="L33" i="2"/>
  <c r="L32" i="2"/>
  <c r="L31" i="2"/>
  <c r="L30" i="2"/>
  <c r="L29" i="2"/>
  <c r="L28" i="2"/>
  <c r="L27" i="2"/>
  <c r="L26" i="2"/>
  <c r="L25" i="2"/>
  <c r="L24" i="2"/>
  <c r="L23" i="2"/>
  <c r="L22" i="2"/>
  <c r="L21" i="2"/>
  <c r="L20" i="2"/>
  <c r="L19" i="2"/>
  <c r="L18" i="2"/>
  <c r="L17" i="2"/>
  <c r="L16" i="2"/>
  <c r="L15" i="2"/>
  <c r="D53" i="1" s="1"/>
  <c r="L14" i="2"/>
  <c r="L13" i="2"/>
  <c r="L12" i="2"/>
  <c r="D51" i="1" s="1"/>
  <c r="L11" i="2"/>
  <c r="E6" i="2" s="1"/>
  <c r="L10" i="2"/>
  <c r="M6" i="2"/>
  <c r="I6" i="2"/>
  <c r="A6" i="2"/>
  <c r="D61" i="1"/>
  <c r="D60" i="1"/>
  <c r="D59" i="1"/>
  <c r="C59" i="1"/>
  <c r="D58" i="1"/>
  <c r="D57" i="1"/>
  <c r="D56" i="1"/>
  <c r="D55" i="1"/>
  <c r="D54" i="1"/>
  <c r="D52" i="1"/>
  <c r="S44" i="1"/>
  <c r="R44" i="1"/>
  <c r="N44" i="1"/>
  <c r="M44" i="1"/>
  <c r="L44" i="1"/>
  <c r="S43" i="1"/>
  <c r="R43" i="1"/>
  <c r="N43" i="1"/>
  <c r="M43" i="1"/>
  <c r="L43" i="1"/>
  <c r="S42" i="1"/>
  <c r="R42" i="1"/>
  <c r="N42" i="1"/>
  <c r="M42" i="1"/>
  <c r="L42" i="1"/>
  <c r="S41" i="1"/>
  <c r="R41" i="1"/>
  <c r="N41" i="1"/>
  <c r="M41" i="1"/>
  <c r="L41" i="1"/>
  <c r="S40" i="1"/>
  <c r="R40" i="1"/>
  <c r="N40" i="1"/>
  <c r="M40" i="1"/>
  <c r="L40" i="1"/>
  <c r="S39" i="1"/>
  <c r="R39" i="1"/>
  <c r="N39" i="1"/>
  <c r="M39" i="1"/>
  <c r="L39" i="1"/>
  <c r="S38" i="1"/>
  <c r="R38" i="1"/>
  <c r="N38" i="1"/>
  <c r="M38" i="1"/>
  <c r="L38" i="1"/>
  <c r="S37" i="1"/>
  <c r="R37" i="1"/>
  <c r="N37" i="1"/>
  <c r="M37" i="1"/>
  <c r="L37" i="1"/>
  <c r="S36" i="1"/>
  <c r="R36" i="1"/>
  <c r="N36" i="1"/>
  <c r="M36" i="1"/>
  <c r="L36" i="1"/>
  <c r="S35" i="1"/>
  <c r="R35" i="1"/>
  <c r="N35" i="1"/>
  <c r="M35" i="1"/>
  <c r="L35" i="1"/>
  <c r="S34" i="1"/>
  <c r="R34" i="1"/>
  <c r="N34" i="1"/>
  <c r="M34" i="1"/>
  <c r="L34" i="1"/>
  <c r="S33" i="1"/>
  <c r="R33" i="1"/>
  <c r="N33" i="1"/>
  <c r="M33" i="1"/>
  <c r="L33" i="1"/>
  <c r="S32" i="1"/>
  <c r="R32" i="1"/>
  <c r="N32" i="1"/>
  <c r="M32" i="1"/>
  <c r="L32" i="1"/>
  <c r="S31" i="1"/>
  <c r="R31" i="1"/>
  <c r="N31" i="1"/>
  <c r="M31" i="1"/>
  <c r="L31" i="1"/>
  <c r="S30" i="1"/>
  <c r="R30" i="1"/>
  <c r="L30" i="1"/>
  <c r="N30" i="1" s="1"/>
  <c r="S29" i="1"/>
  <c r="R29" i="1"/>
  <c r="N29" i="1"/>
  <c r="M29" i="1"/>
  <c r="L29" i="1"/>
  <c r="S28" i="1"/>
  <c r="R28" i="1"/>
  <c r="L28" i="1"/>
  <c r="N28" i="1" s="1"/>
  <c r="S27" i="1"/>
  <c r="R27" i="1"/>
  <c r="L27" i="1"/>
  <c r="N27" i="1" s="1"/>
  <c r="S26" i="1"/>
  <c r="R26" i="1"/>
  <c r="L26" i="1"/>
  <c r="N26" i="1" s="1"/>
  <c r="S25" i="1"/>
  <c r="R25" i="1"/>
  <c r="N25" i="1"/>
  <c r="M25" i="1"/>
  <c r="L25" i="1"/>
  <c r="S24" i="1"/>
  <c r="R24" i="1"/>
  <c r="L24" i="1"/>
  <c r="N24" i="1" s="1"/>
  <c r="S23" i="1"/>
  <c r="R23" i="1"/>
  <c r="L23" i="1"/>
  <c r="G11" i="1" s="1"/>
  <c r="S22" i="1"/>
  <c r="R22" i="1"/>
  <c r="L22" i="1"/>
  <c r="N22" i="1" s="1"/>
  <c r="S21" i="1"/>
  <c r="R21" i="1"/>
  <c r="N21" i="1"/>
  <c r="M21" i="1"/>
  <c r="L21" i="1"/>
  <c r="S20" i="1"/>
  <c r="R20" i="1"/>
  <c r="L20" i="1"/>
  <c r="N20" i="1" s="1"/>
  <c r="S19" i="1"/>
  <c r="R19" i="1"/>
  <c r="L19" i="1"/>
  <c r="N19" i="1" s="1"/>
  <c r="S18" i="1"/>
  <c r="R18" i="1"/>
  <c r="L18" i="1"/>
  <c r="N18" i="1" s="1"/>
  <c r="S17" i="1"/>
  <c r="R17" i="1"/>
  <c r="N17" i="1"/>
  <c r="M17" i="1"/>
  <c r="L17" i="1"/>
  <c r="B58" i="1" s="1"/>
  <c r="S16" i="1"/>
  <c r="R16" i="1"/>
  <c r="L16" i="1"/>
  <c r="N16" i="1" s="1"/>
  <c r="S15" i="1"/>
  <c r="R15" i="1"/>
  <c r="L15" i="1"/>
  <c r="B59" i="1" s="1"/>
  <c r="D6" i="1"/>
  <c r="B60" i="1" l="1"/>
  <c r="M15" i="1"/>
  <c r="M19" i="1"/>
  <c r="M23" i="1"/>
  <c r="M27" i="1"/>
  <c r="C60" i="1"/>
  <c r="C53" i="1"/>
  <c r="N15" i="1"/>
  <c r="N23" i="1"/>
  <c r="B54" i="1"/>
  <c r="E11" i="1"/>
  <c r="F11" i="1"/>
  <c r="B51" i="1"/>
  <c r="L11" i="1"/>
  <c r="B53" i="1"/>
  <c r="C54" i="1"/>
  <c r="B61" i="1"/>
  <c r="C50" i="1"/>
  <c r="K11" i="1"/>
  <c r="C61" i="1"/>
  <c r="B55" i="1"/>
  <c r="M6" i="1"/>
  <c r="M20" i="1"/>
  <c r="M24" i="1"/>
  <c r="B56" i="1"/>
  <c r="D11" i="1"/>
  <c r="D50" i="1"/>
  <c r="M16" i="1"/>
  <c r="M28" i="1"/>
  <c r="C55" i="1"/>
  <c r="Q6" i="1"/>
  <c r="A11" i="1"/>
  <c r="B11" i="1"/>
  <c r="C56" i="1"/>
  <c r="C11" i="1"/>
  <c r="B50" i="1"/>
  <c r="B57" i="1"/>
  <c r="C57" i="1"/>
  <c r="C51" i="1"/>
  <c r="H11" i="1"/>
  <c r="C58" i="1"/>
  <c r="I11" i="1"/>
  <c r="M18" i="1"/>
  <c r="M22" i="1"/>
  <c r="M26" i="1"/>
  <c r="M30" i="1"/>
  <c r="B52" i="1"/>
  <c r="J11" i="1"/>
  <c r="C52" i="1"/>
  <c r="J6" i="1" l="1"/>
  <c r="G6" i="1"/>
</calcChain>
</file>

<file path=xl/sharedStrings.xml><?xml version="1.0" encoding="utf-8"?>
<sst xmlns="http://schemas.openxmlformats.org/spreadsheetml/2006/main" count="413" uniqueCount="274">
  <si>
    <t>Zentrale Planung für wiederkehrende Wartungen, Prüfungen und Instandhaltungsmaßnahmen</t>
  </si>
  <si>
    <t>Planjahr</t>
  </si>
  <si>
    <t>Aktive Maßnahmen</t>
  </si>
  <si>
    <t>Überfällig</t>
  </si>
  <si>
    <t>In 30 Tagen fällig</t>
  </si>
  <si>
    <t>Geplante Kosten 2026</t>
  </si>
  <si>
    <t>Ist-Kosten 2026</t>
  </si>
  <si>
    <t>FÄLLIGKEITEN IM PLANJAHR</t>
  </si>
  <si>
    <t>TERMINAMPEL</t>
  </si>
  <si>
    <t>Jan</t>
  </si>
  <si>
    <t>Feb</t>
  </si>
  <si>
    <t>Mär</t>
  </si>
  <si>
    <t>Apr</t>
  </si>
  <si>
    <t>Mai</t>
  </si>
  <si>
    <t>Jun</t>
  </si>
  <si>
    <t>Jul</t>
  </si>
  <si>
    <t>Aug</t>
  </si>
  <si>
    <t>Sep</t>
  </si>
  <si>
    <t>Okt</t>
  </si>
  <si>
    <t>Nov</t>
  </si>
  <si>
    <t>Dez</t>
  </si>
  <si>
    <t>Überfällig · Bald fällig (≤ 30 Tage) · Im Blick (≤ 60 Tage) · Planmäßig</t>
  </si>
  <si>
    <t>WARTUNGSÜBERSICHT</t>
  </si>
  <si>
    <t>Wartungs-ID</t>
  </si>
  <si>
    <t>Anlage / Bauteil</t>
  </si>
  <si>
    <t>Standort</t>
  </si>
  <si>
    <t>Kategorie</t>
  </si>
  <si>
    <t>Wartungsmaßnahme</t>
  </si>
  <si>
    <t>Intervall
(Monate)</t>
  </si>
  <si>
    <t>Priorität</t>
  </si>
  <si>
    <t>Betreiberpflicht</t>
  </si>
  <si>
    <t>Verantwortlich</t>
  </si>
  <si>
    <t>Dienstleister</t>
  </si>
  <si>
    <t>Letzte Durchführung</t>
  </si>
  <si>
    <t>Nächste Fälligkeit</t>
  </si>
  <si>
    <t>Tage</t>
  </si>
  <si>
    <t>Terminstatus</t>
  </si>
  <si>
    <t>Auftragsstatus</t>
  </si>
  <si>
    <t>Geplante Kosten (€)</t>
  </si>
  <si>
    <t>Ist-Kosten (€)</t>
  </si>
  <si>
    <t>Abweichung (€)</t>
  </si>
  <si>
    <t>Budgetstatus</t>
  </si>
  <si>
    <t>Dokument / Auftrag</t>
  </si>
  <si>
    <t>Bemerkung</t>
  </si>
  <si>
    <t>Aktiv?</t>
  </si>
  <si>
    <t>WP-001</t>
  </si>
  <si>
    <t>Wärmepumpe</t>
  </si>
  <si>
    <t>Technikraum EG</t>
  </si>
  <si>
    <t>Technische Anlagen</t>
  </si>
  <si>
    <t>Sichtprüfung, Filterkontrolle und Funktionsprüfung</t>
  </si>
  <si>
    <t>Hoch</t>
  </si>
  <si>
    <t>Nein</t>
  </si>
  <si>
    <t>Technischer Dienst</t>
  </si>
  <si>
    <t>Nordwerk Gebäudetechnik GmbH</t>
  </si>
  <si>
    <t>Beauftragt</t>
  </si>
  <si>
    <t>WO-2026-041</t>
  </si>
  <si>
    <t>Ersatzfilter im Auftrag enthalten</t>
  </si>
  <si>
    <t>Ja</t>
  </si>
  <si>
    <t>WP-002</t>
  </si>
  <si>
    <t>Personenaufzug</t>
  </si>
  <si>
    <t>Treppenhaus A</t>
  </si>
  <si>
    <t>Sicherheit</t>
  </si>
  <si>
    <t>Regelwartung und Prüfung der Sicherheitseinrichtungen</t>
  </si>
  <si>
    <t>Kritisch</t>
  </si>
  <si>
    <t>Facility Management</t>
  </si>
  <si>
    <t>Hanse Liftservice GmbH</t>
  </si>
  <si>
    <t>Geplant</t>
  </si>
  <si>
    <t>WO-2026-058</t>
  </si>
  <si>
    <t>Termin außerhalb der Kernzeit</t>
  </si>
  <si>
    <t>WP-003</t>
  </si>
  <si>
    <t>Brandmeldeanlage</t>
  </si>
  <si>
    <t>Zentrale UG</t>
  </si>
  <si>
    <t>Funktionsprüfung, Meldertest und Protokollkontrolle</t>
  </si>
  <si>
    <t>Brandschutzkoordination</t>
  </si>
  <si>
    <t>Elbe Brandschutz Service KG</t>
  </si>
  <si>
    <t>WO-2026-061</t>
  </si>
  <si>
    <t>Zutritt zu allen Nutzungseinheiten abstimmen</t>
  </si>
  <si>
    <t>WP-004</t>
  </si>
  <si>
    <t>Sicherheitsbeleuchtung</t>
  </si>
  <si>
    <t>Flure und Treppenhäuser</t>
  </si>
  <si>
    <t>Leuchtenprüfung und Kapazitätstest der Batterieanlage</t>
  </si>
  <si>
    <t>Lumen Prüfservice GmbH</t>
  </si>
  <si>
    <t>Offen</t>
  </si>
  <si>
    <t>Batteriemodul als Folgeaktion überwachen</t>
  </si>
  <si>
    <t>WP-005</t>
  </si>
  <si>
    <t>Dachentwässerung</t>
  </si>
  <si>
    <t>Dachflächen</t>
  </si>
  <si>
    <t>Gebäudehülle</t>
  </si>
  <si>
    <t>Dachabläufe, Rinnen und Notüberläufe reinigen</t>
  </si>
  <si>
    <t>Hausservice</t>
  </si>
  <si>
    <t>Intern</t>
  </si>
  <si>
    <t>WO-2026-066</t>
  </si>
  <si>
    <t>Witterungsabhängige Durchführung</t>
  </si>
  <si>
    <t>WP-006</t>
  </si>
  <si>
    <t>Außentüren und Tore</t>
  </si>
  <si>
    <t>Eingang / Tiefgarage</t>
  </si>
  <si>
    <t>Beschläge, Schließkräfte, Sensorik und Notentriegelung prüfen</t>
  </si>
  <si>
    <t>Weser Tor- und Türtechnik GmbH</t>
  </si>
  <si>
    <t>WO-2026-060</t>
  </si>
  <si>
    <t>Tiefgaragenzufahrt kurzzeitig sperren</t>
  </si>
  <si>
    <t>WP-007</t>
  </si>
  <si>
    <t>Lüftungsanlage</t>
  </si>
  <si>
    <t>Technikraum 1. OG</t>
  </si>
  <si>
    <t>Filterzustand, Antrieb, Kondensatablauf und Volumenstrom prüfen</t>
  </si>
  <si>
    <t>Küstenklima Service GmbH</t>
  </si>
  <si>
    <t>WO-2026-044</t>
  </si>
  <si>
    <t>Filterklasse gemäß Anlagenbuch verwenden</t>
  </si>
  <si>
    <t>WP-008</t>
  </si>
  <si>
    <t>Elektro-Hauptverteilung</t>
  </si>
  <si>
    <t>Untergeschoss</t>
  </si>
  <si>
    <t>Energie / Medien</t>
  </si>
  <si>
    <t>Thermische Sichtkontrolle und Funktionsprüfung der Schutzorgane</t>
  </si>
  <si>
    <t>Elektrofachkraft</t>
  </si>
  <si>
    <t>Oldenburger E-Check Partner GmbH</t>
  </si>
  <si>
    <t>Abschaltung mit Nutzern abstimmen</t>
  </si>
  <si>
    <t>WP-009</t>
  </si>
  <si>
    <t>Trinkwasserinstallation</t>
  </si>
  <si>
    <t>Sanitärräume</t>
  </si>
  <si>
    <t>Sanitär</t>
  </si>
  <si>
    <t>Armaturen, Temperaturen und sichtbare Leckagen kontrollieren</t>
  </si>
  <si>
    <t>AquaNord Haustechnik GmbH</t>
  </si>
  <si>
    <t>Messpunkte im Protokoll dokumentieren</t>
  </si>
  <si>
    <t>WP-010</t>
  </si>
  <si>
    <t>Rückflussverhinderer</t>
  </si>
  <si>
    <t>Hausanschlussraum</t>
  </si>
  <si>
    <t>Funktionsprüfung und Dichtheitskontrolle</t>
  </si>
  <si>
    <t>Mit WP-009 bündeln</t>
  </si>
  <si>
    <t>WP-011</t>
  </si>
  <si>
    <t>Fassade</t>
  </si>
  <si>
    <t>Außenbereich</t>
  </si>
  <si>
    <t>Visuelle Kontrolle auf Risse, lose Teile und Feuchtespuren</t>
  </si>
  <si>
    <t>Mittel</t>
  </si>
  <si>
    <t>Fotodokumentation anlegen</t>
  </si>
  <si>
    <t>WP-012</t>
  </si>
  <si>
    <t>Außenbeleuchtung</t>
  </si>
  <si>
    <t>Wege und Parkplatz</t>
  </si>
  <si>
    <t>Außenanlagen</t>
  </si>
  <si>
    <t>Leuchten, Zeitschaltung und Dämmerungssensor prüfen</t>
  </si>
  <si>
    <t>WO-2026-039</t>
  </si>
  <si>
    <t>Defekte Leuchte am Westweg ersetzt</t>
  </si>
  <si>
    <t>WP-013</t>
  </si>
  <si>
    <t>Sonnenschutzanlage</t>
  </si>
  <si>
    <t>Süd- und Westfassade</t>
  </si>
  <si>
    <t>Führungsschienen, Endlagen und Windwächter prüfen</t>
  </si>
  <si>
    <t>Sonnenwerk Service GmbH</t>
  </si>
  <si>
    <t>WO-2026-064</t>
  </si>
  <si>
    <t>Prüfung etagenweise durchführen</t>
  </si>
  <si>
    <t>WP-014</t>
  </si>
  <si>
    <t>Feuerlöscher</t>
  </si>
  <si>
    <t>Gesamtes Gebäude</t>
  </si>
  <si>
    <t>Prüfung von Zustand, Plombierung, Kennzeichnung und Standort</t>
  </si>
  <si>
    <t>Bestandsliste vor Termin abgleichen</t>
  </si>
  <si>
    <t>WP-015</t>
  </si>
  <si>
    <t>Rauch- und Wärmeabzug</t>
  </si>
  <si>
    <t>Treppenhaus / Dach</t>
  </si>
  <si>
    <t>Auslösung, Öffnungsmechanik und Energieversorgung prüfen</t>
  </si>
  <si>
    <t>Mit Brandmeldeprüfung abstimmen</t>
  </si>
  <si>
    <t>WP-016</t>
  </si>
  <si>
    <t>Schädlingsmonitoring</t>
  </si>
  <si>
    <t>Lager- und Nebenräume</t>
  </si>
  <si>
    <t>Innenbereiche</t>
  </si>
  <si>
    <t>Kontrollpunkte prüfen und Befallsspuren dokumentieren</t>
  </si>
  <si>
    <t>Moorland Hygieneservice GmbH</t>
  </si>
  <si>
    <t>WO-2026-062</t>
  </si>
  <si>
    <t>Kontrollpunkte nicht versetzen</t>
  </si>
  <si>
    <t>JAHRESAUSWERTUNG UND BEDIENUNG</t>
  </si>
  <si>
    <t>Monat</t>
  </si>
  <si>
    <t>Fällige Maßnahmen</t>
  </si>
  <si>
    <t>Plan-Kosten (€)</t>
  </si>
  <si>
    <t>KURZANLEITUNG</t>
  </si>
  <si>
    <t>Januar</t>
  </si>
  <si>
    <t>1</t>
  </si>
  <si>
    <t>Stammdaten erfassen</t>
  </si>
  <si>
    <t>Februar</t>
  </si>
  <si>
    <t>Anlage, Standort, Maßnahme, Intervall und Zuständigkeit eintragen.</t>
  </si>
  <si>
    <t>März</t>
  </si>
  <si>
    <t>2</t>
  </si>
  <si>
    <t>Fälligkeit prüfen</t>
  </si>
  <si>
    <t>April</t>
  </si>
  <si>
    <t>Nächste Fälligkeit, Resttage und Terminstatus werden automatisch berechnet.</t>
  </si>
  <si>
    <t>3</t>
  </si>
  <si>
    <t>Auftrag steuern</t>
  </si>
  <si>
    <t>Juni</t>
  </si>
  <si>
    <t>Auftragsstatus, geplante Kosten und Auftragsnummer ergänzen.</t>
  </si>
  <si>
    <t>Juli</t>
  </si>
  <si>
    <t>4</t>
  </si>
  <si>
    <t>Durchführung dokumentieren</t>
  </si>
  <si>
    <t>August</t>
  </si>
  <si>
    <t>Maßnahme im Wartungsjournal mit Befund und Kosten erfassen.</t>
  </si>
  <si>
    <t>September</t>
  </si>
  <si>
    <t>5</t>
  </si>
  <si>
    <t>Plan aktualisieren</t>
  </si>
  <si>
    <t>Oktober</t>
  </si>
  <si>
    <t>Datum in „Letzte Durchführung“ aktualisieren; der neue Termin wird berechnet.</t>
  </si>
  <si>
    <t>November</t>
  </si>
  <si>
    <t>Dezember</t>
  </si>
  <si>
    <t>Hinweis: Prüffristen und Betreiberpflichten sind objekt- und nutzungsabhängig. Hinterlegte Beispielwerte müssen vor der produktiven Nutzung fachlich geprüft und angepasst werden.</t>
  </si>
  <si>
    <t>WARTUNGSJOURNAL 2026</t>
  </si>
  <si>
    <t>Durchgeführte Arbeiten, Befunde, Kosten und Folgemaßnahmen nachvollziehbar dokumentieren</t>
  </si>
  <si>
    <t>Dokumentierte Maßnahmen</t>
  </si>
  <si>
    <t>Gesamtkosten 2026</t>
  </si>
  <si>
    <t>Mängel / Nacharbeit</t>
  </si>
  <si>
    <t>Letzter Eintrag</t>
  </si>
  <si>
    <t>Protokoll-Nr.</t>
  </si>
  <si>
    <t>Durchgeführt am</t>
  </si>
  <si>
    <t>Ergebnis</t>
  </si>
  <si>
    <t>Befund / ausgeführte Arbeiten</t>
  </si>
  <si>
    <t>Arbeitszeit (Std.)</t>
  </si>
  <si>
    <t>Interne Kosten (€)</t>
  </si>
  <si>
    <t>Material (€)</t>
  </si>
  <si>
    <t>Fremdleistung (€)</t>
  </si>
  <si>
    <t>Gesamtkosten (€)</t>
  </si>
  <si>
    <t>Folgeaktion</t>
  </si>
  <si>
    <t>Fällig bis</t>
  </si>
  <si>
    <t>Dokument / Ablage</t>
  </si>
  <si>
    <t>PJ-2026-001</t>
  </si>
  <si>
    <t>Ohne Befund</t>
  </si>
  <si>
    <t>Filter gewechselt, Sichtprüfung und Probelauf durchgeführt</t>
  </si>
  <si>
    <t>Keine</t>
  </si>
  <si>
    <t>/Wartung/2026/WP-001/PJ-001.pdf</t>
  </si>
  <si>
    <t>Anlage ohne Auffälligkeiten</t>
  </si>
  <si>
    <t>PJ-2026-002</t>
  </si>
  <si>
    <t>Mangel festgestellt</t>
  </si>
  <si>
    <t>Schließkraft geprüft; Sensor an Tiefgaragentor reagiert verzögert</t>
  </si>
  <si>
    <t>Sensor austauschen</t>
  </si>
  <si>
    <t>/Wartung/2026/WP-006/PJ-002.pdf</t>
  </si>
  <si>
    <t>Ersatzteil bestellt</t>
  </si>
  <si>
    <t>PJ-2026-003</t>
  </si>
  <si>
    <t>Temperaturen und sichtbare Leitungsabschnitte kontrolliert</t>
  </si>
  <si>
    <t>/Wartung/2026/WP-009/PJ-003.pdf</t>
  </si>
  <si>
    <t>Messwerte im Prüfblatt</t>
  </si>
  <si>
    <t>PJ-2026-004</t>
  </si>
  <si>
    <t>Nacharbeit erforderlich</t>
  </si>
  <si>
    <t>Endlagen geprüft; zwei Führungsschienen verschmutzt</t>
  </si>
  <si>
    <t>Reinigung und Nachprüfung</t>
  </si>
  <si>
    <t>/Wartung/2026/WP-013/PJ-004.pdf</t>
  </si>
  <si>
    <t>Nutzer vor Zugang informieren</t>
  </si>
  <si>
    <t>PJ-2026-005</t>
  </si>
  <si>
    <t>Dachabläufe und Notüberläufe gereinigt</t>
  </si>
  <si>
    <t>/Wartung/2026/WP-005/PJ-005.pdf</t>
  </si>
  <si>
    <t>Fotodokumentation abgelegt</t>
  </si>
  <si>
    <t>PJ-2026-006</t>
  </si>
  <si>
    <t>Kleine Putzabplatzung an der Nordfassade dokumentiert</t>
  </si>
  <si>
    <t>Fachfirma zur Bewertung anfragen</t>
  </si>
  <si>
    <t>/Wartung/2026/WP-011/PJ-006.pdf</t>
  </si>
  <si>
    <t>Keine akute Gefahr</t>
  </si>
  <si>
    <t>PJ-2026-007</t>
  </si>
  <si>
    <t>Außenbeleuchtung geprüft; defektes Leuchtmittel ersetzt</t>
  </si>
  <si>
    <t>/Wartung/2026/WP-012/PJ-007.pdf</t>
  </si>
  <si>
    <t>Westweg wieder vollständig beleuchtet</t>
  </si>
  <si>
    <t>PJ-2026-008</t>
  </si>
  <si>
    <t>Kontrollpunkte geprüft, keine Befallsspuren</t>
  </si>
  <si>
    <t>/Wartung/2026/WP-016/PJ-008.pdf</t>
  </si>
  <si>
    <t>Kontrollpunkte unverändert</t>
  </si>
  <si>
    <t>PJ-2026-009</t>
  </si>
  <si>
    <t>Regelwartung und Prüfung der Türüberwachung</t>
  </si>
  <si>
    <t>/Wartung/2026/WP-002/PJ-009.pdf</t>
  </si>
  <si>
    <t>Prüfbuch aktualisiert</t>
  </si>
  <si>
    <t>PJ-2026-010</t>
  </si>
  <si>
    <t>Filter kontrolliert, Kondensatablauf gereinigt, Volumenstrom geprüft</t>
  </si>
  <si>
    <t>/Wartung/2026/WP-007/PJ-010.pdf</t>
  </si>
  <si>
    <t>Keine Abweichungen</t>
  </si>
  <si>
    <t>PJ-2026-011</t>
  </si>
  <si>
    <t>Kapazitätstest zeigte schwache Batterie in einem Stromkreis</t>
  </si>
  <si>
    <t>Batteriemodul ersetzen</t>
  </si>
  <si>
    <t>/Wartung/2026/WP-004/PJ-011.pdf</t>
  </si>
  <si>
    <t>Angebot angefordert</t>
  </si>
  <si>
    <t>PJ-2026-012</t>
  </si>
  <si>
    <t>Dichtheit und Funktion des Rückflussverhinderers geprüft</t>
  </si>
  <si>
    <t>/Wartung/2026/WP-010/PJ-012.pdf</t>
  </si>
  <si>
    <t>Prüfplakette erneuert</t>
  </si>
  <si>
    <t>ANWENDUNGSHINWEIS</t>
  </si>
  <si>
    <t>Für jede durchgeführte Wartung eine neue Zeile anlegen. Bei Mängeln eine konkrete Folgeaktion und Frist erfassen. Anschließend das Datum „Letzte Durchführung“ im Wartungsplan aktualisieren, damit die nächste Fälligkeit automatisch neu berechnet wird.</t>
  </si>
  <si>
    <t>WARTUNGSPLAN GEBÄUDE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</si>
</sst>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d\.mm\.yyyy"/>
    <numFmt numFmtId="166" formatCode="0\ &quot;Mon.&quot;"/>
  </numFmts>
  <fonts count="22" x14ac:knownFonts="1">
    <font>
      <sz val="11"/>
      <name val="Carlito"/>
    </font>
    <font>
      <sz val="10"/>
      <color rgb="FF1F2933"/>
      <name val="Calibri"/>
    </font>
    <font>
      <b/>
      <sz val="22"/>
      <color rgb="FFFFFFFF"/>
      <name val="Calibri"/>
    </font>
    <font>
      <i/>
      <sz val="10"/>
      <color rgb="FFDDE5EA"/>
      <name val="Calibri"/>
    </font>
    <font>
      <b/>
      <sz val="10"/>
      <color rgb="FFFFFFFF"/>
      <name val="Calibri"/>
    </font>
    <font>
      <b/>
      <sz val="18"/>
      <color rgb="FFC97941"/>
      <name val="Calibri"/>
    </font>
    <font>
      <b/>
      <sz val="18"/>
      <color rgb="FF2F7F7B"/>
      <name val="Calibri"/>
    </font>
    <font>
      <b/>
      <sz val="18"/>
      <color rgb="FFB42318"/>
      <name val="Calibri"/>
    </font>
    <font>
      <b/>
      <sz val="18"/>
      <color rgb="FFB54708"/>
      <name val="Calibri"/>
    </font>
    <font>
      <b/>
      <sz val="18"/>
      <color rgb="FF243447"/>
      <name val="Calibri"/>
    </font>
    <font>
      <b/>
      <sz val="9"/>
      <color rgb="FF2F7F7B"/>
      <name val="Calibri"/>
    </font>
    <font>
      <b/>
      <sz val="12"/>
      <color rgb="FF243447"/>
      <name val="Calibri"/>
    </font>
    <font>
      <b/>
      <sz val="12"/>
      <color rgb="FFFFFFFF"/>
      <name val="Calibri"/>
    </font>
    <font>
      <b/>
      <sz val="9"/>
      <color rgb="FFFFFFFF"/>
      <name val="Calibri"/>
    </font>
    <font>
      <sz val="9"/>
      <color rgb="FF1F2933"/>
      <name val="Calibri"/>
    </font>
    <font>
      <b/>
      <sz val="17"/>
      <color rgb="FF2F7F7B"/>
      <name val="Calibri"/>
    </font>
    <font>
      <b/>
      <sz val="17"/>
      <color rgb="FF243447"/>
      <name val="Calibri"/>
    </font>
    <font>
      <b/>
      <sz val="17"/>
      <color rgb="FFC97941"/>
      <name val="Calibri"/>
    </font>
    <font>
      <b/>
      <sz val="15"/>
      <color rgb="FFFFFFFF"/>
      <name val="Calibri"/>
    </font>
    <font>
      <b/>
      <sz val="10"/>
      <color rgb="FFC97941"/>
      <name val="Calibri"/>
    </font>
    <font>
      <i/>
      <sz val="9"/>
      <color rgb="FF5B6770"/>
      <name val="Calibri"/>
    </font>
    <font>
      <sz val="11"/>
      <name val="Carlito"/>
    </font>
  </fonts>
  <fills count="13">
    <fill>
      <patternFill patternType="none"/>
    </fill>
    <fill>
      <patternFill patternType="gray125"/>
    </fill>
    <fill>
      <patternFill patternType="solid">
        <fgColor rgb="FFFFFFFF"/>
      </patternFill>
    </fill>
    <fill>
      <patternFill patternType="solid">
        <fgColor rgb="FF243447"/>
      </patternFill>
    </fill>
    <fill>
      <patternFill patternType="solid">
        <fgColor rgb="FFC97941"/>
      </patternFill>
    </fill>
    <fill>
      <patternFill patternType="solid">
        <fgColor rgb="FFF5F3EE"/>
      </patternFill>
    </fill>
    <fill>
      <patternFill patternType="solid">
        <fgColor rgb="FF2F7F7B"/>
      </patternFill>
    </fill>
    <fill>
      <patternFill patternType="solid">
        <fgColor rgb="FFB42318"/>
      </patternFill>
    </fill>
    <fill>
      <patternFill patternType="solid">
        <fgColor rgb="FFB54708"/>
      </patternFill>
    </fill>
    <fill>
      <patternFill patternType="solid">
        <fgColor rgb="FFE6F1EF"/>
      </patternFill>
    </fill>
    <fill>
      <patternFill patternType="solid">
        <fgColor rgb="FFF6E8DD"/>
      </patternFill>
    </fill>
    <fill>
      <patternFill patternType="solid">
        <fgColor rgb="FFFAFBFC"/>
      </patternFill>
    </fill>
    <fill>
      <patternFill patternType="solid">
        <fgColor rgb="FFEAF0F4"/>
      </patternFill>
    </fill>
  </fills>
  <borders count="38">
    <border>
      <left/>
      <right/>
      <top/>
      <bottom/>
      <diagonal/>
    </border>
    <border>
      <left style="thin">
        <color rgb="FFC97941"/>
      </left>
      <right/>
      <top/>
      <bottom/>
      <diagonal/>
    </border>
    <border>
      <left/>
      <right style="thin">
        <color rgb="FFC97941"/>
      </right>
      <top/>
      <bottom/>
      <diagonal/>
    </border>
    <border>
      <left style="thin">
        <color rgb="FFC97941"/>
      </left>
      <right/>
      <top/>
      <bottom style="thin">
        <color rgb="FFC97941"/>
      </bottom>
      <diagonal/>
    </border>
    <border>
      <left/>
      <right/>
      <top/>
      <bottom style="thin">
        <color rgb="FFC97941"/>
      </bottom>
      <diagonal/>
    </border>
    <border>
      <left/>
      <right style="thin">
        <color rgb="FFC97941"/>
      </right>
      <top/>
      <bottom style="thin">
        <color rgb="FFC97941"/>
      </bottom>
      <diagonal/>
    </border>
    <border>
      <left style="thin">
        <color rgb="FF2F7F7B"/>
      </left>
      <right/>
      <top/>
      <bottom/>
      <diagonal/>
    </border>
    <border>
      <left/>
      <right style="thin">
        <color rgb="FF2F7F7B"/>
      </right>
      <top/>
      <bottom/>
      <diagonal/>
    </border>
    <border>
      <left style="thin">
        <color rgb="FF2F7F7B"/>
      </left>
      <right/>
      <top/>
      <bottom style="thin">
        <color rgb="FF2F7F7B"/>
      </bottom>
      <diagonal/>
    </border>
    <border>
      <left/>
      <right/>
      <top/>
      <bottom style="thin">
        <color rgb="FF2F7F7B"/>
      </bottom>
      <diagonal/>
    </border>
    <border>
      <left/>
      <right style="thin">
        <color rgb="FF2F7F7B"/>
      </right>
      <top/>
      <bottom style="thin">
        <color rgb="FF2F7F7B"/>
      </bottom>
      <diagonal/>
    </border>
    <border>
      <left style="thin">
        <color rgb="FFB42318"/>
      </left>
      <right/>
      <top/>
      <bottom/>
      <diagonal/>
    </border>
    <border>
      <left/>
      <right style="thin">
        <color rgb="FFB42318"/>
      </right>
      <top/>
      <bottom/>
      <diagonal/>
    </border>
    <border>
      <left style="thin">
        <color rgb="FFB42318"/>
      </left>
      <right/>
      <top/>
      <bottom style="thin">
        <color rgb="FFB42318"/>
      </bottom>
      <diagonal/>
    </border>
    <border>
      <left/>
      <right/>
      <top/>
      <bottom style="thin">
        <color rgb="FFB42318"/>
      </bottom>
      <diagonal/>
    </border>
    <border>
      <left/>
      <right style="thin">
        <color rgb="FFB42318"/>
      </right>
      <top/>
      <bottom style="thin">
        <color rgb="FFB42318"/>
      </bottom>
      <diagonal/>
    </border>
    <border>
      <left style="thin">
        <color rgb="FFB54708"/>
      </left>
      <right/>
      <top/>
      <bottom/>
      <diagonal/>
    </border>
    <border>
      <left/>
      <right style="thin">
        <color rgb="FFB54708"/>
      </right>
      <top/>
      <bottom/>
      <diagonal/>
    </border>
    <border>
      <left style="thin">
        <color rgb="FFB54708"/>
      </left>
      <right/>
      <top/>
      <bottom style="thin">
        <color rgb="FFB54708"/>
      </bottom>
      <diagonal/>
    </border>
    <border>
      <left/>
      <right/>
      <top/>
      <bottom style="thin">
        <color rgb="FFB54708"/>
      </bottom>
      <diagonal/>
    </border>
    <border>
      <left/>
      <right style="thin">
        <color rgb="FFB54708"/>
      </right>
      <top/>
      <bottom style="thin">
        <color rgb="FFB54708"/>
      </bottom>
      <diagonal/>
    </border>
    <border>
      <left style="thin">
        <color rgb="FF243447"/>
      </left>
      <right/>
      <top/>
      <bottom/>
      <diagonal/>
    </border>
    <border>
      <left/>
      <right style="thin">
        <color rgb="FF243447"/>
      </right>
      <top/>
      <bottom/>
      <diagonal/>
    </border>
    <border>
      <left style="thin">
        <color rgb="FF243447"/>
      </left>
      <right/>
      <top/>
      <bottom style="thin">
        <color rgb="FF243447"/>
      </bottom>
      <diagonal/>
    </border>
    <border>
      <left/>
      <right/>
      <top/>
      <bottom style="thin">
        <color rgb="FF243447"/>
      </bottom>
      <diagonal/>
    </border>
    <border>
      <left/>
      <right style="thin">
        <color rgb="FF243447"/>
      </right>
      <top/>
      <bottom style="thin">
        <color rgb="FF243447"/>
      </bottom>
      <diagonal/>
    </border>
    <border>
      <left/>
      <right/>
      <top/>
      <bottom style="thin">
        <color rgb="FFCBD3D9"/>
      </bottom>
      <diagonal/>
    </border>
    <border>
      <left style="thin">
        <color rgb="FF6EA6A2"/>
      </left>
      <right/>
      <top style="thin">
        <color rgb="FFFFFFFF"/>
      </top>
      <bottom style="thin">
        <color rgb="FF243447"/>
      </bottom>
      <diagonal/>
    </border>
    <border>
      <left/>
      <right/>
      <top style="thin">
        <color rgb="FFFFFFFF"/>
      </top>
      <bottom style="thin">
        <color rgb="FF243447"/>
      </bottom>
      <diagonal/>
    </border>
    <border>
      <left/>
      <right style="thin">
        <color rgb="FF6EA6A2"/>
      </right>
      <top style="thin">
        <color rgb="FFFFFFFF"/>
      </top>
      <bottom style="thin">
        <color rgb="FF243447"/>
      </bottom>
      <diagonal/>
    </border>
    <border>
      <left/>
      <right style="thin">
        <color rgb="FFE8ECEF"/>
      </right>
      <top/>
      <bottom/>
      <diagonal/>
    </border>
    <border>
      <left/>
      <right/>
      <top/>
      <bottom style="thin">
        <color rgb="FFE1E6EA"/>
      </bottom>
      <diagonal/>
    </border>
    <border>
      <left/>
      <right style="thin">
        <color rgb="FFE8ECEF"/>
      </right>
      <top/>
      <bottom style="thin">
        <color rgb="FFE1E6EA"/>
      </bottom>
      <diagonal/>
    </border>
    <border>
      <left/>
      <right/>
      <top style="thin">
        <color rgb="FFCBD3D9"/>
      </top>
      <bottom/>
      <diagonal/>
    </border>
    <border>
      <left style="thin">
        <color rgb="FFCBD3D9"/>
      </left>
      <right/>
      <top/>
      <bottom/>
      <diagonal/>
    </border>
    <border>
      <left/>
      <right style="thin">
        <color rgb="FFCBD3D9"/>
      </right>
      <top/>
      <bottom/>
      <diagonal/>
    </border>
    <border>
      <left style="thin">
        <color rgb="FFCBD3D9"/>
      </left>
      <right/>
      <top/>
      <bottom style="thin">
        <color rgb="FFCBD3D9"/>
      </bottom>
      <diagonal/>
    </border>
    <border>
      <left/>
      <right style="thin">
        <color rgb="FFCBD3D9"/>
      </right>
      <top/>
      <bottom style="thin">
        <color rgb="FFCBD3D9"/>
      </bottom>
      <diagonal/>
    </border>
  </borders>
  <cellStyleXfs count="2">
    <xf numFmtId="0" fontId="0" fillId="0" borderId="0"/>
    <xf numFmtId="0" fontId="21" fillId="0" borderId="0"/>
  </cellStyleXfs>
  <cellXfs count="132">
    <xf numFmtId="0" fontId="0" fillId="0" borderId="0" xfId="0"/>
    <xf numFmtId="0" fontId="1" fillId="2" borderId="0" xfId="1" applyFont="1" applyFill="1" applyAlignment="1">
      <alignment vertical="center"/>
    </xf>
    <xf numFmtId="0" fontId="10" fillId="9" borderId="26" xfId="1" applyFont="1" applyFill="1" applyBorder="1" applyAlignment="1">
      <alignment horizontal="center" vertical="center"/>
    </xf>
    <xf numFmtId="0" fontId="11" fillId="2" borderId="26" xfId="1" applyFont="1" applyFill="1" applyBorder="1" applyAlignment="1">
      <alignment horizontal="center" vertical="center"/>
    </xf>
    <xf numFmtId="0" fontId="13" fillId="6" borderId="27" xfId="1" applyFont="1" applyFill="1" applyBorder="1" applyAlignment="1">
      <alignment horizontal="center" vertical="center" wrapText="1"/>
    </xf>
    <xf numFmtId="0" fontId="13" fillId="6" borderId="28" xfId="1" applyFont="1" applyFill="1" applyBorder="1" applyAlignment="1">
      <alignment horizontal="center" vertical="center" wrapText="1"/>
    </xf>
    <xf numFmtId="0" fontId="13" fillId="6" borderId="29" xfId="1" applyFont="1" applyFill="1" applyBorder="1" applyAlignment="1">
      <alignment horizontal="center" vertical="center" wrapText="1"/>
    </xf>
    <xf numFmtId="0" fontId="14" fillId="2" borderId="0" xfId="1" applyFont="1" applyFill="1" applyAlignment="1">
      <alignment vertical="center"/>
    </xf>
    <xf numFmtId="0" fontId="14" fillId="2" borderId="31" xfId="1" applyFont="1" applyFill="1" applyBorder="1" applyAlignment="1">
      <alignment vertical="center"/>
    </xf>
    <xf numFmtId="0" fontId="14" fillId="2" borderId="0" xfId="1" applyFont="1" applyFill="1" applyAlignment="1">
      <alignment vertical="center" wrapText="1"/>
    </xf>
    <xf numFmtId="0" fontId="14" fillId="2" borderId="30" xfId="1" applyFont="1" applyFill="1" applyBorder="1" applyAlignment="1">
      <alignment vertical="center" wrapText="1"/>
    </xf>
    <xf numFmtId="0" fontId="14" fillId="2" borderId="31" xfId="1" applyFont="1" applyFill="1" applyBorder="1" applyAlignment="1">
      <alignment vertical="center" wrapText="1"/>
    </xf>
    <xf numFmtId="0" fontId="14" fillId="2" borderId="32" xfId="1" applyFont="1" applyFill="1" applyBorder="1" applyAlignment="1">
      <alignment vertical="center" wrapText="1"/>
    </xf>
    <xf numFmtId="0" fontId="14" fillId="11" borderId="0" xfId="1" applyFont="1" applyFill="1" applyAlignment="1">
      <alignment vertical="center" wrapText="1"/>
    </xf>
    <xf numFmtId="0" fontId="14" fillId="11" borderId="30" xfId="1" applyFont="1" applyFill="1" applyBorder="1" applyAlignment="1">
      <alignment vertical="center" wrapText="1"/>
    </xf>
    <xf numFmtId="0" fontId="14" fillId="11" borderId="31" xfId="1" applyFont="1" applyFill="1" applyBorder="1" applyAlignment="1">
      <alignment vertical="center" wrapText="1"/>
    </xf>
    <xf numFmtId="0" fontId="14" fillId="2" borderId="0" xfId="1" applyFont="1" applyFill="1" applyAlignment="1">
      <alignment horizontal="center" vertical="center" wrapText="1"/>
    </xf>
    <xf numFmtId="0" fontId="14" fillId="11" borderId="0" xfId="1" applyFont="1" applyFill="1" applyAlignment="1">
      <alignment horizontal="center" vertical="center" wrapText="1"/>
    </xf>
    <xf numFmtId="0" fontId="14" fillId="11" borderId="31" xfId="1" applyFont="1" applyFill="1" applyBorder="1" applyAlignment="1">
      <alignment horizontal="center" vertical="center" wrapText="1"/>
    </xf>
    <xf numFmtId="166" fontId="14" fillId="2" borderId="0" xfId="1" applyNumberFormat="1" applyFont="1" applyFill="1" applyAlignment="1">
      <alignment horizontal="center" vertical="center" wrapText="1"/>
    </xf>
    <xf numFmtId="166" fontId="14" fillId="11" borderId="0" xfId="1" applyNumberFormat="1" applyFont="1" applyFill="1" applyAlignment="1">
      <alignment horizontal="center" vertical="center" wrapText="1"/>
    </xf>
    <xf numFmtId="166" fontId="14" fillId="11" borderId="31"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1" fontId="14" fillId="2" borderId="0" xfId="1" applyNumberFormat="1" applyFont="1" applyFill="1" applyAlignment="1">
      <alignment horizontal="center" vertical="center" wrapText="1"/>
    </xf>
    <xf numFmtId="164" fontId="14" fillId="2" borderId="0" xfId="1" applyNumberFormat="1" applyFont="1" applyFill="1" applyAlignment="1">
      <alignment horizontal="center" vertical="center" wrapText="1"/>
    </xf>
    <xf numFmtId="165" fontId="14" fillId="11" borderId="0" xfId="1" applyNumberFormat="1" applyFont="1" applyFill="1" applyAlignment="1">
      <alignment horizontal="center" vertical="center" wrapText="1"/>
    </xf>
    <xf numFmtId="1" fontId="14" fillId="11" borderId="0" xfId="1" applyNumberFormat="1" applyFont="1" applyFill="1" applyAlignment="1">
      <alignment horizontal="center" vertical="center" wrapText="1"/>
    </xf>
    <xf numFmtId="164" fontId="14" fillId="11" borderId="0" xfId="1" applyNumberFormat="1" applyFont="1" applyFill="1" applyAlignment="1">
      <alignment horizontal="center" vertical="center" wrapText="1"/>
    </xf>
    <xf numFmtId="165" fontId="14" fillId="11" borderId="31" xfId="1" applyNumberFormat="1" applyFont="1" applyFill="1" applyBorder="1" applyAlignment="1">
      <alignment horizontal="center" vertical="center" wrapText="1"/>
    </xf>
    <xf numFmtId="1" fontId="14" fillId="11" borderId="31" xfId="1" applyNumberFormat="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11" borderId="30" xfId="1" applyFont="1" applyFill="1" applyBorder="1" applyAlignment="1">
      <alignment horizontal="center" vertical="center" wrapText="1"/>
    </xf>
    <xf numFmtId="0" fontId="14" fillId="11" borderId="32" xfId="1" applyFont="1" applyFill="1" applyBorder="1" applyAlignment="1">
      <alignment horizontal="center" vertical="center" wrapText="1"/>
    </xf>
    <xf numFmtId="164" fontId="14" fillId="2" borderId="0" xfId="1" applyNumberFormat="1" applyFont="1" applyFill="1" applyAlignment="1">
      <alignment horizontal="right" vertical="center" wrapText="1"/>
    </xf>
    <xf numFmtId="164" fontId="14" fillId="11" borderId="0" xfId="1" applyNumberFormat="1" applyFont="1" applyFill="1" applyAlignment="1">
      <alignment horizontal="right" vertical="center" wrapText="1"/>
    </xf>
    <xf numFmtId="164" fontId="14" fillId="11" borderId="31" xfId="1" applyNumberFormat="1" applyFont="1" applyFill="1" applyBorder="1" applyAlignment="1">
      <alignment horizontal="right" vertical="center" wrapText="1"/>
    </xf>
    <xf numFmtId="0" fontId="14" fillId="2" borderId="31" xfId="1" applyFont="1" applyFill="1" applyBorder="1" applyAlignment="1">
      <alignment horizontal="center" vertical="center" wrapText="1"/>
    </xf>
    <xf numFmtId="165" fontId="14" fillId="2" borderId="31" xfId="1" applyNumberFormat="1" applyFont="1" applyFill="1" applyBorder="1" applyAlignment="1">
      <alignment horizontal="center" vertical="center" wrapText="1"/>
    </xf>
    <xf numFmtId="2" fontId="14" fillId="11" borderId="0" xfId="1" applyNumberFormat="1" applyFont="1" applyFill="1" applyAlignment="1">
      <alignment horizontal="center" vertical="center" wrapText="1"/>
    </xf>
    <xf numFmtId="2" fontId="14" fillId="2" borderId="0" xfId="1" applyNumberFormat="1" applyFont="1" applyFill="1" applyAlignment="1">
      <alignment horizontal="center" vertical="center" wrapText="1"/>
    </xf>
    <xf numFmtId="2" fontId="14" fillId="2" borderId="31" xfId="1" applyNumberFormat="1" applyFont="1" applyFill="1" applyBorder="1" applyAlignment="1">
      <alignment horizontal="center" vertical="center" wrapText="1"/>
    </xf>
    <xf numFmtId="164" fontId="14" fillId="2" borderId="31" xfId="1" applyNumberFormat="1" applyFont="1" applyFill="1" applyBorder="1" applyAlignment="1">
      <alignment horizontal="center" vertical="center" wrapText="1"/>
    </xf>
    <xf numFmtId="0" fontId="13" fillId="6" borderId="0" xfId="1" applyFont="1" applyFill="1" applyAlignment="1">
      <alignment horizontal="center" vertical="center" wrapText="1"/>
    </xf>
    <xf numFmtId="0" fontId="14" fillId="11" borderId="0" xfId="1" applyFont="1" applyFill="1" applyAlignment="1">
      <alignment vertical="center"/>
    </xf>
    <xf numFmtId="0" fontId="14" fillId="11" borderId="0" xfId="1" applyFont="1" applyFill="1" applyAlignment="1">
      <alignment horizontal="center" vertical="center"/>
    </xf>
    <xf numFmtId="0" fontId="14" fillId="2" borderId="0" xfId="1" applyFont="1" applyFill="1" applyAlignment="1">
      <alignment horizontal="center" vertical="center"/>
    </xf>
    <xf numFmtId="0" fontId="14" fillId="2" borderId="31" xfId="1" applyFont="1" applyFill="1" applyBorder="1" applyAlignment="1">
      <alignment horizontal="center" vertical="center"/>
    </xf>
    <xf numFmtId="164" fontId="14" fillId="11" borderId="0" xfId="1" applyNumberFormat="1" applyFont="1" applyFill="1" applyAlignment="1">
      <alignment horizontal="right" vertical="center"/>
    </xf>
    <xf numFmtId="164" fontId="14" fillId="11" borderId="30" xfId="1" applyNumberFormat="1" applyFont="1" applyFill="1" applyBorder="1" applyAlignment="1">
      <alignment horizontal="right" vertical="center"/>
    </xf>
    <xf numFmtId="164" fontId="14" fillId="2" borderId="0" xfId="1" applyNumberFormat="1" applyFont="1" applyFill="1" applyAlignment="1">
      <alignment horizontal="right" vertical="center"/>
    </xf>
    <xf numFmtId="164" fontId="14" fillId="2" borderId="30" xfId="1" applyNumberFormat="1" applyFont="1" applyFill="1" applyBorder="1" applyAlignment="1">
      <alignment horizontal="right" vertical="center"/>
    </xf>
    <xf numFmtId="164" fontId="14" fillId="2" borderId="31" xfId="1" applyNumberFormat="1" applyFont="1" applyFill="1" applyBorder="1" applyAlignment="1">
      <alignment horizontal="right" vertical="center"/>
    </xf>
    <xf numFmtId="164" fontId="14" fillId="2" borderId="32" xfId="1" applyNumberFormat="1" applyFont="1" applyFill="1" applyBorder="1" applyAlignment="1">
      <alignment horizontal="right" vertical="center"/>
    </xf>
    <xf numFmtId="0" fontId="2" fillId="3" borderId="0" xfId="1" applyFont="1" applyFill="1" applyAlignment="1">
      <alignment horizontal="left" vertical="center"/>
    </xf>
    <xf numFmtId="0" fontId="3" fillId="3" borderId="0" xfId="1" applyFont="1" applyFill="1" applyAlignment="1">
      <alignment horizontal="left" vertical="center"/>
    </xf>
    <xf numFmtId="0" fontId="4" fillId="4" borderId="0" xfId="1" applyFont="1" applyFill="1" applyAlignment="1">
      <alignment horizontal="center" vertical="center"/>
    </xf>
    <xf numFmtId="0" fontId="5" fillId="5" borderId="1" xfId="1" applyFont="1" applyFill="1" applyBorder="1" applyAlignment="1">
      <alignment horizontal="center" vertical="center"/>
    </xf>
    <xf numFmtId="0" fontId="5" fillId="5" borderId="0" xfId="1" applyFont="1" applyFill="1" applyAlignment="1">
      <alignment horizontal="center" vertical="center"/>
    </xf>
    <xf numFmtId="0" fontId="5" fillId="5" borderId="2"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4" xfId="1" applyFont="1" applyFill="1" applyBorder="1" applyAlignment="1">
      <alignment horizontal="center" vertical="center"/>
    </xf>
    <xf numFmtId="0" fontId="5" fillId="5" borderId="5" xfId="1" applyFont="1" applyFill="1" applyBorder="1" applyAlignment="1">
      <alignment horizontal="center" vertical="center"/>
    </xf>
    <xf numFmtId="0" fontId="4" fillId="6" borderId="0" xfId="1" applyFont="1" applyFill="1" applyAlignment="1">
      <alignment horizontal="center" vertical="center"/>
    </xf>
    <xf numFmtId="0" fontId="6" fillId="5" borderId="6" xfId="1" applyFont="1" applyFill="1" applyBorder="1" applyAlignment="1">
      <alignment horizontal="center" vertical="center"/>
    </xf>
    <xf numFmtId="0" fontId="6" fillId="5" borderId="0" xfId="1" applyFont="1" applyFill="1" applyAlignment="1">
      <alignment horizontal="center" vertical="center"/>
    </xf>
    <xf numFmtId="0" fontId="6" fillId="5" borderId="7"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0" fontId="4" fillId="7" borderId="0" xfId="1" applyFont="1" applyFill="1" applyAlignment="1">
      <alignment horizontal="center" vertical="center"/>
    </xf>
    <xf numFmtId="0" fontId="7" fillId="5" borderId="11" xfId="1" applyFont="1" applyFill="1" applyBorder="1" applyAlignment="1">
      <alignment horizontal="center" vertical="center"/>
    </xf>
    <xf numFmtId="0" fontId="7" fillId="5" borderId="0" xfId="1" applyFont="1" applyFill="1" applyAlignment="1">
      <alignment horizontal="center" vertical="center"/>
    </xf>
    <xf numFmtId="0" fontId="7" fillId="5" borderId="12" xfId="1" applyFont="1" applyFill="1" applyBorder="1" applyAlignment="1">
      <alignment horizontal="center" vertical="center"/>
    </xf>
    <xf numFmtId="0" fontId="7" fillId="5" borderId="13" xfId="1" applyFont="1" applyFill="1" applyBorder="1" applyAlignment="1">
      <alignment horizontal="center" vertical="center"/>
    </xf>
    <xf numFmtId="0" fontId="7" fillId="5" borderId="14" xfId="1" applyFont="1" applyFill="1" applyBorder="1" applyAlignment="1">
      <alignment horizontal="center" vertical="center"/>
    </xf>
    <xf numFmtId="0" fontId="7" fillId="5" borderId="15" xfId="1" applyFont="1" applyFill="1" applyBorder="1" applyAlignment="1">
      <alignment horizontal="center" vertical="center"/>
    </xf>
    <xf numFmtId="0" fontId="4" fillId="8" borderId="0" xfId="1" applyFont="1" applyFill="1" applyAlignment="1">
      <alignment horizontal="center" vertical="center"/>
    </xf>
    <xf numFmtId="0" fontId="8" fillId="5" borderId="16" xfId="1" applyFont="1" applyFill="1" applyBorder="1" applyAlignment="1">
      <alignment horizontal="center" vertical="center"/>
    </xf>
    <xf numFmtId="0" fontId="8" fillId="5" borderId="0" xfId="1" applyFont="1" applyFill="1" applyAlignment="1">
      <alignment horizontal="center" vertical="center"/>
    </xf>
    <xf numFmtId="0" fontId="8" fillId="5" borderId="17" xfId="1" applyFont="1" applyFill="1" applyBorder="1" applyAlignment="1">
      <alignment horizontal="center" vertical="center"/>
    </xf>
    <xf numFmtId="0" fontId="8" fillId="5" borderId="18" xfId="1" applyFont="1" applyFill="1" applyBorder="1" applyAlignment="1">
      <alignment horizontal="center" vertical="center"/>
    </xf>
    <xf numFmtId="0" fontId="8" fillId="5" borderId="19" xfId="1" applyFont="1" applyFill="1" applyBorder="1" applyAlignment="1">
      <alignment horizontal="center" vertical="center"/>
    </xf>
    <xf numFmtId="0" fontId="8" fillId="5" borderId="20" xfId="1" applyFont="1" applyFill="1" applyBorder="1" applyAlignment="1">
      <alignment horizontal="center" vertical="center"/>
    </xf>
    <xf numFmtId="0" fontId="4" fillId="3" borderId="0" xfId="1" applyFont="1" applyFill="1" applyAlignment="1">
      <alignment horizontal="center" vertical="center"/>
    </xf>
    <xf numFmtId="164" fontId="9" fillId="5" borderId="21" xfId="1" applyNumberFormat="1" applyFont="1" applyFill="1" applyBorder="1" applyAlignment="1">
      <alignment horizontal="center" vertical="center"/>
    </xf>
    <xf numFmtId="164" fontId="9" fillId="5" borderId="0" xfId="1" applyNumberFormat="1" applyFont="1" applyFill="1" applyAlignment="1">
      <alignment horizontal="center" vertical="center"/>
    </xf>
    <xf numFmtId="164" fontId="9" fillId="5" borderId="22" xfId="1" applyNumberFormat="1" applyFont="1" applyFill="1" applyBorder="1" applyAlignment="1">
      <alignment horizontal="center" vertical="center"/>
    </xf>
    <xf numFmtId="164" fontId="9" fillId="5" borderId="23" xfId="1" applyNumberFormat="1" applyFont="1" applyFill="1" applyBorder="1" applyAlignment="1">
      <alignment horizontal="center" vertical="center"/>
    </xf>
    <xf numFmtId="164" fontId="9" fillId="5" borderId="24" xfId="1" applyNumberFormat="1" applyFont="1" applyFill="1" applyBorder="1" applyAlignment="1">
      <alignment horizontal="center" vertical="center"/>
    </xf>
    <xf numFmtId="164" fontId="9" fillId="5" borderId="25" xfId="1" applyNumberFormat="1" applyFont="1" applyFill="1" applyBorder="1" applyAlignment="1">
      <alignment horizontal="center" vertical="center"/>
    </xf>
    <xf numFmtId="0" fontId="4" fillId="6" borderId="0" xfId="1" applyFont="1" applyFill="1" applyAlignment="1">
      <alignment horizontal="left" vertical="center"/>
    </xf>
    <xf numFmtId="0" fontId="4" fillId="4" borderId="0" xfId="1" applyFont="1" applyFill="1" applyAlignment="1">
      <alignment vertical="center"/>
    </xf>
    <xf numFmtId="0" fontId="1" fillId="10" borderId="0" xfId="1" applyFont="1" applyFill="1" applyAlignment="1">
      <alignment horizontal="center" vertical="center" wrapText="1"/>
    </xf>
    <xf numFmtId="0" fontId="1" fillId="10" borderId="26" xfId="1" applyFont="1" applyFill="1" applyBorder="1" applyAlignment="1">
      <alignment horizontal="center" vertical="center" wrapText="1"/>
    </xf>
    <xf numFmtId="0" fontId="12" fillId="3" borderId="0" xfId="1" applyFont="1" applyFill="1" applyAlignment="1">
      <alignment horizontal="left" vertical="center"/>
    </xf>
    <xf numFmtId="0" fontId="12" fillId="3" borderId="0" xfId="1" applyFont="1" applyFill="1" applyAlignment="1">
      <alignment vertical="center"/>
    </xf>
    <xf numFmtId="0" fontId="18" fillId="3" borderId="0" xfId="1" applyFont="1" applyFill="1" applyAlignment="1">
      <alignment horizontal="center" vertical="center"/>
    </xf>
    <xf numFmtId="0" fontId="19" fillId="10" borderId="0" xfId="1" applyFont="1" applyFill="1" applyAlignment="1">
      <alignment vertical="center"/>
    </xf>
    <xf numFmtId="0" fontId="14" fillId="2" borderId="26" xfId="1" applyFont="1" applyFill="1" applyBorder="1" applyAlignment="1">
      <alignment vertical="center" wrapText="1"/>
    </xf>
    <xf numFmtId="0" fontId="20" fillId="12" borderId="33" xfId="1" applyFont="1" applyFill="1" applyBorder="1" applyAlignment="1">
      <alignment vertical="center" wrapText="1"/>
    </xf>
    <xf numFmtId="0" fontId="20" fillId="12" borderId="26" xfId="1" applyFont="1" applyFill="1" applyBorder="1" applyAlignment="1">
      <alignment vertical="center" wrapText="1"/>
    </xf>
    <xf numFmtId="0" fontId="3" fillId="3" borderId="0" xfId="1" applyFont="1" applyFill="1" applyAlignment="1">
      <alignment vertical="center"/>
    </xf>
    <xf numFmtId="0" fontId="15" fillId="5" borderId="6" xfId="1" applyFont="1" applyFill="1" applyBorder="1" applyAlignment="1">
      <alignment horizontal="center" vertical="center"/>
    </xf>
    <xf numFmtId="0" fontId="15" fillId="5" borderId="0" xfId="1" applyFont="1" applyFill="1" applyAlignment="1">
      <alignment horizontal="center" vertical="center"/>
    </xf>
    <xf numFmtId="0" fontId="15" fillId="5" borderId="7" xfId="1" applyFont="1" applyFill="1" applyBorder="1" applyAlignment="1">
      <alignment horizontal="center" vertical="center"/>
    </xf>
    <xf numFmtId="0" fontId="15" fillId="5" borderId="8" xfId="1" applyFont="1" applyFill="1" applyBorder="1" applyAlignment="1">
      <alignment horizontal="center" vertical="center"/>
    </xf>
    <xf numFmtId="0" fontId="15" fillId="5" borderId="9" xfId="1" applyFont="1" applyFill="1" applyBorder="1" applyAlignment="1">
      <alignment horizontal="center" vertical="center"/>
    </xf>
    <xf numFmtId="0" fontId="15" fillId="5" borderId="10" xfId="1" applyFont="1" applyFill="1" applyBorder="1" applyAlignment="1">
      <alignment horizontal="center" vertical="center"/>
    </xf>
    <xf numFmtId="164" fontId="16" fillId="5" borderId="21" xfId="1" applyNumberFormat="1" applyFont="1" applyFill="1" applyBorder="1" applyAlignment="1">
      <alignment horizontal="center" vertical="center"/>
    </xf>
    <xf numFmtId="164" fontId="16" fillId="5" borderId="0" xfId="1" applyNumberFormat="1" applyFont="1" applyFill="1" applyAlignment="1">
      <alignment horizontal="center" vertical="center"/>
    </xf>
    <xf numFmtId="164" fontId="16" fillId="5" borderId="22" xfId="1" applyNumberFormat="1" applyFont="1" applyFill="1" applyBorder="1" applyAlignment="1">
      <alignment horizontal="center" vertical="center"/>
    </xf>
    <xf numFmtId="164" fontId="16" fillId="5" borderId="23" xfId="1" applyNumberFormat="1" applyFont="1" applyFill="1" applyBorder="1" applyAlignment="1">
      <alignment horizontal="center" vertical="center"/>
    </xf>
    <xf numFmtId="164" fontId="16" fillId="5" borderId="24" xfId="1" applyNumberFormat="1" applyFont="1" applyFill="1" applyBorder="1" applyAlignment="1">
      <alignment horizontal="center" vertical="center"/>
    </xf>
    <xf numFmtId="164" fontId="16" fillId="5" borderId="25" xfId="1" applyNumberFormat="1" applyFont="1" applyFill="1" applyBorder="1" applyAlignment="1">
      <alignment horizontal="center" vertical="center"/>
    </xf>
    <xf numFmtId="0" fontId="17" fillId="5" borderId="1" xfId="1" applyFont="1" applyFill="1" applyBorder="1" applyAlignment="1">
      <alignment horizontal="center" vertical="center"/>
    </xf>
    <xf numFmtId="0" fontId="17" fillId="5" borderId="0" xfId="1" applyFont="1" applyFill="1" applyAlignment="1">
      <alignment horizontal="center" vertical="center"/>
    </xf>
    <xf numFmtId="0" fontId="17" fillId="5" borderId="2" xfId="1" applyFont="1" applyFill="1" applyBorder="1" applyAlignment="1">
      <alignment horizontal="center" vertical="center"/>
    </xf>
    <xf numFmtId="0" fontId="17" fillId="5" borderId="3"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5" xfId="1" applyFont="1" applyFill="1" applyBorder="1" applyAlignment="1">
      <alignment horizontal="center" vertical="center"/>
    </xf>
    <xf numFmtId="165" fontId="16" fillId="5" borderId="21" xfId="1" applyNumberFormat="1" applyFont="1" applyFill="1" applyBorder="1" applyAlignment="1">
      <alignment horizontal="center" vertical="center"/>
    </xf>
    <xf numFmtId="165" fontId="16" fillId="5" borderId="0" xfId="1" applyNumberFormat="1" applyFont="1" applyFill="1" applyAlignment="1">
      <alignment horizontal="center" vertical="center"/>
    </xf>
    <xf numFmtId="165" fontId="16" fillId="5" borderId="22" xfId="1" applyNumberFormat="1" applyFont="1" applyFill="1" applyBorder="1" applyAlignment="1">
      <alignment horizontal="center" vertical="center"/>
    </xf>
    <xf numFmtId="165" fontId="16" fillId="5" borderId="23" xfId="1" applyNumberFormat="1" applyFont="1" applyFill="1" applyBorder="1" applyAlignment="1">
      <alignment horizontal="center" vertical="center"/>
    </xf>
    <xf numFmtId="165" fontId="16" fillId="5" borderId="24" xfId="1" applyNumberFormat="1" applyFont="1" applyFill="1" applyBorder="1" applyAlignment="1">
      <alignment horizontal="center" vertical="center"/>
    </xf>
    <xf numFmtId="165" fontId="16" fillId="5" borderId="25" xfId="1" applyNumberFormat="1" applyFont="1" applyFill="1" applyBorder="1" applyAlignment="1">
      <alignment horizontal="center" vertical="center"/>
    </xf>
    <xf numFmtId="0" fontId="1" fillId="10" borderId="34" xfId="1" applyFont="1" applyFill="1" applyBorder="1" applyAlignment="1">
      <alignment vertical="center" wrapText="1"/>
    </xf>
    <xf numFmtId="0" fontId="1" fillId="10" borderId="0" xfId="1" applyFont="1" applyFill="1" applyAlignment="1">
      <alignment vertical="center" wrapText="1"/>
    </xf>
    <xf numFmtId="0" fontId="1" fillId="10" borderId="35" xfId="1" applyFont="1" applyFill="1" applyBorder="1" applyAlignment="1">
      <alignment vertical="center" wrapText="1"/>
    </xf>
    <xf numFmtId="0" fontId="1" fillId="10" borderId="36" xfId="1" applyFont="1" applyFill="1" applyBorder="1" applyAlignment="1">
      <alignment vertical="center" wrapText="1"/>
    </xf>
    <xf numFmtId="0" fontId="1" fillId="10" borderId="26" xfId="1" applyFont="1" applyFill="1" applyBorder="1" applyAlignment="1">
      <alignment vertical="center" wrapText="1"/>
    </xf>
    <xf numFmtId="0" fontId="1" fillId="10" borderId="37" xfId="1" applyFont="1" applyFill="1" applyBorder="1" applyAlignment="1">
      <alignment vertical="center" wrapText="1"/>
    </xf>
  </cellXfs>
  <cellStyles count="2">
    <cellStyle name="Normal" xfId="1" xr:uid="{00000000-0005-0000-0000-000000000000}"/>
    <cellStyle name="Standard" xfId="0" builtinId="0"/>
  </cellStyles>
  <dxfs count="15">
    <dxf>
      <font>
        <b/>
        <color rgb="FFB42318"/>
      </font>
      <fill>
        <patternFill patternType="solid">
          <bgColor rgb="FFFDE7E4"/>
        </patternFill>
      </fill>
    </dxf>
    <dxf>
      <font>
        <color rgb="FF2E6B4F"/>
      </font>
      <fill>
        <patternFill patternType="solid">
          <bgColor rgb="FFE3F3EA"/>
        </patternFill>
      </fill>
    </dxf>
    <dxf>
      <font>
        <b/>
        <color rgb="FFB42318"/>
      </font>
      <fill>
        <patternFill patternType="solid">
          <bgColor rgb="FFFDE7E4"/>
        </patternFill>
      </fill>
    </dxf>
    <dxf>
      <font>
        <b/>
        <color rgb="FFB54708"/>
      </font>
      <fill>
        <patternFill patternType="solid">
          <bgColor rgb="FFFFF0DC"/>
        </patternFill>
      </fill>
    </dxf>
    <dxf>
      <font>
        <color rgb="FF5B6770"/>
      </font>
      <fill>
        <patternFill patternType="solid">
          <bgColor rgb="FFECEFF1"/>
        </patternFill>
      </fill>
    </dxf>
    <dxf>
      <font>
        <color rgb="FF2E6B4F"/>
      </font>
      <fill>
        <patternFill patternType="solid">
          <bgColor rgb="FFE3F3EA"/>
        </patternFill>
      </fill>
    </dxf>
    <dxf>
      <font>
        <color rgb="FFB54708"/>
      </font>
      <fill>
        <patternFill patternType="solid">
          <bgColor rgb="FFFFF0DC"/>
        </patternFill>
      </fill>
    </dxf>
    <dxf>
      <font>
        <b/>
        <color rgb="FFB42318"/>
      </font>
      <fill>
        <patternFill patternType="solid">
          <bgColor rgb="FFFDE7E4"/>
        </patternFill>
      </fill>
    </dxf>
    <dxf>
      <font>
        <color rgb="FF5B6770"/>
      </font>
      <fill>
        <patternFill patternType="solid">
          <bgColor rgb="FFECEFF1"/>
        </patternFill>
      </fill>
    </dxf>
    <dxf>
      <font>
        <b/>
        <color rgb="FF2E6B4F"/>
      </font>
      <fill>
        <patternFill patternType="solid">
          <bgColor rgb="FFE3F3EA"/>
        </patternFill>
      </fill>
    </dxf>
    <dxf>
      <font>
        <b/>
        <color rgb="FF8A6100"/>
      </font>
      <fill>
        <patternFill patternType="solid">
          <bgColor rgb="FFFFF7D6"/>
        </patternFill>
      </fill>
    </dxf>
    <dxf>
      <font>
        <b/>
        <color rgb="FFB54708"/>
      </font>
      <fill>
        <patternFill patternType="solid">
          <bgColor rgb="FFFFF0DC"/>
        </patternFill>
      </fill>
    </dxf>
    <dxf>
      <font>
        <b/>
        <color rgb="FFB42318"/>
      </font>
      <fill>
        <patternFill patternType="solid">
          <bgColor rgb="FFFDE7E4"/>
        </patternFill>
      </fill>
    </dxf>
    <dxf>
      <font>
        <b/>
        <color rgb="FFB54708"/>
      </font>
      <fill>
        <patternFill patternType="solid">
          <bgColor rgb="FFFFF0DC"/>
        </patternFill>
      </fill>
    </dxf>
    <dxf>
      <font>
        <b/>
        <color rgb="FFB42318"/>
      </font>
      <fill>
        <patternFill patternType="solid">
          <bgColor rgb="FFFDE7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a:lstStyle/>
          <a:p>
            <a:r>
              <a:t>Fällige Wartungen je Monat</a:t>
            </a:r>
          </a:p>
        </c:rich>
      </c:tx>
      <c:overlay val="0"/>
    </c:title>
    <c:autoTitleDeleted val="0"/>
    <c:plotArea>
      <c:layout/>
      <c:barChart>
        <c:barDir val="col"/>
        <c:grouping val="clustered"/>
        <c:varyColors val="0"/>
        <c:ser>
          <c:idx val="0"/>
          <c:order val="0"/>
          <c:tx>
            <c:v>Fällige Maßnahmen</c:v>
          </c:tx>
          <c:invertIfNegative val="1"/>
          <c:cat>
            <c:strRef>
              <c:f>Wartungsplan!$A$50:$A$61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Wartungsplan!$B$50:$B$61</c:f>
              <c:numCache>
                <c:formatCode>General</c:formatCode>
                <c:ptCount val="12"/>
                <c:pt idx="0">
                  <c:v>0</c:v>
                </c:pt>
                <c:pt idx="1">
                  <c:v>0</c:v>
                </c:pt>
                <c:pt idx="2">
                  <c:v>0</c:v>
                </c:pt>
                <c:pt idx="3">
                  <c:v>0</c:v>
                </c:pt>
                <c:pt idx="4">
                  <c:v>0</c:v>
                </c:pt>
                <c:pt idx="5">
                  <c:v>0</c:v>
                </c:pt>
                <c:pt idx="6">
                  <c:v>5</c:v>
                </c:pt>
                <c:pt idx="7">
                  <c:v>3</c:v>
                </c:pt>
                <c:pt idx="8">
                  <c:v>2</c:v>
                </c:pt>
                <c:pt idx="9">
                  <c:v>1</c:v>
                </c:pt>
                <c:pt idx="10">
                  <c:v>0</c:v>
                </c:pt>
                <c:pt idx="11">
                  <c:v>1</c:v>
                </c:pt>
              </c:numCache>
            </c:numRef>
          </c:val>
          <c:extLst>
            <c:ext xmlns:c16="http://schemas.microsoft.com/office/drawing/2014/chart" uri="{C3380CC4-5D6E-409C-BE32-E72D297353CC}">
              <c16:uniqueId val="{00000000-0F38-43C5-AD7E-925194669E42}"/>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48</xdr:row>
      <xdr:rowOff>0</xdr:rowOff>
    </xdr:from>
    <xdr:to>
      <xdr:col>14</xdr:col>
      <xdr:colOff>0</xdr:colOff>
      <xdr:row>63</xdr:row>
      <xdr:rowOff>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artungsplanTabelle" displayName="WartungsplanTabelle" ref="A14:V44">
  <tableColumns count="22">
    <tableColumn id="1" xr3:uid="{00000000-0010-0000-0000-000001000000}" name="Wartungs-ID"/>
    <tableColumn id="2" xr3:uid="{00000000-0010-0000-0000-000002000000}" name="Anlage / Bauteil"/>
    <tableColumn id="3" xr3:uid="{00000000-0010-0000-0000-000003000000}" name="Standort"/>
    <tableColumn id="4" xr3:uid="{00000000-0010-0000-0000-000004000000}" name="Kategorie"/>
    <tableColumn id="5" xr3:uid="{00000000-0010-0000-0000-000005000000}" name="Wartungsmaßnahme"/>
    <tableColumn id="6" xr3:uid="{00000000-0010-0000-0000-000006000000}" name="Intervall_x000a_(Monate)"/>
    <tableColumn id="7" xr3:uid="{00000000-0010-0000-0000-000007000000}" name="Priorität"/>
    <tableColumn id="8" xr3:uid="{00000000-0010-0000-0000-000008000000}" name="Betreiberpflicht"/>
    <tableColumn id="9" xr3:uid="{00000000-0010-0000-0000-000009000000}" name="Verantwortlich"/>
    <tableColumn id="10" xr3:uid="{00000000-0010-0000-0000-00000A000000}" name="Dienstleister"/>
    <tableColumn id="11" xr3:uid="{00000000-0010-0000-0000-00000B000000}" name="Letzte Durchführung"/>
    <tableColumn id="12" xr3:uid="{00000000-0010-0000-0000-00000C000000}" name="Nächste Fälligkeit"/>
    <tableColumn id="13" xr3:uid="{00000000-0010-0000-0000-00000D000000}" name="Tage"/>
    <tableColumn id="14" xr3:uid="{00000000-0010-0000-0000-00000E000000}" name="Terminstatus"/>
    <tableColumn id="15" xr3:uid="{00000000-0010-0000-0000-00000F000000}" name="Auftragsstatus"/>
    <tableColumn id="16" xr3:uid="{00000000-0010-0000-0000-000010000000}" name="Geplante Kosten (€)"/>
    <tableColumn id="17" xr3:uid="{00000000-0010-0000-0000-000011000000}" name="Ist-Kosten (€)"/>
    <tableColumn id="18" xr3:uid="{00000000-0010-0000-0000-000012000000}" name="Abweichung (€)"/>
    <tableColumn id="19" xr3:uid="{00000000-0010-0000-0000-000013000000}" name="Budgetstatus"/>
    <tableColumn id="20" xr3:uid="{00000000-0010-0000-0000-000014000000}" name="Dokument / Auftrag"/>
    <tableColumn id="21" xr3:uid="{00000000-0010-0000-0000-000015000000}" name="Bemerkung"/>
    <tableColumn id="22" xr3:uid="{00000000-0010-0000-0000-000016000000}" name="Aktiv?"/>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artungsjournalTabelle" displayName="WartungsjournalTabelle" ref="A9:P39">
  <tableColumns count="16">
    <tableColumn id="1" xr3:uid="{00000000-0010-0000-0100-000001000000}" name="Protokoll-Nr."/>
    <tableColumn id="2" xr3:uid="{00000000-0010-0000-0100-000002000000}" name="Wartungs-ID"/>
    <tableColumn id="3" xr3:uid="{00000000-0010-0000-0100-000003000000}" name="Durchgeführt am"/>
    <tableColumn id="4" xr3:uid="{00000000-0010-0000-0100-000004000000}" name="Ergebnis"/>
    <tableColumn id="5" xr3:uid="{00000000-0010-0000-0100-000005000000}" name="Befund / ausgeführte Arbeiten"/>
    <tableColumn id="6" xr3:uid="{00000000-0010-0000-0100-000006000000}" name="Verantwortlich"/>
    <tableColumn id="7" xr3:uid="{00000000-0010-0000-0100-000007000000}" name="Dienstleister"/>
    <tableColumn id="8" xr3:uid="{00000000-0010-0000-0100-000008000000}" name="Arbeitszeit (Std.)"/>
    <tableColumn id="9" xr3:uid="{00000000-0010-0000-0100-000009000000}" name="Interne Kosten (€)"/>
    <tableColumn id="10" xr3:uid="{00000000-0010-0000-0100-00000A000000}" name="Material (€)"/>
    <tableColumn id="11" xr3:uid="{00000000-0010-0000-0100-00000B000000}" name="Fremdleistung (€)"/>
    <tableColumn id="12" xr3:uid="{00000000-0010-0000-0100-00000C000000}" name="Gesamtkosten (€)"/>
    <tableColumn id="13" xr3:uid="{00000000-0010-0000-0100-00000D000000}" name="Folgeaktion"/>
    <tableColumn id="14" xr3:uid="{00000000-0010-0000-0100-00000E000000}" name="Fällig bis"/>
    <tableColumn id="15" xr3:uid="{00000000-0010-0000-0100-00000F000000}" name="Dokument / Ablage"/>
    <tableColumn id="16" xr3:uid="{00000000-0010-0000-0100-000010000000}" name="Bemerkung"/>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
  <sheetViews>
    <sheetView tabSelected="1" workbookViewId="0">
      <selection activeCell="A3" sqref="A3:V3"/>
    </sheetView>
  </sheetViews>
  <sheetFormatPr baseColWidth="10" defaultColWidth="9" defaultRowHeight="15" x14ac:dyDescent="0.25"/>
  <cols>
    <col min="1" max="1" width="11" customWidth="1"/>
    <col min="2" max="2" width="22" customWidth="1"/>
    <col min="3" max="4" width="18" customWidth="1"/>
    <col min="5" max="5" width="34" customWidth="1"/>
    <col min="6" max="7" width="11" customWidth="1"/>
    <col min="8" max="8" width="14" customWidth="1"/>
    <col min="9" max="9" width="18" customWidth="1"/>
    <col min="10" max="10" width="22" customWidth="1"/>
    <col min="11" max="12" width="15" customWidth="1"/>
    <col min="13" max="13" width="9" customWidth="1"/>
    <col min="14" max="15" width="14" customWidth="1"/>
    <col min="16" max="16" width="16" customWidth="1"/>
    <col min="17" max="19" width="14" customWidth="1"/>
    <col min="20" max="20" width="20" customWidth="1"/>
    <col min="21" max="21" width="28" customWidth="1"/>
    <col min="22" max="22" width="9" customWidth="1"/>
  </cols>
  <sheetData>
    <row r="1" spans="1:22" ht="26.1" customHeight="1" x14ac:dyDescent="0.25">
      <c r="A1" s="53" t="s">
        <v>273</v>
      </c>
      <c r="B1" s="53"/>
      <c r="C1" s="53"/>
      <c r="D1" s="53"/>
      <c r="E1" s="53"/>
      <c r="F1" s="53"/>
      <c r="G1" s="53"/>
      <c r="H1" s="53"/>
      <c r="I1" s="53"/>
      <c r="J1" s="53"/>
      <c r="K1" s="53"/>
      <c r="L1" s="53"/>
      <c r="M1" s="53"/>
      <c r="N1" s="53"/>
      <c r="O1" s="53"/>
      <c r="P1" s="53"/>
      <c r="Q1" s="53"/>
      <c r="R1" s="53"/>
      <c r="S1" s="53"/>
      <c r="T1" s="53"/>
      <c r="U1" s="53"/>
      <c r="V1" s="53"/>
    </row>
    <row r="2" spans="1:22" ht="26.1" customHeight="1" x14ac:dyDescent="0.25">
      <c r="A2" s="53"/>
      <c r="B2" s="53"/>
      <c r="C2" s="53"/>
      <c r="D2" s="53"/>
      <c r="E2" s="53"/>
      <c r="F2" s="53"/>
      <c r="G2" s="53"/>
      <c r="H2" s="53"/>
      <c r="I2" s="53"/>
      <c r="J2" s="53"/>
      <c r="K2" s="53"/>
      <c r="L2" s="53"/>
      <c r="M2" s="53"/>
      <c r="N2" s="53"/>
      <c r="O2" s="53"/>
      <c r="P2" s="53"/>
      <c r="Q2" s="53"/>
      <c r="R2" s="53"/>
      <c r="S2" s="53"/>
      <c r="T2" s="53"/>
      <c r="U2" s="53"/>
      <c r="V2" s="53"/>
    </row>
    <row r="3" spans="1:22" ht="20.100000000000001" customHeight="1" x14ac:dyDescent="0.25">
      <c r="A3" s="54" t="s">
        <v>0</v>
      </c>
      <c r="B3" s="54"/>
      <c r="C3" s="54"/>
      <c r="D3" s="54"/>
      <c r="E3" s="54"/>
      <c r="F3" s="54"/>
      <c r="G3" s="54"/>
      <c r="H3" s="54"/>
      <c r="I3" s="54"/>
      <c r="J3" s="54"/>
      <c r="K3" s="54"/>
      <c r="L3" s="54"/>
      <c r="M3" s="54"/>
      <c r="N3" s="54"/>
      <c r="O3" s="54"/>
      <c r="P3" s="54"/>
      <c r="Q3" s="54"/>
      <c r="R3" s="54"/>
      <c r="S3" s="54"/>
      <c r="T3" s="54"/>
      <c r="U3" s="54"/>
      <c r="V3" s="54"/>
    </row>
    <row r="4" spans="1:22" x14ac:dyDescent="0.25">
      <c r="A4" s="1"/>
      <c r="B4" s="1"/>
      <c r="C4" s="1"/>
      <c r="D4" s="1"/>
      <c r="E4" s="1"/>
      <c r="F4" s="1"/>
      <c r="G4" s="1"/>
      <c r="H4" s="1"/>
      <c r="I4" s="1"/>
      <c r="J4" s="1"/>
      <c r="K4" s="1"/>
      <c r="L4" s="1"/>
      <c r="M4" s="1"/>
      <c r="N4" s="1"/>
      <c r="O4" s="1"/>
      <c r="P4" s="1"/>
      <c r="Q4" s="1"/>
      <c r="R4" s="1"/>
      <c r="S4" s="1"/>
      <c r="T4" s="1"/>
      <c r="U4" s="1"/>
      <c r="V4" s="1"/>
    </row>
    <row r="5" spans="1:22" x14ac:dyDescent="0.25">
      <c r="A5" s="55" t="s">
        <v>1</v>
      </c>
      <c r="B5" s="55"/>
      <c r="C5" s="55"/>
      <c r="D5" s="62" t="s">
        <v>2</v>
      </c>
      <c r="E5" s="62"/>
      <c r="F5" s="62"/>
      <c r="G5" s="69" t="s">
        <v>3</v>
      </c>
      <c r="H5" s="69"/>
      <c r="I5" s="69"/>
      <c r="J5" s="76" t="s">
        <v>4</v>
      </c>
      <c r="K5" s="76"/>
      <c r="L5" s="76"/>
      <c r="M5" s="83" t="s">
        <v>5</v>
      </c>
      <c r="N5" s="83"/>
      <c r="O5" s="83"/>
      <c r="P5" s="83"/>
      <c r="Q5" s="83" t="s">
        <v>6</v>
      </c>
      <c r="R5" s="83"/>
      <c r="S5" s="83"/>
      <c r="T5" s="83"/>
      <c r="U5" s="83"/>
      <c r="V5" s="83"/>
    </row>
    <row r="6" spans="1:22" x14ac:dyDescent="0.25">
      <c r="A6" s="56">
        <v>2026</v>
      </c>
      <c r="B6" s="57"/>
      <c r="C6" s="58"/>
      <c r="D6" s="63">
        <f>COUNTIF($V$15:$V$44,"Ja")</f>
        <v>16</v>
      </c>
      <c r="E6" s="64"/>
      <c r="F6" s="65"/>
      <c r="G6" s="70">
        <f ca="1">COUNTIF($N$15:$N$44,"Überfällig")</f>
        <v>3</v>
      </c>
      <c r="H6" s="71"/>
      <c r="I6" s="72"/>
      <c r="J6" s="77">
        <f ca="1">COUNTIF($N$15:$N$44,"Bald fällig")</f>
        <v>4</v>
      </c>
      <c r="K6" s="78"/>
      <c r="L6" s="79"/>
      <c r="M6" s="84">
        <f>SUMIFS($P$15:$P$44,$L$15:$L$44,"&gt;="&amp;DATE($A$6,1,1),$L$15:$L$44,"&lt;="&amp;DATE($A$6,12,31),$V$15:$V$44,"Ja")</f>
        <v>4605</v>
      </c>
      <c r="N6" s="85"/>
      <c r="O6" s="85"/>
      <c r="P6" s="86"/>
      <c r="Q6" s="84">
        <f>SUMIFS(Wartungsjournal!$L$10:$L$39,Wartungsjournal!$C$10:$C$39,"&gt;="&amp;DATE($A$6,1,1),Wartungsjournal!$C$10:$C$39,"&lt;="&amp;DATE($A$6,12,31))</f>
        <v>3100</v>
      </c>
      <c r="R6" s="85"/>
      <c r="S6" s="85"/>
      <c r="T6" s="85"/>
      <c r="U6" s="85"/>
      <c r="V6" s="86"/>
    </row>
    <row r="7" spans="1:22" x14ac:dyDescent="0.25">
      <c r="A7" s="59"/>
      <c r="B7" s="60"/>
      <c r="C7" s="61"/>
      <c r="D7" s="66"/>
      <c r="E7" s="67"/>
      <c r="F7" s="68"/>
      <c r="G7" s="73"/>
      <c r="H7" s="74"/>
      <c r="I7" s="75"/>
      <c r="J7" s="80"/>
      <c r="K7" s="81"/>
      <c r="L7" s="82"/>
      <c r="M7" s="87"/>
      <c r="N7" s="88"/>
      <c r="O7" s="88"/>
      <c r="P7" s="89"/>
      <c r="Q7" s="87"/>
      <c r="R7" s="88"/>
      <c r="S7" s="88"/>
      <c r="T7" s="88"/>
      <c r="U7" s="88"/>
      <c r="V7" s="89"/>
    </row>
    <row r="8" spans="1:22" x14ac:dyDescent="0.25">
      <c r="A8" s="1"/>
      <c r="B8" s="1"/>
      <c r="C8" s="1"/>
      <c r="D8" s="1"/>
      <c r="E8" s="1"/>
      <c r="F8" s="1"/>
      <c r="G8" s="1"/>
      <c r="H8" s="1"/>
      <c r="I8" s="1"/>
      <c r="J8" s="1"/>
      <c r="K8" s="1"/>
      <c r="L8" s="1"/>
      <c r="M8" s="1"/>
      <c r="N8" s="1"/>
      <c r="O8" s="1"/>
      <c r="P8" s="1"/>
      <c r="Q8" s="1"/>
      <c r="R8" s="1"/>
      <c r="S8" s="1"/>
      <c r="T8" s="1"/>
      <c r="U8" s="1"/>
      <c r="V8" s="1"/>
    </row>
    <row r="9" spans="1:22" x14ac:dyDescent="0.25">
      <c r="A9" s="90" t="s">
        <v>7</v>
      </c>
      <c r="B9" s="90"/>
      <c r="C9" s="90"/>
      <c r="D9" s="90"/>
      <c r="E9" s="90"/>
      <c r="F9" s="90"/>
      <c r="G9" s="90"/>
      <c r="H9" s="90"/>
      <c r="I9" s="90"/>
      <c r="J9" s="90"/>
      <c r="K9" s="90"/>
      <c r="L9" s="90"/>
      <c r="M9" s="91" t="s">
        <v>8</v>
      </c>
      <c r="N9" s="91"/>
      <c r="O9" s="91"/>
      <c r="P9" s="91"/>
      <c r="Q9" s="91"/>
      <c r="R9" s="91"/>
      <c r="S9" s="91"/>
      <c r="T9" s="91"/>
      <c r="U9" s="91"/>
      <c r="V9" s="91"/>
    </row>
    <row r="10" spans="1:22" x14ac:dyDescent="0.25">
      <c r="A10" s="2" t="s">
        <v>9</v>
      </c>
      <c r="B10" s="2" t="s">
        <v>10</v>
      </c>
      <c r="C10" s="2" t="s">
        <v>11</v>
      </c>
      <c r="D10" s="2" t="s">
        <v>12</v>
      </c>
      <c r="E10" s="2" t="s">
        <v>13</v>
      </c>
      <c r="F10" s="2" t="s">
        <v>14</v>
      </c>
      <c r="G10" s="2" t="s">
        <v>15</v>
      </c>
      <c r="H10" s="2" t="s">
        <v>16</v>
      </c>
      <c r="I10" s="2" t="s">
        <v>17</v>
      </c>
      <c r="J10" s="2" t="s">
        <v>18</v>
      </c>
      <c r="K10" s="2" t="s">
        <v>19</v>
      </c>
      <c r="L10" s="2" t="s">
        <v>20</v>
      </c>
      <c r="M10" s="92" t="s">
        <v>21</v>
      </c>
      <c r="N10" s="92"/>
      <c r="O10" s="92"/>
      <c r="P10" s="92"/>
      <c r="Q10" s="92"/>
      <c r="R10" s="92"/>
      <c r="S10" s="92"/>
      <c r="T10" s="92"/>
      <c r="U10" s="92"/>
      <c r="V10" s="92"/>
    </row>
    <row r="11" spans="1:22" ht="15.75" x14ac:dyDescent="0.25">
      <c r="A11" s="3">
        <f>COUNTIFS($L$15:$L$44,"&gt;="&amp;DATE($A$6,1,1),$L$15:$L$44,"&lt;"&amp;EDATE(DATE($A$6,1,1),1),$V$15:$V$44,"Ja")</f>
        <v>0</v>
      </c>
      <c r="B11" s="3">
        <f>COUNTIFS($L$15:$L$44,"&gt;="&amp;DATE($A$6,2,1),$L$15:$L$44,"&lt;"&amp;EDATE(DATE($A$6,2,1),1),$V$15:$V$44,"Ja")</f>
        <v>0</v>
      </c>
      <c r="C11" s="3">
        <f>COUNTIFS($L$15:$L$44,"&gt;="&amp;DATE($A$6,3,1),$L$15:$L$44,"&lt;"&amp;EDATE(DATE($A$6,3,1),1),$V$15:$V$44,"Ja")</f>
        <v>0</v>
      </c>
      <c r="D11" s="3">
        <f>COUNTIFS($L$15:$L$44,"&gt;="&amp;DATE($A$6,4,1),$L$15:$L$44,"&lt;"&amp;EDATE(DATE($A$6,4,1),1),$V$15:$V$44,"Ja")</f>
        <v>0</v>
      </c>
      <c r="E11" s="3">
        <f>COUNTIFS($L$15:$L$44,"&gt;="&amp;DATE($A$6,5,1),$L$15:$L$44,"&lt;"&amp;EDATE(DATE($A$6,5,1),1),$V$15:$V$44,"Ja")</f>
        <v>0</v>
      </c>
      <c r="F11" s="3">
        <f>COUNTIFS($L$15:$L$44,"&gt;="&amp;DATE($A$6,6,1),$L$15:$L$44,"&lt;"&amp;EDATE(DATE($A$6,6,1),1),$V$15:$V$44,"Ja")</f>
        <v>0</v>
      </c>
      <c r="G11" s="3">
        <f>COUNTIFS($L$15:$L$44,"&gt;="&amp;DATE($A$6,7,1),$L$15:$L$44,"&lt;"&amp;EDATE(DATE($A$6,7,1),1),$V$15:$V$44,"Ja")</f>
        <v>5</v>
      </c>
      <c r="H11" s="3">
        <f>COUNTIFS($L$15:$L$44,"&gt;="&amp;DATE($A$6,8,1),$L$15:$L$44,"&lt;"&amp;EDATE(DATE($A$6,8,1),1),$V$15:$V$44,"Ja")</f>
        <v>3</v>
      </c>
      <c r="I11" s="3">
        <f>COUNTIFS($L$15:$L$44,"&gt;="&amp;DATE($A$6,9,1),$L$15:$L$44,"&lt;"&amp;EDATE(DATE($A$6,9,1),1),$V$15:$V$44,"Ja")</f>
        <v>2</v>
      </c>
      <c r="J11" s="3">
        <f>COUNTIFS($L$15:$L$44,"&gt;="&amp;DATE($A$6,10,1),$L$15:$L$44,"&lt;"&amp;EDATE(DATE($A$6,10,1),1),$V$15:$V$44,"Ja")</f>
        <v>1</v>
      </c>
      <c r="K11" s="3">
        <f>COUNTIFS($L$15:$L$44,"&gt;="&amp;DATE($A$6,11,1),$L$15:$L$44,"&lt;"&amp;EDATE(DATE($A$6,11,1),1),$V$15:$V$44,"Ja")</f>
        <v>0</v>
      </c>
      <c r="L11" s="3">
        <f>COUNTIFS($L$15:$L$44,"&gt;="&amp;DATE($A$6,12,1),$L$15:$L$44,"&lt;"&amp;EDATE(DATE($A$6,12,1),1),$V$15:$V$44,"Ja")</f>
        <v>1</v>
      </c>
      <c r="M11" s="93"/>
      <c r="N11" s="93"/>
      <c r="O11" s="93"/>
      <c r="P11" s="93"/>
      <c r="Q11" s="93"/>
      <c r="R11" s="93"/>
      <c r="S11" s="93"/>
      <c r="T11" s="93"/>
      <c r="U11" s="93"/>
      <c r="V11" s="93"/>
    </row>
    <row r="12" spans="1:22" x14ac:dyDescent="0.25">
      <c r="A12" s="1"/>
      <c r="B12" s="1"/>
      <c r="C12" s="1"/>
      <c r="D12" s="1"/>
      <c r="E12" s="1"/>
      <c r="F12" s="1"/>
      <c r="G12" s="1"/>
      <c r="H12" s="1"/>
      <c r="I12" s="1"/>
      <c r="J12" s="1"/>
      <c r="K12" s="1"/>
      <c r="L12" s="1"/>
      <c r="M12" s="1"/>
      <c r="N12" s="1"/>
      <c r="O12" s="1"/>
      <c r="P12" s="1"/>
      <c r="Q12" s="1"/>
      <c r="R12" s="1"/>
      <c r="S12" s="1"/>
      <c r="T12" s="1"/>
      <c r="U12" s="1"/>
      <c r="V12" s="1"/>
    </row>
    <row r="13" spans="1:22" ht="15.75" x14ac:dyDescent="0.25">
      <c r="A13" s="94" t="s">
        <v>22</v>
      </c>
      <c r="B13" s="94"/>
      <c r="C13" s="94"/>
      <c r="D13" s="94"/>
      <c r="E13" s="94"/>
      <c r="F13" s="94"/>
      <c r="G13" s="94"/>
      <c r="H13" s="94"/>
      <c r="I13" s="94"/>
      <c r="J13" s="94"/>
      <c r="K13" s="94"/>
      <c r="L13" s="94"/>
      <c r="M13" s="94"/>
      <c r="N13" s="94"/>
      <c r="O13" s="94"/>
      <c r="P13" s="94"/>
      <c r="Q13" s="94"/>
      <c r="R13" s="94"/>
      <c r="S13" s="94"/>
      <c r="T13" s="94"/>
      <c r="U13" s="94"/>
      <c r="V13" s="94"/>
    </row>
    <row r="14" spans="1:22" ht="33.950000000000003" customHeight="1" x14ac:dyDescent="0.25">
      <c r="A14" s="4" t="s">
        <v>23</v>
      </c>
      <c r="B14" s="5" t="s">
        <v>24</v>
      </c>
      <c r="C14" s="5" t="s">
        <v>25</v>
      </c>
      <c r="D14" s="5" t="s">
        <v>26</v>
      </c>
      <c r="E14" s="5" t="s">
        <v>27</v>
      </c>
      <c r="F14" s="5" t="s">
        <v>28</v>
      </c>
      <c r="G14" s="5" t="s">
        <v>29</v>
      </c>
      <c r="H14" s="5" t="s">
        <v>30</v>
      </c>
      <c r="I14" s="5" t="s">
        <v>31</v>
      </c>
      <c r="J14" s="5" t="s">
        <v>32</v>
      </c>
      <c r="K14" s="5" t="s">
        <v>33</v>
      </c>
      <c r="L14" s="5" t="s">
        <v>34</v>
      </c>
      <c r="M14" s="5" t="s">
        <v>35</v>
      </c>
      <c r="N14" s="5" t="s">
        <v>36</v>
      </c>
      <c r="O14" s="5" t="s">
        <v>37</v>
      </c>
      <c r="P14" s="5" t="s">
        <v>38</v>
      </c>
      <c r="Q14" s="5" t="s">
        <v>39</v>
      </c>
      <c r="R14" s="5" t="s">
        <v>40</v>
      </c>
      <c r="S14" s="5" t="s">
        <v>41</v>
      </c>
      <c r="T14" s="5" t="s">
        <v>42</v>
      </c>
      <c r="U14" s="5" t="s">
        <v>43</v>
      </c>
      <c r="V14" s="6" t="s">
        <v>44</v>
      </c>
    </row>
    <row r="15" spans="1:22" ht="33.950000000000003" customHeight="1" x14ac:dyDescent="0.25">
      <c r="A15" s="16" t="s">
        <v>45</v>
      </c>
      <c r="B15" s="9" t="s">
        <v>46</v>
      </c>
      <c r="C15" s="9" t="s">
        <v>47</v>
      </c>
      <c r="D15" s="9" t="s">
        <v>48</v>
      </c>
      <c r="E15" s="9" t="s">
        <v>49</v>
      </c>
      <c r="F15" s="19">
        <v>6</v>
      </c>
      <c r="G15" s="16" t="s">
        <v>50</v>
      </c>
      <c r="H15" s="16" t="s">
        <v>51</v>
      </c>
      <c r="I15" s="9" t="s">
        <v>52</v>
      </c>
      <c r="J15" s="9" t="s">
        <v>53</v>
      </c>
      <c r="K15" s="22">
        <v>46027</v>
      </c>
      <c r="L15" s="22">
        <f t="shared" ref="L15:L44" si="0">IF($A15="","",IF(OR($K15="",$F15=""),"",EDATE($K15,$F15)))</f>
        <v>46208</v>
      </c>
      <c r="M15" s="23">
        <f t="shared" ref="M15:M44" ca="1" si="1">IF($A15="","",IF($L15="","",$L15-TODAY()))</f>
        <v>-15</v>
      </c>
      <c r="N15" s="16" t="str">
        <f t="shared" ref="N15:N44" ca="1" si="2">IF($A15="","",IF($V15&lt;&gt;"Ja","Inaktiv",IF($L15="","Nicht geplant",IF($L15&lt;TODAY(),"Überfällig",IF($L15&lt;=TODAY()+30,"Bald fällig",IF($L15&lt;=TODAY()+60,"Im Blick","Planmäßig"))))))</f>
        <v>Überfällig</v>
      </c>
      <c r="O15" s="16" t="s">
        <v>54</v>
      </c>
      <c r="P15" s="33">
        <v>420</v>
      </c>
      <c r="Q15" s="33">
        <v>455</v>
      </c>
      <c r="R15" s="33">
        <f t="shared" ref="R15:R44" si="3">IF($A15="","",IF($Q15="","",$Q15-$P15))</f>
        <v>35</v>
      </c>
      <c r="S15" s="16" t="str">
        <f t="shared" ref="S15:S44" si="4">IF($A15="","",IF($Q15="","Noch offen",IF($P15=0,"Prüfen",IF($Q15&gt;$P15*1.1,"Über Budget",IF($Q15&gt;$P15,"Leicht darüber","Im Budget")))))</f>
        <v>Leicht darüber</v>
      </c>
      <c r="T15" s="9" t="s">
        <v>55</v>
      </c>
      <c r="U15" s="9" t="s">
        <v>56</v>
      </c>
      <c r="V15" s="30" t="s">
        <v>57</v>
      </c>
    </row>
    <row r="16" spans="1:22" ht="33.950000000000003" customHeight="1" x14ac:dyDescent="0.25">
      <c r="A16" s="17" t="s">
        <v>58</v>
      </c>
      <c r="B16" s="13" t="s">
        <v>59</v>
      </c>
      <c r="C16" s="13" t="s">
        <v>60</v>
      </c>
      <c r="D16" s="13" t="s">
        <v>61</v>
      </c>
      <c r="E16" s="13" t="s">
        <v>62</v>
      </c>
      <c r="F16" s="20">
        <v>3</v>
      </c>
      <c r="G16" s="17" t="s">
        <v>63</v>
      </c>
      <c r="H16" s="17" t="s">
        <v>57</v>
      </c>
      <c r="I16" s="13" t="s">
        <v>64</v>
      </c>
      <c r="J16" s="13" t="s">
        <v>65</v>
      </c>
      <c r="K16" s="25">
        <v>46157</v>
      </c>
      <c r="L16" s="25">
        <f t="shared" si="0"/>
        <v>46249</v>
      </c>
      <c r="M16" s="26">
        <f t="shared" ca="1" si="1"/>
        <v>26</v>
      </c>
      <c r="N16" s="17" t="str">
        <f t="shared" ca="1" si="2"/>
        <v>Bald fällig</v>
      </c>
      <c r="O16" s="17" t="s">
        <v>66</v>
      </c>
      <c r="P16" s="34">
        <v>390</v>
      </c>
      <c r="Q16" s="34">
        <v>390</v>
      </c>
      <c r="R16" s="34">
        <f t="shared" si="3"/>
        <v>0</v>
      </c>
      <c r="S16" s="17" t="str">
        <f t="shared" si="4"/>
        <v>Im Budget</v>
      </c>
      <c r="T16" s="13" t="s">
        <v>67</v>
      </c>
      <c r="U16" s="13" t="s">
        <v>68</v>
      </c>
      <c r="V16" s="31" t="s">
        <v>57</v>
      </c>
    </row>
    <row r="17" spans="1:22" ht="33.950000000000003" customHeight="1" x14ac:dyDescent="0.25">
      <c r="A17" s="16" t="s">
        <v>69</v>
      </c>
      <c r="B17" s="9" t="s">
        <v>70</v>
      </c>
      <c r="C17" s="9" t="s">
        <v>71</v>
      </c>
      <c r="D17" s="9" t="s">
        <v>61</v>
      </c>
      <c r="E17" s="9" t="s">
        <v>72</v>
      </c>
      <c r="F17" s="19">
        <v>12</v>
      </c>
      <c r="G17" s="16" t="s">
        <v>63</v>
      </c>
      <c r="H17" s="16" t="s">
        <v>57</v>
      </c>
      <c r="I17" s="9" t="s">
        <v>73</v>
      </c>
      <c r="J17" s="9" t="s">
        <v>74</v>
      </c>
      <c r="K17" s="22">
        <v>45870</v>
      </c>
      <c r="L17" s="22">
        <f t="shared" si="0"/>
        <v>46235</v>
      </c>
      <c r="M17" s="23">
        <f t="shared" ca="1" si="1"/>
        <v>12</v>
      </c>
      <c r="N17" s="16" t="str">
        <f t="shared" ca="1" si="2"/>
        <v>Bald fällig</v>
      </c>
      <c r="O17" s="16" t="s">
        <v>54</v>
      </c>
      <c r="P17" s="33">
        <v>780</v>
      </c>
      <c r="Q17" s="33"/>
      <c r="R17" s="33" t="str">
        <f t="shared" si="3"/>
        <v/>
      </c>
      <c r="S17" s="16" t="str">
        <f t="shared" si="4"/>
        <v>Noch offen</v>
      </c>
      <c r="T17" s="9" t="s">
        <v>75</v>
      </c>
      <c r="U17" s="9" t="s">
        <v>76</v>
      </c>
      <c r="V17" s="30" t="s">
        <v>57</v>
      </c>
    </row>
    <row r="18" spans="1:22" ht="33.950000000000003" customHeight="1" x14ac:dyDescent="0.25">
      <c r="A18" s="17" t="s">
        <v>77</v>
      </c>
      <c r="B18" s="13" t="s">
        <v>78</v>
      </c>
      <c r="C18" s="13" t="s">
        <v>79</v>
      </c>
      <c r="D18" s="13" t="s">
        <v>61</v>
      </c>
      <c r="E18" s="13" t="s">
        <v>80</v>
      </c>
      <c r="F18" s="20">
        <v>12</v>
      </c>
      <c r="G18" s="17" t="s">
        <v>63</v>
      </c>
      <c r="H18" s="17" t="s">
        <v>57</v>
      </c>
      <c r="I18" s="13" t="s">
        <v>52</v>
      </c>
      <c r="J18" s="13" t="s">
        <v>81</v>
      </c>
      <c r="K18" s="25">
        <v>46203</v>
      </c>
      <c r="L18" s="25">
        <f t="shared" si="0"/>
        <v>46568</v>
      </c>
      <c r="M18" s="26">
        <f t="shared" ca="1" si="1"/>
        <v>345</v>
      </c>
      <c r="N18" s="17" t="str">
        <f t="shared" ca="1" si="2"/>
        <v>Planmäßig</v>
      </c>
      <c r="O18" s="17" t="s">
        <v>82</v>
      </c>
      <c r="P18" s="34">
        <v>540</v>
      </c>
      <c r="Q18" s="34">
        <v>510</v>
      </c>
      <c r="R18" s="34">
        <f t="shared" si="3"/>
        <v>-30</v>
      </c>
      <c r="S18" s="17" t="str">
        <f t="shared" si="4"/>
        <v>Im Budget</v>
      </c>
      <c r="T18" s="13"/>
      <c r="U18" s="13" t="s">
        <v>83</v>
      </c>
      <c r="V18" s="31" t="s">
        <v>57</v>
      </c>
    </row>
    <row r="19" spans="1:22" ht="33.950000000000003" customHeight="1" x14ac:dyDescent="0.25">
      <c r="A19" s="16" t="s">
        <v>84</v>
      </c>
      <c r="B19" s="9" t="s">
        <v>85</v>
      </c>
      <c r="C19" s="9" t="s">
        <v>86</v>
      </c>
      <c r="D19" s="9" t="s">
        <v>87</v>
      </c>
      <c r="E19" s="9" t="s">
        <v>88</v>
      </c>
      <c r="F19" s="19">
        <v>6</v>
      </c>
      <c r="G19" s="16" t="s">
        <v>50</v>
      </c>
      <c r="H19" s="16" t="s">
        <v>51</v>
      </c>
      <c r="I19" s="9" t="s">
        <v>89</v>
      </c>
      <c r="J19" s="9" t="s">
        <v>90</v>
      </c>
      <c r="K19" s="22">
        <v>46091</v>
      </c>
      <c r="L19" s="22">
        <f t="shared" si="0"/>
        <v>46275</v>
      </c>
      <c r="M19" s="23">
        <f t="shared" ca="1" si="1"/>
        <v>52</v>
      </c>
      <c r="N19" s="16" t="str">
        <f t="shared" ca="1" si="2"/>
        <v>Im Blick</v>
      </c>
      <c r="O19" s="16" t="s">
        <v>66</v>
      </c>
      <c r="P19" s="33">
        <v>260</v>
      </c>
      <c r="Q19" s="33">
        <v>145</v>
      </c>
      <c r="R19" s="33">
        <f t="shared" si="3"/>
        <v>-115</v>
      </c>
      <c r="S19" s="16" t="str">
        <f t="shared" si="4"/>
        <v>Im Budget</v>
      </c>
      <c r="T19" s="9" t="s">
        <v>91</v>
      </c>
      <c r="U19" s="9" t="s">
        <v>92</v>
      </c>
      <c r="V19" s="30" t="s">
        <v>57</v>
      </c>
    </row>
    <row r="20" spans="1:22" ht="33.950000000000003" customHeight="1" x14ac:dyDescent="0.25">
      <c r="A20" s="17" t="s">
        <v>93</v>
      </c>
      <c r="B20" s="13" t="s">
        <v>94</v>
      </c>
      <c r="C20" s="13" t="s">
        <v>95</v>
      </c>
      <c r="D20" s="13" t="s">
        <v>61</v>
      </c>
      <c r="E20" s="13" t="s">
        <v>96</v>
      </c>
      <c r="F20" s="20">
        <v>6</v>
      </c>
      <c r="G20" s="17" t="s">
        <v>50</v>
      </c>
      <c r="H20" s="17" t="s">
        <v>57</v>
      </c>
      <c r="I20" s="13" t="s">
        <v>64</v>
      </c>
      <c r="J20" s="13" t="s">
        <v>97</v>
      </c>
      <c r="K20" s="25">
        <v>46047</v>
      </c>
      <c r="L20" s="25">
        <f t="shared" si="0"/>
        <v>46228</v>
      </c>
      <c r="M20" s="26">
        <f t="shared" ca="1" si="1"/>
        <v>5</v>
      </c>
      <c r="N20" s="17" t="str">
        <f t="shared" ca="1" si="2"/>
        <v>Bald fällig</v>
      </c>
      <c r="O20" s="17" t="s">
        <v>54</v>
      </c>
      <c r="P20" s="34">
        <v>360</v>
      </c>
      <c r="Q20" s="34">
        <v>310</v>
      </c>
      <c r="R20" s="34">
        <f t="shared" si="3"/>
        <v>-50</v>
      </c>
      <c r="S20" s="17" t="str">
        <f t="shared" si="4"/>
        <v>Im Budget</v>
      </c>
      <c r="T20" s="13" t="s">
        <v>98</v>
      </c>
      <c r="U20" s="13" t="s">
        <v>99</v>
      </c>
      <c r="V20" s="31" t="s">
        <v>57</v>
      </c>
    </row>
    <row r="21" spans="1:22" ht="33.950000000000003" customHeight="1" x14ac:dyDescent="0.25">
      <c r="A21" s="16" t="s">
        <v>100</v>
      </c>
      <c r="B21" s="9" t="s">
        <v>101</v>
      </c>
      <c r="C21" s="9" t="s">
        <v>102</v>
      </c>
      <c r="D21" s="9" t="s">
        <v>48</v>
      </c>
      <c r="E21" s="9" t="s">
        <v>103</v>
      </c>
      <c r="F21" s="19">
        <v>3</v>
      </c>
      <c r="G21" s="16" t="s">
        <v>50</v>
      </c>
      <c r="H21" s="16" t="s">
        <v>51</v>
      </c>
      <c r="I21" s="9" t="s">
        <v>52</v>
      </c>
      <c r="J21" s="9" t="s">
        <v>104</v>
      </c>
      <c r="K21" s="22">
        <v>46174</v>
      </c>
      <c r="L21" s="22">
        <f t="shared" si="0"/>
        <v>46266</v>
      </c>
      <c r="M21" s="23">
        <f t="shared" ca="1" si="1"/>
        <v>43</v>
      </c>
      <c r="N21" s="16" t="str">
        <f t="shared" ca="1" si="2"/>
        <v>Im Blick</v>
      </c>
      <c r="O21" s="16" t="s">
        <v>82</v>
      </c>
      <c r="P21" s="33">
        <v>310</v>
      </c>
      <c r="Q21" s="33">
        <v>295</v>
      </c>
      <c r="R21" s="33">
        <f t="shared" si="3"/>
        <v>-15</v>
      </c>
      <c r="S21" s="16" t="str">
        <f t="shared" si="4"/>
        <v>Im Budget</v>
      </c>
      <c r="T21" s="9" t="s">
        <v>105</v>
      </c>
      <c r="U21" s="9" t="s">
        <v>106</v>
      </c>
      <c r="V21" s="30" t="s">
        <v>57</v>
      </c>
    </row>
    <row r="22" spans="1:22" ht="33.950000000000003" customHeight="1" x14ac:dyDescent="0.25">
      <c r="A22" s="17" t="s">
        <v>107</v>
      </c>
      <c r="B22" s="13" t="s">
        <v>108</v>
      </c>
      <c r="C22" s="13" t="s">
        <v>109</v>
      </c>
      <c r="D22" s="13" t="s">
        <v>110</v>
      </c>
      <c r="E22" s="13" t="s">
        <v>111</v>
      </c>
      <c r="F22" s="20">
        <v>12</v>
      </c>
      <c r="G22" s="17" t="s">
        <v>63</v>
      </c>
      <c r="H22" s="17" t="s">
        <v>57</v>
      </c>
      <c r="I22" s="13" t="s">
        <v>112</v>
      </c>
      <c r="J22" s="13" t="s">
        <v>113</v>
      </c>
      <c r="K22" s="25">
        <v>45848</v>
      </c>
      <c r="L22" s="25">
        <f t="shared" si="0"/>
        <v>46213</v>
      </c>
      <c r="M22" s="26">
        <f t="shared" ca="1" si="1"/>
        <v>-10</v>
      </c>
      <c r="N22" s="17" t="str">
        <f t="shared" ca="1" si="2"/>
        <v>Überfällig</v>
      </c>
      <c r="O22" s="17" t="s">
        <v>66</v>
      </c>
      <c r="P22" s="34">
        <v>620</v>
      </c>
      <c r="Q22" s="34"/>
      <c r="R22" s="34" t="str">
        <f t="shared" si="3"/>
        <v/>
      </c>
      <c r="S22" s="17" t="str">
        <f t="shared" si="4"/>
        <v>Noch offen</v>
      </c>
      <c r="T22" s="13"/>
      <c r="U22" s="13" t="s">
        <v>114</v>
      </c>
      <c r="V22" s="31" t="s">
        <v>57</v>
      </c>
    </row>
    <row r="23" spans="1:22" ht="33.950000000000003" customHeight="1" x14ac:dyDescent="0.25">
      <c r="A23" s="16" t="s">
        <v>115</v>
      </c>
      <c r="B23" s="9" t="s">
        <v>116</v>
      </c>
      <c r="C23" s="9" t="s">
        <v>117</v>
      </c>
      <c r="D23" s="9" t="s">
        <v>118</v>
      </c>
      <c r="E23" s="9" t="s">
        <v>119</v>
      </c>
      <c r="F23" s="19">
        <v>12</v>
      </c>
      <c r="G23" s="16" t="s">
        <v>50</v>
      </c>
      <c r="H23" s="16" t="s">
        <v>57</v>
      </c>
      <c r="I23" s="9" t="s">
        <v>64</v>
      </c>
      <c r="J23" s="9" t="s">
        <v>120</v>
      </c>
      <c r="K23" s="22">
        <v>46065</v>
      </c>
      <c r="L23" s="22">
        <f t="shared" si="0"/>
        <v>46430</v>
      </c>
      <c r="M23" s="23">
        <f t="shared" ca="1" si="1"/>
        <v>207</v>
      </c>
      <c r="N23" s="16" t="str">
        <f t="shared" ca="1" si="2"/>
        <v>Planmäßig</v>
      </c>
      <c r="O23" s="16" t="s">
        <v>82</v>
      </c>
      <c r="P23" s="33">
        <v>280</v>
      </c>
      <c r="Q23" s="33">
        <v>235</v>
      </c>
      <c r="R23" s="33">
        <f t="shared" si="3"/>
        <v>-45</v>
      </c>
      <c r="S23" s="16" t="str">
        <f t="shared" si="4"/>
        <v>Im Budget</v>
      </c>
      <c r="T23" s="9"/>
      <c r="U23" s="9" t="s">
        <v>121</v>
      </c>
      <c r="V23" s="30" t="s">
        <v>57</v>
      </c>
    </row>
    <row r="24" spans="1:22" ht="33.950000000000003" customHeight="1" x14ac:dyDescent="0.25">
      <c r="A24" s="17" t="s">
        <v>122</v>
      </c>
      <c r="B24" s="13" t="s">
        <v>123</v>
      </c>
      <c r="C24" s="13" t="s">
        <v>124</v>
      </c>
      <c r="D24" s="13" t="s">
        <v>118</v>
      </c>
      <c r="E24" s="13" t="s">
        <v>125</v>
      </c>
      <c r="F24" s="20">
        <v>12</v>
      </c>
      <c r="G24" s="17" t="s">
        <v>63</v>
      </c>
      <c r="H24" s="17" t="s">
        <v>57</v>
      </c>
      <c r="I24" s="13" t="s">
        <v>52</v>
      </c>
      <c r="J24" s="13" t="s">
        <v>120</v>
      </c>
      <c r="K24" s="25">
        <v>46204</v>
      </c>
      <c r="L24" s="25">
        <f t="shared" si="0"/>
        <v>46569</v>
      </c>
      <c r="M24" s="26">
        <f t="shared" ca="1" si="1"/>
        <v>346</v>
      </c>
      <c r="N24" s="17" t="str">
        <f t="shared" ca="1" si="2"/>
        <v>Planmäßig</v>
      </c>
      <c r="O24" s="17" t="s">
        <v>82</v>
      </c>
      <c r="P24" s="34">
        <v>190</v>
      </c>
      <c r="Q24" s="34">
        <v>190</v>
      </c>
      <c r="R24" s="34">
        <f t="shared" si="3"/>
        <v>0</v>
      </c>
      <c r="S24" s="17" t="str">
        <f t="shared" si="4"/>
        <v>Im Budget</v>
      </c>
      <c r="T24" s="13"/>
      <c r="U24" s="13" t="s">
        <v>126</v>
      </c>
      <c r="V24" s="31" t="s">
        <v>57</v>
      </c>
    </row>
    <row r="25" spans="1:22" ht="33.950000000000003" customHeight="1" x14ac:dyDescent="0.25">
      <c r="A25" s="16" t="s">
        <v>127</v>
      </c>
      <c r="B25" s="9" t="s">
        <v>128</v>
      </c>
      <c r="C25" s="9" t="s">
        <v>129</v>
      </c>
      <c r="D25" s="9" t="s">
        <v>87</v>
      </c>
      <c r="E25" s="9" t="s">
        <v>130</v>
      </c>
      <c r="F25" s="19">
        <v>24</v>
      </c>
      <c r="G25" s="16" t="s">
        <v>131</v>
      </c>
      <c r="H25" s="16" t="s">
        <v>51</v>
      </c>
      <c r="I25" s="9" t="s">
        <v>64</v>
      </c>
      <c r="J25" s="9" t="s">
        <v>90</v>
      </c>
      <c r="K25" s="22">
        <v>46113</v>
      </c>
      <c r="L25" s="22">
        <f t="shared" si="0"/>
        <v>46844</v>
      </c>
      <c r="M25" s="23">
        <f t="shared" ca="1" si="1"/>
        <v>621</v>
      </c>
      <c r="N25" s="16" t="str">
        <f t="shared" ca="1" si="2"/>
        <v>Planmäßig</v>
      </c>
      <c r="O25" s="16" t="s">
        <v>82</v>
      </c>
      <c r="P25" s="33">
        <v>180</v>
      </c>
      <c r="Q25" s="33">
        <v>60</v>
      </c>
      <c r="R25" s="33">
        <f t="shared" si="3"/>
        <v>-120</v>
      </c>
      <c r="S25" s="16" t="str">
        <f t="shared" si="4"/>
        <v>Im Budget</v>
      </c>
      <c r="T25" s="9"/>
      <c r="U25" s="9" t="s">
        <v>132</v>
      </c>
      <c r="V25" s="30" t="s">
        <v>57</v>
      </c>
    </row>
    <row r="26" spans="1:22" ht="33.950000000000003" customHeight="1" x14ac:dyDescent="0.25">
      <c r="A26" s="17" t="s">
        <v>133</v>
      </c>
      <c r="B26" s="13" t="s">
        <v>134</v>
      </c>
      <c r="C26" s="13" t="s">
        <v>135</v>
      </c>
      <c r="D26" s="13" t="s">
        <v>136</v>
      </c>
      <c r="E26" s="13" t="s">
        <v>137</v>
      </c>
      <c r="F26" s="20">
        <v>6</v>
      </c>
      <c r="G26" s="17" t="s">
        <v>131</v>
      </c>
      <c r="H26" s="17" t="s">
        <v>51</v>
      </c>
      <c r="I26" s="13" t="s">
        <v>89</v>
      </c>
      <c r="J26" s="13" t="s">
        <v>90</v>
      </c>
      <c r="K26" s="25">
        <v>46122</v>
      </c>
      <c r="L26" s="25">
        <f t="shared" si="0"/>
        <v>46305</v>
      </c>
      <c r="M26" s="26">
        <f t="shared" ca="1" si="1"/>
        <v>82</v>
      </c>
      <c r="N26" s="17" t="str">
        <f t="shared" ca="1" si="2"/>
        <v>Planmäßig</v>
      </c>
      <c r="O26" s="17" t="s">
        <v>82</v>
      </c>
      <c r="P26" s="34">
        <v>120</v>
      </c>
      <c r="Q26" s="34">
        <v>95</v>
      </c>
      <c r="R26" s="34">
        <f t="shared" si="3"/>
        <v>-25</v>
      </c>
      <c r="S26" s="17" t="str">
        <f t="shared" si="4"/>
        <v>Im Budget</v>
      </c>
      <c r="T26" s="13" t="s">
        <v>138</v>
      </c>
      <c r="U26" s="13" t="s">
        <v>139</v>
      </c>
      <c r="V26" s="31" t="s">
        <v>57</v>
      </c>
    </row>
    <row r="27" spans="1:22" ht="33.950000000000003" customHeight="1" x14ac:dyDescent="0.25">
      <c r="A27" s="16" t="s">
        <v>140</v>
      </c>
      <c r="B27" s="9" t="s">
        <v>141</v>
      </c>
      <c r="C27" s="9" t="s">
        <v>142</v>
      </c>
      <c r="D27" s="9" t="s">
        <v>87</v>
      </c>
      <c r="E27" s="9" t="s">
        <v>143</v>
      </c>
      <c r="F27" s="19">
        <v>6</v>
      </c>
      <c r="G27" s="16" t="s">
        <v>131</v>
      </c>
      <c r="H27" s="16" t="s">
        <v>51</v>
      </c>
      <c r="I27" s="9" t="s">
        <v>64</v>
      </c>
      <c r="J27" s="9" t="s">
        <v>144</v>
      </c>
      <c r="K27" s="22">
        <v>46073</v>
      </c>
      <c r="L27" s="22">
        <f t="shared" si="0"/>
        <v>46254</v>
      </c>
      <c r="M27" s="23">
        <f t="shared" ca="1" si="1"/>
        <v>31</v>
      </c>
      <c r="N27" s="16" t="str">
        <f t="shared" ca="1" si="2"/>
        <v>Im Blick</v>
      </c>
      <c r="O27" s="16" t="s">
        <v>66</v>
      </c>
      <c r="P27" s="33">
        <v>330</v>
      </c>
      <c r="Q27" s="33">
        <v>300</v>
      </c>
      <c r="R27" s="33">
        <f t="shared" si="3"/>
        <v>-30</v>
      </c>
      <c r="S27" s="16" t="str">
        <f t="shared" si="4"/>
        <v>Im Budget</v>
      </c>
      <c r="T27" s="9" t="s">
        <v>145</v>
      </c>
      <c r="U27" s="9" t="s">
        <v>146</v>
      </c>
      <c r="V27" s="30" t="s">
        <v>57</v>
      </c>
    </row>
    <row r="28" spans="1:22" ht="33.950000000000003" customHeight="1" x14ac:dyDescent="0.25">
      <c r="A28" s="17" t="s">
        <v>147</v>
      </c>
      <c r="B28" s="13" t="s">
        <v>148</v>
      </c>
      <c r="C28" s="13" t="s">
        <v>149</v>
      </c>
      <c r="D28" s="13" t="s">
        <v>61</v>
      </c>
      <c r="E28" s="13" t="s">
        <v>150</v>
      </c>
      <c r="F28" s="20">
        <v>24</v>
      </c>
      <c r="G28" s="17" t="s">
        <v>63</v>
      </c>
      <c r="H28" s="17" t="s">
        <v>57</v>
      </c>
      <c r="I28" s="13" t="s">
        <v>73</v>
      </c>
      <c r="J28" s="13" t="s">
        <v>74</v>
      </c>
      <c r="K28" s="25">
        <v>45488</v>
      </c>
      <c r="L28" s="25">
        <f t="shared" si="0"/>
        <v>46218</v>
      </c>
      <c r="M28" s="26">
        <f t="shared" ca="1" si="1"/>
        <v>-5</v>
      </c>
      <c r="N28" s="17" t="str">
        <f t="shared" ca="1" si="2"/>
        <v>Überfällig</v>
      </c>
      <c r="O28" s="17" t="s">
        <v>82</v>
      </c>
      <c r="P28" s="34">
        <v>410</v>
      </c>
      <c r="Q28" s="34"/>
      <c r="R28" s="34" t="str">
        <f t="shared" si="3"/>
        <v/>
      </c>
      <c r="S28" s="17" t="str">
        <f t="shared" si="4"/>
        <v>Noch offen</v>
      </c>
      <c r="T28" s="13"/>
      <c r="U28" s="13" t="s">
        <v>151</v>
      </c>
      <c r="V28" s="31" t="s">
        <v>57</v>
      </c>
    </row>
    <row r="29" spans="1:22" ht="33.950000000000003" customHeight="1" x14ac:dyDescent="0.25">
      <c r="A29" s="16" t="s">
        <v>152</v>
      </c>
      <c r="B29" s="9" t="s">
        <v>153</v>
      </c>
      <c r="C29" s="9" t="s">
        <v>154</v>
      </c>
      <c r="D29" s="9" t="s">
        <v>61</v>
      </c>
      <c r="E29" s="9" t="s">
        <v>155</v>
      </c>
      <c r="F29" s="19">
        <v>12</v>
      </c>
      <c r="G29" s="16" t="s">
        <v>63</v>
      </c>
      <c r="H29" s="16" t="s">
        <v>57</v>
      </c>
      <c r="I29" s="9" t="s">
        <v>73</v>
      </c>
      <c r="J29" s="9" t="s">
        <v>74</v>
      </c>
      <c r="K29" s="22">
        <v>46006</v>
      </c>
      <c r="L29" s="22">
        <f t="shared" si="0"/>
        <v>46371</v>
      </c>
      <c r="M29" s="23">
        <f t="shared" ca="1" si="1"/>
        <v>148</v>
      </c>
      <c r="N29" s="16" t="str">
        <f t="shared" ca="1" si="2"/>
        <v>Planmäßig</v>
      </c>
      <c r="O29" s="16" t="s">
        <v>82</v>
      </c>
      <c r="P29" s="33">
        <v>460</v>
      </c>
      <c r="Q29" s="33"/>
      <c r="R29" s="33" t="str">
        <f t="shared" si="3"/>
        <v/>
      </c>
      <c r="S29" s="16" t="str">
        <f t="shared" si="4"/>
        <v>Noch offen</v>
      </c>
      <c r="T29" s="9"/>
      <c r="U29" s="9" t="s">
        <v>156</v>
      </c>
      <c r="V29" s="30" t="s">
        <v>57</v>
      </c>
    </row>
    <row r="30" spans="1:22" ht="33.950000000000003" customHeight="1" x14ac:dyDescent="0.25">
      <c r="A30" s="17" t="s">
        <v>157</v>
      </c>
      <c r="B30" s="13" t="s">
        <v>158</v>
      </c>
      <c r="C30" s="13" t="s">
        <v>159</v>
      </c>
      <c r="D30" s="13" t="s">
        <v>160</v>
      </c>
      <c r="E30" s="13" t="s">
        <v>161</v>
      </c>
      <c r="F30" s="20">
        <v>3</v>
      </c>
      <c r="G30" s="17" t="s">
        <v>131</v>
      </c>
      <c r="H30" s="17" t="s">
        <v>51</v>
      </c>
      <c r="I30" s="13" t="s">
        <v>89</v>
      </c>
      <c r="J30" s="13" t="s">
        <v>162</v>
      </c>
      <c r="K30" s="25">
        <v>46137</v>
      </c>
      <c r="L30" s="25">
        <f t="shared" si="0"/>
        <v>46228</v>
      </c>
      <c r="M30" s="26">
        <f t="shared" ca="1" si="1"/>
        <v>5</v>
      </c>
      <c r="N30" s="17" t="str">
        <f t="shared" ca="1" si="2"/>
        <v>Bald fällig</v>
      </c>
      <c r="O30" s="17" t="s">
        <v>66</v>
      </c>
      <c r="P30" s="34">
        <v>145</v>
      </c>
      <c r="Q30" s="34">
        <v>115</v>
      </c>
      <c r="R30" s="34">
        <f t="shared" si="3"/>
        <v>-30</v>
      </c>
      <c r="S30" s="17" t="str">
        <f t="shared" si="4"/>
        <v>Im Budget</v>
      </c>
      <c r="T30" s="13" t="s">
        <v>163</v>
      </c>
      <c r="U30" s="13" t="s">
        <v>164</v>
      </c>
      <c r="V30" s="31" t="s">
        <v>57</v>
      </c>
    </row>
    <row r="31" spans="1:22" ht="33.950000000000003" customHeight="1" x14ac:dyDescent="0.25">
      <c r="A31" s="16"/>
      <c r="B31" s="9"/>
      <c r="C31" s="9"/>
      <c r="D31" s="9"/>
      <c r="E31" s="9"/>
      <c r="F31" s="19"/>
      <c r="G31" s="16"/>
      <c r="H31" s="16"/>
      <c r="I31" s="9"/>
      <c r="J31" s="9"/>
      <c r="K31" s="22"/>
      <c r="L31" s="22" t="str">
        <f t="shared" si="0"/>
        <v/>
      </c>
      <c r="M31" s="23" t="str">
        <f t="shared" ca="1" si="1"/>
        <v/>
      </c>
      <c r="N31" s="16" t="str">
        <f t="shared" ca="1" si="2"/>
        <v/>
      </c>
      <c r="O31" s="16"/>
      <c r="P31" s="33"/>
      <c r="Q31" s="33"/>
      <c r="R31" s="33" t="str">
        <f t="shared" si="3"/>
        <v/>
      </c>
      <c r="S31" s="16" t="str">
        <f t="shared" si="4"/>
        <v/>
      </c>
      <c r="T31" s="9"/>
      <c r="U31" s="9"/>
      <c r="V31" s="30"/>
    </row>
    <row r="32" spans="1:22" ht="33.950000000000003" customHeight="1" x14ac:dyDescent="0.25">
      <c r="A32" s="17"/>
      <c r="B32" s="13"/>
      <c r="C32" s="13"/>
      <c r="D32" s="13"/>
      <c r="E32" s="13"/>
      <c r="F32" s="20"/>
      <c r="G32" s="17"/>
      <c r="H32" s="17"/>
      <c r="I32" s="13"/>
      <c r="J32" s="13"/>
      <c r="K32" s="25"/>
      <c r="L32" s="25" t="str">
        <f t="shared" si="0"/>
        <v/>
      </c>
      <c r="M32" s="26" t="str">
        <f t="shared" ca="1" si="1"/>
        <v/>
      </c>
      <c r="N32" s="17" t="str">
        <f t="shared" ca="1" si="2"/>
        <v/>
      </c>
      <c r="O32" s="17"/>
      <c r="P32" s="34"/>
      <c r="Q32" s="34"/>
      <c r="R32" s="34" t="str">
        <f t="shared" si="3"/>
        <v/>
      </c>
      <c r="S32" s="17" t="str">
        <f t="shared" si="4"/>
        <v/>
      </c>
      <c r="T32" s="13"/>
      <c r="U32" s="13"/>
      <c r="V32" s="31"/>
    </row>
    <row r="33" spans="1:22" ht="33.950000000000003" customHeight="1" x14ac:dyDescent="0.25">
      <c r="A33" s="16"/>
      <c r="B33" s="9"/>
      <c r="C33" s="9"/>
      <c r="D33" s="9"/>
      <c r="E33" s="9"/>
      <c r="F33" s="19"/>
      <c r="G33" s="16"/>
      <c r="H33" s="16"/>
      <c r="I33" s="9"/>
      <c r="J33" s="9"/>
      <c r="K33" s="22"/>
      <c r="L33" s="22" t="str">
        <f t="shared" si="0"/>
        <v/>
      </c>
      <c r="M33" s="23" t="str">
        <f t="shared" ca="1" si="1"/>
        <v/>
      </c>
      <c r="N33" s="16" t="str">
        <f t="shared" ca="1" si="2"/>
        <v/>
      </c>
      <c r="O33" s="16"/>
      <c r="P33" s="33"/>
      <c r="Q33" s="33"/>
      <c r="R33" s="33" t="str">
        <f t="shared" si="3"/>
        <v/>
      </c>
      <c r="S33" s="16" t="str">
        <f t="shared" si="4"/>
        <v/>
      </c>
      <c r="T33" s="9"/>
      <c r="U33" s="9"/>
      <c r="V33" s="30"/>
    </row>
    <row r="34" spans="1:22" ht="33.950000000000003" customHeight="1" x14ac:dyDescent="0.25">
      <c r="A34" s="17"/>
      <c r="B34" s="13"/>
      <c r="C34" s="13"/>
      <c r="D34" s="13"/>
      <c r="E34" s="13"/>
      <c r="F34" s="20"/>
      <c r="G34" s="17"/>
      <c r="H34" s="17"/>
      <c r="I34" s="13"/>
      <c r="J34" s="13"/>
      <c r="K34" s="25"/>
      <c r="L34" s="25" t="str">
        <f t="shared" si="0"/>
        <v/>
      </c>
      <c r="M34" s="26" t="str">
        <f t="shared" ca="1" si="1"/>
        <v/>
      </c>
      <c r="N34" s="17" t="str">
        <f t="shared" ca="1" si="2"/>
        <v/>
      </c>
      <c r="O34" s="17"/>
      <c r="P34" s="34"/>
      <c r="Q34" s="34"/>
      <c r="R34" s="34" t="str">
        <f t="shared" si="3"/>
        <v/>
      </c>
      <c r="S34" s="17" t="str">
        <f t="shared" si="4"/>
        <v/>
      </c>
      <c r="T34" s="13"/>
      <c r="U34" s="13"/>
      <c r="V34" s="31"/>
    </row>
    <row r="35" spans="1:22" ht="33.950000000000003" customHeight="1" x14ac:dyDescent="0.25">
      <c r="A35" s="16"/>
      <c r="B35" s="9"/>
      <c r="C35" s="9"/>
      <c r="D35" s="9"/>
      <c r="E35" s="9"/>
      <c r="F35" s="19"/>
      <c r="G35" s="16"/>
      <c r="H35" s="16"/>
      <c r="I35" s="9"/>
      <c r="J35" s="9"/>
      <c r="K35" s="22"/>
      <c r="L35" s="22" t="str">
        <f t="shared" si="0"/>
        <v/>
      </c>
      <c r="M35" s="23" t="str">
        <f t="shared" ca="1" si="1"/>
        <v/>
      </c>
      <c r="N35" s="16" t="str">
        <f t="shared" ca="1" si="2"/>
        <v/>
      </c>
      <c r="O35" s="16"/>
      <c r="P35" s="33"/>
      <c r="Q35" s="33"/>
      <c r="R35" s="33" t="str">
        <f t="shared" si="3"/>
        <v/>
      </c>
      <c r="S35" s="16" t="str">
        <f t="shared" si="4"/>
        <v/>
      </c>
      <c r="T35" s="9"/>
      <c r="U35" s="9"/>
      <c r="V35" s="30"/>
    </row>
    <row r="36" spans="1:22" ht="33.950000000000003" customHeight="1" x14ac:dyDescent="0.25">
      <c r="A36" s="17"/>
      <c r="B36" s="13"/>
      <c r="C36" s="13"/>
      <c r="D36" s="13"/>
      <c r="E36" s="13"/>
      <c r="F36" s="20"/>
      <c r="G36" s="17"/>
      <c r="H36" s="17"/>
      <c r="I36" s="13"/>
      <c r="J36" s="13"/>
      <c r="K36" s="25"/>
      <c r="L36" s="25" t="str">
        <f t="shared" si="0"/>
        <v/>
      </c>
      <c r="M36" s="26" t="str">
        <f t="shared" ca="1" si="1"/>
        <v/>
      </c>
      <c r="N36" s="17" t="str">
        <f t="shared" ca="1" si="2"/>
        <v/>
      </c>
      <c r="O36" s="17"/>
      <c r="P36" s="34"/>
      <c r="Q36" s="34"/>
      <c r="R36" s="34" t="str">
        <f t="shared" si="3"/>
        <v/>
      </c>
      <c r="S36" s="17" t="str">
        <f t="shared" si="4"/>
        <v/>
      </c>
      <c r="T36" s="13"/>
      <c r="U36" s="13"/>
      <c r="V36" s="31"/>
    </row>
    <row r="37" spans="1:22" ht="33.950000000000003" customHeight="1" x14ac:dyDescent="0.25">
      <c r="A37" s="16"/>
      <c r="B37" s="9"/>
      <c r="C37" s="9"/>
      <c r="D37" s="9"/>
      <c r="E37" s="9"/>
      <c r="F37" s="19"/>
      <c r="G37" s="16"/>
      <c r="H37" s="16"/>
      <c r="I37" s="9"/>
      <c r="J37" s="9"/>
      <c r="K37" s="22"/>
      <c r="L37" s="22" t="str">
        <f t="shared" si="0"/>
        <v/>
      </c>
      <c r="M37" s="23" t="str">
        <f t="shared" ca="1" si="1"/>
        <v/>
      </c>
      <c r="N37" s="16" t="str">
        <f t="shared" ca="1" si="2"/>
        <v/>
      </c>
      <c r="O37" s="16"/>
      <c r="P37" s="33"/>
      <c r="Q37" s="33"/>
      <c r="R37" s="33" t="str">
        <f t="shared" si="3"/>
        <v/>
      </c>
      <c r="S37" s="16" t="str">
        <f t="shared" si="4"/>
        <v/>
      </c>
      <c r="T37" s="9"/>
      <c r="U37" s="9"/>
      <c r="V37" s="30"/>
    </row>
    <row r="38" spans="1:22" ht="33.950000000000003" customHeight="1" x14ac:dyDescent="0.25">
      <c r="A38" s="17"/>
      <c r="B38" s="13"/>
      <c r="C38" s="13"/>
      <c r="D38" s="13"/>
      <c r="E38" s="13"/>
      <c r="F38" s="20"/>
      <c r="G38" s="17"/>
      <c r="H38" s="17"/>
      <c r="I38" s="13"/>
      <c r="J38" s="13"/>
      <c r="K38" s="25"/>
      <c r="L38" s="25" t="str">
        <f t="shared" si="0"/>
        <v/>
      </c>
      <c r="M38" s="26" t="str">
        <f t="shared" ca="1" si="1"/>
        <v/>
      </c>
      <c r="N38" s="17" t="str">
        <f t="shared" ca="1" si="2"/>
        <v/>
      </c>
      <c r="O38" s="17"/>
      <c r="P38" s="34"/>
      <c r="Q38" s="34"/>
      <c r="R38" s="34" t="str">
        <f t="shared" si="3"/>
        <v/>
      </c>
      <c r="S38" s="17" t="str">
        <f t="shared" si="4"/>
        <v/>
      </c>
      <c r="T38" s="13"/>
      <c r="U38" s="13"/>
      <c r="V38" s="31"/>
    </row>
    <row r="39" spans="1:22" ht="33.950000000000003" customHeight="1" x14ac:dyDescent="0.25">
      <c r="A39" s="16"/>
      <c r="B39" s="9"/>
      <c r="C39" s="9"/>
      <c r="D39" s="9"/>
      <c r="E39" s="9"/>
      <c r="F39" s="19"/>
      <c r="G39" s="16"/>
      <c r="H39" s="16"/>
      <c r="I39" s="9"/>
      <c r="J39" s="9"/>
      <c r="K39" s="22"/>
      <c r="L39" s="22" t="str">
        <f t="shared" si="0"/>
        <v/>
      </c>
      <c r="M39" s="23" t="str">
        <f t="shared" ca="1" si="1"/>
        <v/>
      </c>
      <c r="N39" s="16" t="str">
        <f t="shared" ca="1" si="2"/>
        <v/>
      </c>
      <c r="O39" s="16"/>
      <c r="P39" s="33"/>
      <c r="Q39" s="33"/>
      <c r="R39" s="33" t="str">
        <f t="shared" si="3"/>
        <v/>
      </c>
      <c r="S39" s="16" t="str">
        <f t="shared" si="4"/>
        <v/>
      </c>
      <c r="T39" s="9"/>
      <c r="U39" s="9"/>
      <c r="V39" s="30"/>
    </row>
    <row r="40" spans="1:22" ht="33.950000000000003" customHeight="1" x14ac:dyDescent="0.25">
      <c r="A40" s="17"/>
      <c r="B40" s="13"/>
      <c r="C40" s="13"/>
      <c r="D40" s="13"/>
      <c r="E40" s="13"/>
      <c r="F40" s="20"/>
      <c r="G40" s="17"/>
      <c r="H40" s="17"/>
      <c r="I40" s="13"/>
      <c r="J40" s="13"/>
      <c r="K40" s="25"/>
      <c r="L40" s="25" t="str">
        <f t="shared" si="0"/>
        <v/>
      </c>
      <c r="M40" s="26" t="str">
        <f t="shared" ca="1" si="1"/>
        <v/>
      </c>
      <c r="N40" s="17" t="str">
        <f t="shared" ca="1" si="2"/>
        <v/>
      </c>
      <c r="O40" s="17"/>
      <c r="P40" s="34"/>
      <c r="Q40" s="34"/>
      <c r="R40" s="34" t="str">
        <f t="shared" si="3"/>
        <v/>
      </c>
      <c r="S40" s="17" t="str">
        <f t="shared" si="4"/>
        <v/>
      </c>
      <c r="T40" s="13"/>
      <c r="U40" s="13"/>
      <c r="V40" s="31"/>
    </row>
    <row r="41" spans="1:22" ht="33.950000000000003" customHeight="1" x14ac:dyDescent="0.25">
      <c r="A41" s="16"/>
      <c r="B41" s="9"/>
      <c r="C41" s="9"/>
      <c r="D41" s="9"/>
      <c r="E41" s="9"/>
      <c r="F41" s="19"/>
      <c r="G41" s="16"/>
      <c r="H41" s="16"/>
      <c r="I41" s="9"/>
      <c r="J41" s="9"/>
      <c r="K41" s="22"/>
      <c r="L41" s="22" t="str">
        <f t="shared" si="0"/>
        <v/>
      </c>
      <c r="M41" s="23" t="str">
        <f t="shared" ca="1" si="1"/>
        <v/>
      </c>
      <c r="N41" s="16" t="str">
        <f t="shared" ca="1" si="2"/>
        <v/>
      </c>
      <c r="O41" s="16"/>
      <c r="P41" s="33"/>
      <c r="Q41" s="33"/>
      <c r="R41" s="33" t="str">
        <f t="shared" si="3"/>
        <v/>
      </c>
      <c r="S41" s="16" t="str">
        <f t="shared" si="4"/>
        <v/>
      </c>
      <c r="T41" s="9"/>
      <c r="U41" s="9"/>
      <c r="V41" s="30"/>
    </row>
    <row r="42" spans="1:22" ht="33.950000000000003" customHeight="1" x14ac:dyDescent="0.25">
      <c r="A42" s="17"/>
      <c r="B42" s="13"/>
      <c r="C42" s="13"/>
      <c r="D42" s="13"/>
      <c r="E42" s="13"/>
      <c r="F42" s="20"/>
      <c r="G42" s="17"/>
      <c r="H42" s="17"/>
      <c r="I42" s="13"/>
      <c r="J42" s="13"/>
      <c r="K42" s="25"/>
      <c r="L42" s="25" t="str">
        <f t="shared" si="0"/>
        <v/>
      </c>
      <c r="M42" s="26" t="str">
        <f t="shared" ca="1" si="1"/>
        <v/>
      </c>
      <c r="N42" s="17" t="str">
        <f t="shared" ca="1" si="2"/>
        <v/>
      </c>
      <c r="O42" s="17"/>
      <c r="P42" s="34"/>
      <c r="Q42" s="34"/>
      <c r="R42" s="34" t="str">
        <f t="shared" si="3"/>
        <v/>
      </c>
      <c r="S42" s="17" t="str">
        <f t="shared" si="4"/>
        <v/>
      </c>
      <c r="T42" s="13"/>
      <c r="U42" s="13"/>
      <c r="V42" s="31"/>
    </row>
    <row r="43" spans="1:22" ht="33.950000000000003" customHeight="1" x14ac:dyDescent="0.25">
      <c r="A43" s="16"/>
      <c r="B43" s="9"/>
      <c r="C43" s="9"/>
      <c r="D43" s="9"/>
      <c r="E43" s="9"/>
      <c r="F43" s="19"/>
      <c r="G43" s="16"/>
      <c r="H43" s="16"/>
      <c r="I43" s="9"/>
      <c r="J43" s="9"/>
      <c r="K43" s="22"/>
      <c r="L43" s="22" t="str">
        <f t="shared" si="0"/>
        <v/>
      </c>
      <c r="M43" s="23" t="str">
        <f t="shared" ca="1" si="1"/>
        <v/>
      </c>
      <c r="N43" s="16" t="str">
        <f t="shared" ca="1" si="2"/>
        <v/>
      </c>
      <c r="O43" s="16"/>
      <c r="P43" s="33"/>
      <c r="Q43" s="33"/>
      <c r="R43" s="33" t="str">
        <f t="shared" si="3"/>
        <v/>
      </c>
      <c r="S43" s="16" t="str">
        <f t="shared" si="4"/>
        <v/>
      </c>
      <c r="T43" s="9"/>
      <c r="U43" s="9"/>
      <c r="V43" s="30"/>
    </row>
    <row r="44" spans="1:22" ht="33.950000000000003" customHeight="1" x14ac:dyDescent="0.25">
      <c r="A44" s="18"/>
      <c r="B44" s="15"/>
      <c r="C44" s="15"/>
      <c r="D44" s="15"/>
      <c r="E44" s="15"/>
      <c r="F44" s="21"/>
      <c r="G44" s="18"/>
      <c r="H44" s="18"/>
      <c r="I44" s="15"/>
      <c r="J44" s="15"/>
      <c r="K44" s="28"/>
      <c r="L44" s="28" t="str">
        <f t="shared" si="0"/>
        <v/>
      </c>
      <c r="M44" s="29" t="str">
        <f t="shared" ca="1" si="1"/>
        <v/>
      </c>
      <c r="N44" s="18" t="str">
        <f t="shared" ca="1" si="2"/>
        <v/>
      </c>
      <c r="O44" s="18"/>
      <c r="P44" s="35"/>
      <c r="Q44" s="35"/>
      <c r="R44" s="35" t="str">
        <f t="shared" si="3"/>
        <v/>
      </c>
      <c r="S44" s="18" t="str">
        <f t="shared" si="4"/>
        <v/>
      </c>
      <c r="T44" s="15"/>
      <c r="U44" s="15"/>
      <c r="V44" s="32"/>
    </row>
    <row r="45" spans="1:22" x14ac:dyDescent="0.25">
      <c r="A45" s="1"/>
      <c r="B45" s="1"/>
      <c r="C45" s="1"/>
      <c r="D45" s="1"/>
      <c r="E45" s="1"/>
      <c r="F45" s="1"/>
      <c r="G45" s="1"/>
      <c r="H45" s="1"/>
      <c r="I45" s="1"/>
      <c r="J45" s="1"/>
      <c r="K45" s="1"/>
      <c r="L45" s="1"/>
      <c r="M45" s="1"/>
      <c r="N45" s="1"/>
      <c r="O45" s="1"/>
      <c r="P45" s="1"/>
      <c r="Q45" s="1"/>
      <c r="R45" s="1"/>
      <c r="S45" s="1"/>
      <c r="T45" s="1"/>
      <c r="U45" s="1"/>
      <c r="V45" s="1"/>
    </row>
    <row r="46" spans="1:22" x14ac:dyDescent="0.25">
      <c r="A46" s="1"/>
      <c r="B46" s="1"/>
      <c r="C46" s="1"/>
      <c r="D46" s="1"/>
      <c r="E46" s="1"/>
      <c r="F46" s="1"/>
      <c r="G46" s="1"/>
      <c r="H46" s="1"/>
      <c r="I46" s="1"/>
      <c r="J46" s="1"/>
      <c r="K46" s="1"/>
      <c r="L46" s="1"/>
      <c r="M46" s="1"/>
      <c r="N46" s="1"/>
      <c r="O46" s="1"/>
      <c r="P46" s="1"/>
      <c r="Q46" s="1"/>
      <c r="R46" s="1"/>
      <c r="S46" s="1"/>
      <c r="T46" s="1"/>
      <c r="U46" s="1"/>
      <c r="V46" s="1"/>
    </row>
    <row r="47" spans="1:22" ht="15.75" x14ac:dyDescent="0.25">
      <c r="A47" s="95" t="s">
        <v>165</v>
      </c>
      <c r="B47" s="95"/>
      <c r="C47" s="95"/>
      <c r="D47" s="95"/>
      <c r="E47" s="95"/>
      <c r="F47" s="95"/>
      <c r="G47" s="95"/>
      <c r="H47" s="95"/>
      <c r="I47" s="95"/>
      <c r="J47" s="95"/>
      <c r="K47" s="95"/>
      <c r="L47" s="95"/>
      <c r="M47" s="95"/>
      <c r="N47" s="95"/>
      <c r="O47" s="95"/>
      <c r="P47" s="95"/>
      <c r="Q47" s="95"/>
      <c r="R47" s="95"/>
      <c r="S47" s="95"/>
      <c r="T47" s="95"/>
      <c r="U47" s="95"/>
      <c r="V47" s="95"/>
    </row>
    <row r="48" spans="1:22" x14ac:dyDescent="0.25">
      <c r="A48" s="1"/>
      <c r="B48" s="1"/>
      <c r="C48" s="1"/>
      <c r="D48" s="1"/>
      <c r="E48" s="1"/>
      <c r="F48" s="1"/>
      <c r="G48" s="1"/>
      <c r="H48" s="1"/>
      <c r="I48" s="1"/>
      <c r="J48" s="1"/>
      <c r="K48" s="1"/>
      <c r="L48" s="1"/>
      <c r="M48" s="1"/>
      <c r="N48" s="1"/>
      <c r="O48" s="1"/>
      <c r="P48" s="1"/>
      <c r="Q48" s="1"/>
      <c r="R48" s="1"/>
      <c r="S48" s="1"/>
      <c r="T48" s="1"/>
      <c r="U48" s="1"/>
      <c r="V48" s="1"/>
    </row>
    <row r="49" spans="1:22" x14ac:dyDescent="0.25">
      <c r="A49" s="42" t="s">
        <v>166</v>
      </c>
      <c r="B49" s="42" t="s">
        <v>167</v>
      </c>
      <c r="C49" s="42" t="s">
        <v>168</v>
      </c>
      <c r="D49" s="42" t="s">
        <v>39</v>
      </c>
      <c r="E49" s="1"/>
      <c r="F49" s="1"/>
      <c r="G49" s="1"/>
      <c r="H49" s="1"/>
      <c r="I49" s="1"/>
      <c r="J49" s="1"/>
      <c r="K49" s="1"/>
      <c r="L49" s="1"/>
      <c r="M49" s="1"/>
      <c r="N49" s="1"/>
      <c r="O49" s="91" t="s">
        <v>169</v>
      </c>
      <c r="P49" s="91"/>
      <c r="Q49" s="91"/>
      <c r="R49" s="91"/>
      <c r="S49" s="91"/>
      <c r="T49" s="91"/>
      <c r="U49" s="91"/>
      <c r="V49" s="91"/>
    </row>
    <row r="50" spans="1:22" x14ac:dyDescent="0.25">
      <c r="A50" s="43" t="s">
        <v>170</v>
      </c>
      <c r="B50" s="44">
        <f>COUNTIFS($L$15:$L$44,"&gt;="&amp;DATE($A$6,1,1),$L$15:$L$44,"&lt;"&amp;EDATE(DATE($A$6,1,1),1),$V$15:$V$44,"Ja")</f>
        <v>0</v>
      </c>
      <c r="C50" s="47">
        <f>SUMIFS($P$15:$P$44,$L$15:$L$44,"&gt;="&amp;DATE($A$6,1,1),$L$15:$L$44,"&lt;"&amp;EDATE(DATE($A$6,1,1),1),$V$15:$V$44,"Ja")</f>
        <v>0</v>
      </c>
      <c r="D50" s="48">
        <f>SUMIFS(Wartungsjournal!$L$10:$L$39,Wartungsjournal!$C$10:$C$39,"&gt;="&amp;DATE($A$6,1,1),Wartungsjournal!$C$10:$C$39,"&lt;"&amp;EDATE(DATE($A$6,1,1),1))</f>
        <v>765</v>
      </c>
      <c r="E50" s="1"/>
      <c r="F50" s="1"/>
      <c r="G50" s="1"/>
      <c r="H50" s="1"/>
      <c r="I50" s="1"/>
      <c r="J50" s="1"/>
      <c r="K50" s="1"/>
      <c r="L50" s="1"/>
      <c r="M50" s="1"/>
      <c r="N50" s="1"/>
      <c r="O50" s="96" t="s">
        <v>171</v>
      </c>
      <c r="P50" s="96"/>
      <c r="Q50" s="97" t="s">
        <v>172</v>
      </c>
      <c r="R50" s="97"/>
      <c r="S50" s="97"/>
      <c r="T50" s="97"/>
      <c r="U50" s="97"/>
      <c r="V50" s="97"/>
    </row>
    <row r="51" spans="1:22" x14ac:dyDescent="0.25">
      <c r="A51" s="7" t="s">
        <v>173</v>
      </c>
      <c r="B51" s="45">
        <f>COUNTIFS($L$15:$L$44,"&gt;="&amp;DATE($A$6,2,1),$L$15:$L$44,"&lt;"&amp;EDATE(DATE($A$6,2,1),1),$V$15:$V$44,"Ja")</f>
        <v>0</v>
      </c>
      <c r="C51" s="49">
        <f>SUMIFS($P$15:$P$44,$L$15:$L$44,"&gt;="&amp;DATE($A$6,2,1),$L$15:$L$44,"&lt;"&amp;EDATE(DATE($A$6,2,1),1),$V$15:$V$44,"Ja")</f>
        <v>0</v>
      </c>
      <c r="D51" s="50">
        <f>SUMIFS(Wartungsjournal!$L$10:$L$39,Wartungsjournal!$C$10:$C$39,"&gt;="&amp;DATE($A$6,2,1),Wartungsjournal!$C$10:$C$39,"&lt;"&amp;EDATE(DATE($A$6,2,1),1))</f>
        <v>535</v>
      </c>
      <c r="E51" s="1"/>
      <c r="F51" s="1"/>
      <c r="G51" s="1"/>
      <c r="H51" s="1"/>
      <c r="I51" s="1"/>
      <c r="J51" s="1"/>
      <c r="K51" s="1"/>
      <c r="L51" s="1"/>
      <c r="M51" s="1"/>
      <c r="N51" s="1"/>
      <c r="O51" s="96"/>
      <c r="P51" s="96"/>
      <c r="Q51" s="98" t="s">
        <v>174</v>
      </c>
      <c r="R51" s="98"/>
      <c r="S51" s="98"/>
      <c r="T51" s="98"/>
      <c r="U51" s="98"/>
      <c r="V51" s="98"/>
    </row>
    <row r="52" spans="1:22" x14ac:dyDescent="0.25">
      <c r="A52" s="43" t="s">
        <v>175</v>
      </c>
      <c r="B52" s="44">
        <f>COUNTIFS($L$15:$L$44,"&gt;="&amp;DATE($A$6,3,1),$L$15:$L$44,"&lt;"&amp;EDATE(DATE($A$6,3,1),1),$V$15:$V$44,"Ja")</f>
        <v>0</v>
      </c>
      <c r="C52" s="47">
        <f>SUMIFS($P$15:$P$44,$L$15:$L$44,"&gt;="&amp;DATE($A$6,3,1),$L$15:$L$44,"&lt;"&amp;EDATE(DATE($A$6,3,1),1),$V$15:$V$44,"Ja")</f>
        <v>0</v>
      </c>
      <c r="D52" s="48">
        <f>SUMIFS(Wartungsjournal!$L$10:$L$39,Wartungsjournal!$C$10:$C$39,"&gt;="&amp;DATE($A$6,3,1),Wartungsjournal!$C$10:$C$39,"&lt;"&amp;EDATE(DATE($A$6,3,1),1))</f>
        <v>145</v>
      </c>
      <c r="E52" s="1"/>
      <c r="F52" s="1"/>
      <c r="G52" s="1"/>
      <c r="H52" s="1"/>
      <c r="I52" s="1"/>
      <c r="J52" s="1"/>
      <c r="K52" s="1"/>
      <c r="L52" s="1"/>
      <c r="M52" s="1"/>
      <c r="N52" s="1"/>
      <c r="O52" s="96" t="s">
        <v>176</v>
      </c>
      <c r="P52" s="96"/>
      <c r="Q52" s="97" t="s">
        <v>177</v>
      </c>
      <c r="R52" s="97"/>
      <c r="S52" s="97"/>
      <c r="T52" s="97"/>
      <c r="U52" s="97"/>
      <c r="V52" s="97"/>
    </row>
    <row r="53" spans="1:22" x14ac:dyDescent="0.25">
      <c r="A53" s="7" t="s">
        <v>178</v>
      </c>
      <c r="B53" s="45">
        <f>COUNTIFS($L$15:$L$44,"&gt;="&amp;DATE($A$6,4,1),$L$15:$L$44,"&lt;"&amp;EDATE(DATE($A$6,4,1),1),$V$15:$V$44,"Ja")</f>
        <v>0</v>
      </c>
      <c r="C53" s="49">
        <f>SUMIFS($P$15:$P$44,$L$15:$L$44,"&gt;="&amp;DATE($A$6,4,1),$L$15:$L$44,"&lt;"&amp;EDATE(DATE($A$6,4,1),1),$V$15:$V$44,"Ja")</f>
        <v>0</v>
      </c>
      <c r="D53" s="50">
        <f>SUMIFS(Wartungsjournal!$L$10:$L$39,Wartungsjournal!$C$10:$C$39,"&gt;="&amp;DATE($A$6,4,1),Wartungsjournal!$C$10:$C$39,"&lt;"&amp;EDATE(DATE($A$6,4,1),1))</f>
        <v>270</v>
      </c>
      <c r="E53" s="1"/>
      <c r="F53" s="1"/>
      <c r="G53" s="1"/>
      <c r="H53" s="1"/>
      <c r="I53" s="1"/>
      <c r="J53" s="1"/>
      <c r="K53" s="1"/>
      <c r="L53" s="1"/>
      <c r="M53" s="1"/>
      <c r="N53" s="1"/>
      <c r="O53" s="96"/>
      <c r="P53" s="96"/>
      <c r="Q53" s="98" t="s">
        <v>179</v>
      </c>
      <c r="R53" s="98"/>
      <c r="S53" s="98"/>
      <c r="T53" s="98"/>
      <c r="U53" s="98"/>
      <c r="V53" s="98"/>
    </row>
    <row r="54" spans="1:22" x14ac:dyDescent="0.25">
      <c r="A54" s="43" t="s">
        <v>13</v>
      </c>
      <c r="B54" s="44">
        <f>COUNTIFS($L$15:$L$44,"&gt;="&amp;DATE($A$6,5,1),$L$15:$L$44,"&lt;"&amp;EDATE(DATE($A$6,5,1),1),$V$15:$V$44,"Ja")</f>
        <v>0</v>
      </c>
      <c r="C54" s="47">
        <f>SUMIFS($P$15:$P$44,$L$15:$L$44,"&gt;="&amp;DATE($A$6,5,1),$L$15:$L$44,"&lt;"&amp;EDATE(DATE($A$6,5,1),1),$V$15:$V$44,"Ja")</f>
        <v>0</v>
      </c>
      <c r="D54" s="48">
        <f>SUMIFS(Wartungsjournal!$L$10:$L$39,Wartungsjournal!$C$10:$C$39,"&gt;="&amp;DATE($A$6,5,1),Wartungsjournal!$C$10:$C$39,"&lt;"&amp;EDATE(DATE($A$6,5,1),1))</f>
        <v>390</v>
      </c>
      <c r="E54" s="1"/>
      <c r="F54" s="1"/>
      <c r="G54" s="1"/>
      <c r="H54" s="1"/>
      <c r="I54" s="1"/>
      <c r="J54" s="1"/>
      <c r="K54" s="1"/>
      <c r="L54" s="1"/>
      <c r="M54" s="1"/>
      <c r="N54" s="1"/>
      <c r="O54" s="96" t="s">
        <v>180</v>
      </c>
      <c r="P54" s="96"/>
      <c r="Q54" s="97" t="s">
        <v>181</v>
      </c>
      <c r="R54" s="97"/>
      <c r="S54" s="97"/>
      <c r="T54" s="97"/>
      <c r="U54" s="97"/>
      <c r="V54" s="97"/>
    </row>
    <row r="55" spans="1:22" x14ac:dyDescent="0.25">
      <c r="A55" s="7" t="s">
        <v>182</v>
      </c>
      <c r="B55" s="45">
        <f>COUNTIFS($L$15:$L$44,"&gt;="&amp;DATE($A$6,6,1),$L$15:$L$44,"&lt;"&amp;EDATE(DATE($A$6,6,1),1),$V$15:$V$44,"Ja")</f>
        <v>0</v>
      </c>
      <c r="C55" s="49">
        <f>SUMIFS($P$15:$P$44,$L$15:$L$44,"&gt;="&amp;DATE($A$6,6,1),$L$15:$L$44,"&lt;"&amp;EDATE(DATE($A$6,6,1),1),$V$15:$V$44,"Ja")</f>
        <v>0</v>
      </c>
      <c r="D55" s="50">
        <f>SUMIFS(Wartungsjournal!$L$10:$L$39,Wartungsjournal!$C$10:$C$39,"&gt;="&amp;DATE($A$6,6,1),Wartungsjournal!$C$10:$C$39,"&lt;"&amp;EDATE(DATE($A$6,6,1),1))</f>
        <v>805</v>
      </c>
      <c r="E55" s="1"/>
      <c r="F55" s="1"/>
      <c r="G55" s="1"/>
      <c r="H55" s="1"/>
      <c r="I55" s="1"/>
      <c r="J55" s="1"/>
      <c r="K55" s="1"/>
      <c r="L55" s="1"/>
      <c r="M55" s="1"/>
      <c r="N55" s="1"/>
      <c r="O55" s="96"/>
      <c r="P55" s="96"/>
      <c r="Q55" s="98" t="s">
        <v>183</v>
      </c>
      <c r="R55" s="98"/>
      <c r="S55" s="98"/>
      <c r="T55" s="98"/>
      <c r="U55" s="98"/>
      <c r="V55" s="98"/>
    </row>
    <row r="56" spans="1:22" x14ac:dyDescent="0.25">
      <c r="A56" s="43" t="s">
        <v>184</v>
      </c>
      <c r="B56" s="44">
        <f>COUNTIFS($L$15:$L$44,"&gt;="&amp;DATE($A$6,7,1),$L$15:$L$44,"&lt;"&amp;EDATE(DATE($A$6,7,1),1),$V$15:$V$44,"Ja")</f>
        <v>5</v>
      </c>
      <c r="C56" s="47">
        <f>SUMIFS($P$15:$P$44,$L$15:$L$44,"&gt;="&amp;DATE($A$6,7,1),$L$15:$L$44,"&lt;"&amp;EDATE(DATE($A$6,7,1),1),$V$15:$V$44,"Ja")</f>
        <v>1955</v>
      </c>
      <c r="D56" s="48">
        <f>SUMIFS(Wartungsjournal!$L$10:$L$39,Wartungsjournal!$C$10:$C$39,"&gt;="&amp;DATE($A$6,7,1),Wartungsjournal!$C$10:$C$39,"&lt;"&amp;EDATE(DATE($A$6,7,1),1))</f>
        <v>190</v>
      </c>
      <c r="E56" s="1"/>
      <c r="F56" s="1"/>
      <c r="G56" s="1"/>
      <c r="H56" s="1"/>
      <c r="I56" s="1"/>
      <c r="J56" s="1"/>
      <c r="K56" s="1"/>
      <c r="L56" s="1"/>
      <c r="M56" s="1"/>
      <c r="N56" s="1"/>
      <c r="O56" s="96" t="s">
        <v>185</v>
      </c>
      <c r="P56" s="96"/>
      <c r="Q56" s="97" t="s">
        <v>186</v>
      </c>
      <c r="R56" s="97"/>
      <c r="S56" s="97"/>
      <c r="T56" s="97"/>
      <c r="U56" s="97"/>
      <c r="V56" s="97"/>
    </row>
    <row r="57" spans="1:22" x14ac:dyDescent="0.25">
      <c r="A57" s="7" t="s">
        <v>187</v>
      </c>
      <c r="B57" s="45">
        <f>COUNTIFS($L$15:$L$44,"&gt;="&amp;DATE($A$6,8,1),$L$15:$L$44,"&lt;"&amp;EDATE(DATE($A$6,8,1),1),$V$15:$V$44,"Ja")</f>
        <v>3</v>
      </c>
      <c r="C57" s="49">
        <f>SUMIFS($P$15:$P$44,$L$15:$L$44,"&gt;="&amp;DATE($A$6,8,1),$L$15:$L$44,"&lt;"&amp;EDATE(DATE($A$6,8,1),1),$V$15:$V$44,"Ja")</f>
        <v>1500</v>
      </c>
      <c r="D57" s="50">
        <f>SUMIFS(Wartungsjournal!$L$10:$L$39,Wartungsjournal!$C$10:$C$39,"&gt;="&amp;DATE($A$6,8,1),Wartungsjournal!$C$10:$C$39,"&lt;"&amp;EDATE(DATE($A$6,8,1),1))</f>
        <v>0</v>
      </c>
      <c r="E57" s="1"/>
      <c r="F57" s="1"/>
      <c r="G57" s="1"/>
      <c r="H57" s="1"/>
      <c r="I57" s="1"/>
      <c r="J57" s="1"/>
      <c r="K57" s="1"/>
      <c r="L57" s="1"/>
      <c r="M57" s="1"/>
      <c r="N57" s="1"/>
      <c r="O57" s="96"/>
      <c r="P57" s="96"/>
      <c r="Q57" s="98" t="s">
        <v>188</v>
      </c>
      <c r="R57" s="98"/>
      <c r="S57" s="98"/>
      <c r="T57" s="98"/>
      <c r="U57" s="98"/>
      <c r="V57" s="98"/>
    </row>
    <row r="58" spans="1:22" x14ac:dyDescent="0.25">
      <c r="A58" s="43" t="s">
        <v>189</v>
      </c>
      <c r="B58" s="44">
        <f>COUNTIFS($L$15:$L$44,"&gt;="&amp;DATE($A$6,9,1),$L$15:$L$44,"&lt;"&amp;EDATE(DATE($A$6,9,1),1),$V$15:$V$44,"Ja")</f>
        <v>2</v>
      </c>
      <c r="C58" s="47">
        <f>SUMIFS($P$15:$P$44,$L$15:$L$44,"&gt;="&amp;DATE($A$6,9,1),$L$15:$L$44,"&lt;"&amp;EDATE(DATE($A$6,9,1),1),$V$15:$V$44,"Ja")</f>
        <v>570</v>
      </c>
      <c r="D58" s="48">
        <f>SUMIFS(Wartungsjournal!$L$10:$L$39,Wartungsjournal!$C$10:$C$39,"&gt;="&amp;DATE($A$6,9,1),Wartungsjournal!$C$10:$C$39,"&lt;"&amp;EDATE(DATE($A$6,9,1),1))</f>
        <v>0</v>
      </c>
      <c r="E58" s="1"/>
      <c r="F58" s="1"/>
      <c r="G58" s="1"/>
      <c r="H58" s="1"/>
      <c r="I58" s="1"/>
      <c r="J58" s="1"/>
      <c r="K58" s="1"/>
      <c r="L58" s="1"/>
      <c r="M58" s="1"/>
      <c r="N58" s="1"/>
      <c r="O58" s="96" t="s">
        <v>190</v>
      </c>
      <c r="P58" s="96"/>
      <c r="Q58" s="97" t="s">
        <v>191</v>
      </c>
      <c r="R58" s="97"/>
      <c r="S58" s="97"/>
      <c r="T58" s="97"/>
      <c r="U58" s="97"/>
      <c r="V58" s="97"/>
    </row>
    <row r="59" spans="1:22" x14ac:dyDescent="0.25">
      <c r="A59" s="7" t="s">
        <v>192</v>
      </c>
      <c r="B59" s="45">
        <f>COUNTIFS($L$15:$L$44,"&gt;="&amp;DATE($A$6,10,1),$L$15:$L$44,"&lt;"&amp;EDATE(DATE($A$6,10,1),1),$V$15:$V$44,"Ja")</f>
        <v>1</v>
      </c>
      <c r="C59" s="49">
        <f>SUMIFS($P$15:$P$44,$L$15:$L$44,"&gt;="&amp;DATE($A$6,10,1),$L$15:$L$44,"&lt;"&amp;EDATE(DATE($A$6,10,1),1),$V$15:$V$44,"Ja")</f>
        <v>120</v>
      </c>
      <c r="D59" s="50">
        <f>SUMIFS(Wartungsjournal!$L$10:$L$39,Wartungsjournal!$C$10:$C$39,"&gt;="&amp;DATE($A$6,10,1),Wartungsjournal!$C$10:$C$39,"&lt;"&amp;EDATE(DATE($A$6,10,1),1))</f>
        <v>0</v>
      </c>
      <c r="E59" s="1"/>
      <c r="F59" s="1"/>
      <c r="G59" s="1"/>
      <c r="H59" s="1"/>
      <c r="I59" s="1"/>
      <c r="J59" s="1"/>
      <c r="K59" s="1"/>
      <c r="L59" s="1"/>
      <c r="M59" s="1"/>
      <c r="N59" s="1"/>
      <c r="O59" s="96"/>
      <c r="P59" s="96"/>
      <c r="Q59" s="98" t="s">
        <v>193</v>
      </c>
      <c r="R59" s="98"/>
      <c r="S59" s="98"/>
      <c r="T59" s="98"/>
      <c r="U59" s="98"/>
      <c r="V59" s="98"/>
    </row>
    <row r="60" spans="1:22" x14ac:dyDescent="0.25">
      <c r="A60" s="43" t="s">
        <v>194</v>
      </c>
      <c r="B60" s="44">
        <f>COUNTIFS($L$15:$L$44,"&gt;="&amp;DATE($A$6,11,1),$L$15:$L$44,"&lt;"&amp;EDATE(DATE($A$6,11,1),1),$V$15:$V$44,"Ja")</f>
        <v>0</v>
      </c>
      <c r="C60" s="47">
        <f>SUMIFS($P$15:$P$44,$L$15:$L$44,"&gt;="&amp;DATE($A$6,11,1),$L$15:$L$44,"&lt;"&amp;EDATE(DATE($A$6,11,1),1),$V$15:$V$44,"Ja")</f>
        <v>0</v>
      </c>
      <c r="D60" s="48">
        <f>SUMIFS(Wartungsjournal!$L$10:$L$39,Wartungsjournal!$C$10:$C$39,"&gt;="&amp;DATE($A$6,11,1),Wartungsjournal!$C$10:$C$39,"&lt;"&amp;EDATE(DATE($A$6,11,1),1))</f>
        <v>0</v>
      </c>
      <c r="E60" s="1"/>
      <c r="F60" s="1"/>
      <c r="G60" s="1"/>
      <c r="H60" s="1"/>
      <c r="I60" s="1"/>
      <c r="J60" s="1"/>
      <c r="K60" s="1"/>
      <c r="L60" s="1"/>
      <c r="M60" s="1"/>
      <c r="N60" s="1"/>
      <c r="O60" s="1"/>
      <c r="P60" s="1"/>
      <c r="Q60" s="1"/>
      <c r="R60" s="1"/>
      <c r="S60" s="1"/>
      <c r="T60" s="1"/>
      <c r="U60" s="1"/>
      <c r="V60" s="1"/>
    </row>
    <row r="61" spans="1:22" x14ac:dyDescent="0.25">
      <c r="A61" s="8" t="s">
        <v>195</v>
      </c>
      <c r="B61" s="46">
        <f>COUNTIFS($L$15:$L$44,"&gt;="&amp;DATE($A$6,12,1),$L$15:$L$44,"&lt;"&amp;EDATE(DATE($A$6,12,1),1),$V$15:$V$44,"Ja")</f>
        <v>1</v>
      </c>
      <c r="C61" s="51">
        <f>SUMIFS($P$15:$P$44,$L$15:$L$44,"&gt;="&amp;DATE($A$6,12,1),$L$15:$L$44,"&lt;"&amp;EDATE(DATE($A$6,12,1),1),$V$15:$V$44,"Ja")</f>
        <v>460</v>
      </c>
      <c r="D61" s="52">
        <f>SUMIFS(Wartungsjournal!$L$10:$L$39,Wartungsjournal!$C$10:$C$39,"&gt;="&amp;DATE($A$6,12,1),Wartungsjournal!$C$10:$C$39,"&lt;"&amp;EDATE(DATE($A$6,12,1),1))</f>
        <v>0</v>
      </c>
      <c r="E61" s="1"/>
      <c r="F61" s="1"/>
      <c r="G61" s="1"/>
      <c r="H61" s="1"/>
      <c r="I61" s="1"/>
      <c r="J61" s="1"/>
      <c r="K61" s="1"/>
      <c r="L61" s="1"/>
      <c r="M61" s="1"/>
      <c r="N61" s="1"/>
      <c r="O61" s="1"/>
      <c r="P61" s="1"/>
      <c r="Q61" s="1"/>
      <c r="R61" s="1"/>
      <c r="S61" s="1"/>
      <c r="T61" s="1"/>
      <c r="U61" s="1"/>
      <c r="V61" s="1"/>
    </row>
    <row r="62" spans="1:22" x14ac:dyDescent="0.25">
      <c r="A62" s="1"/>
      <c r="B62" s="1"/>
      <c r="C62" s="1"/>
      <c r="D62" s="1"/>
      <c r="E62" s="1"/>
      <c r="F62" s="1"/>
      <c r="G62" s="1"/>
      <c r="H62" s="1"/>
      <c r="I62" s="1"/>
      <c r="J62" s="1"/>
      <c r="K62" s="1"/>
      <c r="L62" s="1"/>
      <c r="M62" s="1"/>
      <c r="N62" s="1"/>
      <c r="O62" s="1"/>
      <c r="P62" s="1"/>
      <c r="Q62" s="1"/>
      <c r="R62" s="1"/>
      <c r="S62" s="1"/>
      <c r="T62" s="1"/>
      <c r="U62" s="1"/>
      <c r="V62" s="1"/>
    </row>
    <row r="63" spans="1:22" x14ac:dyDescent="0.25">
      <c r="A63" s="1"/>
      <c r="B63" s="1"/>
      <c r="C63" s="1"/>
      <c r="D63" s="1"/>
      <c r="E63" s="1"/>
      <c r="F63" s="1"/>
      <c r="G63" s="1"/>
      <c r="H63" s="1"/>
      <c r="I63" s="1"/>
      <c r="J63" s="1"/>
      <c r="K63" s="1"/>
      <c r="L63" s="1"/>
      <c r="M63" s="1"/>
      <c r="N63" s="1"/>
      <c r="O63" s="1"/>
      <c r="P63" s="1"/>
      <c r="Q63" s="1"/>
      <c r="R63" s="1"/>
      <c r="S63" s="1"/>
      <c r="T63" s="1"/>
      <c r="U63" s="1"/>
      <c r="V63" s="1"/>
    </row>
    <row r="64" spans="1:22" x14ac:dyDescent="0.25">
      <c r="A64" s="99" t="s">
        <v>196</v>
      </c>
      <c r="B64" s="99"/>
      <c r="C64" s="99"/>
      <c r="D64" s="99"/>
      <c r="E64" s="99"/>
      <c r="F64" s="99"/>
      <c r="G64" s="99"/>
      <c r="H64" s="99"/>
      <c r="I64" s="99"/>
      <c r="J64" s="99"/>
      <c r="K64" s="99"/>
      <c r="L64" s="99"/>
      <c r="M64" s="99"/>
      <c r="N64" s="99"/>
      <c r="O64" s="99"/>
      <c r="P64" s="99"/>
      <c r="Q64" s="99"/>
      <c r="R64" s="99"/>
      <c r="S64" s="99"/>
      <c r="T64" s="99"/>
      <c r="U64" s="99"/>
      <c r="V64" s="99"/>
    </row>
    <row r="65" spans="1:22" x14ac:dyDescent="0.25">
      <c r="A65" s="100"/>
      <c r="B65" s="100"/>
      <c r="C65" s="100"/>
      <c r="D65" s="100"/>
      <c r="E65" s="100"/>
      <c r="F65" s="100"/>
      <c r="G65" s="100"/>
      <c r="H65" s="100"/>
      <c r="I65" s="100"/>
      <c r="J65" s="100"/>
      <c r="K65" s="100"/>
      <c r="L65" s="100"/>
      <c r="M65" s="100"/>
      <c r="N65" s="100"/>
      <c r="O65" s="100"/>
      <c r="P65" s="100"/>
      <c r="Q65" s="100"/>
      <c r="R65" s="100"/>
      <c r="S65" s="100"/>
      <c r="T65" s="100"/>
      <c r="U65" s="100"/>
      <c r="V65" s="100"/>
    </row>
    <row r="66" spans="1:22" x14ac:dyDescent="0.25">
      <c r="A66" s="1"/>
      <c r="B66" s="1"/>
      <c r="C66" s="1"/>
      <c r="D66" s="1"/>
      <c r="E66" s="1"/>
      <c r="F66" s="1"/>
      <c r="G66" s="1"/>
      <c r="H66" s="1"/>
      <c r="I66" s="1"/>
      <c r="J66" s="1"/>
      <c r="K66" s="1"/>
      <c r="L66" s="1"/>
      <c r="M66" s="1"/>
      <c r="N66" s="1"/>
      <c r="O66" s="1"/>
      <c r="P66" s="1"/>
      <c r="Q66" s="1"/>
      <c r="R66" s="1"/>
      <c r="S66" s="1"/>
      <c r="T66" s="1"/>
      <c r="U66" s="1"/>
      <c r="V66" s="1"/>
    </row>
    <row r="67" spans="1:22" x14ac:dyDescent="0.25">
      <c r="A67" s="1"/>
      <c r="B67" s="1"/>
      <c r="C67" s="1"/>
      <c r="D67" s="1"/>
      <c r="E67" s="1"/>
      <c r="F67" s="1"/>
      <c r="G67" s="1"/>
      <c r="H67" s="1"/>
      <c r="I67" s="1"/>
      <c r="J67" s="1"/>
      <c r="K67" s="1"/>
      <c r="L67" s="1"/>
      <c r="M67" s="1"/>
      <c r="N67" s="1"/>
      <c r="O67" s="1"/>
      <c r="P67" s="1"/>
      <c r="Q67" s="1"/>
      <c r="R67" s="1"/>
      <c r="S67" s="1"/>
      <c r="T67" s="1"/>
      <c r="U67" s="1"/>
      <c r="V67" s="1"/>
    </row>
    <row r="68" spans="1:22" x14ac:dyDescent="0.25">
      <c r="A68" s="1"/>
      <c r="B68" s="1"/>
      <c r="C68" s="1"/>
      <c r="D68" s="1"/>
      <c r="E68" s="1"/>
      <c r="F68" s="1"/>
      <c r="G68" s="1"/>
      <c r="H68" s="1"/>
      <c r="I68" s="1"/>
      <c r="J68" s="1"/>
      <c r="K68" s="1"/>
      <c r="L68" s="1"/>
      <c r="M68" s="1"/>
      <c r="N68" s="1"/>
      <c r="O68" s="1"/>
      <c r="P68" s="1"/>
      <c r="Q68" s="1"/>
      <c r="R68" s="1"/>
      <c r="S68" s="1"/>
      <c r="T68" s="1"/>
      <c r="U68" s="1"/>
      <c r="V68" s="1"/>
    </row>
    <row r="69" spans="1:22" x14ac:dyDescent="0.25">
      <c r="A69" s="1"/>
      <c r="B69" s="1"/>
      <c r="C69" s="1"/>
      <c r="D69" s="1"/>
      <c r="E69" s="1"/>
      <c r="F69" s="1"/>
      <c r="G69" s="1"/>
      <c r="H69" s="1"/>
      <c r="I69" s="1"/>
      <c r="J69" s="1"/>
      <c r="K69" s="1"/>
      <c r="L69" s="1"/>
      <c r="M69" s="1"/>
      <c r="N69" s="1"/>
      <c r="O69" s="1"/>
      <c r="P69" s="1"/>
      <c r="Q69" s="1"/>
      <c r="R69" s="1"/>
      <c r="S69" s="1"/>
      <c r="T69" s="1"/>
      <c r="U69" s="1"/>
      <c r="V69" s="1"/>
    </row>
    <row r="70" spans="1:22" x14ac:dyDescent="0.25">
      <c r="A70" s="1"/>
      <c r="B70" s="1"/>
      <c r="C70" s="1"/>
      <c r="D70" s="1"/>
      <c r="E70" s="1"/>
      <c r="F70" s="1"/>
      <c r="G70" s="1"/>
      <c r="H70" s="1"/>
      <c r="I70" s="1"/>
      <c r="J70" s="1"/>
      <c r="K70" s="1"/>
      <c r="L70" s="1"/>
      <c r="M70" s="1"/>
      <c r="N70" s="1"/>
      <c r="O70" s="1"/>
      <c r="P70" s="1"/>
      <c r="Q70" s="1"/>
      <c r="R70" s="1"/>
      <c r="S70" s="1"/>
      <c r="T70" s="1"/>
      <c r="U70" s="1"/>
      <c r="V70" s="1"/>
    </row>
    <row r="71" spans="1:22" x14ac:dyDescent="0.25">
      <c r="A71" s="1"/>
      <c r="B71" s="1"/>
      <c r="C71" s="1"/>
      <c r="D71" s="1"/>
      <c r="E71" s="1"/>
      <c r="F71" s="1"/>
      <c r="G71" s="1"/>
      <c r="H71" s="1"/>
      <c r="I71" s="1"/>
      <c r="J71" s="1"/>
      <c r="K71" s="1"/>
      <c r="L71" s="1"/>
      <c r="M71" s="1"/>
      <c r="N71" s="1"/>
      <c r="O71" s="1"/>
      <c r="P71" s="1"/>
      <c r="Q71" s="1"/>
      <c r="R71" s="1"/>
      <c r="S71" s="1"/>
      <c r="T71" s="1"/>
      <c r="U71" s="1"/>
      <c r="V71" s="1"/>
    </row>
    <row r="72" spans="1:22" x14ac:dyDescent="0.25">
      <c r="A72" s="1"/>
      <c r="B72" s="1"/>
      <c r="C72" s="1"/>
      <c r="D72" s="1"/>
      <c r="E72" s="1"/>
      <c r="F72" s="1"/>
      <c r="G72" s="1"/>
      <c r="H72" s="1"/>
      <c r="I72" s="1"/>
      <c r="J72" s="1"/>
      <c r="K72" s="1"/>
      <c r="L72" s="1"/>
      <c r="M72" s="1"/>
      <c r="N72" s="1"/>
      <c r="O72" s="1"/>
      <c r="P72" s="1"/>
      <c r="Q72" s="1"/>
      <c r="R72" s="1"/>
      <c r="S72" s="1"/>
      <c r="T72" s="1"/>
      <c r="U72" s="1"/>
      <c r="V72" s="1"/>
    </row>
    <row r="73" spans="1:22" x14ac:dyDescent="0.25">
      <c r="A73" s="1"/>
      <c r="B73" s="1"/>
      <c r="C73" s="1"/>
      <c r="D73" s="1"/>
      <c r="E73" s="1"/>
      <c r="F73" s="1"/>
      <c r="G73" s="1"/>
      <c r="H73" s="1"/>
      <c r="I73" s="1"/>
      <c r="J73" s="1"/>
      <c r="K73" s="1"/>
      <c r="L73" s="1"/>
      <c r="M73" s="1"/>
      <c r="N73" s="1"/>
      <c r="O73" s="1"/>
      <c r="P73" s="1"/>
      <c r="Q73" s="1"/>
      <c r="R73" s="1"/>
      <c r="S73" s="1"/>
      <c r="T73" s="1"/>
      <c r="U73" s="1"/>
      <c r="V73" s="1"/>
    </row>
    <row r="74" spans="1:22" x14ac:dyDescent="0.25">
      <c r="A74" s="1"/>
      <c r="B74" s="1"/>
      <c r="C74" s="1"/>
      <c r="D74" s="1"/>
      <c r="E74" s="1"/>
      <c r="F74" s="1"/>
      <c r="G74" s="1"/>
      <c r="H74" s="1"/>
      <c r="I74" s="1"/>
      <c r="J74" s="1"/>
      <c r="K74" s="1"/>
      <c r="L74" s="1"/>
      <c r="M74" s="1"/>
      <c r="N74" s="1"/>
      <c r="O74" s="1"/>
      <c r="P74" s="1"/>
      <c r="Q74" s="1"/>
      <c r="R74" s="1"/>
      <c r="S74" s="1"/>
      <c r="T74" s="1"/>
      <c r="U74" s="1"/>
      <c r="V74" s="1"/>
    </row>
    <row r="75" spans="1:22" x14ac:dyDescent="0.25">
      <c r="A75" s="1"/>
      <c r="B75" s="1"/>
      <c r="C75" s="1"/>
      <c r="D75" s="1"/>
      <c r="E75" s="1"/>
      <c r="F75" s="1"/>
      <c r="G75" s="1"/>
      <c r="H75" s="1"/>
      <c r="I75" s="1"/>
      <c r="J75" s="1"/>
      <c r="K75" s="1"/>
      <c r="L75" s="1"/>
      <c r="M75" s="1"/>
      <c r="N75" s="1"/>
      <c r="O75" s="1"/>
      <c r="P75" s="1"/>
      <c r="Q75" s="1"/>
      <c r="R75" s="1"/>
      <c r="S75" s="1"/>
      <c r="T75" s="1"/>
      <c r="U75" s="1"/>
      <c r="V75" s="1"/>
    </row>
    <row r="76" spans="1:22" x14ac:dyDescent="0.25">
      <c r="A76" s="1"/>
      <c r="B76" s="1"/>
      <c r="C76" s="1"/>
      <c r="D76" s="1"/>
      <c r="E76" s="1"/>
      <c r="F76" s="1"/>
      <c r="G76" s="1"/>
      <c r="H76" s="1"/>
      <c r="I76" s="1"/>
      <c r="J76" s="1"/>
      <c r="K76" s="1"/>
      <c r="L76" s="1"/>
      <c r="M76" s="1"/>
      <c r="N76" s="1"/>
      <c r="O76" s="1"/>
      <c r="P76" s="1"/>
      <c r="Q76" s="1"/>
      <c r="R76" s="1"/>
      <c r="S76" s="1"/>
      <c r="T76" s="1"/>
      <c r="U76" s="1"/>
      <c r="V76" s="1"/>
    </row>
    <row r="77" spans="1:22" x14ac:dyDescent="0.25">
      <c r="A77" s="1"/>
      <c r="B77" s="1"/>
      <c r="C77" s="1"/>
      <c r="D77" s="1"/>
      <c r="E77" s="1"/>
      <c r="F77" s="1"/>
      <c r="G77" s="1"/>
      <c r="H77" s="1"/>
      <c r="I77" s="1"/>
      <c r="J77" s="1"/>
      <c r="K77" s="1"/>
      <c r="L77" s="1"/>
      <c r="M77" s="1"/>
      <c r="N77" s="1"/>
      <c r="O77" s="1"/>
      <c r="P77" s="1"/>
      <c r="Q77" s="1"/>
      <c r="R77" s="1"/>
      <c r="S77" s="1"/>
      <c r="T77" s="1"/>
      <c r="U77" s="1"/>
      <c r="V77" s="1"/>
    </row>
    <row r="78" spans="1:22" x14ac:dyDescent="0.25">
      <c r="A78" s="1"/>
      <c r="B78" s="1"/>
      <c r="C78" s="1"/>
      <c r="D78" s="1"/>
      <c r="E78" s="1"/>
      <c r="F78" s="1"/>
      <c r="G78" s="1"/>
      <c r="H78" s="1"/>
      <c r="I78" s="1"/>
      <c r="J78" s="1"/>
      <c r="K78" s="1"/>
      <c r="L78" s="1"/>
      <c r="M78" s="1"/>
      <c r="N78" s="1"/>
      <c r="O78" s="1"/>
      <c r="P78" s="1"/>
      <c r="Q78" s="1"/>
      <c r="R78" s="1"/>
      <c r="S78" s="1"/>
      <c r="T78" s="1"/>
      <c r="U78" s="1"/>
      <c r="V78" s="1"/>
    </row>
    <row r="79" spans="1:22" x14ac:dyDescent="0.25">
      <c r="A79" s="1"/>
      <c r="B79" s="1"/>
      <c r="C79" s="1"/>
      <c r="D79" s="1"/>
      <c r="E79" s="1"/>
      <c r="F79" s="1"/>
      <c r="G79" s="1"/>
      <c r="H79" s="1"/>
      <c r="I79" s="1"/>
      <c r="J79" s="1"/>
      <c r="K79" s="1"/>
      <c r="L79" s="1"/>
      <c r="M79" s="1"/>
      <c r="N79" s="1"/>
      <c r="O79" s="1"/>
      <c r="P79" s="1"/>
      <c r="Q79" s="1"/>
      <c r="R79" s="1"/>
      <c r="S79" s="1"/>
      <c r="T79" s="1"/>
      <c r="U79" s="1"/>
      <c r="V79" s="1"/>
    </row>
    <row r="80" spans="1:22" x14ac:dyDescent="0.25">
      <c r="A80" s="1"/>
      <c r="B80" s="1"/>
      <c r="C80" s="1"/>
      <c r="D80" s="1"/>
      <c r="E80" s="1"/>
      <c r="F80" s="1"/>
      <c r="G80" s="1"/>
      <c r="H80" s="1"/>
      <c r="I80" s="1"/>
      <c r="J80" s="1"/>
      <c r="K80" s="1"/>
      <c r="L80" s="1"/>
      <c r="M80" s="1"/>
      <c r="N80" s="1"/>
      <c r="O80" s="1"/>
      <c r="P80" s="1"/>
      <c r="Q80" s="1"/>
      <c r="R80" s="1"/>
      <c r="S80" s="1"/>
      <c r="T80" s="1"/>
      <c r="U80" s="1"/>
      <c r="V80" s="1"/>
    </row>
  </sheetData>
  <mergeCells count="36">
    <mergeCell ref="O58:P59"/>
    <mergeCell ref="Q58:V58"/>
    <mergeCell ref="Q59:V59"/>
    <mergeCell ref="A64:V65"/>
    <mergeCell ref="O54:P55"/>
    <mergeCell ref="Q54:V54"/>
    <mergeCell ref="Q55:V55"/>
    <mergeCell ref="O56:P57"/>
    <mergeCell ref="Q56:V56"/>
    <mergeCell ref="Q57:V57"/>
    <mergeCell ref="O49:V49"/>
    <mergeCell ref="O50:P51"/>
    <mergeCell ref="Q50:V50"/>
    <mergeCell ref="Q51:V51"/>
    <mergeCell ref="O52:P53"/>
    <mergeCell ref="Q52:V52"/>
    <mergeCell ref="Q53:V53"/>
    <mergeCell ref="A9:L9"/>
    <mergeCell ref="M9:V9"/>
    <mergeCell ref="M10:V11"/>
    <mergeCell ref="A13:V13"/>
    <mergeCell ref="A47:V47"/>
    <mergeCell ref="A1:V2"/>
    <mergeCell ref="A3:V3"/>
    <mergeCell ref="A5:C5"/>
    <mergeCell ref="A6:C7"/>
    <mergeCell ref="D5:F5"/>
    <mergeCell ref="D6:F7"/>
    <mergeCell ref="G5:I5"/>
    <mergeCell ref="G6:I7"/>
    <mergeCell ref="J5:L5"/>
    <mergeCell ref="J6:L7"/>
    <mergeCell ref="M5:P5"/>
    <mergeCell ref="M6:P7"/>
    <mergeCell ref="Q5:V5"/>
    <mergeCell ref="Q6:V7"/>
  </mergeCells>
  <conditionalFormatting sqref="G15:G44">
    <cfRule type="expression" dxfId="14" priority="10">
      <formula>G15="Kritisch"</formula>
    </cfRule>
    <cfRule type="expression" dxfId="13" priority="11">
      <formula>G15="Hoch"</formula>
    </cfRule>
  </conditionalFormatting>
  <conditionalFormatting sqref="N15:N44">
    <cfRule type="expression" dxfId="12" priority="1">
      <formula>N15="Überfällig"</formula>
    </cfRule>
    <cfRule type="expression" dxfId="11" priority="2">
      <formula>N15="Bald fällig"</formula>
    </cfRule>
    <cfRule type="expression" dxfId="10" priority="3">
      <formula>N15="Im Blick"</formula>
    </cfRule>
    <cfRule type="expression" dxfId="9" priority="4">
      <formula>N15="Planmäßig"</formula>
    </cfRule>
    <cfRule type="expression" dxfId="8" priority="5">
      <formula>N15="Inaktiv"</formula>
    </cfRule>
  </conditionalFormatting>
  <conditionalFormatting sqref="S15:S44">
    <cfRule type="expression" dxfId="7" priority="6">
      <formula>S15="Über Budget"</formula>
    </cfRule>
    <cfRule type="expression" dxfId="6" priority="7">
      <formula>S15="Leicht darüber"</formula>
    </cfRule>
    <cfRule type="expression" dxfId="5" priority="8">
      <formula>S15="Im Budget"</formula>
    </cfRule>
    <cfRule type="expression" dxfId="4" priority="9">
      <formula>S15="Noch offen"</formula>
    </cfRule>
  </conditionalFormatting>
  <dataValidations count="6">
    <dataValidation type="list" sqref="D15:D44" xr:uid="{00000000-0002-0000-0000-000000000000}">
      <formula1>"Technische Anlagen,Sicherheit,Gebäudehülle,Innenbereiche,Außenanlagen,Sanitär,Energie / Medien"</formula1>
    </dataValidation>
    <dataValidation type="list" sqref="F15:F44" xr:uid="{00000000-0002-0000-0000-000001000000}">
      <formula1>"1,3,6,12,24,36"</formula1>
    </dataValidation>
    <dataValidation type="list" sqref="G15:G44" xr:uid="{00000000-0002-0000-0000-000002000000}">
      <formula1>"Kritisch,Hoch,Mittel,Niedrig"</formula1>
    </dataValidation>
    <dataValidation type="list" sqref="H15:H44 V15:V44" xr:uid="{00000000-0002-0000-0000-000003000000}">
      <formula1>"Ja,Nein"</formula1>
    </dataValidation>
    <dataValidation type="list" sqref="I15:I44" xr:uid="{00000000-0002-0000-0000-000004000000}">
      <formula1>"Facility Management,Technischer Dienst,Hausservice,Brandschutzkoordination,Elektrofachkraft,Extern"</formula1>
    </dataValidation>
    <dataValidation type="list" sqref="O15:O44" xr:uid="{00000000-0002-0000-0000-000005000000}">
      <formula1>"Offen,Geplant,Beauftragt,Erledigt,Entfällt"</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0"/>
  <sheetViews>
    <sheetView workbookViewId="0"/>
  </sheetViews>
  <sheetFormatPr baseColWidth="10" defaultColWidth="9" defaultRowHeight="15" x14ac:dyDescent="0.25"/>
  <cols>
    <col min="1" max="1" width="14" customWidth="1"/>
    <col min="2" max="2" width="12" customWidth="1"/>
    <col min="3" max="3" width="15" customWidth="1"/>
    <col min="4" max="4" width="20" customWidth="1"/>
    <col min="5" max="5" width="38" customWidth="1"/>
    <col min="6" max="6" width="18" customWidth="1"/>
    <col min="7" max="7" width="24" customWidth="1"/>
    <col min="8" max="8" width="14" customWidth="1"/>
    <col min="9" max="9" width="15" customWidth="1"/>
    <col min="10" max="10" width="13" customWidth="1"/>
    <col min="11" max="12" width="16" customWidth="1"/>
    <col min="13" max="13" width="24" customWidth="1"/>
    <col min="14" max="14" width="15" customWidth="1"/>
    <col min="15" max="15" width="28" customWidth="1"/>
    <col min="16" max="16" width="30" customWidth="1"/>
  </cols>
  <sheetData>
    <row r="1" spans="1:16" ht="26.1" customHeight="1" x14ac:dyDescent="0.25">
      <c r="A1" s="53" t="s">
        <v>197</v>
      </c>
      <c r="B1" s="53"/>
      <c r="C1" s="53"/>
      <c r="D1" s="53"/>
      <c r="E1" s="53"/>
      <c r="F1" s="53"/>
      <c r="G1" s="53"/>
      <c r="H1" s="53"/>
      <c r="I1" s="53"/>
      <c r="J1" s="53"/>
      <c r="K1" s="53"/>
      <c r="L1" s="53"/>
      <c r="M1" s="53"/>
      <c r="N1" s="53"/>
      <c r="O1" s="53"/>
      <c r="P1" s="53"/>
    </row>
    <row r="2" spans="1:16" ht="26.1" customHeight="1" x14ac:dyDescent="0.25">
      <c r="A2" s="53"/>
      <c r="B2" s="53"/>
      <c r="C2" s="53"/>
      <c r="D2" s="53"/>
      <c r="E2" s="53"/>
      <c r="F2" s="53"/>
      <c r="G2" s="53"/>
      <c r="H2" s="53"/>
      <c r="I2" s="53"/>
      <c r="J2" s="53"/>
      <c r="K2" s="53"/>
      <c r="L2" s="53"/>
      <c r="M2" s="53"/>
      <c r="N2" s="53"/>
      <c r="O2" s="53"/>
      <c r="P2" s="53"/>
    </row>
    <row r="3" spans="1:16" ht="20.100000000000001" customHeight="1" x14ac:dyDescent="0.25">
      <c r="A3" s="101" t="s">
        <v>198</v>
      </c>
      <c r="B3" s="101"/>
      <c r="C3" s="101"/>
      <c r="D3" s="101"/>
      <c r="E3" s="101"/>
      <c r="F3" s="101"/>
      <c r="G3" s="101"/>
      <c r="H3" s="101"/>
      <c r="I3" s="101"/>
      <c r="J3" s="101"/>
      <c r="K3" s="101"/>
      <c r="L3" s="101"/>
      <c r="M3" s="101"/>
      <c r="N3" s="101"/>
      <c r="O3" s="101"/>
      <c r="P3" s="101"/>
    </row>
    <row r="4" spans="1:16" x14ac:dyDescent="0.25">
      <c r="A4" s="1"/>
      <c r="B4" s="1"/>
      <c r="C4" s="1"/>
      <c r="D4" s="1"/>
      <c r="E4" s="1"/>
      <c r="F4" s="1"/>
      <c r="G4" s="1"/>
      <c r="H4" s="1"/>
      <c r="I4" s="1"/>
      <c r="J4" s="1"/>
      <c r="K4" s="1"/>
      <c r="L4" s="1"/>
      <c r="M4" s="1"/>
      <c r="N4" s="1"/>
      <c r="O4" s="1"/>
      <c r="P4" s="1"/>
    </row>
    <row r="5" spans="1:16" x14ac:dyDescent="0.25">
      <c r="A5" s="62" t="s">
        <v>199</v>
      </c>
      <c r="B5" s="62"/>
      <c r="C5" s="62"/>
      <c r="D5" s="62"/>
      <c r="E5" s="83" t="s">
        <v>200</v>
      </c>
      <c r="F5" s="83"/>
      <c r="G5" s="83"/>
      <c r="H5" s="83"/>
      <c r="I5" s="55" t="s">
        <v>201</v>
      </c>
      <c r="J5" s="55"/>
      <c r="K5" s="55"/>
      <c r="L5" s="55"/>
      <c r="M5" s="83" t="s">
        <v>202</v>
      </c>
      <c r="N5" s="83"/>
      <c r="O5" s="83"/>
      <c r="P5" s="83"/>
    </row>
    <row r="6" spans="1:16" x14ac:dyDescent="0.25">
      <c r="A6" s="102">
        <f>COUNT($C$10:$C$39)</f>
        <v>12</v>
      </c>
      <c r="B6" s="103"/>
      <c r="C6" s="103"/>
      <c r="D6" s="104"/>
      <c r="E6" s="108">
        <f>SUMIFS($L$10:$L$39,$C$10:$C$39,"&gt;="&amp;DATE(2026,1,1),$C$10:$C$39,"&lt;="&amp;DATE(2026,12,31))</f>
        <v>3100</v>
      </c>
      <c r="F6" s="109"/>
      <c r="G6" s="109"/>
      <c r="H6" s="110"/>
      <c r="I6" s="114">
        <f>COUNTIF($D$10:$D$39,"Mangel festgestellt")+COUNTIF($D$10:$D$39,"Nacharbeit erforderlich")</f>
        <v>4</v>
      </c>
      <c r="J6" s="115"/>
      <c r="K6" s="115"/>
      <c r="L6" s="116"/>
      <c r="M6" s="120">
        <f>MAX($C$10:$C$39)</f>
        <v>46204</v>
      </c>
      <c r="N6" s="121"/>
      <c r="O6" s="121"/>
      <c r="P6" s="122"/>
    </row>
    <row r="7" spans="1:16" x14ac:dyDescent="0.25">
      <c r="A7" s="105"/>
      <c r="B7" s="106"/>
      <c r="C7" s="106"/>
      <c r="D7" s="107"/>
      <c r="E7" s="111"/>
      <c r="F7" s="112"/>
      <c r="G7" s="112"/>
      <c r="H7" s="113"/>
      <c r="I7" s="117"/>
      <c r="J7" s="118"/>
      <c r="K7" s="118"/>
      <c r="L7" s="119"/>
      <c r="M7" s="123"/>
      <c r="N7" s="124"/>
      <c r="O7" s="124"/>
      <c r="P7" s="125"/>
    </row>
    <row r="8" spans="1:16" x14ac:dyDescent="0.25">
      <c r="A8" s="1"/>
      <c r="B8" s="1"/>
      <c r="C8" s="1"/>
      <c r="D8" s="1"/>
      <c r="E8" s="1"/>
      <c r="F8" s="1"/>
      <c r="G8" s="1"/>
      <c r="H8" s="1"/>
      <c r="I8" s="1"/>
      <c r="J8" s="1"/>
      <c r="K8" s="1"/>
      <c r="L8" s="1"/>
      <c r="M8" s="1"/>
      <c r="N8" s="1"/>
      <c r="O8" s="1"/>
      <c r="P8" s="1"/>
    </row>
    <row r="9" spans="1:16" ht="33.950000000000003" customHeight="1" x14ac:dyDescent="0.25">
      <c r="A9" s="4" t="s">
        <v>203</v>
      </c>
      <c r="B9" s="5" t="s">
        <v>23</v>
      </c>
      <c r="C9" s="5" t="s">
        <v>204</v>
      </c>
      <c r="D9" s="5" t="s">
        <v>205</v>
      </c>
      <c r="E9" s="5" t="s">
        <v>206</v>
      </c>
      <c r="F9" s="5" t="s">
        <v>31</v>
      </c>
      <c r="G9" s="5" t="s">
        <v>32</v>
      </c>
      <c r="H9" s="5" t="s">
        <v>207</v>
      </c>
      <c r="I9" s="5" t="s">
        <v>208</v>
      </c>
      <c r="J9" s="5" t="s">
        <v>209</v>
      </c>
      <c r="K9" s="5" t="s">
        <v>210</v>
      </c>
      <c r="L9" s="5" t="s">
        <v>211</v>
      </c>
      <c r="M9" s="5" t="s">
        <v>212</v>
      </c>
      <c r="N9" s="5" t="s">
        <v>213</v>
      </c>
      <c r="O9" s="5" t="s">
        <v>214</v>
      </c>
      <c r="P9" s="6" t="s">
        <v>43</v>
      </c>
    </row>
    <row r="10" spans="1:16" ht="36" customHeight="1" x14ac:dyDescent="0.25">
      <c r="A10" s="17" t="s">
        <v>215</v>
      </c>
      <c r="B10" s="17" t="s">
        <v>45</v>
      </c>
      <c r="C10" s="25">
        <v>46027</v>
      </c>
      <c r="D10" s="17" t="s">
        <v>216</v>
      </c>
      <c r="E10" s="13" t="s">
        <v>217</v>
      </c>
      <c r="F10" s="13" t="s">
        <v>52</v>
      </c>
      <c r="G10" s="13" t="s">
        <v>53</v>
      </c>
      <c r="H10" s="38">
        <v>2</v>
      </c>
      <c r="I10" s="27">
        <v>80</v>
      </c>
      <c r="J10" s="27">
        <v>75</v>
      </c>
      <c r="K10" s="27">
        <v>300</v>
      </c>
      <c r="L10" s="27">
        <f t="shared" ref="L10:L39" si="0">IF(COUNTA($I10:$K10)=0,"",SUM($I10:$K10))</f>
        <v>455</v>
      </c>
      <c r="M10" s="13" t="s">
        <v>218</v>
      </c>
      <c r="N10" s="25"/>
      <c r="O10" s="13" t="s">
        <v>219</v>
      </c>
      <c r="P10" s="14" t="s">
        <v>220</v>
      </c>
    </row>
    <row r="11" spans="1:16" ht="36" customHeight="1" x14ac:dyDescent="0.25">
      <c r="A11" s="16" t="s">
        <v>221</v>
      </c>
      <c r="B11" s="16" t="s">
        <v>93</v>
      </c>
      <c r="C11" s="22">
        <v>46047</v>
      </c>
      <c r="D11" s="16" t="s">
        <v>222</v>
      </c>
      <c r="E11" s="9" t="s">
        <v>223</v>
      </c>
      <c r="F11" s="9" t="s">
        <v>64</v>
      </c>
      <c r="G11" s="9" t="s">
        <v>97</v>
      </c>
      <c r="H11" s="39">
        <v>1.5</v>
      </c>
      <c r="I11" s="24">
        <v>60</v>
      </c>
      <c r="J11" s="24">
        <v>0</v>
      </c>
      <c r="K11" s="24">
        <v>250</v>
      </c>
      <c r="L11" s="24">
        <f t="shared" si="0"/>
        <v>310</v>
      </c>
      <c r="M11" s="9" t="s">
        <v>224</v>
      </c>
      <c r="N11" s="22">
        <v>46068</v>
      </c>
      <c r="O11" s="9" t="s">
        <v>225</v>
      </c>
      <c r="P11" s="10" t="s">
        <v>226</v>
      </c>
    </row>
    <row r="12" spans="1:16" ht="36" customHeight="1" x14ac:dyDescent="0.25">
      <c r="A12" s="17" t="s">
        <v>227</v>
      </c>
      <c r="B12" s="17" t="s">
        <v>115</v>
      </c>
      <c r="C12" s="25">
        <v>46065</v>
      </c>
      <c r="D12" s="17" t="s">
        <v>216</v>
      </c>
      <c r="E12" s="13" t="s">
        <v>228</v>
      </c>
      <c r="F12" s="13" t="s">
        <v>64</v>
      </c>
      <c r="G12" s="13" t="s">
        <v>120</v>
      </c>
      <c r="H12" s="38">
        <v>1</v>
      </c>
      <c r="I12" s="27">
        <v>40</v>
      </c>
      <c r="J12" s="27">
        <v>15</v>
      </c>
      <c r="K12" s="27">
        <v>180</v>
      </c>
      <c r="L12" s="27">
        <f t="shared" si="0"/>
        <v>235</v>
      </c>
      <c r="M12" s="13" t="s">
        <v>218</v>
      </c>
      <c r="N12" s="25"/>
      <c r="O12" s="13" t="s">
        <v>229</v>
      </c>
      <c r="P12" s="14" t="s">
        <v>230</v>
      </c>
    </row>
    <row r="13" spans="1:16" ht="36" customHeight="1" x14ac:dyDescent="0.25">
      <c r="A13" s="16" t="s">
        <v>231</v>
      </c>
      <c r="B13" s="16" t="s">
        <v>140</v>
      </c>
      <c r="C13" s="22">
        <v>46073</v>
      </c>
      <c r="D13" s="16" t="s">
        <v>232</v>
      </c>
      <c r="E13" s="9" t="s">
        <v>233</v>
      </c>
      <c r="F13" s="9" t="s">
        <v>64</v>
      </c>
      <c r="G13" s="9" t="s">
        <v>144</v>
      </c>
      <c r="H13" s="39">
        <v>2</v>
      </c>
      <c r="I13" s="24">
        <v>70</v>
      </c>
      <c r="J13" s="24">
        <v>20</v>
      </c>
      <c r="K13" s="24">
        <v>210</v>
      </c>
      <c r="L13" s="24">
        <f t="shared" si="0"/>
        <v>300</v>
      </c>
      <c r="M13" s="9" t="s">
        <v>234</v>
      </c>
      <c r="N13" s="22">
        <v>46091</v>
      </c>
      <c r="O13" s="9" t="s">
        <v>235</v>
      </c>
      <c r="P13" s="10" t="s">
        <v>236</v>
      </c>
    </row>
    <row r="14" spans="1:16" ht="36" customHeight="1" x14ac:dyDescent="0.25">
      <c r="A14" s="17" t="s">
        <v>237</v>
      </c>
      <c r="B14" s="17" t="s">
        <v>84</v>
      </c>
      <c r="C14" s="25">
        <v>46091</v>
      </c>
      <c r="D14" s="17" t="s">
        <v>216</v>
      </c>
      <c r="E14" s="13" t="s">
        <v>238</v>
      </c>
      <c r="F14" s="13" t="s">
        <v>89</v>
      </c>
      <c r="G14" s="13" t="s">
        <v>90</v>
      </c>
      <c r="H14" s="38">
        <v>3</v>
      </c>
      <c r="I14" s="27">
        <v>120</v>
      </c>
      <c r="J14" s="27">
        <v>25</v>
      </c>
      <c r="K14" s="27">
        <v>0</v>
      </c>
      <c r="L14" s="27">
        <f t="shared" si="0"/>
        <v>145</v>
      </c>
      <c r="M14" s="13" t="s">
        <v>218</v>
      </c>
      <c r="N14" s="25"/>
      <c r="O14" s="13" t="s">
        <v>239</v>
      </c>
      <c r="P14" s="14" t="s">
        <v>240</v>
      </c>
    </row>
    <row r="15" spans="1:16" ht="36" customHeight="1" x14ac:dyDescent="0.25">
      <c r="A15" s="16" t="s">
        <v>241</v>
      </c>
      <c r="B15" s="16" t="s">
        <v>127</v>
      </c>
      <c r="C15" s="22">
        <v>46113</v>
      </c>
      <c r="D15" s="16" t="s">
        <v>222</v>
      </c>
      <c r="E15" s="9" t="s">
        <v>242</v>
      </c>
      <c r="F15" s="9" t="s">
        <v>64</v>
      </c>
      <c r="G15" s="9" t="s">
        <v>90</v>
      </c>
      <c r="H15" s="39">
        <v>1.5</v>
      </c>
      <c r="I15" s="24">
        <v>60</v>
      </c>
      <c r="J15" s="24">
        <v>0</v>
      </c>
      <c r="K15" s="24">
        <v>0</v>
      </c>
      <c r="L15" s="24">
        <f t="shared" si="0"/>
        <v>60</v>
      </c>
      <c r="M15" s="9" t="s">
        <v>243</v>
      </c>
      <c r="N15" s="22">
        <v>46157</v>
      </c>
      <c r="O15" s="9" t="s">
        <v>244</v>
      </c>
      <c r="P15" s="10" t="s">
        <v>245</v>
      </c>
    </row>
    <row r="16" spans="1:16" ht="36" customHeight="1" x14ac:dyDescent="0.25">
      <c r="A16" s="17" t="s">
        <v>246</v>
      </c>
      <c r="B16" s="17" t="s">
        <v>133</v>
      </c>
      <c r="C16" s="25">
        <v>46122</v>
      </c>
      <c r="D16" s="17" t="s">
        <v>216</v>
      </c>
      <c r="E16" s="13" t="s">
        <v>247</v>
      </c>
      <c r="F16" s="13" t="s">
        <v>89</v>
      </c>
      <c r="G16" s="13" t="s">
        <v>90</v>
      </c>
      <c r="H16" s="38">
        <v>1</v>
      </c>
      <c r="I16" s="27">
        <v>40</v>
      </c>
      <c r="J16" s="27">
        <v>55</v>
      </c>
      <c r="K16" s="27">
        <v>0</v>
      </c>
      <c r="L16" s="27">
        <f t="shared" si="0"/>
        <v>95</v>
      </c>
      <c r="M16" s="13" t="s">
        <v>218</v>
      </c>
      <c r="N16" s="25"/>
      <c r="O16" s="13" t="s">
        <v>248</v>
      </c>
      <c r="P16" s="14" t="s">
        <v>249</v>
      </c>
    </row>
    <row r="17" spans="1:16" ht="36" customHeight="1" x14ac:dyDescent="0.25">
      <c r="A17" s="16" t="s">
        <v>250</v>
      </c>
      <c r="B17" s="16" t="s">
        <v>157</v>
      </c>
      <c r="C17" s="22">
        <v>46137</v>
      </c>
      <c r="D17" s="16" t="s">
        <v>216</v>
      </c>
      <c r="E17" s="9" t="s">
        <v>251</v>
      </c>
      <c r="F17" s="9" t="s">
        <v>89</v>
      </c>
      <c r="G17" s="9" t="s">
        <v>162</v>
      </c>
      <c r="H17" s="39">
        <v>0.75</v>
      </c>
      <c r="I17" s="24">
        <v>30</v>
      </c>
      <c r="J17" s="24">
        <v>0</v>
      </c>
      <c r="K17" s="24">
        <v>85</v>
      </c>
      <c r="L17" s="24">
        <f t="shared" si="0"/>
        <v>115</v>
      </c>
      <c r="M17" s="9" t="s">
        <v>218</v>
      </c>
      <c r="N17" s="22"/>
      <c r="O17" s="9" t="s">
        <v>252</v>
      </c>
      <c r="P17" s="10" t="s">
        <v>253</v>
      </c>
    </row>
    <row r="18" spans="1:16" ht="36" customHeight="1" x14ac:dyDescent="0.25">
      <c r="A18" s="17" t="s">
        <v>254</v>
      </c>
      <c r="B18" s="17" t="s">
        <v>58</v>
      </c>
      <c r="C18" s="25">
        <v>46157</v>
      </c>
      <c r="D18" s="17" t="s">
        <v>216</v>
      </c>
      <c r="E18" s="13" t="s">
        <v>255</v>
      </c>
      <c r="F18" s="13" t="s">
        <v>64</v>
      </c>
      <c r="G18" s="13" t="s">
        <v>65</v>
      </c>
      <c r="H18" s="38">
        <v>2</v>
      </c>
      <c r="I18" s="27">
        <v>60</v>
      </c>
      <c r="J18" s="27">
        <v>0</v>
      </c>
      <c r="K18" s="27">
        <v>330</v>
      </c>
      <c r="L18" s="27">
        <f t="shared" si="0"/>
        <v>390</v>
      </c>
      <c r="M18" s="13" t="s">
        <v>218</v>
      </c>
      <c r="N18" s="25"/>
      <c r="O18" s="13" t="s">
        <v>256</v>
      </c>
      <c r="P18" s="14" t="s">
        <v>257</v>
      </c>
    </row>
    <row r="19" spans="1:16" ht="36" customHeight="1" x14ac:dyDescent="0.25">
      <c r="A19" s="16" t="s">
        <v>258</v>
      </c>
      <c r="B19" s="16" t="s">
        <v>100</v>
      </c>
      <c r="C19" s="22">
        <v>46174</v>
      </c>
      <c r="D19" s="16" t="s">
        <v>216</v>
      </c>
      <c r="E19" s="9" t="s">
        <v>259</v>
      </c>
      <c r="F19" s="9" t="s">
        <v>52</v>
      </c>
      <c r="G19" s="9" t="s">
        <v>104</v>
      </c>
      <c r="H19" s="39">
        <v>1.5</v>
      </c>
      <c r="I19" s="24">
        <v>60</v>
      </c>
      <c r="J19" s="24">
        <v>35</v>
      </c>
      <c r="K19" s="24">
        <v>200</v>
      </c>
      <c r="L19" s="24">
        <f t="shared" si="0"/>
        <v>295</v>
      </c>
      <c r="M19" s="9" t="s">
        <v>218</v>
      </c>
      <c r="N19" s="22"/>
      <c r="O19" s="9" t="s">
        <v>260</v>
      </c>
      <c r="P19" s="10" t="s">
        <v>261</v>
      </c>
    </row>
    <row r="20" spans="1:16" ht="36" customHeight="1" x14ac:dyDescent="0.25">
      <c r="A20" s="17" t="s">
        <v>262</v>
      </c>
      <c r="B20" s="17" t="s">
        <v>77</v>
      </c>
      <c r="C20" s="25">
        <v>46203</v>
      </c>
      <c r="D20" s="17" t="s">
        <v>232</v>
      </c>
      <c r="E20" s="13" t="s">
        <v>263</v>
      </c>
      <c r="F20" s="13" t="s">
        <v>52</v>
      </c>
      <c r="G20" s="13" t="s">
        <v>81</v>
      </c>
      <c r="H20" s="38">
        <v>2.5</v>
      </c>
      <c r="I20" s="27">
        <v>90</v>
      </c>
      <c r="J20" s="27">
        <v>0</v>
      </c>
      <c r="K20" s="27">
        <v>420</v>
      </c>
      <c r="L20" s="27">
        <f t="shared" si="0"/>
        <v>510</v>
      </c>
      <c r="M20" s="13" t="s">
        <v>264</v>
      </c>
      <c r="N20" s="25">
        <v>46234</v>
      </c>
      <c r="O20" s="13" t="s">
        <v>265</v>
      </c>
      <c r="P20" s="14" t="s">
        <v>266</v>
      </c>
    </row>
    <row r="21" spans="1:16" ht="36" customHeight="1" x14ac:dyDescent="0.25">
      <c r="A21" s="16" t="s">
        <v>267</v>
      </c>
      <c r="B21" s="16" t="s">
        <v>122</v>
      </c>
      <c r="C21" s="22">
        <v>46204</v>
      </c>
      <c r="D21" s="16" t="s">
        <v>216</v>
      </c>
      <c r="E21" s="9" t="s">
        <v>268</v>
      </c>
      <c r="F21" s="9" t="s">
        <v>52</v>
      </c>
      <c r="G21" s="9" t="s">
        <v>120</v>
      </c>
      <c r="H21" s="39">
        <v>1</v>
      </c>
      <c r="I21" s="24">
        <v>40</v>
      </c>
      <c r="J21" s="24">
        <v>10</v>
      </c>
      <c r="K21" s="24">
        <v>140</v>
      </c>
      <c r="L21" s="24">
        <f t="shared" si="0"/>
        <v>190</v>
      </c>
      <c r="M21" s="9" t="s">
        <v>218</v>
      </c>
      <c r="N21" s="22"/>
      <c r="O21" s="9" t="s">
        <v>269</v>
      </c>
      <c r="P21" s="10" t="s">
        <v>270</v>
      </c>
    </row>
    <row r="22" spans="1:16" ht="36" customHeight="1" x14ac:dyDescent="0.25">
      <c r="A22" s="17"/>
      <c r="B22" s="17"/>
      <c r="C22" s="25"/>
      <c r="D22" s="17"/>
      <c r="E22" s="13"/>
      <c r="F22" s="13"/>
      <c r="G22" s="13"/>
      <c r="H22" s="38"/>
      <c r="I22" s="27"/>
      <c r="J22" s="27"/>
      <c r="K22" s="27"/>
      <c r="L22" s="27" t="str">
        <f t="shared" si="0"/>
        <v/>
      </c>
      <c r="M22" s="13"/>
      <c r="N22" s="25"/>
      <c r="O22" s="13"/>
      <c r="P22" s="14"/>
    </row>
    <row r="23" spans="1:16" ht="36" customHeight="1" x14ac:dyDescent="0.25">
      <c r="A23" s="16"/>
      <c r="B23" s="16"/>
      <c r="C23" s="22"/>
      <c r="D23" s="16"/>
      <c r="E23" s="9"/>
      <c r="F23" s="9"/>
      <c r="G23" s="9"/>
      <c r="H23" s="39"/>
      <c r="I23" s="24"/>
      <c r="J23" s="24"/>
      <c r="K23" s="24"/>
      <c r="L23" s="24" t="str">
        <f t="shared" si="0"/>
        <v/>
      </c>
      <c r="M23" s="9"/>
      <c r="N23" s="22"/>
      <c r="O23" s="9"/>
      <c r="P23" s="10"/>
    </row>
    <row r="24" spans="1:16" ht="36" customHeight="1" x14ac:dyDescent="0.25">
      <c r="A24" s="17"/>
      <c r="B24" s="17"/>
      <c r="C24" s="25"/>
      <c r="D24" s="17"/>
      <c r="E24" s="13"/>
      <c r="F24" s="13"/>
      <c r="G24" s="13"/>
      <c r="H24" s="38"/>
      <c r="I24" s="27"/>
      <c r="J24" s="27"/>
      <c r="K24" s="27"/>
      <c r="L24" s="27" t="str">
        <f t="shared" si="0"/>
        <v/>
      </c>
      <c r="M24" s="13"/>
      <c r="N24" s="25"/>
      <c r="O24" s="13"/>
      <c r="P24" s="14"/>
    </row>
    <row r="25" spans="1:16" ht="36" customHeight="1" x14ac:dyDescent="0.25">
      <c r="A25" s="16"/>
      <c r="B25" s="16"/>
      <c r="C25" s="22"/>
      <c r="D25" s="16"/>
      <c r="E25" s="9"/>
      <c r="F25" s="9"/>
      <c r="G25" s="9"/>
      <c r="H25" s="39"/>
      <c r="I25" s="24"/>
      <c r="J25" s="24"/>
      <c r="K25" s="24"/>
      <c r="L25" s="24" t="str">
        <f t="shared" si="0"/>
        <v/>
      </c>
      <c r="M25" s="9"/>
      <c r="N25" s="22"/>
      <c r="O25" s="9"/>
      <c r="P25" s="10"/>
    </row>
    <row r="26" spans="1:16" ht="36" customHeight="1" x14ac:dyDescent="0.25">
      <c r="A26" s="17"/>
      <c r="B26" s="17"/>
      <c r="C26" s="25"/>
      <c r="D26" s="17"/>
      <c r="E26" s="13"/>
      <c r="F26" s="13"/>
      <c r="G26" s="13"/>
      <c r="H26" s="38"/>
      <c r="I26" s="27"/>
      <c r="J26" s="27"/>
      <c r="K26" s="27"/>
      <c r="L26" s="27" t="str">
        <f t="shared" si="0"/>
        <v/>
      </c>
      <c r="M26" s="13"/>
      <c r="N26" s="25"/>
      <c r="O26" s="13"/>
      <c r="P26" s="14"/>
    </row>
    <row r="27" spans="1:16" ht="36" customHeight="1" x14ac:dyDescent="0.25">
      <c r="A27" s="16"/>
      <c r="B27" s="16"/>
      <c r="C27" s="22"/>
      <c r="D27" s="16"/>
      <c r="E27" s="9"/>
      <c r="F27" s="9"/>
      <c r="G27" s="9"/>
      <c r="H27" s="39"/>
      <c r="I27" s="24"/>
      <c r="J27" s="24"/>
      <c r="K27" s="24"/>
      <c r="L27" s="24" t="str">
        <f t="shared" si="0"/>
        <v/>
      </c>
      <c r="M27" s="9"/>
      <c r="N27" s="22"/>
      <c r="O27" s="9"/>
      <c r="P27" s="10"/>
    </row>
    <row r="28" spans="1:16" ht="36" customHeight="1" x14ac:dyDescent="0.25">
      <c r="A28" s="17"/>
      <c r="B28" s="17"/>
      <c r="C28" s="25"/>
      <c r="D28" s="17"/>
      <c r="E28" s="13"/>
      <c r="F28" s="13"/>
      <c r="G28" s="13"/>
      <c r="H28" s="38"/>
      <c r="I28" s="27"/>
      <c r="J28" s="27"/>
      <c r="K28" s="27"/>
      <c r="L28" s="27" t="str">
        <f t="shared" si="0"/>
        <v/>
      </c>
      <c r="M28" s="13"/>
      <c r="N28" s="25"/>
      <c r="O28" s="13"/>
      <c r="P28" s="14"/>
    </row>
    <row r="29" spans="1:16" ht="36" customHeight="1" x14ac:dyDescent="0.25">
      <c r="A29" s="16"/>
      <c r="B29" s="16"/>
      <c r="C29" s="22"/>
      <c r="D29" s="16"/>
      <c r="E29" s="9"/>
      <c r="F29" s="9"/>
      <c r="G29" s="9"/>
      <c r="H29" s="39"/>
      <c r="I29" s="24"/>
      <c r="J29" s="24"/>
      <c r="K29" s="24"/>
      <c r="L29" s="24" t="str">
        <f t="shared" si="0"/>
        <v/>
      </c>
      <c r="M29" s="9"/>
      <c r="N29" s="22"/>
      <c r="O29" s="9"/>
      <c r="P29" s="10"/>
    </row>
    <row r="30" spans="1:16" ht="36" customHeight="1" x14ac:dyDescent="0.25">
      <c r="A30" s="17"/>
      <c r="B30" s="17"/>
      <c r="C30" s="25"/>
      <c r="D30" s="17"/>
      <c r="E30" s="13"/>
      <c r="F30" s="13"/>
      <c r="G30" s="13"/>
      <c r="H30" s="38"/>
      <c r="I30" s="27"/>
      <c r="J30" s="27"/>
      <c r="K30" s="27"/>
      <c r="L30" s="27" t="str">
        <f t="shared" si="0"/>
        <v/>
      </c>
      <c r="M30" s="13"/>
      <c r="N30" s="25"/>
      <c r="O30" s="13"/>
      <c r="P30" s="14"/>
    </row>
    <row r="31" spans="1:16" ht="36" customHeight="1" x14ac:dyDescent="0.25">
      <c r="A31" s="16"/>
      <c r="B31" s="16"/>
      <c r="C31" s="22"/>
      <c r="D31" s="16"/>
      <c r="E31" s="9"/>
      <c r="F31" s="9"/>
      <c r="G31" s="9"/>
      <c r="H31" s="39"/>
      <c r="I31" s="24"/>
      <c r="J31" s="24"/>
      <c r="K31" s="24"/>
      <c r="L31" s="24" t="str">
        <f t="shared" si="0"/>
        <v/>
      </c>
      <c r="M31" s="9"/>
      <c r="N31" s="22"/>
      <c r="O31" s="9"/>
      <c r="P31" s="10"/>
    </row>
    <row r="32" spans="1:16" ht="36" customHeight="1" x14ac:dyDescent="0.25">
      <c r="A32" s="17"/>
      <c r="B32" s="17"/>
      <c r="C32" s="25"/>
      <c r="D32" s="17"/>
      <c r="E32" s="13"/>
      <c r="F32" s="13"/>
      <c r="G32" s="13"/>
      <c r="H32" s="38"/>
      <c r="I32" s="27"/>
      <c r="J32" s="27"/>
      <c r="K32" s="27"/>
      <c r="L32" s="27" t="str">
        <f t="shared" si="0"/>
        <v/>
      </c>
      <c r="M32" s="13"/>
      <c r="N32" s="25"/>
      <c r="O32" s="13"/>
      <c r="P32" s="14"/>
    </row>
    <row r="33" spans="1:16" ht="36" customHeight="1" x14ac:dyDescent="0.25">
      <c r="A33" s="16"/>
      <c r="B33" s="16"/>
      <c r="C33" s="22"/>
      <c r="D33" s="16"/>
      <c r="E33" s="9"/>
      <c r="F33" s="9"/>
      <c r="G33" s="9"/>
      <c r="H33" s="39"/>
      <c r="I33" s="24"/>
      <c r="J33" s="24"/>
      <c r="K33" s="24"/>
      <c r="L33" s="24" t="str">
        <f t="shared" si="0"/>
        <v/>
      </c>
      <c r="M33" s="9"/>
      <c r="N33" s="22"/>
      <c r="O33" s="9"/>
      <c r="P33" s="10"/>
    </row>
    <row r="34" spans="1:16" ht="36" customHeight="1" x14ac:dyDescent="0.25">
      <c r="A34" s="17"/>
      <c r="B34" s="17"/>
      <c r="C34" s="25"/>
      <c r="D34" s="17"/>
      <c r="E34" s="13"/>
      <c r="F34" s="13"/>
      <c r="G34" s="13"/>
      <c r="H34" s="38"/>
      <c r="I34" s="27"/>
      <c r="J34" s="27"/>
      <c r="K34" s="27"/>
      <c r="L34" s="27" t="str">
        <f t="shared" si="0"/>
        <v/>
      </c>
      <c r="M34" s="13"/>
      <c r="N34" s="25"/>
      <c r="O34" s="13"/>
      <c r="P34" s="14"/>
    </row>
    <row r="35" spans="1:16" ht="36" customHeight="1" x14ac:dyDescent="0.25">
      <c r="A35" s="16"/>
      <c r="B35" s="16"/>
      <c r="C35" s="22"/>
      <c r="D35" s="16"/>
      <c r="E35" s="9"/>
      <c r="F35" s="9"/>
      <c r="G35" s="9"/>
      <c r="H35" s="39"/>
      <c r="I35" s="24"/>
      <c r="J35" s="24"/>
      <c r="K35" s="24"/>
      <c r="L35" s="24" t="str">
        <f t="shared" si="0"/>
        <v/>
      </c>
      <c r="M35" s="9"/>
      <c r="N35" s="22"/>
      <c r="O35" s="9"/>
      <c r="P35" s="10"/>
    </row>
    <row r="36" spans="1:16" ht="36" customHeight="1" x14ac:dyDescent="0.25">
      <c r="A36" s="17"/>
      <c r="B36" s="17"/>
      <c r="C36" s="25"/>
      <c r="D36" s="17"/>
      <c r="E36" s="13"/>
      <c r="F36" s="13"/>
      <c r="G36" s="13"/>
      <c r="H36" s="38"/>
      <c r="I36" s="27"/>
      <c r="J36" s="27"/>
      <c r="K36" s="27"/>
      <c r="L36" s="27" t="str">
        <f t="shared" si="0"/>
        <v/>
      </c>
      <c r="M36" s="13"/>
      <c r="N36" s="25"/>
      <c r="O36" s="13"/>
      <c r="P36" s="14"/>
    </row>
    <row r="37" spans="1:16" ht="36" customHeight="1" x14ac:dyDescent="0.25">
      <c r="A37" s="16"/>
      <c r="B37" s="16"/>
      <c r="C37" s="22"/>
      <c r="D37" s="16"/>
      <c r="E37" s="9"/>
      <c r="F37" s="9"/>
      <c r="G37" s="9"/>
      <c r="H37" s="39"/>
      <c r="I37" s="24"/>
      <c r="J37" s="24"/>
      <c r="K37" s="24"/>
      <c r="L37" s="24" t="str">
        <f t="shared" si="0"/>
        <v/>
      </c>
      <c r="M37" s="9"/>
      <c r="N37" s="22"/>
      <c r="O37" s="9"/>
      <c r="P37" s="10"/>
    </row>
    <row r="38" spans="1:16" ht="36" customHeight="1" x14ac:dyDescent="0.25">
      <c r="A38" s="17"/>
      <c r="B38" s="17"/>
      <c r="C38" s="25"/>
      <c r="D38" s="17"/>
      <c r="E38" s="13"/>
      <c r="F38" s="13"/>
      <c r="G38" s="13"/>
      <c r="H38" s="38"/>
      <c r="I38" s="27"/>
      <c r="J38" s="27"/>
      <c r="K38" s="27"/>
      <c r="L38" s="27" t="str">
        <f t="shared" si="0"/>
        <v/>
      </c>
      <c r="M38" s="13"/>
      <c r="N38" s="25"/>
      <c r="O38" s="13"/>
      <c r="P38" s="14"/>
    </row>
    <row r="39" spans="1:16" ht="36" customHeight="1" x14ac:dyDescent="0.25">
      <c r="A39" s="36"/>
      <c r="B39" s="36"/>
      <c r="C39" s="37"/>
      <c r="D39" s="36"/>
      <c r="E39" s="11"/>
      <c r="F39" s="11"/>
      <c r="G39" s="11"/>
      <c r="H39" s="40"/>
      <c r="I39" s="41"/>
      <c r="J39" s="41"/>
      <c r="K39" s="41"/>
      <c r="L39" s="41" t="str">
        <f t="shared" si="0"/>
        <v/>
      </c>
      <c r="M39" s="11"/>
      <c r="N39" s="37"/>
      <c r="O39" s="11"/>
      <c r="P39" s="12"/>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I41" s="1"/>
      <c r="J41" s="1"/>
      <c r="K41" s="1"/>
      <c r="L41" s="1"/>
      <c r="M41" s="1"/>
      <c r="N41" s="1"/>
      <c r="O41" s="1"/>
      <c r="P41" s="1"/>
    </row>
    <row r="42" spans="1:16" x14ac:dyDescent="0.25">
      <c r="A42" s="91" t="s">
        <v>271</v>
      </c>
      <c r="B42" s="91"/>
      <c r="C42" s="91"/>
      <c r="D42" s="91"/>
      <c r="E42" s="91"/>
      <c r="F42" s="91"/>
      <c r="G42" s="91"/>
      <c r="H42" s="91"/>
      <c r="I42" s="91"/>
      <c r="J42" s="91"/>
      <c r="K42" s="91"/>
      <c r="L42" s="91"/>
      <c r="M42" s="91"/>
      <c r="N42" s="91"/>
      <c r="O42" s="91"/>
      <c r="P42" s="91"/>
    </row>
    <row r="43" spans="1:16" x14ac:dyDescent="0.25">
      <c r="A43" s="126" t="s">
        <v>272</v>
      </c>
      <c r="B43" s="127"/>
      <c r="C43" s="127"/>
      <c r="D43" s="127"/>
      <c r="E43" s="127"/>
      <c r="F43" s="127"/>
      <c r="G43" s="127"/>
      <c r="H43" s="127"/>
      <c r="I43" s="127"/>
      <c r="J43" s="127"/>
      <c r="K43" s="127"/>
      <c r="L43" s="127"/>
      <c r="M43" s="127"/>
      <c r="N43" s="127"/>
      <c r="O43" s="127"/>
      <c r="P43" s="128"/>
    </row>
    <row r="44" spans="1:16" x14ac:dyDescent="0.25">
      <c r="A44" s="126"/>
      <c r="B44" s="127"/>
      <c r="C44" s="127"/>
      <c r="D44" s="127"/>
      <c r="E44" s="127"/>
      <c r="F44" s="127"/>
      <c r="G44" s="127"/>
      <c r="H44" s="127"/>
      <c r="I44" s="127"/>
      <c r="J44" s="127"/>
      <c r="K44" s="127"/>
      <c r="L44" s="127"/>
      <c r="M44" s="127"/>
      <c r="N44" s="127"/>
      <c r="O44" s="127"/>
      <c r="P44" s="128"/>
    </row>
    <row r="45" spans="1:16" x14ac:dyDescent="0.25">
      <c r="A45" s="129"/>
      <c r="B45" s="130"/>
      <c r="C45" s="130"/>
      <c r="D45" s="130"/>
      <c r="E45" s="130"/>
      <c r="F45" s="130"/>
      <c r="G45" s="130"/>
      <c r="H45" s="130"/>
      <c r="I45" s="130"/>
      <c r="J45" s="130"/>
      <c r="K45" s="130"/>
      <c r="L45" s="130"/>
      <c r="M45" s="130"/>
      <c r="N45" s="130"/>
      <c r="O45" s="130"/>
      <c r="P45" s="131"/>
    </row>
    <row r="46" spans="1:16" x14ac:dyDescent="0.25">
      <c r="A46" s="1"/>
      <c r="B46" s="1"/>
      <c r="C46" s="1"/>
      <c r="D46" s="1"/>
      <c r="E46" s="1"/>
      <c r="F46" s="1"/>
      <c r="G46" s="1"/>
      <c r="H46" s="1"/>
      <c r="I46" s="1"/>
      <c r="J46" s="1"/>
      <c r="K46" s="1"/>
      <c r="L46" s="1"/>
      <c r="M46" s="1"/>
      <c r="N46" s="1"/>
      <c r="O46" s="1"/>
      <c r="P46" s="1"/>
    </row>
    <row r="47" spans="1:16" x14ac:dyDescent="0.25">
      <c r="A47" s="1"/>
      <c r="B47" s="1"/>
      <c r="C47" s="1"/>
      <c r="D47" s="1"/>
      <c r="E47" s="1"/>
      <c r="F47" s="1"/>
      <c r="G47" s="1"/>
      <c r="H47" s="1"/>
      <c r="I47" s="1"/>
      <c r="J47" s="1"/>
      <c r="K47" s="1"/>
      <c r="L47" s="1"/>
      <c r="M47" s="1"/>
      <c r="N47" s="1"/>
      <c r="O47" s="1"/>
      <c r="P47" s="1"/>
    </row>
    <row r="48" spans="1:16" x14ac:dyDescent="0.25">
      <c r="A48" s="1"/>
      <c r="B48" s="1"/>
      <c r="C48" s="1"/>
      <c r="D48" s="1"/>
      <c r="E48" s="1"/>
      <c r="F48" s="1"/>
      <c r="G48" s="1"/>
      <c r="H48" s="1"/>
      <c r="I48" s="1"/>
      <c r="J48" s="1"/>
      <c r="K48" s="1"/>
      <c r="L48" s="1"/>
      <c r="M48" s="1"/>
      <c r="N48" s="1"/>
      <c r="O48" s="1"/>
      <c r="P48" s="1"/>
    </row>
    <row r="49" spans="1:16" x14ac:dyDescent="0.25">
      <c r="A49" s="1"/>
      <c r="B49" s="1"/>
      <c r="C49" s="1"/>
      <c r="D49" s="1"/>
      <c r="E49" s="1"/>
      <c r="F49" s="1"/>
      <c r="G49" s="1"/>
      <c r="H49" s="1"/>
      <c r="I49" s="1"/>
      <c r="J49" s="1"/>
      <c r="K49" s="1"/>
      <c r="L49" s="1"/>
      <c r="M49" s="1"/>
      <c r="N49" s="1"/>
      <c r="O49" s="1"/>
      <c r="P49" s="1"/>
    </row>
    <row r="50" spans="1:16" x14ac:dyDescent="0.25">
      <c r="A50" s="1"/>
      <c r="B50" s="1"/>
      <c r="C50" s="1"/>
      <c r="D50" s="1"/>
      <c r="E50" s="1"/>
      <c r="F50" s="1"/>
      <c r="G50" s="1"/>
      <c r="H50" s="1"/>
      <c r="I50" s="1"/>
      <c r="J50" s="1"/>
      <c r="K50" s="1"/>
      <c r="L50" s="1"/>
      <c r="M50" s="1"/>
      <c r="N50" s="1"/>
      <c r="O50" s="1"/>
      <c r="P50" s="1"/>
    </row>
    <row r="51" spans="1:16" x14ac:dyDescent="0.25">
      <c r="A51" s="1"/>
      <c r="B51" s="1"/>
      <c r="C51" s="1"/>
      <c r="D51" s="1"/>
      <c r="E51" s="1"/>
      <c r="F51" s="1"/>
      <c r="G51" s="1"/>
      <c r="H51" s="1"/>
      <c r="I51" s="1"/>
      <c r="J51" s="1"/>
      <c r="K51" s="1"/>
      <c r="L51" s="1"/>
      <c r="M51" s="1"/>
      <c r="N51" s="1"/>
      <c r="O51" s="1"/>
      <c r="P51" s="1"/>
    </row>
    <row r="52" spans="1:16" x14ac:dyDescent="0.25">
      <c r="A52" s="1"/>
      <c r="B52" s="1"/>
      <c r="C52" s="1"/>
      <c r="D52" s="1"/>
      <c r="E52" s="1"/>
      <c r="F52" s="1"/>
      <c r="G52" s="1"/>
      <c r="H52" s="1"/>
      <c r="I52" s="1"/>
      <c r="J52" s="1"/>
      <c r="K52" s="1"/>
      <c r="L52" s="1"/>
      <c r="M52" s="1"/>
      <c r="N52" s="1"/>
      <c r="O52" s="1"/>
      <c r="P52" s="1"/>
    </row>
    <row r="53" spans="1:16" x14ac:dyDescent="0.25">
      <c r="A53" s="1"/>
      <c r="B53" s="1"/>
      <c r="C53" s="1"/>
      <c r="D53" s="1"/>
      <c r="E53" s="1"/>
      <c r="F53" s="1"/>
      <c r="G53" s="1"/>
      <c r="H53" s="1"/>
      <c r="I53" s="1"/>
      <c r="J53" s="1"/>
      <c r="K53" s="1"/>
      <c r="L53" s="1"/>
      <c r="M53" s="1"/>
      <c r="N53" s="1"/>
      <c r="O53" s="1"/>
      <c r="P53" s="1"/>
    </row>
    <row r="54" spans="1:16" x14ac:dyDescent="0.25">
      <c r="A54" s="1"/>
      <c r="B54" s="1"/>
      <c r="C54" s="1"/>
      <c r="D54" s="1"/>
      <c r="E54" s="1"/>
      <c r="F54" s="1"/>
      <c r="G54" s="1"/>
      <c r="H54" s="1"/>
      <c r="I54" s="1"/>
      <c r="J54" s="1"/>
      <c r="K54" s="1"/>
      <c r="L54" s="1"/>
      <c r="M54" s="1"/>
      <c r="N54" s="1"/>
      <c r="O54" s="1"/>
      <c r="P54" s="1"/>
    </row>
    <row r="55" spans="1:16" x14ac:dyDescent="0.25">
      <c r="A55" s="1"/>
      <c r="B55" s="1"/>
      <c r="C55" s="1"/>
      <c r="D55" s="1"/>
      <c r="E55" s="1"/>
      <c r="F55" s="1"/>
      <c r="G55" s="1"/>
      <c r="H55" s="1"/>
      <c r="I55" s="1"/>
      <c r="J55" s="1"/>
      <c r="K55" s="1"/>
      <c r="L55" s="1"/>
      <c r="M55" s="1"/>
      <c r="N55" s="1"/>
      <c r="O55" s="1"/>
      <c r="P55" s="1"/>
    </row>
    <row r="56" spans="1:16" x14ac:dyDescent="0.25">
      <c r="A56" s="1"/>
      <c r="B56" s="1"/>
      <c r="C56" s="1"/>
      <c r="D56" s="1"/>
      <c r="E56" s="1"/>
      <c r="F56" s="1"/>
      <c r="G56" s="1"/>
      <c r="H56" s="1"/>
      <c r="I56" s="1"/>
      <c r="J56" s="1"/>
      <c r="K56" s="1"/>
      <c r="L56" s="1"/>
      <c r="M56" s="1"/>
      <c r="N56" s="1"/>
      <c r="O56" s="1"/>
      <c r="P56" s="1"/>
    </row>
    <row r="57" spans="1:16" x14ac:dyDescent="0.25">
      <c r="A57" s="1"/>
      <c r="B57" s="1"/>
      <c r="C57" s="1"/>
      <c r="D57" s="1"/>
      <c r="E57" s="1"/>
      <c r="F57" s="1"/>
      <c r="G57" s="1"/>
      <c r="H57" s="1"/>
      <c r="I57" s="1"/>
      <c r="J57" s="1"/>
      <c r="K57" s="1"/>
      <c r="L57" s="1"/>
      <c r="M57" s="1"/>
      <c r="N57" s="1"/>
      <c r="O57" s="1"/>
      <c r="P57" s="1"/>
    </row>
    <row r="58" spans="1:16" x14ac:dyDescent="0.25">
      <c r="A58" s="1"/>
      <c r="B58" s="1"/>
      <c r="C58" s="1"/>
      <c r="D58" s="1"/>
      <c r="E58" s="1"/>
      <c r="F58" s="1"/>
      <c r="G58" s="1"/>
      <c r="H58" s="1"/>
      <c r="I58" s="1"/>
      <c r="J58" s="1"/>
      <c r="K58" s="1"/>
      <c r="L58" s="1"/>
      <c r="M58" s="1"/>
      <c r="N58" s="1"/>
      <c r="O58" s="1"/>
      <c r="P58" s="1"/>
    </row>
    <row r="59" spans="1:16" x14ac:dyDescent="0.25">
      <c r="A59" s="1"/>
      <c r="B59" s="1"/>
      <c r="C59" s="1"/>
      <c r="D59" s="1"/>
      <c r="E59" s="1"/>
      <c r="F59" s="1"/>
      <c r="G59" s="1"/>
      <c r="H59" s="1"/>
      <c r="I59" s="1"/>
      <c r="J59" s="1"/>
      <c r="K59" s="1"/>
      <c r="L59" s="1"/>
      <c r="M59" s="1"/>
      <c r="N59" s="1"/>
      <c r="O59" s="1"/>
      <c r="P59" s="1"/>
    </row>
    <row r="60" spans="1:16" x14ac:dyDescent="0.25">
      <c r="A60" s="1"/>
      <c r="B60" s="1"/>
      <c r="C60" s="1"/>
      <c r="D60" s="1"/>
      <c r="E60" s="1"/>
      <c r="F60" s="1"/>
      <c r="G60" s="1"/>
      <c r="H60" s="1"/>
      <c r="I60" s="1"/>
      <c r="J60" s="1"/>
      <c r="K60" s="1"/>
      <c r="L60" s="1"/>
      <c r="M60" s="1"/>
      <c r="N60" s="1"/>
      <c r="O60" s="1"/>
      <c r="P60" s="1"/>
    </row>
  </sheetData>
  <mergeCells count="12">
    <mergeCell ref="A42:P42"/>
    <mergeCell ref="A43:P45"/>
    <mergeCell ref="A1:P2"/>
    <mergeCell ref="A3:P3"/>
    <mergeCell ref="A5:D5"/>
    <mergeCell ref="A6:D7"/>
    <mergeCell ref="E5:H5"/>
    <mergeCell ref="E6:H7"/>
    <mergeCell ref="I5:L5"/>
    <mergeCell ref="I6:L7"/>
    <mergeCell ref="M5:P5"/>
    <mergeCell ref="M6:P7"/>
  </mergeCells>
  <conditionalFormatting sqref="D10:D39">
    <cfRule type="expression" dxfId="3" priority="1">
      <formula>D10="Mangel festgestellt"</formula>
    </cfRule>
    <cfRule type="expression" dxfId="2" priority="2">
      <formula>D10="Nacharbeit erforderlich"</formula>
    </cfRule>
    <cfRule type="expression" dxfId="1" priority="3">
      <formula>D10="Ohne Befund"</formula>
    </cfRule>
    <cfRule type="expression" dxfId="0" priority="4">
      <formula>D10="Außer Betrieb"</formula>
    </cfRule>
  </conditionalFormatting>
  <dataValidations count="2">
    <dataValidation type="list" sqref="D10:D39" xr:uid="{00000000-0002-0000-0100-000001000000}">
      <formula1>"Ohne Befund,Mangel festgestellt,Nacharbeit erforderlich,Außer Betrieb"</formula1>
    </dataValidation>
    <dataValidation type="list" sqref="F10:F39" xr:uid="{00000000-0002-0000-0100-000002000000}">
      <formula1>"Facility Management,Technischer Dienst,Hausservice,Brandschutzkoordination,Elektrofachkraft,Extern"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100-000000000000}">
          <x14:formula1>
            <xm:f>Wartungsplan!$A$15:$A$44</xm:f>
          </x14:formula1>
          <xm:sqref>B10:B39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Wartungsplan</vt:lpstr>
      <vt:lpstr>Wartungsjournal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Sergio Jiménez Canales</cp:lastModifiedBy>
  <dcterms:modified xsi:type="dcterms:W3CDTF">2026-07-20T15:54:57Z</dcterms:modified>
</cp:coreProperties>
</file>