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Zimmerbelegungsplan" sheetId="1" state="visible" r:id="rId3"/>
    <sheet name="Buchungen" sheetId="2" state="visible" r:id="rId4"/>
    <sheet name="Stammdaten" sheetId="3" state="visible" r:id="rId5"/>
  </sheets>
  <definedNames>
    <definedName function="false" hidden="true" localSheetId="1" name="_xlnm._FilterDatabase" vbProcedure="false">Buchungen!$A$6:$R$86</definedName>
    <definedName function="false" hidden="false" localSheetId="0" name="_xlnm.Print_Area" vbProcedure="false">Zimmerbelegungsplan!$A$1:$AJ$38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<sst xmlns="http://schemas.openxmlformats.org/spreadsheetml/2006/main" count="631" uniqueCount="281">
  <si>
    <t xml:space="preserve">ZIMMERBELEGUNGSPLAN</t>
  </si>
  <si>
    <t xml:space="preserve">Monatsübersicht der Zimmerbelegung  ·  Auslastung, Anreisen und Umsatz auf einen Blick</t>
  </si>
  <si>
    <t xml:space="preserve">Planungsjahr</t>
  </si>
  <si>
    <t xml:space="preserve">Planungsmonat</t>
  </si>
  <si>
    <t xml:space="preserve">Juli</t>
  </si>
  <si>
    <t xml:space="preserve">TAGE IM MONAT</t>
  </si>
  <si>
    <t xml:space="preserve">ZIMMER IM PLAN</t>
  </si>
  <si>
    <t xml:space="preserve">VERFÜGB. NÄCHTE</t>
  </si>
  <si>
    <t xml:space="preserve">BELEGTE NÄCHTE</t>
  </si>
  <si>
    <t xml:space="preserve">AUSLASTUNG</t>
  </si>
  <si>
    <t xml:space="preserve">UMSATZ GESAMT</t>
  </si>
  <si>
    <t xml:space="preserve">Ø PREIS / NACHT</t>
  </si>
  <si>
    <t xml:space="preserve">REVPAR / ZIMMER</t>
  </si>
  <si>
    <t xml:space="preserve">DOPPELBELEGUNGEN</t>
  </si>
  <si>
    <t xml:space="preserve">Monatsbeginn</t>
  </si>
  <si>
    <t xml:space="preserve">Objekt / Betrieb</t>
  </si>
  <si>
    <t xml:space="preserve">Gästehaus Musterhof, Musterstadt</t>
  </si>
  <si>
    <t xml:space="preserve">BELEGUNGSKALENDER</t>
  </si>
  <si>
    <t xml:space="preserve">MONATSAUSWERTUNG</t>
  </si>
  <si>
    <t xml:space="preserve">Zimmer</t>
  </si>
  <si>
    <t xml:space="preserve">Kategorie</t>
  </si>
  <si>
    <t xml:space="preserve">Nächte</t>
  </si>
  <si>
    <t xml:space="preserve">Auslastung</t>
  </si>
  <si>
    <t xml:space="preserve">Umsatz</t>
  </si>
  <si>
    <t xml:space="preserve">Belegte Zimmer</t>
  </si>
  <si>
    <t xml:space="preserve">Freie Zimmer</t>
  </si>
  <si>
    <t xml:space="preserve">Anreisen</t>
  </si>
  <si>
    <t xml:space="preserve">Abreisen</t>
  </si>
  <si>
    <t xml:space="preserve">LEGENDE  ·  SO ARBEITEN SIE MIT DEM PLAN</t>
  </si>
  <si>
    <t xml:space="preserve">B</t>
  </si>
  <si>
    <t xml:space="preserve">Belegt – bestätigte Buchung (zählt für Auslastung und Umsatz)</t>
  </si>
  <si>
    <t xml:space="preserve">1.  Im Blatt „Stammdaten“ Zimmer, Kategorien, Bettenzahl und Standardpreise pflegen.</t>
  </si>
  <si>
    <t xml:space="preserve">O</t>
  </si>
  <si>
    <t xml:space="preserve">Option – vorgemerkt, noch nicht bestätigt</t>
  </si>
  <si>
    <t xml:space="preserve">2.  Im Blatt „Buchungen“ jede Reservierung mit Zimmer, Anreise, Abreise, Personen und Status erfassen.</t>
  </si>
  <si>
    <t xml:space="preserve">W</t>
  </si>
  <si>
    <t xml:space="preserve">Wartung oder Sperrung – Zimmer nicht buchbar</t>
  </si>
  <si>
    <t xml:space="preserve">3.  Oben Jahr und Monat wählen – Kalender, Auslastung und Umsatz aktualisieren sich automatisch.</t>
  </si>
  <si>
    <t xml:space="preserve">!</t>
  </si>
  <si>
    <t xml:space="preserve">Doppelbelegung – zwei Buchungen überschneiden sich, bitte prüfen</t>
  </si>
  <si>
    <t xml:space="preserve">4.  Der Abreisetag zählt nicht als Belegungsnacht (branchenüblich): Anreise 10.07., Abreise 13.07. = 3 Nächte.</t>
  </si>
  <si>
    <t xml:space="preserve">Grau hinterlegt: Wochenende bzw. Tag außerhalb des Planungsmonats</t>
  </si>
  <si>
    <t xml:space="preserve">5.  Gelb hinterlegte Felder sind Eingabefelder, alle übrigen Werte berechnet die Datei selbst.</t>
  </si>
  <si>
    <t xml:space="preserve">Hinweis: Die Vorlage ist auf 12 Zimmer und 60 Buchungen ausgelegt. Weitere Zeilen lassen sich durch Kopieren der letzten Zeile samt Formeln ergänzen.</t>
  </si>
  <si>
    <t xml:space="preserve">BUCHUNGEN &amp; RESERVIERUNGEN</t>
  </si>
  <si>
    <t xml:space="preserve">Zentrale Erfassung – speist den Belegungskalender automatisch</t>
  </si>
  <si>
    <t xml:space="preserve">ERFASSTE BUCHUNGEN</t>
  </si>
  <si>
    <t xml:space="preserve">NÄCHTE (BESTÄTIGT)</t>
  </si>
  <si>
    <t xml:space="preserve">UMSATZ (BESTÄTIGT)</t>
  </si>
  <si>
    <t xml:space="preserve">OFFENE BETRÄGE</t>
  </si>
  <si>
    <t xml:space="preserve">Ø NÄCHTE JE BUCHUNG</t>
  </si>
  <si>
    <t xml:space="preserve">OFFENE PRÜFHINWEISE</t>
  </si>
  <si>
    <t xml:space="preserve">Buchungs-Nr.</t>
  </si>
  <si>
    <t xml:space="preserve">Gast / Belegung</t>
  </si>
  <si>
    <t xml:space="preserve">Anreise</t>
  </si>
  <si>
    <t xml:space="preserve">Abreise</t>
  </si>
  <si>
    <t xml:space="preserve">Personen</t>
  </si>
  <si>
    <t xml:space="preserve">Preis/Nacht</t>
  </si>
  <si>
    <t xml:space="preserve">Gesamt</t>
  </si>
  <si>
    <t xml:space="preserve">Status</t>
  </si>
  <si>
    <t xml:space="preserve">Code</t>
  </si>
  <si>
    <t xml:space="preserve">Buchungsquelle</t>
  </si>
  <si>
    <t xml:space="preserve">Anzahlung</t>
  </si>
  <si>
    <t xml:space="preserve">Offener Betrag</t>
  </si>
  <si>
    <t xml:space="preserve">Nächte im Monat</t>
  </si>
  <si>
    <t xml:space="preserve">Umsatz im Monat</t>
  </si>
  <si>
    <t xml:space="preserve">Prüfung</t>
  </si>
  <si>
    <t xml:space="preserve">Bemerkung</t>
  </si>
  <si>
    <t xml:space="preserve">B-2026-001</t>
  </si>
  <si>
    <t xml:space="preserve">Z-103</t>
  </si>
  <si>
    <t xml:space="preserve">Frau N. Kolb</t>
  </si>
  <si>
    <t xml:space="preserve">Bestätigt</t>
  </si>
  <si>
    <t xml:space="preserve">Stammgast</t>
  </si>
  <si>
    <t xml:space="preserve">Späte Anreise angekündigt</t>
  </si>
  <si>
    <t xml:space="preserve">B-2026-002</t>
  </si>
  <si>
    <t xml:space="preserve">Z-106</t>
  </si>
  <si>
    <t xml:space="preserve">Fam. Weiler</t>
  </si>
  <si>
    <t xml:space="preserve">Direktanfrage</t>
  </si>
  <si>
    <t xml:space="preserve">B-2026-003</t>
  </si>
  <si>
    <t xml:space="preserve">Z-104</t>
  </si>
  <si>
    <t xml:space="preserve">Herr S. Baumgartner</t>
  </si>
  <si>
    <t xml:space="preserve">E-Mail</t>
  </si>
  <si>
    <t xml:space="preserve">B-2026-004</t>
  </si>
  <si>
    <t xml:space="preserve">Z-105</t>
  </si>
  <si>
    <t xml:space="preserve">Herr B. Kraft</t>
  </si>
  <si>
    <t xml:space="preserve">Hochstuhl gewünscht</t>
  </si>
  <si>
    <t xml:space="preserve">B-2026-005</t>
  </si>
  <si>
    <t xml:space="preserve">Z-107</t>
  </si>
  <si>
    <t xml:space="preserve">Fam. Winter</t>
  </si>
  <si>
    <t xml:space="preserve">Firmenkunde</t>
  </si>
  <si>
    <t xml:space="preserve">B-2026-006</t>
  </si>
  <si>
    <t xml:space="preserve">Z-102</t>
  </si>
  <si>
    <t xml:space="preserve">Herr P. Lindner</t>
  </si>
  <si>
    <t xml:space="preserve">B-2026-007</t>
  </si>
  <si>
    <t xml:space="preserve">Z-109</t>
  </si>
  <si>
    <t xml:space="preserve">Fam. Wieland</t>
  </si>
  <si>
    <t xml:space="preserve">Haustier angemeldet</t>
  </si>
  <si>
    <t xml:space="preserve">B-2026-008</t>
  </si>
  <si>
    <t xml:space="preserve">Z-110</t>
  </si>
  <si>
    <t xml:space="preserve">Fam. Kaufmann</t>
  </si>
  <si>
    <t xml:space="preserve">Website</t>
  </si>
  <si>
    <t xml:space="preserve">B-2026-009</t>
  </si>
  <si>
    <t xml:space="preserve">Z-112</t>
  </si>
  <si>
    <t xml:space="preserve">Frau T. Neumann</t>
  </si>
  <si>
    <t xml:space="preserve">Rechnung an Firma</t>
  </si>
  <si>
    <t xml:space="preserve">B-2026-010</t>
  </si>
  <si>
    <t xml:space="preserve">Z-101</t>
  </si>
  <si>
    <t xml:space="preserve">Fam. Bergmann</t>
  </si>
  <si>
    <t xml:space="preserve">Frühstück inklusive</t>
  </si>
  <si>
    <t xml:space="preserve">B-2026-011</t>
  </si>
  <si>
    <t xml:space="preserve">Frau K. Ostermann</t>
  </si>
  <si>
    <t xml:space="preserve">B-2026-012</t>
  </si>
  <si>
    <t xml:space="preserve">Z-108</t>
  </si>
  <si>
    <t xml:space="preserve">Frau B. Fuchs</t>
  </si>
  <si>
    <t xml:space="preserve">Option</t>
  </si>
  <si>
    <t xml:space="preserve">Option – Rückmeldung ausstehend</t>
  </si>
  <si>
    <t xml:space="preserve">B-2026-013</t>
  </si>
  <si>
    <t xml:space="preserve">Z-111</t>
  </si>
  <si>
    <t xml:space="preserve">Herr M. Stein</t>
  </si>
  <si>
    <t xml:space="preserve">Parkplatz reserviert</t>
  </si>
  <si>
    <t xml:space="preserve">B-2026-014</t>
  </si>
  <si>
    <t xml:space="preserve">Herr L. Groß</t>
  </si>
  <si>
    <t xml:space="preserve">B-2026-015</t>
  </si>
  <si>
    <t xml:space="preserve">Frau H. Sommer</t>
  </si>
  <si>
    <t xml:space="preserve">Ruhiges Zimmer erbeten</t>
  </si>
  <si>
    <t xml:space="preserve">B-2026-016</t>
  </si>
  <si>
    <t xml:space="preserve">Fam. Ackermann</t>
  </si>
  <si>
    <t xml:space="preserve">Storniert</t>
  </si>
  <si>
    <t xml:space="preserve">Storniert – Zimmer wieder frei</t>
  </si>
  <si>
    <t xml:space="preserve">B-2026-017</t>
  </si>
  <si>
    <t xml:space="preserve">Fam. Reinhardt</t>
  </si>
  <si>
    <t xml:space="preserve">Telefon</t>
  </si>
  <si>
    <t xml:space="preserve">B-2026-018</t>
  </si>
  <si>
    <t xml:space="preserve">Herr E. Marx</t>
  </si>
  <si>
    <t xml:space="preserve">B-2026-019</t>
  </si>
  <si>
    <t xml:space="preserve">Buchungsportal</t>
  </si>
  <si>
    <t xml:space="preserve">B-2026-020</t>
  </si>
  <si>
    <t xml:space="preserve">Herr R. Sander</t>
  </si>
  <si>
    <t xml:space="preserve">B-2026-021</t>
  </si>
  <si>
    <t xml:space="preserve">Fam. Schuster</t>
  </si>
  <si>
    <t xml:space="preserve">B-2026-022</t>
  </si>
  <si>
    <t xml:space="preserve">Frau P. Amann</t>
  </si>
  <si>
    <t xml:space="preserve">B-2026-023</t>
  </si>
  <si>
    <t xml:space="preserve">Herr T. Krause</t>
  </si>
  <si>
    <t xml:space="preserve">B-2026-024</t>
  </si>
  <si>
    <t xml:space="preserve">Frau C. Wittmann</t>
  </si>
  <si>
    <t xml:space="preserve">B-2026-025</t>
  </si>
  <si>
    <t xml:space="preserve">Frau A. Röder</t>
  </si>
  <si>
    <t xml:space="preserve">B-2026-026</t>
  </si>
  <si>
    <t xml:space="preserve">B-2026-027</t>
  </si>
  <si>
    <t xml:space="preserve">Wartung Sanitär</t>
  </si>
  <si>
    <t xml:space="preserve">Wartung/Sperrung</t>
  </si>
  <si>
    <t xml:space="preserve">Zimmer nicht buchbar</t>
  </si>
  <si>
    <t xml:space="preserve">B-2026-028</t>
  </si>
  <si>
    <t xml:space="preserve">B-2026-029</t>
  </si>
  <si>
    <t xml:space="preserve">Frau S. Renner</t>
  </si>
  <si>
    <t xml:space="preserve">B-2026-030</t>
  </si>
  <si>
    <t xml:space="preserve">Fam. Kern</t>
  </si>
  <si>
    <t xml:space="preserve">B-2026-031</t>
  </si>
  <si>
    <t xml:space="preserve">B-2026-032</t>
  </si>
  <si>
    <t xml:space="preserve">Seminargruppe Nord</t>
  </si>
  <si>
    <t xml:space="preserve">B-2026-033</t>
  </si>
  <si>
    <t xml:space="preserve">B-2026-034</t>
  </si>
  <si>
    <t xml:space="preserve">Fam. Lehmann</t>
  </si>
  <si>
    <t xml:space="preserve">B-2026-035</t>
  </si>
  <si>
    <t xml:space="preserve">Fam. Peters</t>
  </si>
  <si>
    <t xml:space="preserve">B-2026-036</t>
  </si>
  <si>
    <t xml:space="preserve">Herr J. Faber</t>
  </si>
  <si>
    <t xml:space="preserve">B-2026-037</t>
  </si>
  <si>
    <t xml:space="preserve">Frau D. Kuhn</t>
  </si>
  <si>
    <t xml:space="preserve">B-2026-038</t>
  </si>
  <si>
    <t xml:space="preserve">B-2026-039</t>
  </si>
  <si>
    <t xml:space="preserve">Herr D. Maurer</t>
  </si>
  <si>
    <t xml:space="preserve">B-2026-040</t>
  </si>
  <si>
    <t xml:space="preserve">B-2026-041</t>
  </si>
  <si>
    <t xml:space="preserve">Fam. Hoffmann</t>
  </si>
  <si>
    <t xml:space="preserve">B-2026-042</t>
  </si>
  <si>
    <t xml:space="preserve">B-2026-043</t>
  </si>
  <si>
    <t xml:space="preserve">Herr F. Ziegler</t>
  </si>
  <si>
    <t xml:space="preserve">B-2026-044</t>
  </si>
  <si>
    <t xml:space="preserve">Wandergruppe Süd</t>
  </si>
  <si>
    <t xml:space="preserve">B-2026-045</t>
  </si>
  <si>
    <t xml:space="preserve">B-2026-046</t>
  </si>
  <si>
    <t xml:space="preserve">Frau L. Brandt</t>
  </si>
  <si>
    <t xml:space="preserve">B-2026-047</t>
  </si>
  <si>
    <t xml:space="preserve">Frau E. Hartwig</t>
  </si>
  <si>
    <t xml:space="preserve">B-2026-048</t>
  </si>
  <si>
    <t xml:space="preserve">Herr V. Rothe</t>
  </si>
  <si>
    <t xml:space="preserve">B-2026-049</t>
  </si>
  <si>
    <t xml:space="preserve">B-2026-050</t>
  </si>
  <si>
    <t xml:space="preserve">Frau G. Seidel</t>
  </si>
  <si>
    <t xml:space="preserve">B-2026-051</t>
  </si>
  <si>
    <t xml:space="preserve">Fam. Simon</t>
  </si>
  <si>
    <t xml:space="preserve">B-2026-052</t>
  </si>
  <si>
    <t xml:space="preserve">B-2026-053</t>
  </si>
  <si>
    <t xml:space="preserve">B-2026-054</t>
  </si>
  <si>
    <t xml:space="preserve">B-2026-055</t>
  </si>
  <si>
    <t xml:space="preserve">Fam. Vogel</t>
  </si>
  <si>
    <t xml:space="preserve">B-2026-056</t>
  </si>
  <si>
    <t xml:space="preserve">B-2026-057</t>
  </si>
  <si>
    <t xml:space="preserve">B-2026-058</t>
  </si>
  <si>
    <t xml:space="preserve">Herr A. Novak</t>
  </si>
  <si>
    <t xml:space="preserve">B-2026-059</t>
  </si>
  <si>
    <t xml:space="preserve">Fam. Bauer</t>
  </si>
  <si>
    <t xml:space="preserve">B-2026-060</t>
  </si>
  <si>
    <t xml:space="preserve">B-2026-061</t>
  </si>
  <si>
    <t xml:space="preserve">B-2026-062</t>
  </si>
  <si>
    <t xml:space="preserve">B-2026-063</t>
  </si>
  <si>
    <t xml:space="preserve">B-2026-064</t>
  </si>
  <si>
    <t xml:space="preserve">Fam. Dietrich</t>
  </si>
  <si>
    <t xml:space="preserve">B-2026-065</t>
  </si>
  <si>
    <t xml:space="preserve">Herr W. Adler</t>
  </si>
  <si>
    <t xml:space="preserve">B-2026-066</t>
  </si>
  <si>
    <t xml:space="preserve">B-2026-067</t>
  </si>
  <si>
    <t xml:space="preserve">B-2026-068</t>
  </si>
  <si>
    <t xml:space="preserve">B-2026-069</t>
  </si>
  <si>
    <t xml:space="preserve">Herr N. Hofmann</t>
  </si>
  <si>
    <t xml:space="preserve">B-2026-070</t>
  </si>
  <si>
    <t xml:space="preserve">Frau M. Delgado</t>
  </si>
  <si>
    <t xml:space="preserve">B-2026-071</t>
  </si>
  <si>
    <t xml:space="preserve">B-2026-072</t>
  </si>
  <si>
    <t xml:space="preserve">B-2026-073</t>
  </si>
  <si>
    <t xml:space="preserve">B-2026-074</t>
  </si>
  <si>
    <t xml:space="preserve">Herr O. Kessler</t>
  </si>
  <si>
    <t xml:space="preserve">B-2026-075</t>
  </si>
  <si>
    <t xml:space="preserve">B-2026-076</t>
  </si>
  <si>
    <t xml:space="preserve">B-2026-077</t>
  </si>
  <si>
    <t xml:space="preserve">B-2026-078</t>
  </si>
  <si>
    <t xml:space="preserve">B-2026-079</t>
  </si>
  <si>
    <t xml:space="preserve">B-2026-080</t>
  </si>
  <si>
    <t xml:space="preserve">Frau I. Beck</t>
  </si>
  <si>
    <t xml:space="preserve">Gelb hinterlegte Spalten sind Eingabefelder. Preis/Nacht wird aus den Stammdaten übernommen und kann bei Sonderpreisen überschrieben werden. „Nächte im Monat“ und „Umsatz im Monat“ beziehen sich immer auf den im Belegungsplan gewählten Monat.</t>
  </si>
  <si>
    <t xml:space="preserve">STAMMDATEN &amp; AUSWAHLLISTEN</t>
  </si>
  <si>
    <t xml:space="preserve">Zimmer, Kapazitäten und Standardpreise – Grundlage für Plan und Buchungen</t>
  </si>
  <si>
    <t xml:space="preserve">Zimmer-Nr.</t>
  </si>
  <si>
    <t xml:space="preserve">Kategorie / Bezeichnung</t>
  </si>
  <si>
    <t xml:space="preserve">Etage</t>
  </si>
  <si>
    <t xml:space="preserve">Betten (max. Pers.)</t>
  </si>
  <si>
    <t xml:space="preserve">Ausstattung</t>
  </si>
  <si>
    <t xml:space="preserve">Standardpreis/Nacht</t>
  </si>
  <si>
    <t xml:space="preserve">Aktiv</t>
  </si>
  <si>
    <t xml:space="preserve">Monat</t>
  </si>
  <si>
    <t xml:space="preserve">Einzelzimmer Standard</t>
  </si>
  <si>
    <t xml:space="preserve">EG</t>
  </si>
  <si>
    <t xml:space="preserve">Dusche/WC, WLAN</t>
  </si>
  <si>
    <t xml:space="preserve">Ja</t>
  </si>
  <si>
    <t xml:space="preserve">Januar</t>
  </si>
  <si>
    <t xml:space="preserve">Einzelzimmer Komfort</t>
  </si>
  <si>
    <t xml:space="preserve">Dusche/WC, WLAN, Schreibtisch</t>
  </si>
  <si>
    <t xml:space="preserve">Februar</t>
  </si>
  <si>
    <t xml:space="preserve">Doppelzimmer Standard</t>
  </si>
  <si>
    <t xml:space="preserve">März</t>
  </si>
  <si>
    <t xml:space="preserve">1. OG</t>
  </si>
  <si>
    <t xml:space="preserve">April</t>
  </si>
  <si>
    <t xml:space="preserve">Doppelzimmer Komfort</t>
  </si>
  <si>
    <t xml:space="preserve">Bad, Balkon, WLAN</t>
  </si>
  <si>
    <t xml:space="preserve">Mai</t>
  </si>
  <si>
    <t xml:space="preserve">Juni</t>
  </si>
  <si>
    <t xml:space="preserve">Dreibettzimmer</t>
  </si>
  <si>
    <t xml:space="preserve">Bad, WLAN, Zustellbett</t>
  </si>
  <si>
    <t xml:space="preserve">Familienzimmer</t>
  </si>
  <si>
    <t xml:space="preserve">2. OG</t>
  </si>
  <si>
    <t xml:space="preserve">Bad, 2 Räume, WLAN</t>
  </si>
  <si>
    <t xml:space="preserve">August</t>
  </si>
  <si>
    <t xml:space="preserve">September</t>
  </si>
  <si>
    <t xml:space="preserve">Apartment mit Küche</t>
  </si>
  <si>
    <t xml:space="preserve">Bad, Küchenzeile, Balkon</t>
  </si>
  <si>
    <t xml:space="preserve">Oktober</t>
  </si>
  <si>
    <t xml:space="preserve">Suite</t>
  </si>
  <si>
    <t xml:space="preserve">Bad, Wohnbereich, Terrasse</t>
  </si>
  <si>
    <t xml:space="preserve">November</t>
  </si>
  <si>
    <t xml:space="preserve">Barrierefreies Zimmer</t>
  </si>
  <si>
    <t xml:space="preserve">Bad bodengleich, WLAN</t>
  </si>
  <si>
    <t xml:space="preserve">Dezember</t>
  </si>
  <si>
    <t xml:space="preserve">Gesamtkapazität (Betten)</t>
  </si>
  <si>
    <t xml:space="preserve">Betten insgesamt</t>
  </si>
  <si>
    <t xml:space="preserve">HINWEISE ZUR PFLEGE</t>
  </si>
  <si>
    <t xml:space="preserve">•  Die Zimmerliste bestimmt die Zeilen des Belegungsplans. Bezeichnungen können frei angepasst werden – für Ferienwohnungen, Apartments, Seminarräume oder Pflegeplätze.</t>
  </si>
  <si>
    <t xml:space="preserve">•  Die Zimmer-Nummer ist der Schlüssel: Wird sie hier geändert, muss sie auch in bereits erfassten Buchungen angepasst werden.</t>
  </si>
  <si>
    <t xml:space="preserve">•  Der Standardpreis wird beim Erfassen einer Buchung automatisch übernommen und dient als Grundlage für Umsatz, Ø Preis/Nacht und RevPAR.</t>
  </si>
  <si>
    <t xml:space="preserve">•  Die Auswahllisten rechts speisen die Dropdowns im Blatt „Buchungen“. Neue Einträge bitte direkt unterhalb des letzten Eintrags ergänzen.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</si>
</sst>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dd\.mm\.yyyy"/>
    <numFmt numFmtId="166" formatCode="0"/>
    <numFmt numFmtId="167" formatCode="#,##0"/>
    <numFmt numFmtId="168" formatCode="0.0%"/>
    <numFmt numFmtId="169" formatCode="#,##0&quot; €&quot;"/>
    <numFmt numFmtId="170" formatCode="#,##0.00&quot; €&quot;"/>
    <numFmt numFmtId="171" formatCode="d"/>
    <numFmt numFmtId="172" formatCode="0%"/>
    <numFmt numFmtId="173" formatCode="0.0"/>
    <numFmt numFmtId="174" formatCode="General"/>
  </numFmts>
  <fonts count="3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b val="true"/>
      <sz val="12"/>
      <color rgb="FFEF8354"/>
      <name val="Calibri"/>
      <family val="0"/>
      <charset val="1"/>
    </font>
    <font>
      <sz val="10"/>
      <color rgb="FFC9CDE0"/>
      <name val="Calibri"/>
      <family val="0"/>
      <charset val="1"/>
    </font>
    <font>
      <b val="true"/>
      <sz val="9"/>
      <color rgb="FF3F4160"/>
      <name val="Calibri"/>
      <family val="0"/>
      <charset val="1"/>
    </font>
    <font>
      <b val="true"/>
      <sz val="10"/>
      <color rgb="FF0000B0"/>
      <name val="Calibri"/>
      <family val="0"/>
      <charset val="1"/>
    </font>
    <font>
      <b val="true"/>
      <sz val="7.5"/>
      <color rgb="FF8D99AE"/>
      <name val="Calibri"/>
      <family val="0"/>
      <charset val="1"/>
    </font>
    <font>
      <b val="true"/>
      <sz val="10"/>
      <color rgb="FF23253B"/>
      <name val="Calibri"/>
      <family val="0"/>
      <charset val="1"/>
    </font>
    <font>
      <b val="true"/>
      <sz val="13"/>
      <color rgb="FF23253B"/>
      <name val="Calibri"/>
      <family val="0"/>
      <charset val="1"/>
    </font>
    <font>
      <b val="true"/>
      <sz val="13"/>
      <color rgb="FFA62B22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sz val="7.5"/>
      <color rgb="FF8D99AE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9.5"/>
      <color rgb="FF23253B"/>
      <name val="Calibri"/>
      <family val="0"/>
      <charset val="1"/>
    </font>
    <font>
      <b val="true"/>
      <sz val="8.5"/>
      <color rgb="FF23253B"/>
      <name val="Calibri"/>
      <family val="0"/>
      <charset val="1"/>
    </font>
    <font>
      <b val="true"/>
      <sz val="9.5"/>
      <color rgb="FF23253B"/>
      <name val="Calibri"/>
      <family val="0"/>
      <charset val="1"/>
    </font>
    <font>
      <b val="true"/>
      <sz val="9"/>
      <color rgb="FF23253B"/>
      <name val="Calibri"/>
      <family val="0"/>
      <charset val="1"/>
    </font>
    <font>
      <b val="true"/>
      <sz val="8"/>
      <color rgb="FF23253B"/>
      <name val="Calibri"/>
      <family val="0"/>
      <charset val="1"/>
    </font>
    <font>
      <sz val="9"/>
      <color rgb="FF3F4160"/>
      <name val="Calibri"/>
      <family val="0"/>
      <charset val="1"/>
    </font>
    <font>
      <sz val="8"/>
      <color rgb="FF5A5F73"/>
      <name val="Calibri"/>
      <family val="0"/>
      <charset val="1"/>
    </font>
    <font>
      <sz val="9"/>
      <color rgb="FF23253B"/>
      <name val="Calibri"/>
      <family val="0"/>
      <charset val="1"/>
    </font>
    <font>
      <sz val="9"/>
      <color rgb="FF3A3E52"/>
      <name val="Calibri"/>
      <family val="0"/>
      <charset val="1"/>
    </font>
    <font>
      <i val="true"/>
      <sz val="8.5"/>
      <color rgb="FF8D99AE"/>
      <name val="Calibri"/>
      <family val="0"/>
      <charset val="1"/>
    </font>
    <font>
      <b val="true"/>
      <sz val="17"/>
      <color rgb="FFFFFFFF"/>
      <name val="Calibri"/>
      <family val="0"/>
      <charset val="1"/>
    </font>
    <font>
      <sz val="9.5"/>
      <color rgb="FFC9CDE0"/>
      <name val="Calibri"/>
      <family val="0"/>
      <charset val="1"/>
    </font>
    <font>
      <b val="true"/>
      <sz val="11"/>
      <color rgb="FF23253B"/>
      <name val="Calibri"/>
      <family val="0"/>
      <charset val="1"/>
    </font>
    <font>
      <b val="true"/>
      <sz val="9.5"/>
      <color rgb="FF3F4160"/>
      <name val="Calibri"/>
      <family val="0"/>
      <charset val="1"/>
    </font>
    <font>
      <sz val="9.5"/>
      <color rgb="FF00007A"/>
      <name val="Calibri"/>
      <family val="0"/>
      <charset val="1"/>
    </font>
    <font>
      <sz val="9"/>
      <color rgb="FF00007A"/>
      <name val="Calibri"/>
      <family val="0"/>
      <charset val="1"/>
    </font>
    <font>
      <b val="true"/>
      <sz val="9.5"/>
      <color rgb="FF00007A"/>
      <name val="Calibri"/>
      <family val="0"/>
      <charset val="1"/>
    </font>
    <font>
      <sz val="9"/>
      <color rgb="FF8D99AE"/>
      <name val="Calibri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EF8354"/>
        <bgColor rgb="FFFF9900"/>
      </patternFill>
    </fill>
    <fill>
      <patternFill patternType="solid">
        <fgColor rgb="FF23253B"/>
        <bgColor rgb="FF3A3E52"/>
      </patternFill>
    </fill>
    <fill>
      <patternFill patternType="solid">
        <fgColor rgb="FFEDF2F4"/>
        <bgColor rgb="FFEDEFF2"/>
      </patternFill>
    </fill>
    <fill>
      <patternFill patternType="solid">
        <fgColor rgb="FFFFF6E8"/>
        <bgColor rgb="FFFDF3DF"/>
      </patternFill>
    </fill>
    <fill>
      <patternFill patternType="solid">
        <fgColor rgb="FFF8F9FB"/>
        <bgColor rgb="FFFFFFFF"/>
      </patternFill>
    </fill>
    <fill>
      <patternFill patternType="solid">
        <fgColor rgb="FF3F4160"/>
        <bgColor rgb="FF3A3E52"/>
      </patternFill>
    </fill>
    <fill>
      <patternFill patternType="solid">
        <fgColor rgb="FFFFFFFF"/>
        <bgColor rgb="FFF8F9FB"/>
      </patternFill>
    </fill>
    <fill>
      <patternFill patternType="solid">
        <fgColor rgb="FFF3C169"/>
        <bgColor rgb="FFFFCC00"/>
      </patternFill>
    </fill>
    <fill>
      <patternFill patternType="solid">
        <fgColor rgb="FFD7DCE3"/>
        <bgColor rgb="FFDFE5EC"/>
      </patternFill>
    </fill>
    <fill>
      <patternFill patternType="solid">
        <fgColor rgb="FFA62B22"/>
        <bgColor rgb="FF993366"/>
      </patternFill>
    </fill>
    <fill>
      <patternFill patternType="solid">
        <fgColor rgb="FFE3E8EE"/>
        <bgColor rgb="FFDFE5E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C4CBD4"/>
      </left>
      <right style="thin">
        <color rgb="FFC4CBD4"/>
      </right>
      <top style="thin">
        <color rgb="FFC4CBD4"/>
      </top>
      <bottom style="thin">
        <color rgb="FFC4CBD4"/>
      </bottom>
      <diagonal/>
    </border>
    <border diagonalUp="false" diagonalDown="false">
      <left style="thin">
        <color rgb="FFC4CBD4"/>
      </left>
      <right style="thin">
        <color rgb="FFC4CBD4"/>
      </right>
      <top style="medium">
        <color rgb="FFEF8354"/>
      </top>
      <bottom/>
      <diagonal/>
    </border>
    <border diagonalUp="false" diagonalDown="false">
      <left style="thin">
        <color rgb="FFC4CBD4"/>
      </left>
      <right style="thin">
        <color rgb="FFC4CBD4"/>
      </right>
      <top/>
      <bottom style="thin">
        <color rgb="FFC4CBD4"/>
      </bottom>
      <diagonal/>
    </border>
    <border diagonalUp="false" diagonalDown="false">
      <left/>
      <right/>
      <top/>
      <bottom style="thin">
        <color rgb="FFC4CBD4"/>
      </bottom>
      <diagonal/>
    </border>
    <border diagonalUp="false" diagonalDown="false">
      <left style="hair">
        <color rgb="FF8D99AE"/>
      </left>
      <right/>
      <top/>
      <bottom style="thin">
        <color rgb="FFC4CBD4"/>
      </bottom>
      <diagonal/>
    </border>
    <border diagonalUp="false" diagonalDown="false">
      <left/>
      <right/>
      <top/>
      <bottom style="hair">
        <color rgb="FFD7DCE3"/>
      </bottom>
      <diagonal/>
    </border>
    <border diagonalUp="false" diagonalDown="false">
      <left/>
      <right style="thin">
        <color rgb="FFC4CBD4"/>
      </right>
      <top/>
      <bottom style="hair">
        <color rgb="FFD7DCE3"/>
      </bottom>
      <diagonal/>
    </border>
    <border diagonalUp="false" diagonalDown="false">
      <left style="hair">
        <color rgb="FFD7DCE3"/>
      </left>
      <right/>
      <top/>
      <bottom style="hair">
        <color rgb="FFD7DCE3"/>
      </bottom>
      <diagonal/>
    </border>
    <border diagonalUp="false" diagonalDown="false">
      <left style="thin">
        <color rgb="FFC4CBD4"/>
      </left>
      <right/>
      <top/>
      <bottom style="hair">
        <color rgb="FFD7DCE3"/>
      </bottom>
      <diagonal/>
    </border>
    <border diagonalUp="false" diagonalDown="false">
      <left style="hair">
        <color rgb="FF8D99AE"/>
      </left>
      <right/>
      <top/>
      <bottom style="medium">
        <color rgb="FFEF8354"/>
      </bottom>
      <diagonal/>
    </border>
    <border diagonalUp="false" diagonalDown="false">
      <left/>
      <right/>
      <top/>
      <bottom style="medium">
        <color rgb="FFEF835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7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1" fontId="1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8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8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9" fillId="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6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6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9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4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1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0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4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3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3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0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7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8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9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7" fontId="29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9" fontId="29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73" fontId="29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5" fillId="7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5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31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17" fillId="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7" fillId="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5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0" fillId="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1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5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4" fontId="17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7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7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0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0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5">
    <dxf>
      <font>
        <name val="Calibri"/>
        <charset val="1"/>
        <family val="0"/>
        <b val="1"/>
        <color rgb="FFFFFFFF"/>
        <sz val="8"/>
      </font>
      <fill>
        <patternFill>
          <bgColor rgb="FFA62B22"/>
        </patternFill>
      </fill>
    </dxf>
    <dxf>
      <font>
        <name val="Calibri"/>
        <charset val="1"/>
        <family val="0"/>
        <b val="1"/>
        <color rgb="FFFFFFFF"/>
        <sz val="8"/>
      </font>
      <fill>
        <patternFill>
          <bgColor rgb="FFEF8354"/>
        </patternFill>
      </fill>
    </dxf>
    <dxf>
      <font>
        <name val="Calibri"/>
        <charset val="1"/>
        <family val="0"/>
        <b val="1"/>
        <color rgb="FF23253B"/>
        <sz val="8"/>
      </font>
      <fill>
        <patternFill>
          <bgColor rgb="FFF3C169"/>
        </patternFill>
      </fill>
    </dxf>
    <dxf>
      <font>
        <name val="Calibri"/>
        <charset val="1"/>
        <family val="0"/>
        <b val="1"/>
        <color rgb="FF5A5F73"/>
        <sz val="8"/>
      </font>
      <fill>
        <patternFill>
          <bgColor rgb="FFD7DCE3"/>
        </patternFill>
      </fill>
    </dxf>
    <dxf>
      <fill>
        <patternFill>
          <bgColor rgb="FFE9ECEF"/>
        </patternFill>
      </fill>
    </dxf>
    <dxf>
      <fill>
        <patternFill>
          <bgColor rgb="FFE3E8EE"/>
        </patternFill>
      </fill>
    </dxf>
    <dxf>
      <fill>
        <patternFill>
          <bgColor rgb="FFDFE5EC"/>
        </patternFill>
      </fill>
    </dxf>
    <dxf>
      <fill>
        <patternFill>
          <bgColor rgb="FF8D99AE"/>
        </patternFill>
      </fill>
    </dxf>
    <dxf>
      <font>
        <name val="Calibri"/>
        <charset val="1"/>
        <family val="0"/>
        <b val="1"/>
        <color rgb="FFC9552A"/>
        <sz val="8"/>
      </font>
    </dxf>
    <dxf>
      <fill>
        <patternFill patternType="solid">
          <fgColor rgb="FF3F4160"/>
          <bgColor rgb="FF000000"/>
        </patternFill>
      </fill>
    </dxf>
    <dxf>
      <fill>
        <patternFill patternType="solid">
          <fgColor rgb="FFEDEFF2"/>
          <bgColor rgb="FF000000"/>
        </patternFill>
      </fill>
    </dxf>
    <dxf>
      <fill>
        <patternFill patternType="solid">
          <fgColor rgb="FFFDF3DF"/>
          <bgColor rgb="FF000000"/>
        </patternFill>
      </fill>
    </dxf>
    <dxf>
      <fill>
        <patternFill patternType="solid">
          <fgColor rgb="FFFFF6E8"/>
          <bgColor rgb="FF000000"/>
        </patternFill>
      </fill>
    </dxf>
    <dxf>
      <fill>
        <patternFill patternType="solid">
          <fgColor rgb="FF8D99AE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7A"/>
          <bgColor rgb="FF000000"/>
        </patternFill>
      </fill>
    </dxf>
    <dxf>
      <fill>
        <patternFill patternType="solid">
          <fgColor rgb="FFF8F9FB"/>
          <bgColor rgb="FF000000"/>
        </patternFill>
      </fill>
    </dxf>
    <dxf>
      <fill>
        <patternFill patternType="solid">
          <fgColor rgb="FF23253B"/>
          <bgColor rgb="FF000000"/>
        </patternFill>
      </fill>
    </dxf>
    <dxf>
      <fill>
        <patternFill patternType="solid">
          <fgColor rgb="FF1E7A45"/>
          <bgColor rgb="FF000000"/>
        </patternFill>
      </fill>
    </dxf>
    <dxf>
      <font>
        <name val="Calibri"/>
        <charset val="1"/>
        <family val="0"/>
        <b val="1"/>
        <color rgb="FFA62B22"/>
        <sz val="11"/>
      </font>
      <fill>
        <patternFill>
          <bgColor rgb="FFF7D5CF"/>
        </patternFill>
      </fill>
    </dxf>
    <dxf>
      <font>
        <name val="Calibri"/>
        <charset val="1"/>
        <family val="0"/>
        <b val="1"/>
        <color rgb="FF1E7A45"/>
        <sz val="9"/>
      </font>
    </dxf>
    <dxf>
      <font>
        <name val="Calibri"/>
        <charset val="1"/>
        <family val="0"/>
        <b val="1"/>
        <color rgb="FFA62B22"/>
        <sz val="9"/>
      </font>
      <fill>
        <patternFill>
          <bgColor rgb="FFF7D5CF"/>
        </patternFill>
      </fill>
    </dxf>
    <dxf>
      <font>
        <name val="Calibri"/>
        <charset val="1"/>
        <family val="0"/>
        <strike val="1"/>
        <color rgb="FF8D99AE"/>
        <sz val="9"/>
      </font>
    </dxf>
    <dxf>
      <fill>
        <patternFill>
          <bgColor rgb="FFEDEFF2"/>
        </patternFill>
      </fill>
    </dxf>
    <dxf>
      <fill>
        <patternFill>
          <bgColor rgb="FFFDF3D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8F9FB"/>
      <rgbColor rgb="FFFF00FF"/>
      <rgbColor rgb="FF00FFFF"/>
      <rgbColor rgb="FF800000"/>
      <rgbColor rgb="FF008000"/>
      <rgbColor rgb="FF00007A"/>
      <rgbColor rgb="FF808000"/>
      <rgbColor rgb="FF800080"/>
      <rgbColor rgb="FF1E7A45"/>
      <rgbColor rgb="FFC4CBD4"/>
      <rgbColor rgb="FF808080"/>
      <rgbColor rgb="FFEDEFF2"/>
      <rgbColor rgb="FF993366"/>
      <rgbColor rgb="FFFDF3DF"/>
      <rgbColor rgb="FFEDF2F4"/>
      <rgbColor rgb="FF660066"/>
      <rgbColor rgb="FFEF8354"/>
      <rgbColor rgb="FF0066CC"/>
      <rgbColor rgb="FFC9CDE0"/>
      <rgbColor rgb="FF0000B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9ECEF"/>
      <rgbColor rgb="FFE3E8EE"/>
      <rgbColor rgb="FFFFF6E8"/>
      <rgbColor rgb="FFD7DCE3"/>
      <rgbColor rgb="FFF7D5CF"/>
      <rgbColor rgb="FFDFE5EC"/>
      <rgbColor rgb="FFF3C169"/>
      <rgbColor rgb="FF3366FF"/>
      <rgbColor rgb="FF33CCCC"/>
      <rgbColor rgb="FF99CC00"/>
      <rgbColor rgb="FFFFCC00"/>
      <rgbColor rgb="FFFF9900"/>
      <rgbColor rgb="FFC9552A"/>
      <rgbColor rgb="FF5A5F73"/>
      <rgbColor rgb="FF8D99AE"/>
      <rgbColor rgb="FF003366"/>
      <rgbColor rgb="FF339966"/>
      <rgbColor rgb="FF003300"/>
      <rgbColor rgb="FF23253B"/>
      <rgbColor rgb="FFA62B22"/>
      <rgbColor rgb="FF993366"/>
      <rgbColor rgb="FF3F4160"/>
      <rgbColor rgb="FF3A3E5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3253B"/>
    <pageSetUpPr fitToPage="true"/>
  </sheetPr>
  <dimension ref="A1:AJ38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2" ySplit="11" topLeftCell="C12" activePane="bottomRight" state="frozen"/>
      <selection pane="topLeft" activeCell="A1" activeCellId="0" sqref="A1"/>
      <selection pane="topRight" activeCell="C1" activeCellId="0" sqref="C1"/>
      <selection pane="bottomLeft" activeCell="A12" activeCellId="0" sqref="A1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26"/>
    <col collapsed="false" customWidth="true" hidden="false" outlineLevel="0" max="33" min="3" style="0" width="3.9"/>
    <col collapsed="false" customWidth="true" hidden="false" outlineLevel="0" max="34" min="34" style="0" width="9.51"/>
    <col collapsed="false" customWidth="true" hidden="false" outlineLevel="0" max="35" min="35" style="0" width="11"/>
    <col collapsed="false" customWidth="true" hidden="false" outlineLevel="0" max="36" min="36" style="0" width="14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customFormat="false" ht="30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  <c r="V2" s="3"/>
      <c r="W2" s="3"/>
      <c r="X2" s="3"/>
      <c r="Y2" s="3"/>
      <c r="Z2" s="3"/>
      <c r="AA2" s="4" t="str">
        <f aca="false">UPPER($B$6)&amp;" "&amp;$B$5</f>
        <v>JULI 2026</v>
      </c>
      <c r="AB2" s="4"/>
      <c r="AC2" s="4"/>
      <c r="AD2" s="4"/>
      <c r="AE2" s="4"/>
      <c r="AF2" s="4"/>
      <c r="AG2" s="4"/>
      <c r="AH2" s="4"/>
      <c r="AI2" s="4"/>
      <c r="AJ2" s="4"/>
    </row>
    <row r="3" customFormat="false" ht="16.5" hidden="false" customHeight="tru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customFormat="false" ht="7.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customFormat="false" ht="16.5" hidden="false" customHeight="true" outlineLevel="0" collapsed="false">
      <c r="A5" s="6" t="s">
        <v>2</v>
      </c>
      <c r="B5" s="7" t="n">
        <v>2026</v>
      </c>
    </row>
    <row r="6" customFormat="false" ht="16.5" hidden="false" customHeight="true" outlineLevel="0" collapsed="false">
      <c r="A6" s="6" t="s">
        <v>3</v>
      </c>
      <c r="B6" s="7" t="s">
        <v>4</v>
      </c>
      <c r="C6" s="8" t="s">
        <v>5</v>
      </c>
      <c r="D6" s="8"/>
      <c r="E6" s="8"/>
      <c r="F6" s="8"/>
      <c r="G6" s="8" t="s">
        <v>6</v>
      </c>
      <c r="H6" s="8"/>
      <c r="I6" s="8"/>
      <c r="J6" s="8"/>
      <c r="K6" s="8" t="s">
        <v>7</v>
      </c>
      <c r="L6" s="8"/>
      <c r="M6" s="8"/>
      <c r="N6" s="8"/>
      <c r="O6" s="8" t="s">
        <v>8</v>
      </c>
      <c r="P6" s="8"/>
      <c r="Q6" s="8"/>
      <c r="R6" s="8"/>
      <c r="S6" s="8" t="s">
        <v>9</v>
      </c>
      <c r="T6" s="8"/>
      <c r="U6" s="8"/>
      <c r="V6" s="8"/>
      <c r="W6" s="8" t="s">
        <v>10</v>
      </c>
      <c r="X6" s="8"/>
      <c r="Y6" s="8"/>
      <c r="Z6" s="8"/>
      <c r="AA6" s="8" t="s">
        <v>11</v>
      </c>
      <c r="AB6" s="8"/>
      <c r="AC6" s="8"/>
      <c r="AD6" s="8"/>
      <c r="AE6" s="8" t="s">
        <v>12</v>
      </c>
      <c r="AF6" s="8"/>
      <c r="AG6" s="8"/>
      <c r="AH6" s="8"/>
      <c r="AI6" s="8" t="s">
        <v>13</v>
      </c>
      <c r="AJ6" s="8"/>
    </row>
    <row r="7" customFormat="false" ht="21.75" hidden="false" customHeight="true" outlineLevel="0" collapsed="false">
      <c r="A7" s="6" t="s">
        <v>14</v>
      </c>
      <c r="B7" s="9" t="n">
        <f aca="false">DATE($B$5,MATCH($B$6,Stammdaten!$N$7:$N$18,0),1)</f>
        <v>46204</v>
      </c>
      <c r="C7" s="10" t="n">
        <f aca="false">DAY(DATE($B$5,MONTH($B$7)+1,0))</f>
        <v>31</v>
      </c>
      <c r="D7" s="10"/>
      <c r="E7" s="10"/>
      <c r="F7" s="10"/>
      <c r="G7" s="10" t="n">
        <f aca="false">COUNTA($A$12:$A$23)</f>
        <v>12</v>
      </c>
      <c r="H7" s="10"/>
      <c r="I7" s="10"/>
      <c r="J7" s="10"/>
      <c r="K7" s="11" t="n">
        <f aca="false">$C$7*$G$7</f>
        <v>372</v>
      </c>
      <c r="L7" s="11"/>
      <c r="M7" s="11"/>
      <c r="N7" s="11"/>
      <c r="O7" s="11" t="n">
        <f aca="false">SUM($AH$12:$AH$23)</f>
        <v>251</v>
      </c>
      <c r="P7" s="11"/>
      <c r="Q7" s="11"/>
      <c r="R7" s="11"/>
      <c r="S7" s="12" t="n">
        <f aca="false">IFERROR($O$7/$K$7,0)</f>
        <v>0.674731182795699</v>
      </c>
      <c r="T7" s="12"/>
      <c r="U7" s="12"/>
      <c r="V7" s="12"/>
      <c r="W7" s="13" t="n">
        <f aca="false">SUM($AJ$12:$AJ$23)</f>
        <v>35397</v>
      </c>
      <c r="X7" s="13"/>
      <c r="Y7" s="13"/>
      <c r="Z7" s="13"/>
      <c r="AA7" s="14" t="n">
        <f aca="false">IFERROR($W$7/$O$7,0)</f>
        <v>141.02390438247</v>
      </c>
      <c r="AB7" s="14"/>
      <c r="AC7" s="14"/>
      <c r="AD7" s="14"/>
      <c r="AE7" s="14" t="n">
        <f aca="false">IFERROR($W$7/$K$7,0)</f>
        <v>95.1532258064516</v>
      </c>
      <c r="AF7" s="14"/>
      <c r="AG7" s="14"/>
      <c r="AH7" s="14"/>
      <c r="AI7" s="15" t="n">
        <f aca="false">COUNTIF($C$12:$AG$23,"!")</f>
        <v>0</v>
      </c>
      <c r="AJ7" s="15"/>
    </row>
    <row r="8" customFormat="false" ht="16.5" hidden="false" customHeight="true" outlineLevel="0" collapsed="false">
      <c r="A8" s="6" t="s">
        <v>15</v>
      </c>
      <c r="B8" s="7" t="s">
        <v>16</v>
      </c>
      <c r="C8" s="7"/>
      <c r="D8" s="7"/>
      <c r="E8" s="7"/>
      <c r="F8" s="7"/>
      <c r="G8" s="7"/>
      <c r="H8" s="7"/>
      <c r="I8" s="7"/>
      <c r="J8" s="7"/>
    </row>
    <row r="9" customFormat="false" ht="7.5" hidden="false" customHeight="true" outlineLevel="0" collapsed="false"/>
    <row r="10" customFormat="false" ht="13.5" hidden="false" customHeight="true" outlineLevel="0" collapsed="false">
      <c r="A10" s="16" t="s">
        <v>17</v>
      </c>
      <c r="B10" s="16"/>
      <c r="C10" s="17" t="str">
        <f aca="false">IF(C$11="","",CHOOSE(WEEKDAY(C$11,2),"Mo","Di","Mi","Do","Fr","Sa","So"))</f>
        <v>Mi</v>
      </c>
      <c r="D10" s="17" t="str">
        <f aca="false">IF(D$11="","",CHOOSE(WEEKDAY(D$11,2),"Mo","Di","Mi","Do","Fr","Sa","So"))</f>
        <v>Do</v>
      </c>
      <c r="E10" s="17" t="str">
        <f aca="false">IF(E$11="","",CHOOSE(WEEKDAY(E$11,2),"Mo","Di","Mi","Do","Fr","Sa","So"))</f>
        <v>Fr</v>
      </c>
      <c r="F10" s="17" t="str">
        <f aca="false">IF(F$11="","",CHOOSE(WEEKDAY(F$11,2),"Mo","Di","Mi","Do","Fr","Sa","So"))</f>
        <v>Sa</v>
      </c>
      <c r="G10" s="17" t="str">
        <f aca="false">IF(G$11="","",CHOOSE(WEEKDAY(G$11,2),"Mo","Di","Mi","Do","Fr","Sa","So"))</f>
        <v>So</v>
      </c>
      <c r="H10" s="17" t="str">
        <f aca="false">IF(H$11="","",CHOOSE(WEEKDAY(H$11,2),"Mo","Di","Mi","Do","Fr","Sa","So"))</f>
        <v>Mo</v>
      </c>
      <c r="I10" s="17" t="str">
        <f aca="false">IF(I$11="","",CHOOSE(WEEKDAY(I$11,2),"Mo","Di","Mi","Do","Fr","Sa","So"))</f>
        <v>Di</v>
      </c>
      <c r="J10" s="17" t="str">
        <f aca="false">IF(J$11="","",CHOOSE(WEEKDAY(J$11,2),"Mo","Di","Mi","Do","Fr","Sa","So"))</f>
        <v>Mi</v>
      </c>
      <c r="K10" s="17" t="str">
        <f aca="false">IF(K$11="","",CHOOSE(WEEKDAY(K$11,2),"Mo","Di","Mi","Do","Fr","Sa","So"))</f>
        <v>Do</v>
      </c>
      <c r="L10" s="17" t="str">
        <f aca="false">IF(L$11="","",CHOOSE(WEEKDAY(L$11,2),"Mo","Di","Mi","Do","Fr","Sa","So"))</f>
        <v>Fr</v>
      </c>
      <c r="M10" s="17" t="str">
        <f aca="false">IF(M$11="","",CHOOSE(WEEKDAY(M$11,2),"Mo","Di","Mi","Do","Fr","Sa","So"))</f>
        <v>Sa</v>
      </c>
      <c r="N10" s="17" t="str">
        <f aca="false">IF(N$11="","",CHOOSE(WEEKDAY(N$11,2),"Mo","Di","Mi","Do","Fr","Sa","So"))</f>
        <v>So</v>
      </c>
      <c r="O10" s="17" t="str">
        <f aca="false">IF(O$11="","",CHOOSE(WEEKDAY(O$11,2),"Mo","Di","Mi","Do","Fr","Sa","So"))</f>
        <v>Mo</v>
      </c>
      <c r="P10" s="17" t="str">
        <f aca="false">IF(P$11="","",CHOOSE(WEEKDAY(P$11,2),"Mo","Di","Mi","Do","Fr","Sa","So"))</f>
        <v>Di</v>
      </c>
      <c r="Q10" s="17" t="str">
        <f aca="false">IF(Q$11="","",CHOOSE(WEEKDAY(Q$11,2),"Mo","Di","Mi","Do","Fr","Sa","So"))</f>
        <v>Mi</v>
      </c>
      <c r="R10" s="17" t="str">
        <f aca="false">IF(R$11="","",CHOOSE(WEEKDAY(R$11,2),"Mo","Di","Mi","Do","Fr","Sa","So"))</f>
        <v>Do</v>
      </c>
      <c r="S10" s="17" t="str">
        <f aca="false">IF(S$11="","",CHOOSE(WEEKDAY(S$11,2),"Mo","Di","Mi","Do","Fr","Sa","So"))</f>
        <v>Fr</v>
      </c>
      <c r="T10" s="17" t="str">
        <f aca="false">IF(T$11="","",CHOOSE(WEEKDAY(T$11,2),"Mo","Di","Mi","Do","Fr","Sa","So"))</f>
        <v>Sa</v>
      </c>
      <c r="U10" s="17" t="str">
        <f aca="false">IF(U$11="","",CHOOSE(WEEKDAY(U$11,2),"Mo","Di","Mi","Do","Fr","Sa","So"))</f>
        <v>So</v>
      </c>
      <c r="V10" s="17" t="str">
        <f aca="false">IF(V$11="","",CHOOSE(WEEKDAY(V$11,2),"Mo","Di","Mi","Do","Fr","Sa","So"))</f>
        <v>Mo</v>
      </c>
      <c r="W10" s="17" t="str">
        <f aca="false">IF(W$11="","",CHOOSE(WEEKDAY(W$11,2),"Mo","Di","Mi","Do","Fr","Sa","So"))</f>
        <v>Di</v>
      </c>
      <c r="X10" s="17" t="str">
        <f aca="false">IF(X$11="","",CHOOSE(WEEKDAY(X$11,2),"Mo","Di","Mi","Do","Fr","Sa","So"))</f>
        <v>Mi</v>
      </c>
      <c r="Y10" s="17" t="str">
        <f aca="false">IF(Y$11="","",CHOOSE(WEEKDAY(Y$11,2),"Mo","Di","Mi","Do","Fr","Sa","So"))</f>
        <v>Do</v>
      </c>
      <c r="Z10" s="17" t="str">
        <f aca="false">IF(Z$11="","",CHOOSE(WEEKDAY(Z$11,2),"Mo","Di","Mi","Do","Fr","Sa","So"))</f>
        <v>Fr</v>
      </c>
      <c r="AA10" s="17" t="str">
        <f aca="false">IF(AA$11="","",CHOOSE(WEEKDAY(AA$11,2),"Mo","Di","Mi","Do","Fr","Sa","So"))</f>
        <v>Sa</v>
      </c>
      <c r="AB10" s="17" t="str">
        <f aca="false">IF(AB$11="","",CHOOSE(WEEKDAY(AB$11,2),"Mo","Di","Mi","Do","Fr","Sa","So"))</f>
        <v>So</v>
      </c>
      <c r="AC10" s="17" t="str">
        <f aca="false">IF(AC$11="","",CHOOSE(WEEKDAY(AC$11,2),"Mo","Di","Mi","Do","Fr","Sa","So"))</f>
        <v>Mo</v>
      </c>
      <c r="AD10" s="17" t="str">
        <f aca="false">IF(AD$11="","",CHOOSE(WEEKDAY(AD$11,2),"Mo","Di","Mi","Do","Fr","Sa","So"))</f>
        <v>Di</v>
      </c>
      <c r="AE10" s="17" t="str">
        <f aca="false">IF(AE$11="","",CHOOSE(WEEKDAY(AE$11,2),"Mo","Di","Mi","Do","Fr","Sa","So"))</f>
        <v>Mi</v>
      </c>
      <c r="AF10" s="17" t="str">
        <f aca="false">IF(AF$11="","",CHOOSE(WEEKDAY(AF$11,2),"Mo","Di","Mi","Do","Fr","Sa","So"))</f>
        <v>Do</v>
      </c>
      <c r="AG10" s="17" t="str">
        <f aca="false">IF(AG$11="","",CHOOSE(WEEKDAY(AG$11,2),"Mo","Di","Mi","Do","Fr","Sa","So"))</f>
        <v>Fr</v>
      </c>
      <c r="AH10" s="18" t="s">
        <v>18</v>
      </c>
      <c r="AI10" s="18"/>
      <c r="AJ10" s="18"/>
    </row>
    <row r="11" customFormat="false" ht="18.75" hidden="false" customHeight="true" outlineLevel="0" collapsed="false">
      <c r="A11" s="19" t="s">
        <v>19</v>
      </c>
      <c r="B11" s="19" t="s">
        <v>20</v>
      </c>
      <c r="C11" s="20" t="n">
        <f aca="false">IF(1&lt;=$C$7,$B$7+0,"")</f>
        <v>46204</v>
      </c>
      <c r="D11" s="20" t="n">
        <f aca="false">IF(2&lt;=$C$7,$B$7+1,"")</f>
        <v>46205</v>
      </c>
      <c r="E11" s="20" t="n">
        <f aca="false">IF(3&lt;=$C$7,$B$7+2,"")</f>
        <v>46206</v>
      </c>
      <c r="F11" s="20" t="n">
        <f aca="false">IF(4&lt;=$C$7,$B$7+3,"")</f>
        <v>46207</v>
      </c>
      <c r="G11" s="20" t="n">
        <f aca="false">IF(5&lt;=$C$7,$B$7+4,"")</f>
        <v>46208</v>
      </c>
      <c r="H11" s="20" t="n">
        <f aca="false">IF(6&lt;=$C$7,$B$7+5,"")</f>
        <v>46209</v>
      </c>
      <c r="I11" s="20" t="n">
        <f aca="false">IF(7&lt;=$C$7,$B$7+6,"")</f>
        <v>46210</v>
      </c>
      <c r="J11" s="20" t="n">
        <f aca="false">IF(8&lt;=$C$7,$B$7+7,"")</f>
        <v>46211</v>
      </c>
      <c r="K11" s="20" t="n">
        <f aca="false">IF(9&lt;=$C$7,$B$7+8,"")</f>
        <v>46212</v>
      </c>
      <c r="L11" s="20" t="n">
        <f aca="false">IF(10&lt;=$C$7,$B$7+9,"")</f>
        <v>46213</v>
      </c>
      <c r="M11" s="20" t="n">
        <f aca="false">IF(11&lt;=$C$7,$B$7+10,"")</f>
        <v>46214</v>
      </c>
      <c r="N11" s="20" t="n">
        <f aca="false">IF(12&lt;=$C$7,$B$7+11,"")</f>
        <v>46215</v>
      </c>
      <c r="O11" s="20" t="n">
        <f aca="false">IF(13&lt;=$C$7,$B$7+12,"")</f>
        <v>46216</v>
      </c>
      <c r="P11" s="20" t="n">
        <f aca="false">IF(14&lt;=$C$7,$B$7+13,"")</f>
        <v>46217</v>
      </c>
      <c r="Q11" s="20" t="n">
        <f aca="false">IF(15&lt;=$C$7,$B$7+14,"")</f>
        <v>46218</v>
      </c>
      <c r="R11" s="20" t="n">
        <f aca="false">IF(16&lt;=$C$7,$B$7+15,"")</f>
        <v>46219</v>
      </c>
      <c r="S11" s="20" t="n">
        <f aca="false">IF(17&lt;=$C$7,$B$7+16,"")</f>
        <v>46220</v>
      </c>
      <c r="T11" s="20" t="n">
        <f aca="false">IF(18&lt;=$C$7,$B$7+17,"")</f>
        <v>46221</v>
      </c>
      <c r="U11" s="20" t="n">
        <f aca="false">IF(19&lt;=$C$7,$B$7+18,"")</f>
        <v>46222</v>
      </c>
      <c r="V11" s="20" t="n">
        <f aca="false">IF(20&lt;=$C$7,$B$7+19,"")</f>
        <v>46223</v>
      </c>
      <c r="W11" s="20" t="n">
        <f aca="false">IF(21&lt;=$C$7,$B$7+20,"")</f>
        <v>46224</v>
      </c>
      <c r="X11" s="20" t="n">
        <f aca="false">IF(22&lt;=$C$7,$B$7+21,"")</f>
        <v>46225</v>
      </c>
      <c r="Y11" s="20" t="n">
        <f aca="false">IF(23&lt;=$C$7,$B$7+22,"")</f>
        <v>46226</v>
      </c>
      <c r="Z11" s="20" t="n">
        <f aca="false">IF(24&lt;=$C$7,$B$7+23,"")</f>
        <v>46227</v>
      </c>
      <c r="AA11" s="20" t="n">
        <f aca="false">IF(25&lt;=$C$7,$B$7+24,"")</f>
        <v>46228</v>
      </c>
      <c r="AB11" s="20" t="n">
        <f aca="false">IF(26&lt;=$C$7,$B$7+25,"")</f>
        <v>46229</v>
      </c>
      <c r="AC11" s="20" t="n">
        <f aca="false">IF(27&lt;=$C$7,$B$7+26,"")</f>
        <v>46230</v>
      </c>
      <c r="AD11" s="20" t="n">
        <f aca="false">IF(28&lt;=$C$7,$B$7+27,"")</f>
        <v>46231</v>
      </c>
      <c r="AE11" s="20" t="n">
        <f aca="false">IF(29&lt;=$C$7,$B$7+28,"")</f>
        <v>46232</v>
      </c>
      <c r="AF11" s="20" t="n">
        <f aca="false">IF(30&lt;=$C$7,$B$7+29,"")</f>
        <v>46233</v>
      </c>
      <c r="AG11" s="20" t="n">
        <f aca="false">IF(31&lt;=$C$7,$B$7+30,"")</f>
        <v>46234</v>
      </c>
      <c r="AH11" s="21" t="s">
        <v>21</v>
      </c>
      <c r="AI11" s="21" t="s">
        <v>22</v>
      </c>
      <c r="AJ11" s="21" t="s">
        <v>23</v>
      </c>
    </row>
    <row r="12" customFormat="false" ht="16.5" hidden="false" customHeight="true" outlineLevel="0" collapsed="false">
      <c r="A12" s="22" t="str">
        <f aca="false">IF(OR(Stammdaten!$A7="",Stammdaten!$G7="Nein"),"",Stammdaten!$A7)</f>
        <v>Z-101</v>
      </c>
      <c r="B12" s="23" t="str">
        <f aca="false">IF($A12="","",Stammdaten!$B7)</f>
        <v>Einzelzimmer Standard</v>
      </c>
      <c r="C12" s="24" t="str">
        <f aca="false">IF(C$11="","",IF(SUMPRODUCT((Buchungen!$B$7:$B$86=$A12)*(Buchungen!$D$7:$D$86&lt;=C$11)*(Buchungen!$E$7:$E$86&gt;C$11)*(Buchungen!$J$7:$J$86&lt;&gt;"Storniert"))=0,"",IF(SUMPRODUCT((Buchungen!$B$7:$B$86=$A12)*(Buchungen!$D$7:$D$86&lt;=C$11)*(Buchungen!$E$7:$E$86&gt;C$11)*(Buchungen!$J$7:$J$86&lt;&gt;"Storniert"))&gt;1,"!",INDEX(Buchungen!$K$7:$K$86,SUMPRODUCT(MAX(((Buchungen!$B$7:$B$86=$A12)*(Buchungen!$D$7:$D$86&lt;=C$11)*(Buchungen!$E$7:$E$86&gt;C$11)*(Buchungen!$J$7:$J$86&lt;&gt;"Storniert"))*ROW(Buchungen!$B$7:$B$86)))-6))))</f>
        <v>B</v>
      </c>
      <c r="D12" s="24" t="str">
        <f aca="false">IF(D$11="","",IF(SUMPRODUCT((Buchungen!$B$7:$B$86=$A12)*(Buchungen!$D$7:$D$86&lt;=D$11)*(Buchungen!$E$7:$E$86&gt;D$11)*(Buchungen!$J$7:$J$86&lt;&gt;"Storniert"))=0,"",IF(SUMPRODUCT((Buchungen!$B$7:$B$86=$A12)*(Buchungen!$D$7:$D$86&lt;=D$11)*(Buchungen!$E$7:$E$86&gt;D$11)*(Buchungen!$J$7:$J$86&lt;&gt;"Storniert"))&gt;1,"!",INDEX(Buchungen!$K$7:$K$86,SUMPRODUCT(MAX(((Buchungen!$B$7:$B$86=$A12)*(Buchungen!$D$7:$D$86&lt;=D$11)*(Buchungen!$E$7:$E$86&gt;D$11)*(Buchungen!$J$7:$J$86&lt;&gt;"Storniert"))*ROW(Buchungen!$B$7:$B$86)))-6))))</f>
        <v>B</v>
      </c>
      <c r="E12" s="24" t="str">
        <f aca="false">IF(E$11="","",IF(SUMPRODUCT((Buchungen!$B$7:$B$86=$A12)*(Buchungen!$D$7:$D$86&lt;=E$11)*(Buchungen!$E$7:$E$86&gt;E$11)*(Buchungen!$J$7:$J$86&lt;&gt;"Storniert"))=0,"",IF(SUMPRODUCT((Buchungen!$B$7:$B$86=$A12)*(Buchungen!$D$7:$D$86&lt;=E$11)*(Buchungen!$E$7:$E$86&gt;E$11)*(Buchungen!$J$7:$J$86&lt;&gt;"Storniert"))&gt;1,"!",INDEX(Buchungen!$K$7:$K$86,SUMPRODUCT(MAX(((Buchungen!$B$7:$B$86=$A12)*(Buchungen!$D$7:$D$86&lt;=E$11)*(Buchungen!$E$7:$E$86&gt;E$11)*(Buchungen!$J$7:$J$86&lt;&gt;"Storniert"))*ROW(Buchungen!$B$7:$B$86)))-6))))</f>
        <v>B</v>
      </c>
      <c r="F12" s="24" t="str">
        <f aca="false">IF(F$11="","",IF(SUMPRODUCT((Buchungen!$B$7:$B$86=$A12)*(Buchungen!$D$7:$D$86&lt;=F$11)*(Buchungen!$E$7:$E$86&gt;F$11)*(Buchungen!$J$7:$J$86&lt;&gt;"Storniert"))=0,"",IF(SUMPRODUCT((Buchungen!$B$7:$B$86=$A12)*(Buchungen!$D$7:$D$86&lt;=F$11)*(Buchungen!$E$7:$E$86&gt;F$11)*(Buchungen!$J$7:$J$86&lt;&gt;"Storniert"))&gt;1,"!",INDEX(Buchungen!$K$7:$K$86,SUMPRODUCT(MAX(((Buchungen!$B$7:$B$86=$A12)*(Buchungen!$D$7:$D$86&lt;=F$11)*(Buchungen!$E$7:$E$86&gt;F$11)*(Buchungen!$J$7:$J$86&lt;&gt;"Storniert"))*ROW(Buchungen!$B$7:$B$86)))-6))))</f>
        <v/>
      </c>
      <c r="G12" s="24" t="str">
        <f aca="false">IF(G$11="","",IF(SUMPRODUCT((Buchungen!$B$7:$B$86=$A12)*(Buchungen!$D$7:$D$86&lt;=G$11)*(Buchungen!$E$7:$E$86&gt;G$11)*(Buchungen!$J$7:$J$86&lt;&gt;"Storniert"))=0,"",IF(SUMPRODUCT((Buchungen!$B$7:$B$86=$A12)*(Buchungen!$D$7:$D$86&lt;=G$11)*(Buchungen!$E$7:$E$86&gt;G$11)*(Buchungen!$J$7:$J$86&lt;&gt;"Storniert"))&gt;1,"!",INDEX(Buchungen!$K$7:$K$86,SUMPRODUCT(MAX(((Buchungen!$B$7:$B$86=$A12)*(Buchungen!$D$7:$D$86&lt;=G$11)*(Buchungen!$E$7:$E$86&gt;G$11)*(Buchungen!$J$7:$J$86&lt;&gt;"Storniert"))*ROW(Buchungen!$B$7:$B$86)))-6))))</f>
        <v/>
      </c>
      <c r="H12" s="24" t="str">
        <f aca="false">IF(H$11="","",IF(SUMPRODUCT((Buchungen!$B$7:$B$86=$A12)*(Buchungen!$D$7:$D$86&lt;=H$11)*(Buchungen!$E$7:$E$86&gt;H$11)*(Buchungen!$J$7:$J$86&lt;&gt;"Storniert"))=0,"",IF(SUMPRODUCT((Buchungen!$B$7:$B$86=$A12)*(Buchungen!$D$7:$D$86&lt;=H$11)*(Buchungen!$E$7:$E$86&gt;H$11)*(Buchungen!$J$7:$J$86&lt;&gt;"Storniert"))&gt;1,"!",INDEX(Buchungen!$K$7:$K$86,SUMPRODUCT(MAX(((Buchungen!$B$7:$B$86=$A12)*(Buchungen!$D$7:$D$86&lt;=H$11)*(Buchungen!$E$7:$E$86&gt;H$11)*(Buchungen!$J$7:$J$86&lt;&gt;"Storniert"))*ROW(Buchungen!$B$7:$B$86)))-6))))</f>
        <v>B</v>
      </c>
      <c r="I12" s="24" t="str">
        <f aca="false">IF(I$11="","",IF(SUMPRODUCT((Buchungen!$B$7:$B$86=$A12)*(Buchungen!$D$7:$D$86&lt;=I$11)*(Buchungen!$E$7:$E$86&gt;I$11)*(Buchungen!$J$7:$J$86&lt;&gt;"Storniert"))=0,"",IF(SUMPRODUCT((Buchungen!$B$7:$B$86=$A12)*(Buchungen!$D$7:$D$86&lt;=I$11)*(Buchungen!$E$7:$E$86&gt;I$11)*(Buchungen!$J$7:$J$86&lt;&gt;"Storniert"))&gt;1,"!",INDEX(Buchungen!$K$7:$K$86,SUMPRODUCT(MAX(((Buchungen!$B$7:$B$86=$A12)*(Buchungen!$D$7:$D$86&lt;=I$11)*(Buchungen!$E$7:$E$86&gt;I$11)*(Buchungen!$J$7:$J$86&lt;&gt;"Storniert"))*ROW(Buchungen!$B$7:$B$86)))-6))))</f>
        <v>B</v>
      </c>
      <c r="J12" s="24" t="str">
        <f aca="false">IF(J$11="","",IF(SUMPRODUCT((Buchungen!$B$7:$B$86=$A12)*(Buchungen!$D$7:$D$86&lt;=J$11)*(Buchungen!$E$7:$E$86&gt;J$11)*(Buchungen!$J$7:$J$86&lt;&gt;"Storniert"))=0,"",IF(SUMPRODUCT((Buchungen!$B$7:$B$86=$A12)*(Buchungen!$D$7:$D$86&lt;=J$11)*(Buchungen!$E$7:$E$86&gt;J$11)*(Buchungen!$J$7:$J$86&lt;&gt;"Storniert"))&gt;1,"!",INDEX(Buchungen!$K$7:$K$86,SUMPRODUCT(MAX(((Buchungen!$B$7:$B$86=$A12)*(Buchungen!$D$7:$D$86&lt;=J$11)*(Buchungen!$E$7:$E$86&gt;J$11)*(Buchungen!$J$7:$J$86&lt;&gt;"Storniert"))*ROW(Buchungen!$B$7:$B$86)))-6))))</f>
        <v/>
      </c>
      <c r="K12" s="24" t="str">
        <f aca="false">IF(K$11="","",IF(SUMPRODUCT((Buchungen!$B$7:$B$86=$A12)*(Buchungen!$D$7:$D$86&lt;=K$11)*(Buchungen!$E$7:$E$86&gt;K$11)*(Buchungen!$J$7:$J$86&lt;&gt;"Storniert"))=0,"",IF(SUMPRODUCT((Buchungen!$B$7:$B$86=$A12)*(Buchungen!$D$7:$D$86&lt;=K$11)*(Buchungen!$E$7:$E$86&gt;K$11)*(Buchungen!$J$7:$J$86&lt;&gt;"Storniert"))&gt;1,"!",INDEX(Buchungen!$K$7:$K$86,SUMPRODUCT(MAX(((Buchungen!$B$7:$B$86=$A12)*(Buchungen!$D$7:$D$86&lt;=K$11)*(Buchungen!$E$7:$E$86&gt;K$11)*(Buchungen!$J$7:$J$86&lt;&gt;"Storniert"))*ROW(Buchungen!$B$7:$B$86)))-6))))</f>
        <v/>
      </c>
      <c r="L12" s="24" t="str">
        <f aca="false">IF(L$11="","",IF(SUMPRODUCT((Buchungen!$B$7:$B$86=$A12)*(Buchungen!$D$7:$D$86&lt;=L$11)*(Buchungen!$E$7:$E$86&gt;L$11)*(Buchungen!$J$7:$J$86&lt;&gt;"Storniert"))=0,"",IF(SUMPRODUCT((Buchungen!$B$7:$B$86=$A12)*(Buchungen!$D$7:$D$86&lt;=L$11)*(Buchungen!$E$7:$E$86&gt;L$11)*(Buchungen!$J$7:$J$86&lt;&gt;"Storniert"))&gt;1,"!",INDEX(Buchungen!$K$7:$K$86,SUMPRODUCT(MAX(((Buchungen!$B$7:$B$86=$A12)*(Buchungen!$D$7:$D$86&lt;=L$11)*(Buchungen!$E$7:$E$86&gt;L$11)*(Buchungen!$J$7:$J$86&lt;&gt;"Storniert"))*ROW(Buchungen!$B$7:$B$86)))-6))))</f>
        <v>O</v>
      </c>
      <c r="M12" s="24" t="str">
        <f aca="false">IF(M$11="","",IF(SUMPRODUCT((Buchungen!$B$7:$B$86=$A12)*(Buchungen!$D$7:$D$86&lt;=M$11)*(Buchungen!$E$7:$E$86&gt;M$11)*(Buchungen!$J$7:$J$86&lt;&gt;"Storniert"))=0,"",IF(SUMPRODUCT((Buchungen!$B$7:$B$86=$A12)*(Buchungen!$D$7:$D$86&lt;=M$11)*(Buchungen!$E$7:$E$86&gt;M$11)*(Buchungen!$J$7:$J$86&lt;&gt;"Storniert"))&gt;1,"!",INDEX(Buchungen!$K$7:$K$86,SUMPRODUCT(MAX(((Buchungen!$B$7:$B$86=$A12)*(Buchungen!$D$7:$D$86&lt;=M$11)*(Buchungen!$E$7:$E$86&gt;M$11)*(Buchungen!$J$7:$J$86&lt;&gt;"Storniert"))*ROW(Buchungen!$B$7:$B$86)))-6))))</f>
        <v>O</v>
      </c>
      <c r="N12" s="24" t="str">
        <f aca="false">IF(N$11="","",IF(SUMPRODUCT((Buchungen!$B$7:$B$86=$A12)*(Buchungen!$D$7:$D$86&lt;=N$11)*(Buchungen!$E$7:$E$86&gt;N$11)*(Buchungen!$J$7:$J$86&lt;&gt;"Storniert"))=0,"",IF(SUMPRODUCT((Buchungen!$B$7:$B$86=$A12)*(Buchungen!$D$7:$D$86&lt;=N$11)*(Buchungen!$E$7:$E$86&gt;N$11)*(Buchungen!$J$7:$J$86&lt;&gt;"Storniert"))&gt;1,"!",INDEX(Buchungen!$K$7:$K$86,SUMPRODUCT(MAX(((Buchungen!$B$7:$B$86=$A12)*(Buchungen!$D$7:$D$86&lt;=N$11)*(Buchungen!$E$7:$E$86&gt;N$11)*(Buchungen!$J$7:$J$86&lt;&gt;"Storniert"))*ROW(Buchungen!$B$7:$B$86)))-6))))</f>
        <v/>
      </c>
      <c r="O12" s="24" t="str">
        <f aca="false">IF(O$11="","",IF(SUMPRODUCT((Buchungen!$B$7:$B$86=$A12)*(Buchungen!$D$7:$D$86&lt;=O$11)*(Buchungen!$E$7:$E$86&gt;O$11)*(Buchungen!$J$7:$J$86&lt;&gt;"Storniert"))=0,"",IF(SUMPRODUCT((Buchungen!$B$7:$B$86=$A12)*(Buchungen!$D$7:$D$86&lt;=O$11)*(Buchungen!$E$7:$E$86&gt;O$11)*(Buchungen!$J$7:$J$86&lt;&gt;"Storniert"))&gt;1,"!",INDEX(Buchungen!$K$7:$K$86,SUMPRODUCT(MAX(((Buchungen!$B$7:$B$86=$A12)*(Buchungen!$D$7:$D$86&lt;=O$11)*(Buchungen!$E$7:$E$86&gt;O$11)*(Buchungen!$J$7:$J$86&lt;&gt;"Storniert"))*ROW(Buchungen!$B$7:$B$86)))-6))))</f>
        <v/>
      </c>
      <c r="P12" s="24" t="str">
        <f aca="false">IF(P$11="","",IF(SUMPRODUCT((Buchungen!$B$7:$B$86=$A12)*(Buchungen!$D$7:$D$86&lt;=P$11)*(Buchungen!$E$7:$E$86&gt;P$11)*(Buchungen!$J$7:$J$86&lt;&gt;"Storniert"))=0,"",IF(SUMPRODUCT((Buchungen!$B$7:$B$86=$A12)*(Buchungen!$D$7:$D$86&lt;=P$11)*(Buchungen!$E$7:$E$86&gt;P$11)*(Buchungen!$J$7:$J$86&lt;&gt;"Storniert"))&gt;1,"!",INDEX(Buchungen!$K$7:$K$86,SUMPRODUCT(MAX(((Buchungen!$B$7:$B$86=$A12)*(Buchungen!$D$7:$D$86&lt;=P$11)*(Buchungen!$E$7:$E$86&gt;P$11)*(Buchungen!$J$7:$J$86&lt;&gt;"Storniert"))*ROW(Buchungen!$B$7:$B$86)))-6))))</f>
        <v/>
      </c>
      <c r="Q12" s="24" t="str">
        <f aca="false">IF(Q$11="","",IF(SUMPRODUCT((Buchungen!$B$7:$B$86=$A12)*(Buchungen!$D$7:$D$86&lt;=Q$11)*(Buchungen!$E$7:$E$86&gt;Q$11)*(Buchungen!$J$7:$J$86&lt;&gt;"Storniert"))=0,"",IF(SUMPRODUCT((Buchungen!$B$7:$B$86=$A12)*(Buchungen!$D$7:$D$86&lt;=Q$11)*(Buchungen!$E$7:$E$86&gt;Q$11)*(Buchungen!$J$7:$J$86&lt;&gt;"Storniert"))&gt;1,"!",INDEX(Buchungen!$K$7:$K$86,SUMPRODUCT(MAX(((Buchungen!$B$7:$B$86=$A12)*(Buchungen!$D$7:$D$86&lt;=Q$11)*(Buchungen!$E$7:$E$86&gt;Q$11)*(Buchungen!$J$7:$J$86&lt;&gt;"Storniert"))*ROW(Buchungen!$B$7:$B$86)))-6))))</f>
        <v>B</v>
      </c>
      <c r="R12" s="24" t="str">
        <f aca="false">IF(R$11="","",IF(SUMPRODUCT((Buchungen!$B$7:$B$86=$A12)*(Buchungen!$D$7:$D$86&lt;=R$11)*(Buchungen!$E$7:$E$86&gt;R$11)*(Buchungen!$J$7:$J$86&lt;&gt;"Storniert"))=0,"",IF(SUMPRODUCT((Buchungen!$B$7:$B$86=$A12)*(Buchungen!$D$7:$D$86&lt;=R$11)*(Buchungen!$E$7:$E$86&gt;R$11)*(Buchungen!$J$7:$J$86&lt;&gt;"Storniert"))&gt;1,"!",INDEX(Buchungen!$K$7:$K$86,SUMPRODUCT(MAX(((Buchungen!$B$7:$B$86=$A12)*(Buchungen!$D$7:$D$86&lt;=R$11)*(Buchungen!$E$7:$E$86&gt;R$11)*(Buchungen!$J$7:$J$86&lt;&gt;"Storniert"))*ROW(Buchungen!$B$7:$B$86)))-6))))</f>
        <v>B</v>
      </c>
      <c r="S12" s="24" t="str">
        <f aca="false">IF(S$11="","",IF(SUMPRODUCT((Buchungen!$B$7:$B$86=$A12)*(Buchungen!$D$7:$D$86&lt;=S$11)*(Buchungen!$E$7:$E$86&gt;S$11)*(Buchungen!$J$7:$J$86&lt;&gt;"Storniert"))=0,"",IF(SUMPRODUCT((Buchungen!$B$7:$B$86=$A12)*(Buchungen!$D$7:$D$86&lt;=S$11)*(Buchungen!$E$7:$E$86&gt;S$11)*(Buchungen!$J$7:$J$86&lt;&gt;"Storniert"))&gt;1,"!",INDEX(Buchungen!$K$7:$K$86,SUMPRODUCT(MAX(((Buchungen!$B$7:$B$86=$A12)*(Buchungen!$D$7:$D$86&lt;=S$11)*(Buchungen!$E$7:$E$86&gt;S$11)*(Buchungen!$J$7:$J$86&lt;&gt;"Storniert"))*ROW(Buchungen!$B$7:$B$86)))-6))))</f>
        <v>B</v>
      </c>
      <c r="T12" s="24" t="str">
        <f aca="false">IF(T$11="","",IF(SUMPRODUCT((Buchungen!$B$7:$B$86=$A12)*(Buchungen!$D$7:$D$86&lt;=T$11)*(Buchungen!$E$7:$E$86&gt;T$11)*(Buchungen!$J$7:$J$86&lt;&gt;"Storniert"))=0,"",IF(SUMPRODUCT((Buchungen!$B$7:$B$86=$A12)*(Buchungen!$D$7:$D$86&lt;=T$11)*(Buchungen!$E$7:$E$86&gt;T$11)*(Buchungen!$J$7:$J$86&lt;&gt;"Storniert"))&gt;1,"!",INDEX(Buchungen!$K$7:$K$86,SUMPRODUCT(MAX(((Buchungen!$B$7:$B$86=$A12)*(Buchungen!$D$7:$D$86&lt;=T$11)*(Buchungen!$E$7:$E$86&gt;T$11)*(Buchungen!$J$7:$J$86&lt;&gt;"Storniert"))*ROW(Buchungen!$B$7:$B$86)))-6))))</f>
        <v>B</v>
      </c>
      <c r="U12" s="24" t="str">
        <f aca="false">IF(U$11="","",IF(SUMPRODUCT((Buchungen!$B$7:$B$86=$A12)*(Buchungen!$D$7:$D$86&lt;=U$11)*(Buchungen!$E$7:$E$86&gt;U$11)*(Buchungen!$J$7:$J$86&lt;&gt;"Storniert"))=0,"",IF(SUMPRODUCT((Buchungen!$B$7:$B$86=$A12)*(Buchungen!$D$7:$D$86&lt;=U$11)*(Buchungen!$E$7:$E$86&gt;U$11)*(Buchungen!$J$7:$J$86&lt;&gt;"Storniert"))&gt;1,"!",INDEX(Buchungen!$K$7:$K$86,SUMPRODUCT(MAX(((Buchungen!$B$7:$B$86=$A12)*(Buchungen!$D$7:$D$86&lt;=U$11)*(Buchungen!$E$7:$E$86&gt;U$11)*(Buchungen!$J$7:$J$86&lt;&gt;"Storniert"))*ROW(Buchungen!$B$7:$B$86)))-6))))</f>
        <v/>
      </c>
      <c r="V12" s="24" t="str">
        <f aca="false">IF(V$11="","",IF(SUMPRODUCT((Buchungen!$B$7:$B$86=$A12)*(Buchungen!$D$7:$D$86&lt;=V$11)*(Buchungen!$E$7:$E$86&gt;V$11)*(Buchungen!$J$7:$J$86&lt;&gt;"Storniert"))=0,"",IF(SUMPRODUCT((Buchungen!$B$7:$B$86=$A12)*(Buchungen!$D$7:$D$86&lt;=V$11)*(Buchungen!$E$7:$E$86&gt;V$11)*(Buchungen!$J$7:$J$86&lt;&gt;"Storniert"))&gt;1,"!",INDEX(Buchungen!$K$7:$K$86,SUMPRODUCT(MAX(((Buchungen!$B$7:$B$86=$A12)*(Buchungen!$D$7:$D$86&lt;=V$11)*(Buchungen!$E$7:$E$86&gt;V$11)*(Buchungen!$J$7:$J$86&lt;&gt;"Storniert"))*ROW(Buchungen!$B$7:$B$86)))-6))))</f>
        <v/>
      </c>
      <c r="W12" s="24" t="str">
        <f aca="false">IF(W$11="","",IF(SUMPRODUCT((Buchungen!$B$7:$B$86=$A12)*(Buchungen!$D$7:$D$86&lt;=W$11)*(Buchungen!$E$7:$E$86&gt;W$11)*(Buchungen!$J$7:$J$86&lt;&gt;"Storniert"))=0,"",IF(SUMPRODUCT((Buchungen!$B$7:$B$86=$A12)*(Buchungen!$D$7:$D$86&lt;=W$11)*(Buchungen!$E$7:$E$86&gt;W$11)*(Buchungen!$J$7:$J$86&lt;&gt;"Storniert"))&gt;1,"!",INDEX(Buchungen!$K$7:$K$86,SUMPRODUCT(MAX(((Buchungen!$B$7:$B$86=$A12)*(Buchungen!$D$7:$D$86&lt;=W$11)*(Buchungen!$E$7:$E$86&gt;W$11)*(Buchungen!$J$7:$J$86&lt;&gt;"Storniert"))*ROW(Buchungen!$B$7:$B$86)))-6))))</f>
        <v/>
      </c>
      <c r="X12" s="24" t="str">
        <f aca="false">IF(X$11="","",IF(SUMPRODUCT((Buchungen!$B$7:$B$86=$A12)*(Buchungen!$D$7:$D$86&lt;=X$11)*(Buchungen!$E$7:$E$86&gt;X$11)*(Buchungen!$J$7:$J$86&lt;&gt;"Storniert"))=0,"",IF(SUMPRODUCT((Buchungen!$B$7:$B$86=$A12)*(Buchungen!$D$7:$D$86&lt;=X$11)*(Buchungen!$E$7:$E$86&gt;X$11)*(Buchungen!$J$7:$J$86&lt;&gt;"Storniert"))&gt;1,"!",INDEX(Buchungen!$K$7:$K$86,SUMPRODUCT(MAX(((Buchungen!$B$7:$B$86=$A12)*(Buchungen!$D$7:$D$86&lt;=X$11)*(Buchungen!$E$7:$E$86&gt;X$11)*(Buchungen!$J$7:$J$86&lt;&gt;"Storniert"))*ROW(Buchungen!$B$7:$B$86)))-6))))</f>
        <v>B</v>
      </c>
      <c r="Y12" s="24" t="str">
        <f aca="false">IF(Y$11="","",IF(SUMPRODUCT((Buchungen!$B$7:$B$86=$A12)*(Buchungen!$D$7:$D$86&lt;=Y$11)*(Buchungen!$E$7:$E$86&gt;Y$11)*(Buchungen!$J$7:$J$86&lt;&gt;"Storniert"))=0,"",IF(SUMPRODUCT((Buchungen!$B$7:$B$86=$A12)*(Buchungen!$D$7:$D$86&lt;=Y$11)*(Buchungen!$E$7:$E$86&gt;Y$11)*(Buchungen!$J$7:$J$86&lt;&gt;"Storniert"))&gt;1,"!",INDEX(Buchungen!$K$7:$K$86,SUMPRODUCT(MAX(((Buchungen!$B$7:$B$86=$A12)*(Buchungen!$D$7:$D$86&lt;=Y$11)*(Buchungen!$E$7:$E$86&gt;Y$11)*(Buchungen!$J$7:$J$86&lt;&gt;"Storniert"))*ROW(Buchungen!$B$7:$B$86)))-6))))</f>
        <v>B</v>
      </c>
      <c r="Z12" s="24" t="str">
        <f aca="false">IF(Z$11="","",IF(SUMPRODUCT((Buchungen!$B$7:$B$86=$A12)*(Buchungen!$D$7:$D$86&lt;=Z$11)*(Buchungen!$E$7:$E$86&gt;Z$11)*(Buchungen!$J$7:$J$86&lt;&gt;"Storniert"))=0,"",IF(SUMPRODUCT((Buchungen!$B$7:$B$86=$A12)*(Buchungen!$D$7:$D$86&lt;=Z$11)*(Buchungen!$E$7:$E$86&gt;Z$11)*(Buchungen!$J$7:$J$86&lt;&gt;"Storniert"))&gt;1,"!",INDEX(Buchungen!$K$7:$K$86,SUMPRODUCT(MAX(((Buchungen!$B$7:$B$86=$A12)*(Buchungen!$D$7:$D$86&lt;=Z$11)*(Buchungen!$E$7:$E$86&gt;Z$11)*(Buchungen!$J$7:$J$86&lt;&gt;"Storniert"))*ROW(Buchungen!$B$7:$B$86)))-6))))</f>
        <v>B</v>
      </c>
      <c r="AA12" s="24" t="str">
        <f aca="false">IF(AA$11="","",IF(SUMPRODUCT((Buchungen!$B$7:$B$86=$A12)*(Buchungen!$D$7:$D$86&lt;=AA$11)*(Buchungen!$E$7:$E$86&gt;AA$11)*(Buchungen!$J$7:$J$86&lt;&gt;"Storniert"))=0,"",IF(SUMPRODUCT((Buchungen!$B$7:$B$86=$A12)*(Buchungen!$D$7:$D$86&lt;=AA$11)*(Buchungen!$E$7:$E$86&gt;AA$11)*(Buchungen!$J$7:$J$86&lt;&gt;"Storniert"))&gt;1,"!",INDEX(Buchungen!$K$7:$K$86,SUMPRODUCT(MAX(((Buchungen!$B$7:$B$86=$A12)*(Buchungen!$D$7:$D$86&lt;=AA$11)*(Buchungen!$E$7:$E$86&gt;AA$11)*(Buchungen!$J$7:$J$86&lt;&gt;"Storniert"))*ROW(Buchungen!$B$7:$B$86)))-6))))</f>
        <v>B</v>
      </c>
      <c r="AB12" s="24" t="str">
        <f aca="false">IF(AB$11="","",IF(SUMPRODUCT((Buchungen!$B$7:$B$86=$A12)*(Buchungen!$D$7:$D$86&lt;=AB$11)*(Buchungen!$E$7:$E$86&gt;AB$11)*(Buchungen!$J$7:$J$86&lt;&gt;"Storniert"))=0,"",IF(SUMPRODUCT((Buchungen!$B$7:$B$86=$A12)*(Buchungen!$D$7:$D$86&lt;=AB$11)*(Buchungen!$E$7:$E$86&gt;AB$11)*(Buchungen!$J$7:$J$86&lt;&gt;"Storniert"))&gt;1,"!",INDEX(Buchungen!$K$7:$K$86,SUMPRODUCT(MAX(((Buchungen!$B$7:$B$86=$A12)*(Buchungen!$D$7:$D$86&lt;=AB$11)*(Buchungen!$E$7:$E$86&gt;AB$11)*(Buchungen!$J$7:$J$86&lt;&gt;"Storniert"))*ROW(Buchungen!$B$7:$B$86)))-6))))</f>
        <v>B</v>
      </c>
      <c r="AC12" s="24" t="str">
        <f aca="false">IF(AC$11="","",IF(SUMPRODUCT((Buchungen!$B$7:$B$86=$A12)*(Buchungen!$D$7:$D$86&lt;=AC$11)*(Buchungen!$E$7:$E$86&gt;AC$11)*(Buchungen!$J$7:$J$86&lt;&gt;"Storniert"))=0,"",IF(SUMPRODUCT((Buchungen!$B$7:$B$86=$A12)*(Buchungen!$D$7:$D$86&lt;=AC$11)*(Buchungen!$E$7:$E$86&gt;AC$11)*(Buchungen!$J$7:$J$86&lt;&gt;"Storniert"))&gt;1,"!",INDEX(Buchungen!$K$7:$K$86,SUMPRODUCT(MAX(((Buchungen!$B$7:$B$86=$A12)*(Buchungen!$D$7:$D$86&lt;=AC$11)*(Buchungen!$E$7:$E$86&gt;AC$11)*(Buchungen!$J$7:$J$86&lt;&gt;"Storniert"))*ROW(Buchungen!$B$7:$B$86)))-6))))</f>
        <v>B</v>
      </c>
      <c r="AD12" s="24" t="str">
        <f aca="false">IF(AD$11="","",IF(SUMPRODUCT((Buchungen!$B$7:$B$86=$A12)*(Buchungen!$D$7:$D$86&lt;=AD$11)*(Buchungen!$E$7:$E$86&gt;AD$11)*(Buchungen!$J$7:$J$86&lt;&gt;"Storniert"))=0,"",IF(SUMPRODUCT((Buchungen!$B$7:$B$86=$A12)*(Buchungen!$D$7:$D$86&lt;=AD$11)*(Buchungen!$E$7:$E$86&gt;AD$11)*(Buchungen!$J$7:$J$86&lt;&gt;"Storniert"))&gt;1,"!",INDEX(Buchungen!$K$7:$K$86,SUMPRODUCT(MAX(((Buchungen!$B$7:$B$86=$A12)*(Buchungen!$D$7:$D$86&lt;=AD$11)*(Buchungen!$E$7:$E$86&gt;AD$11)*(Buchungen!$J$7:$J$86&lt;&gt;"Storniert"))*ROW(Buchungen!$B$7:$B$86)))-6))))</f>
        <v>B</v>
      </c>
      <c r="AE12" s="24" t="str">
        <f aca="false">IF(AE$11="","",IF(SUMPRODUCT((Buchungen!$B$7:$B$86=$A12)*(Buchungen!$D$7:$D$86&lt;=AE$11)*(Buchungen!$E$7:$E$86&gt;AE$11)*(Buchungen!$J$7:$J$86&lt;&gt;"Storniert"))=0,"",IF(SUMPRODUCT((Buchungen!$B$7:$B$86=$A12)*(Buchungen!$D$7:$D$86&lt;=AE$11)*(Buchungen!$E$7:$E$86&gt;AE$11)*(Buchungen!$J$7:$J$86&lt;&gt;"Storniert"))&gt;1,"!",INDEX(Buchungen!$K$7:$K$86,SUMPRODUCT(MAX(((Buchungen!$B$7:$B$86=$A12)*(Buchungen!$D$7:$D$86&lt;=AE$11)*(Buchungen!$E$7:$E$86&gt;AE$11)*(Buchungen!$J$7:$J$86&lt;&gt;"Storniert"))*ROW(Buchungen!$B$7:$B$86)))-6))))</f>
        <v>B</v>
      </c>
      <c r="AF12" s="24" t="str">
        <f aca="false">IF(AF$11="","",IF(SUMPRODUCT((Buchungen!$B$7:$B$86=$A12)*(Buchungen!$D$7:$D$86&lt;=AF$11)*(Buchungen!$E$7:$E$86&gt;AF$11)*(Buchungen!$J$7:$J$86&lt;&gt;"Storniert"))=0,"",IF(SUMPRODUCT((Buchungen!$B$7:$B$86=$A12)*(Buchungen!$D$7:$D$86&lt;=AF$11)*(Buchungen!$E$7:$E$86&gt;AF$11)*(Buchungen!$J$7:$J$86&lt;&gt;"Storniert"))&gt;1,"!",INDEX(Buchungen!$K$7:$K$86,SUMPRODUCT(MAX(((Buchungen!$B$7:$B$86=$A12)*(Buchungen!$D$7:$D$86&lt;=AF$11)*(Buchungen!$E$7:$E$86&gt;AF$11)*(Buchungen!$J$7:$J$86&lt;&gt;"Storniert"))*ROW(Buchungen!$B$7:$B$86)))-6))))</f>
        <v/>
      </c>
      <c r="AG12" s="24" t="str">
        <f aca="false">IF(AG$11="","",IF(SUMPRODUCT((Buchungen!$B$7:$B$86=$A12)*(Buchungen!$D$7:$D$86&lt;=AG$11)*(Buchungen!$E$7:$E$86&gt;AG$11)*(Buchungen!$J$7:$J$86&lt;&gt;"Storniert"))=0,"",IF(SUMPRODUCT((Buchungen!$B$7:$B$86=$A12)*(Buchungen!$D$7:$D$86&lt;=AG$11)*(Buchungen!$E$7:$E$86&gt;AG$11)*(Buchungen!$J$7:$J$86&lt;&gt;"Storniert"))&gt;1,"!",INDEX(Buchungen!$K$7:$K$86,SUMPRODUCT(MAX(((Buchungen!$B$7:$B$86=$A12)*(Buchungen!$D$7:$D$86&lt;=AG$11)*(Buchungen!$E$7:$E$86&gt;AG$11)*(Buchungen!$J$7:$J$86&lt;&gt;"Storniert"))*ROW(Buchungen!$B$7:$B$86)))-6))))</f>
        <v/>
      </c>
      <c r="AH12" s="25" t="n">
        <f aca="false">SUMIFS(Buchungen!$O$7:$O$86,Buchungen!$B$7:$B$86,$A12)</f>
        <v>17</v>
      </c>
      <c r="AI12" s="26" t="n">
        <f aca="false">IFERROR($AH12/$C$7,0)</f>
        <v>0.548387096774194</v>
      </c>
      <c r="AJ12" s="27" t="n">
        <f aca="false">SUMIFS(Buchungen!$P$7:$P$86,Buchungen!$B$7:$B$86,$A12)</f>
        <v>1343</v>
      </c>
    </row>
    <row r="13" customFormat="false" ht="16.5" hidden="false" customHeight="true" outlineLevel="0" collapsed="false">
      <c r="A13" s="28" t="str">
        <f aca="false">IF(OR(Stammdaten!$A8="",Stammdaten!$G8="Nein"),"",Stammdaten!$A8)</f>
        <v>Z-102</v>
      </c>
      <c r="B13" s="29" t="str">
        <f aca="false">IF($A13="","",Stammdaten!$B8)</f>
        <v>Einzelzimmer Komfort</v>
      </c>
      <c r="C13" s="30" t="str">
        <f aca="false">IF(C$11="","",IF(SUMPRODUCT((Buchungen!$B$7:$B$86=$A13)*(Buchungen!$D$7:$D$86&lt;=C$11)*(Buchungen!$E$7:$E$86&gt;C$11)*(Buchungen!$J$7:$J$86&lt;&gt;"Storniert"))=0,"",IF(SUMPRODUCT((Buchungen!$B$7:$B$86=$A13)*(Buchungen!$D$7:$D$86&lt;=C$11)*(Buchungen!$E$7:$E$86&gt;C$11)*(Buchungen!$J$7:$J$86&lt;&gt;"Storniert"))&gt;1,"!",INDEX(Buchungen!$K$7:$K$86,SUMPRODUCT(MAX(((Buchungen!$B$7:$B$86=$A13)*(Buchungen!$D$7:$D$86&lt;=C$11)*(Buchungen!$E$7:$E$86&gt;C$11)*(Buchungen!$J$7:$J$86&lt;&gt;"Storniert"))*ROW(Buchungen!$B$7:$B$86)))-6))))</f>
        <v>B</v>
      </c>
      <c r="D13" s="30" t="str">
        <f aca="false">IF(D$11="","",IF(SUMPRODUCT((Buchungen!$B$7:$B$86=$A13)*(Buchungen!$D$7:$D$86&lt;=D$11)*(Buchungen!$E$7:$E$86&gt;D$11)*(Buchungen!$J$7:$J$86&lt;&gt;"Storniert"))=0,"",IF(SUMPRODUCT((Buchungen!$B$7:$B$86=$A13)*(Buchungen!$D$7:$D$86&lt;=D$11)*(Buchungen!$E$7:$E$86&gt;D$11)*(Buchungen!$J$7:$J$86&lt;&gt;"Storniert"))&gt;1,"!",INDEX(Buchungen!$K$7:$K$86,SUMPRODUCT(MAX(((Buchungen!$B$7:$B$86=$A13)*(Buchungen!$D$7:$D$86&lt;=D$11)*(Buchungen!$E$7:$E$86&gt;D$11)*(Buchungen!$J$7:$J$86&lt;&gt;"Storniert"))*ROW(Buchungen!$B$7:$B$86)))-6))))</f>
        <v>B</v>
      </c>
      <c r="E13" s="30" t="str">
        <f aca="false">IF(E$11="","",IF(SUMPRODUCT((Buchungen!$B$7:$B$86=$A13)*(Buchungen!$D$7:$D$86&lt;=E$11)*(Buchungen!$E$7:$E$86&gt;E$11)*(Buchungen!$J$7:$J$86&lt;&gt;"Storniert"))=0,"",IF(SUMPRODUCT((Buchungen!$B$7:$B$86=$A13)*(Buchungen!$D$7:$D$86&lt;=E$11)*(Buchungen!$E$7:$E$86&gt;E$11)*(Buchungen!$J$7:$J$86&lt;&gt;"Storniert"))&gt;1,"!",INDEX(Buchungen!$K$7:$K$86,SUMPRODUCT(MAX(((Buchungen!$B$7:$B$86=$A13)*(Buchungen!$D$7:$D$86&lt;=E$11)*(Buchungen!$E$7:$E$86&gt;E$11)*(Buchungen!$J$7:$J$86&lt;&gt;"Storniert"))*ROW(Buchungen!$B$7:$B$86)))-6))))</f>
        <v>B</v>
      </c>
      <c r="F13" s="30" t="str">
        <f aca="false">IF(F$11="","",IF(SUMPRODUCT((Buchungen!$B$7:$B$86=$A13)*(Buchungen!$D$7:$D$86&lt;=F$11)*(Buchungen!$E$7:$E$86&gt;F$11)*(Buchungen!$J$7:$J$86&lt;&gt;"Storniert"))=0,"",IF(SUMPRODUCT((Buchungen!$B$7:$B$86=$A13)*(Buchungen!$D$7:$D$86&lt;=F$11)*(Buchungen!$E$7:$E$86&gt;F$11)*(Buchungen!$J$7:$J$86&lt;&gt;"Storniert"))&gt;1,"!",INDEX(Buchungen!$K$7:$K$86,SUMPRODUCT(MAX(((Buchungen!$B$7:$B$86=$A13)*(Buchungen!$D$7:$D$86&lt;=F$11)*(Buchungen!$E$7:$E$86&gt;F$11)*(Buchungen!$J$7:$J$86&lt;&gt;"Storniert"))*ROW(Buchungen!$B$7:$B$86)))-6))))</f>
        <v/>
      </c>
      <c r="G13" s="30" t="str">
        <f aca="false">IF(G$11="","",IF(SUMPRODUCT((Buchungen!$B$7:$B$86=$A13)*(Buchungen!$D$7:$D$86&lt;=G$11)*(Buchungen!$E$7:$E$86&gt;G$11)*(Buchungen!$J$7:$J$86&lt;&gt;"Storniert"))=0,"",IF(SUMPRODUCT((Buchungen!$B$7:$B$86=$A13)*(Buchungen!$D$7:$D$86&lt;=G$11)*(Buchungen!$E$7:$E$86&gt;G$11)*(Buchungen!$J$7:$J$86&lt;&gt;"Storniert"))&gt;1,"!",INDEX(Buchungen!$K$7:$K$86,SUMPRODUCT(MAX(((Buchungen!$B$7:$B$86=$A13)*(Buchungen!$D$7:$D$86&lt;=G$11)*(Buchungen!$E$7:$E$86&gt;G$11)*(Buchungen!$J$7:$J$86&lt;&gt;"Storniert"))*ROW(Buchungen!$B$7:$B$86)))-6))))</f>
        <v>O</v>
      </c>
      <c r="H13" s="30" t="str">
        <f aca="false">IF(H$11="","",IF(SUMPRODUCT((Buchungen!$B$7:$B$86=$A13)*(Buchungen!$D$7:$D$86&lt;=H$11)*(Buchungen!$E$7:$E$86&gt;H$11)*(Buchungen!$J$7:$J$86&lt;&gt;"Storniert"))=0,"",IF(SUMPRODUCT((Buchungen!$B$7:$B$86=$A13)*(Buchungen!$D$7:$D$86&lt;=H$11)*(Buchungen!$E$7:$E$86&gt;H$11)*(Buchungen!$J$7:$J$86&lt;&gt;"Storniert"))&gt;1,"!",INDEX(Buchungen!$K$7:$K$86,SUMPRODUCT(MAX(((Buchungen!$B$7:$B$86=$A13)*(Buchungen!$D$7:$D$86&lt;=H$11)*(Buchungen!$E$7:$E$86&gt;H$11)*(Buchungen!$J$7:$J$86&lt;&gt;"Storniert"))*ROW(Buchungen!$B$7:$B$86)))-6))))</f>
        <v>O</v>
      </c>
      <c r="I13" s="30" t="str">
        <f aca="false">IF(I$11="","",IF(SUMPRODUCT((Buchungen!$B$7:$B$86=$A13)*(Buchungen!$D$7:$D$86&lt;=I$11)*(Buchungen!$E$7:$E$86&gt;I$11)*(Buchungen!$J$7:$J$86&lt;&gt;"Storniert"))=0,"",IF(SUMPRODUCT((Buchungen!$B$7:$B$86=$A13)*(Buchungen!$D$7:$D$86&lt;=I$11)*(Buchungen!$E$7:$E$86&gt;I$11)*(Buchungen!$J$7:$J$86&lt;&gt;"Storniert"))&gt;1,"!",INDEX(Buchungen!$K$7:$K$86,SUMPRODUCT(MAX(((Buchungen!$B$7:$B$86=$A13)*(Buchungen!$D$7:$D$86&lt;=I$11)*(Buchungen!$E$7:$E$86&gt;I$11)*(Buchungen!$J$7:$J$86&lt;&gt;"Storniert"))*ROW(Buchungen!$B$7:$B$86)))-6))))</f>
        <v>O</v>
      </c>
      <c r="J13" s="30" t="str">
        <f aca="false">IF(J$11="","",IF(SUMPRODUCT((Buchungen!$B$7:$B$86=$A13)*(Buchungen!$D$7:$D$86&lt;=J$11)*(Buchungen!$E$7:$E$86&gt;J$11)*(Buchungen!$J$7:$J$86&lt;&gt;"Storniert"))=0,"",IF(SUMPRODUCT((Buchungen!$B$7:$B$86=$A13)*(Buchungen!$D$7:$D$86&lt;=J$11)*(Buchungen!$E$7:$E$86&gt;J$11)*(Buchungen!$J$7:$J$86&lt;&gt;"Storniert"))&gt;1,"!",INDEX(Buchungen!$K$7:$K$86,SUMPRODUCT(MAX(((Buchungen!$B$7:$B$86=$A13)*(Buchungen!$D$7:$D$86&lt;=J$11)*(Buchungen!$E$7:$E$86&gt;J$11)*(Buchungen!$J$7:$J$86&lt;&gt;"Storniert"))*ROW(Buchungen!$B$7:$B$86)))-6))))</f>
        <v>O</v>
      </c>
      <c r="K13" s="30" t="str">
        <f aca="false">IF(K$11="","",IF(SUMPRODUCT((Buchungen!$B$7:$B$86=$A13)*(Buchungen!$D$7:$D$86&lt;=K$11)*(Buchungen!$E$7:$E$86&gt;K$11)*(Buchungen!$J$7:$J$86&lt;&gt;"Storniert"))=0,"",IF(SUMPRODUCT((Buchungen!$B$7:$B$86=$A13)*(Buchungen!$D$7:$D$86&lt;=K$11)*(Buchungen!$E$7:$E$86&gt;K$11)*(Buchungen!$J$7:$J$86&lt;&gt;"Storniert"))&gt;1,"!",INDEX(Buchungen!$K$7:$K$86,SUMPRODUCT(MAX(((Buchungen!$B$7:$B$86=$A13)*(Buchungen!$D$7:$D$86&lt;=K$11)*(Buchungen!$E$7:$E$86&gt;K$11)*(Buchungen!$J$7:$J$86&lt;&gt;"Storniert"))*ROW(Buchungen!$B$7:$B$86)))-6))))</f>
        <v>O</v>
      </c>
      <c r="L13" s="30" t="str">
        <f aca="false">IF(L$11="","",IF(SUMPRODUCT((Buchungen!$B$7:$B$86=$A13)*(Buchungen!$D$7:$D$86&lt;=L$11)*(Buchungen!$E$7:$E$86&gt;L$11)*(Buchungen!$J$7:$J$86&lt;&gt;"Storniert"))=0,"",IF(SUMPRODUCT((Buchungen!$B$7:$B$86=$A13)*(Buchungen!$D$7:$D$86&lt;=L$11)*(Buchungen!$E$7:$E$86&gt;L$11)*(Buchungen!$J$7:$J$86&lt;&gt;"Storniert"))&gt;1,"!",INDEX(Buchungen!$K$7:$K$86,SUMPRODUCT(MAX(((Buchungen!$B$7:$B$86=$A13)*(Buchungen!$D$7:$D$86&lt;=L$11)*(Buchungen!$E$7:$E$86&gt;L$11)*(Buchungen!$J$7:$J$86&lt;&gt;"Storniert"))*ROW(Buchungen!$B$7:$B$86)))-6))))</f>
        <v>O</v>
      </c>
      <c r="M13" s="30" t="str">
        <f aca="false">IF(M$11="","",IF(SUMPRODUCT((Buchungen!$B$7:$B$86=$A13)*(Buchungen!$D$7:$D$86&lt;=M$11)*(Buchungen!$E$7:$E$86&gt;M$11)*(Buchungen!$J$7:$J$86&lt;&gt;"Storniert"))=0,"",IF(SUMPRODUCT((Buchungen!$B$7:$B$86=$A13)*(Buchungen!$D$7:$D$86&lt;=M$11)*(Buchungen!$E$7:$E$86&gt;M$11)*(Buchungen!$J$7:$J$86&lt;&gt;"Storniert"))&gt;1,"!",INDEX(Buchungen!$K$7:$K$86,SUMPRODUCT(MAX(((Buchungen!$B$7:$B$86=$A13)*(Buchungen!$D$7:$D$86&lt;=M$11)*(Buchungen!$E$7:$E$86&gt;M$11)*(Buchungen!$J$7:$J$86&lt;&gt;"Storniert"))*ROW(Buchungen!$B$7:$B$86)))-6))))</f>
        <v>O</v>
      </c>
      <c r="N13" s="30" t="str">
        <f aca="false">IF(N$11="","",IF(SUMPRODUCT((Buchungen!$B$7:$B$86=$A13)*(Buchungen!$D$7:$D$86&lt;=N$11)*(Buchungen!$E$7:$E$86&gt;N$11)*(Buchungen!$J$7:$J$86&lt;&gt;"Storniert"))=0,"",IF(SUMPRODUCT((Buchungen!$B$7:$B$86=$A13)*(Buchungen!$D$7:$D$86&lt;=N$11)*(Buchungen!$E$7:$E$86&gt;N$11)*(Buchungen!$J$7:$J$86&lt;&gt;"Storniert"))&gt;1,"!",INDEX(Buchungen!$K$7:$K$86,SUMPRODUCT(MAX(((Buchungen!$B$7:$B$86=$A13)*(Buchungen!$D$7:$D$86&lt;=N$11)*(Buchungen!$E$7:$E$86&gt;N$11)*(Buchungen!$J$7:$J$86&lt;&gt;"Storniert"))*ROW(Buchungen!$B$7:$B$86)))-6))))</f>
        <v/>
      </c>
      <c r="O13" s="30" t="str">
        <f aca="false">IF(O$11="","",IF(SUMPRODUCT((Buchungen!$B$7:$B$86=$A13)*(Buchungen!$D$7:$D$86&lt;=O$11)*(Buchungen!$E$7:$E$86&gt;O$11)*(Buchungen!$J$7:$J$86&lt;&gt;"Storniert"))=0,"",IF(SUMPRODUCT((Buchungen!$B$7:$B$86=$A13)*(Buchungen!$D$7:$D$86&lt;=O$11)*(Buchungen!$E$7:$E$86&gt;O$11)*(Buchungen!$J$7:$J$86&lt;&gt;"Storniert"))&gt;1,"!",INDEX(Buchungen!$K$7:$K$86,SUMPRODUCT(MAX(((Buchungen!$B$7:$B$86=$A13)*(Buchungen!$D$7:$D$86&lt;=O$11)*(Buchungen!$E$7:$E$86&gt;O$11)*(Buchungen!$J$7:$J$86&lt;&gt;"Storniert"))*ROW(Buchungen!$B$7:$B$86)))-6))))</f>
        <v>B</v>
      </c>
      <c r="P13" s="30" t="str">
        <f aca="false">IF(P$11="","",IF(SUMPRODUCT((Buchungen!$B$7:$B$86=$A13)*(Buchungen!$D$7:$D$86&lt;=P$11)*(Buchungen!$E$7:$E$86&gt;P$11)*(Buchungen!$J$7:$J$86&lt;&gt;"Storniert"))=0,"",IF(SUMPRODUCT((Buchungen!$B$7:$B$86=$A13)*(Buchungen!$D$7:$D$86&lt;=P$11)*(Buchungen!$E$7:$E$86&gt;P$11)*(Buchungen!$J$7:$J$86&lt;&gt;"Storniert"))&gt;1,"!",INDEX(Buchungen!$K$7:$K$86,SUMPRODUCT(MAX(((Buchungen!$B$7:$B$86=$A13)*(Buchungen!$D$7:$D$86&lt;=P$11)*(Buchungen!$E$7:$E$86&gt;P$11)*(Buchungen!$J$7:$J$86&lt;&gt;"Storniert"))*ROW(Buchungen!$B$7:$B$86)))-6))))</f>
        <v>B</v>
      </c>
      <c r="Q13" s="30" t="str">
        <f aca="false">IF(Q$11="","",IF(SUMPRODUCT((Buchungen!$B$7:$B$86=$A13)*(Buchungen!$D$7:$D$86&lt;=Q$11)*(Buchungen!$E$7:$E$86&gt;Q$11)*(Buchungen!$J$7:$J$86&lt;&gt;"Storniert"))=0,"",IF(SUMPRODUCT((Buchungen!$B$7:$B$86=$A13)*(Buchungen!$D$7:$D$86&lt;=Q$11)*(Buchungen!$E$7:$E$86&gt;Q$11)*(Buchungen!$J$7:$J$86&lt;&gt;"Storniert"))&gt;1,"!",INDEX(Buchungen!$K$7:$K$86,SUMPRODUCT(MAX(((Buchungen!$B$7:$B$86=$A13)*(Buchungen!$D$7:$D$86&lt;=Q$11)*(Buchungen!$E$7:$E$86&gt;Q$11)*(Buchungen!$J$7:$J$86&lt;&gt;"Storniert"))*ROW(Buchungen!$B$7:$B$86)))-6))))</f>
        <v>B</v>
      </c>
      <c r="R13" s="30" t="str">
        <f aca="false">IF(R$11="","",IF(SUMPRODUCT((Buchungen!$B$7:$B$86=$A13)*(Buchungen!$D$7:$D$86&lt;=R$11)*(Buchungen!$E$7:$E$86&gt;R$11)*(Buchungen!$J$7:$J$86&lt;&gt;"Storniert"))=0,"",IF(SUMPRODUCT((Buchungen!$B$7:$B$86=$A13)*(Buchungen!$D$7:$D$86&lt;=R$11)*(Buchungen!$E$7:$E$86&gt;R$11)*(Buchungen!$J$7:$J$86&lt;&gt;"Storniert"))&gt;1,"!",INDEX(Buchungen!$K$7:$K$86,SUMPRODUCT(MAX(((Buchungen!$B$7:$B$86=$A13)*(Buchungen!$D$7:$D$86&lt;=R$11)*(Buchungen!$E$7:$E$86&gt;R$11)*(Buchungen!$J$7:$J$86&lt;&gt;"Storniert"))*ROW(Buchungen!$B$7:$B$86)))-6))))</f>
        <v>B</v>
      </c>
      <c r="S13" s="30" t="str">
        <f aca="false">IF(S$11="","",IF(SUMPRODUCT((Buchungen!$B$7:$B$86=$A13)*(Buchungen!$D$7:$D$86&lt;=S$11)*(Buchungen!$E$7:$E$86&gt;S$11)*(Buchungen!$J$7:$J$86&lt;&gt;"Storniert"))=0,"",IF(SUMPRODUCT((Buchungen!$B$7:$B$86=$A13)*(Buchungen!$D$7:$D$86&lt;=S$11)*(Buchungen!$E$7:$E$86&gt;S$11)*(Buchungen!$J$7:$J$86&lt;&gt;"Storniert"))&gt;1,"!",INDEX(Buchungen!$K$7:$K$86,SUMPRODUCT(MAX(((Buchungen!$B$7:$B$86=$A13)*(Buchungen!$D$7:$D$86&lt;=S$11)*(Buchungen!$E$7:$E$86&gt;S$11)*(Buchungen!$J$7:$J$86&lt;&gt;"Storniert"))*ROW(Buchungen!$B$7:$B$86)))-6))))</f>
        <v>O</v>
      </c>
      <c r="T13" s="30" t="str">
        <f aca="false">IF(T$11="","",IF(SUMPRODUCT((Buchungen!$B$7:$B$86=$A13)*(Buchungen!$D$7:$D$86&lt;=T$11)*(Buchungen!$E$7:$E$86&gt;T$11)*(Buchungen!$J$7:$J$86&lt;&gt;"Storniert"))=0,"",IF(SUMPRODUCT((Buchungen!$B$7:$B$86=$A13)*(Buchungen!$D$7:$D$86&lt;=T$11)*(Buchungen!$E$7:$E$86&gt;T$11)*(Buchungen!$J$7:$J$86&lt;&gt;"Storniert"))&gt;1,"!",INDEX(Buchungen!$K$7:$K$86,SUMPRODUCT(MAX(((Buchungen!$B$7:$B$86=$A13)*(Buchungen!$D$7:$D$86&lt;=T$11)*(Buchungen!$E$7:$E$86&gt;T$11)*(Buchungen!$J$7:$J$86&lt;&gt;"Storniert"))*ROW(Buchungen!$B$7:$B$86)))-6))))</f>
        <v>O</v>
      </c>
      <c r="U13" s="30" t="str">
        <f aca="false">IF(U$11="","",IF(SUMPRODUCT((Buchungen!$B$7:$B$86=$A13)*(Buchungen!$D$7:$D$86&lt;=U$11)*(Buchungen!$E$7:$E$86&gt;U$11)*(Buchungen!$J$7:$J$86&lt;&gt;"Storniert"))=0,"",IF(SUMPRODUCT((Buchungen!$B$7:$B$86=$A13)*(Buchungen!$D$7:$D$86&lt;=U$11)*(Buchungen!$E$7:$E$86&gt;U$11)*(Buchungen!$J$7:$J$86&lt;&gt;"Storniert"))&gt;1,"!",INDEX(Buchungen!$K$7:$K$86,SUMPRODUCT(MAX(((Buchungen!$B$7:$B$86=$A13)*(Buchungen!$D$7:$D$86&lt;=U$11)*(Buchungen!$E$7:$E$86&gt;U$11)*(Buchungen!$J$7:$J$86&lt;&gt;"Storniert"))*ROW(Buchungen!$B$7:$B$86)))-6))))</f>
        <v>O</v>
      </c>
      <c r="V13" s="30" t="str">
        <f aca="false">IF(V$11="","",IF(SUMPRODUCT((Buchungen!$B$7:$B$86=$A13)*(Buchungen!$D$7:$D$86&lt;=V$11)*(Buchungen!$E$7:$E$86&gt;V$11)*(Buchungen!$J$7:$J$86&lt;&gt;"Storniert"))=0,"",IF(SUMPRODUCT((Buchungen!$B$7:$B$86=$A13)*(Buchungen!$D$7:$D$86&lt;=V$11)*(Buchungen!$E$7:$E$86&gt;V$11)*(Buchungen!$J$7:$J$86&lt;&gt;"Storniert"))&gt;1,"!",INDEX(Buchungen!$K$7:$K$86,SUMPRODUCT(MAX(((Buchungen!$B$7:$B$86=$A13)*(Buchungen!$D$7:$D$86&lt;=V$11)*(Buchungen!$E$7:$E$86&gt;V$11)*(Buchungen!$J$7:$J$86&lt;&gt;"Storniert"))*ROW(Buchungen!$B$7:$B$86)))-6))))</f>
        <v>B</v>
      </c>
      <c r="W13" s="30" t="str">
        <f aca="false">IF(W$11="","",IF(SUMPRODUCT((Buchungen!$B$7:$B$86=$A13)*(Buchungen!$D$7:$D$86&lt;=W$11)*(Buchungen!$E$7:$E$86&gt;W$11)*(Buchungen!$J$7:$J$86&lt;&gt;"Storniert"))=0,"",IF(SUMPRODUCT((Buchungen!$B$7:$B$86=$A13)*(Buchungen!$D$7:$D$86&lt;=W$11)*(Buchungen!$E$7:$E$86&gt;W$11)*(Buchungen!$J$7:$J$86&lt;&gt;"Storniert"))&gt;1,"!",INDEX(Buchungen!$K$7:$K$86,SUMPRODUCT(MAX(((Buchungen!$B$7:$B$86=$A13)*(Buchungen!$D$7:$D$86&lt;=W$11)*(Buchungen!$E$7:$E$86&gt;W$11)*(Buchungen!$J$7:$J$86&lt;&gt;"Storniert"))*ROW(Buchungen!$B$7:$B$86)))-6))))</f>
        <v>B</v>
      </c>
      <c r="X13" s="30" t="str">
        <f aca="false">IF(X$11="","",IF(SUMPRODUCT((Buchungen!$B$7:$B$86=$A13)*(Buchungen!$D$7:$D$86&lt;=X$11)*(Buchungen!$E$7:$E$86&gt;X$11)*(Buchungen!$J$7:$J$86&lt;&gt;"Storniert"))=0,"",IF(SUMPRODUCT((Buchungen!$B$7:$B$86=$A13)*(Buchungen!$D$7:$D$86&lt;=X$11)*(Buchungen!$E$7:$E$86&gt;X$11)*(Buchungen!$J$7:$J$86&lt;&gt;"Storniert"))&gt;1,"!",INDEX(Buchungen!$K$7:$K$86,SUMPRODUCT(MAX(((Buchungen!$B$7:$B$86=$A13)*(Buchungen!$D$7:$D$86&lt;=X$11)*(Buchungen!$E$7:$E$86&gt;X$11)*(Buchungen!$J$7:$J$86&lt;&gt;"Storniert"))*ROW(Buchungen!$B$7:$B$86)))-6))))</f>
        <v>B</v>
      </c>
      <c r="Y13" s="30" t="str">
        <f aca="false">IF(Y$11="","",IF(SUMPRODUCT((Buchungen!$B$7:$B$86=$A13)*(Buchungen!$D$7:$D$86&lt;=Y$11)*(Buchungen!$E$7:$E$86&gt;Y$11)*(Buchungen!$J$7:$J$86&lt;&gt;"Storniert"))=0,"",IF(SUMPRODUCT((Buchungen!$B$7:$B$86=$A13)*(Buchungen!$D$7:$D$86&lt;=Y$11)*(Buchungen!$E$7:$E$86&gt;Y$11)*(Buchungen!$J$7:$J$86&lt;&gt;"Storniert"))&gt;1,"!",INDEX(Buchungen!$K$7:$K$86,SUMPRODUCT(MAX(((Buchungen!$B$7:$B$86=$A13)*(Buchungen!$D$7:$D$86&lt;=Y$11)*(Buchungen!$E$7:$E$86&gt;Y$11)*(Buchungen!$J$7:$J$86&lt;&gt;"Storniert"))*ROW(Buchungen!$B$7:$B$86)))-6))))</f>
        <v>B</v>
      </c>
      <c r="Z13" s="30" t="str">
        <f aca="false">IF(Z$11="","",IF(SUMPRODUCT((Buchungen!$B$7:$B$86=$A13)*(Buchungen!$D$7:$D$86&lt;=Z$11)*(Buchungen!$E$7:$E$86&gt;Z$11)*(Buchungen!$J$7:$J$86&lt;&gt;"Storniert"))=0,"",IF(SUMPRODUCT((Buchungen!$B$7:$B$86=$A13)*(Buchungen!$D$7:$D$86&lt;=Z$11)*(Buchungen!$E$7:$E$86&gt;Z$11)*(Buchungen!$J$7:$J$86&lt;&gt;"Storniert"))&gt;1,"!",INDEX(Buchungen!$K$7:$K$86,SUMPRODUCT(MAX(((Buchungen!$B$7:$B$86=$A13)*(Buchungen!$D$7:$D$86&lt;=Z$11)*(Buchungen!$E$7:$E$86&gt;Z$11)*(Buchungen!$J$7:$J$86&lt;&gt;"Storniert"))*ROW(Buchungen!$B$7:$B$86)))-6))))</f>
        <v>B</v>
      </c>
      <c r="AA13" s="30" t="str">
        <f aca="false">IF(AA$11="","",IF(SUMPRODUCT((Buchungen!$B$7:$B$86=$A13)*(Buchungen!$D$7:$D$86&lt;=AA$11)*(Buchungen!$E$7:$E$86&gt;AA$11)*(Buchungen!$J$7:$J$86&lt;&gt;"Storniert"))=0,"",IF(SUMPRODUCT((Buchungen!$B$7:$B$86=$A13)*(Buchungen!$D$7:$D$86&lt;=AA$11)*(Buchungen!$E$7:$E$86&gt;AA$11)*(Buchungen!$J$7:$J$86&lt;&gt;"Storniert"))&gt;1,"!",INDEX(Buchungen!$K$7:$K$86,SUMPRODUCT(MAX(((Buchungen!$B$7:$B$86=$A13)*(Buchungen!$D$7:$D$86&lt;=AA$11)*(Buchungen!$E$7:$E$86&gt;AA$11)*(Buchungen!$J$7:$J$86&lt;&gt;"Storniert"))*ROW(Buchungen!$B$7:$B$86)))-6))))</f>
        <v/>
      </c>
      <c r="AB13" s="30" t="str">
        <f aca="false">IF(AB$11="","",IF(SUMPRODUCT((Buchungen!$B$7:$B$86=$A13)*(Buchungen!$D$7:$D$86&lt;=AB$11)*(Buchungen!$E$7:$E$86&gt;AB$11)*(Buchungen!$J$7:$J$86&lt;&gt;"Storniert"))=0,"",IF(SUMPRODUCT((Buchungen!$B$7:$B$86=$A13)*(Buchungen!$D$7:$D$86&lt;=AB$11)*(Buchungen!$E$7:$E$86&gt;AB$11)*(Buchungen!$J$7:$J$86&lt;&gt;"Storniert"))&gt;1,"!",INDEX(Buchungen!$K$7:$K$86,SUMPRODUCT(MAX(((Buchungen!$B$7:$B$86=$A13)*(Buchungen!$D$7:$D$86&lt;=AB$11)*(Buchungen!$E$7:$E$86&gt;AB$11)*(Buchungen!$J$7:$J$86&lt;&gt;"Storniert"))*ROW(Buchungen!$B$7:$B$86)))-6))))</f>
        <v/>
      </c>
      <c r="AC13" s="30" t="str">
        <f aca="false">IF(AC$11="","",IF(SUMPRODUCT((Buchungen!$B$7:$B$86=$A13)*(Buchungen!$D$7:$D$86&lt;=AC$11)*(Buchungen!$E$7:$E$86&gt;AC$11)*(Buchungen!$J$7:$J$86&lt;&gt;"Storniert"))=0,"",IF(SUMPRODUCT((Buchungen!$B$7:$B$86=$A13)*(Buchungen!$D$7:$D$86&lt;=AC$11)*(Buchungen!$E$7:$E$86&gt;AC$11)*(Buchungen!$J$7:$J$86&lt;&gt;"Storniert"))&gt;1,"!",INDEX(Buchungen!$K$7:$K$86,SUMPRODUCT(MAX(((Buchungen!$B$7:$B$86=$A13)*(Buchungen!$D$7:$D$86&lt;=AC$11)*(Buchungen!$E$7:$E$86&gt;AC$11)*(Buchungen!$J$7:$J$86&lt;&gt;"Storniert"))*ROW(Buchungen!$B$7:$B$86)))-6))))</f>
        <v/>
      </c>
      <c r="AD13" s="30" t="str">
        <f aca="false">IF(AD$11="","",IF(SUMPRODUCT((Buchungen!$B$7:$B$86=$A13)*(Buchungen!$D$7:$D$86&lt;=AD$11)*(Buchungen!$E$7:$E$86&gt;AD$11)*(Buchungen!$J$7:$J$86&lt;&gt;"Storniert"))=0,"",IF(SUMPRODUCT((Buchungen!$B$7:$B$86=$A13)*(Buchungen!$D$7:$D$86&lt;=AD$11)*(Buchungen!$E$7:$E$86&gt;AD$11)*(Buchungen!$J$7:$J$86&lt;&gt;"Storniert"))&gt;1,"!",INDEX(Buchungen!$K$7:$K$86,SUMPRODUCT(MAX(((Buchungen!$B$7:$B$86=$A13)*(Buchungen!$D$7:$D$86&lt;=AD$11)*(Buchungen!$E$7:$E$86&gt;AD$11)*(Buchungen!$J$7:$J$86&lt;&gt;"Storniert"))*ROW(Buchungen!$B$7:$B$86)))-6))))</f>
        <v>B</v>
      </c>
      <c r="AE13" s="30" t="str">
        <f aca="false">IF(AE$11="","",IF(SUMPRODUCT((Buchungen!$B$7:$B$86=$A13)*(Buchungen!$D$7:$D$86&lt;=AE$11)*(Buchungen!$E$7:$E$86&gt;AE$11)*(Buchungen!$J$7:$J$86&lt;&gt;"Storniert"))=0,"",IF(SUMPRODUCT((Buchungen!$B$7:$B$86=$A13)*(Buchungen!$D$7:$D$86&lt;=AE$11)*(Buchungen!$E$7:$E$86&gt;AE$11)*(Buchungen!$J$7:$J$86&lt;&gt;"Storniert"))&gt;1,"!",INDEX(Buchungen!$K$7:$K$86,SUMPRODUCT(MAX(((Buchungen!$B$7:$B$86=$A13)*(Buchungen!$D$7:$D$86&lt;=AE$11)*(Buchungen!$E$7:$E$86&gt;AE$11)*(Buchungen!$J$7:$J$86&lt;&gt;"Storniert"))*ROW(Buchungen!$B$7:$B$86)))-6))))</f>
        <v>B</v>
      </c>
      <c r="AF13" s="30" t="str">
        <f aca="false">IF(AF$11="","",IF(SUMPRODUCT((Buchungen!$B$7:$B$86=$A13)*(Buchungen!$D$7:$D$86&lt;=AF$11)*(Buchungen!$E$7:$E$86&gt;AF$11)*(Buchungen!$J$7:$J$86&lt;&gt;"Storniert"))=0,"",IF(SUMPRODUCT((Buchungen!$B$7:$B$86=$A13)*(Buchungen!$D$7:$D$86&lt;=AF$11)*(Buchungen!$E$7:$E$86&gt;AF$11)*(Buchungen!$J$7:$J$86&lt;&gt;"Storniert"))&gt;1,"!",INDEX(Buchungen!$K$7:$K$86,SUMPRODUCT(MAX(((Buchungen!$B$7:$B$86=$A13)*(Buchungen!$D$7:$D$86&lt;=AF$11)*(Buchungen!$E$7:$E$86&gt;AF$11)*(Buchungen!$J$7:$J$86&lt;&gt;"Storniert"))*ROW(Buchungen!$B$7:$B$86)))-6))))</f>
        <v>B</v>
      </c>
      <c r="AG13" s="30" t="str">
        <f aca="false">IF(AG$11="","",IF(SUMPRODUCT((Buchungen!$B$7:$B$86=$A13)*(Buchungen!$D$7:$D$86&lt;=AG$11)*(Buchungen!$E$7:$E$86&gt;AG$11)*(Buchungen!$J$7:$J$86&lt;&gt;"Storniert"))=0,"",IF(SUMPRODUCT((Buchungen!$B$7:$B$86=$A13)*(Buchungen!$D$7:$D$86&lt;=AG$11)*(Buchungen!$E$7:$E$86&gt;AG$11)*(Buchungen!$J$7:$J$86&lt;&gt;"Storniert"))&gt;1,"!",INDEX(Buchungen!$K$7:$K$86,SUMPRODUCT(MAX(((Buchungen!$B$7:$B$86=$A13)*(Buchungen!$D$7:$D$86&lt;=AG$11)*(Buchungen!$E$7:$E$86&gt;AG$11)*(Buchungen!$J$7:$J$86&lt;&gt;"Storniert"))*ROW(Buchungen!$B$7:$B$86)))-6))))</f>
        <v>B</v>
      </c>
      <c r="AH13" s="31" t="n">
        <f aca="false">SUMIFS(Buchungen!$O$7:$O$86,Buchungen!$B$7:$B$86,$A13)</f>
        <v>16</v>
      </c>
      <c r="AI13" s="32" t="n">
        <f aca="false">IFERROR($AH13/$C$7,0)</f>
        <v>0.516129032258065</v>
      </c>
      <c r="AJ13" s="33" t="n">
        <f aca="false">SUMIFS(Buchungen!$P$7:$P$86,Buchungen!$B$7:$B$86,$A13)</f>
        <v>1424</v>
      </c>
    </row>
    <row r="14" customFormat="false" ht="16.5" hidden="false" customHeight="true" outlineLevel="0" collapsed="false">
      <c r="A14" s="22" t="str">
        <f aca="false">IF(OR(Stammdaten!$A9="",Stammdaten!$G9="Nein"),"",Stammdaten!$A9)</f>
        <v>Z-103</v>
      </c>
      <c r="B14" s="23" t="str">
        <f aca="false">IF($A14="","",Stammdaten!$B9)</f>
        <v>Doppelzimmer Standard</v>
      </c>
      <c r="C14" s="24" t="str">
        <f aca="false">IF(C$11="","",IF(SUMPRODUCT((Buchungen!$B$7:$B$86=$A14)*(Buchungen!$D$7:$D$86&lt;=C$11)*(Buchungen!$E$7:$E$86&gt;C$11)*(Buchungen!$J$7:$J$86&lt;&gt;"Storniert"))=0,"",IF(SUMPRODUCT((Buchungen!$B$7:$B$86=$A14)*(Buchungen!$D$7:$D$86&lt;=C$11)*(Buchungen!$E$7:$E$86&gt;C$11)*(Buchungen!$J$7:$J$86&lt;&gt;"Storniert"))&gt;1,"!",INDEX(Buchungen!$K$7:$K$86,SUMPRODUCT(MAX(((Buchungen!$B$7:$B$86=$A14)*(Buchungen!$D$7:$D$86&lt;=C$11)*(Buchungen!$E$7:$E$86&gt;C$11)*(Buchungen!$J$7:$J$86&lt;&gt;"Storniert"))*ROW(Buchungen!$B$7:$B$86)))-6))))</f>
        <v>B</v>
      </c>
      <c r="D14" s="24" t="str">
        <f aca="false">IF(D$11="","",IF(SUMPRODUCT((Buchungen!$B$7:$B$86=$A14)*(Buchungen!$D$7:$D$86&lt;=D$11)*(Buchungen!$E$7:$E$86&gt;D$11)*(Buchungen!$J$7:$J$86&lt;&gt;"Storniert"))=0,"",IF(SUMPRODUCT((Buchungen!$B$7:$B$86=$A14)*(Buchungen!$D$7:$D$86&lt;=D$11)*(Buchungen!$E$7:$E$86&gt;D$11)*(Buchungen!$J$7:$J$86&lt;&gt;"Storniert"))&gt;1,"!",INDEX(Buchungen!$K$7:$K$86,SUMPRODUCT(MAX(((Buchungen!$B$7:$B$86=$A14)*(Buchungen!$D$7:$D$86&lt;=D$11)*(Buchungen!$E$7:$E$86&gt;D$11)*(Buchungen!$J$7:$J$86&lt;&gt;"Storniert"))*ROW(Buchungen!$B$7:$B$86)))-6))))</f>
        <v>B</v>
      </c>
      <c r="E14" s="24" t="str">
        <f aca="false">IF(E$11="","",IF(SUMPRODUCT((Buchungen!$B$7:$B$86=$A14)*(Buchungen!$D$7:$D$86&lt;=E$11)*(Buchungen!$E$7:$E$86&gt;E$11)*(Buchungen!$J$7:$J$86&lt;&gt;"Storniert"))=0,"",IF(SUMPRODUCT((Buchungen!$B$7:$B$86=$A14)*(Buchungen!$D$7:$D$86&lt;=E$11)*(Buchungen!$E$7:$E$86&gt;E$11)*(Buchungen!$J$7:$J$86&lt;&gt;"Storniert"))&gt;1,"!",INDEX(Buchungen!$K$7:$K$86,SUMPRODUCT(MAX(((Buchungen!$B$7:$B$86=$A14)*(Buchungen!$D$7:$D$86&lt;=E$11)*(Buchungen!$E$7:$E$86&gt;E$11)*(Buchungen!$J$7:$J$86&lt;&gt;"Storniert"))*ROW(Buchungen!$B$7:$B$86)))-6))))</f>
        <v/>
      </c>
      <c r="F14" s="24" t="str">
        <f aca="false">IF(F$11="","",IF(SUMPRODUCT((Buchungen!$B$7:$B$86=$A14)*(Buchungen!$D$7:$D$86&lt;=F$11)*(Buchungen!$E$7:$E$86&gt;F$11)*(Buchungen!$J$7:$J$86&lt;&gt;"Storniert"))=0,"",IF(SUMPRODUCT((Buchungen!$B$7:$B$86=$A14)*(Buchungen!$D$7:$D$86&lt;=F$11)*(Buchungen!$E$7:$E$86&gt;F$11)*(Buchungen!$J$7:$J$86&lt;&gt;"Storniert"))&gt;1,"!",INDEX(Buchungen!$K$7:$K$86,SUMPRODUCT(MAX(((Buchungen!$B$7:$B$86=$A14)*(Buchungen!$D$7:$D$86&lt;=F$11)*(Buchungen!$E$7:$E$86&gt;F$11)*(Buchungen!$J$7:$J$86&lt;&gt;"Storniert"))*ROW(Buchungen!$B$7:$B$86)))-6))))</f>
        <v>O</v>
      </c>
      <c r="G14" s="24" t="str">
        <f aca="false">IF(G$11="","",IF(SUMPRODUCT((Buchungen!$B$7:$B$86=$A14)*(Buchungen!$D$7:$D$86&lt;=G$11)*(Buchungen!$E$7:$E$86&gt;G$11)*(Buchungen!$J$7:$J$86&lt;&gt;"Storniert"))=0,"",IF(SUMPRODUCT((Buchungen!$B$7:$B$86=$A14)*(Buchungen!$D$7:$D$86&lt;=G$11)*(Buchungen!$E$7:$E$86&gt;G$11)*(Buchungen!$J$7:$J$86&lt;&gt;"Storniert"))&gt;1,"!",INDEX(Buchungen!$K$7:$K$86,SUMPRODUCT(MAX(((Buchungen!$B$7:$B$86=$A14)*(Buchungen!$D$7:$D$86&lt;=G$11)*(Buchungen!$E$7:$E$86&gt;G$11)*(Buchungen!$J$7:$J$86&lt;&gt;"Storniert"))*ROW(Buchungen!$B$7:$B$86)))-6))))</f>
        <v>O</v>
      </c>
      <c r="H14" s="24" t="str">
        <f aca="false">IF(H$11="","",IF(SUMPRODUCT((Buchungen!$B$7:$B$86=$A14)*(Buchungen!$D$7:$D$86&lt;=H$11)*(Buchungen!$E$7:$E$86&gt;H$11)*(Buchungen!$J$7:$J$86&lt;&gt;"Storniert"))=0,"",IF(SUMPRODUCT((Buchungen!$B$7:$B$86=$A14)*(Buchungen!$D$7:$D$86&lt;=H$11)*(Buchungen!$E$7:$E$86&gt;H$11)*(Buchungen!$J$7:$J$86&lt;&gt;"Storniert"))&gt;1,"!",INDEX(Buchungen!$K$7:$K$86,SUMPRODUCT(MAX(((Buchungen!$B$7:$B$86=$A14)*(Buchungen!$D$7:$D$86&lt;=H$11)*(Buchungen!$E$7:$E$86&gt;H$11)*(Buchungen!$J$7:$J$86&lt;&gt;"Storniert"))*ROW(Buchungen!$B$7:$B$86)))-6))))</f>
        <v>O</v>
      </c>
      <c r="I14" s="24" t="str">
        <f aca="false">IF(I$11="","",IF(SUMPRODUCT((Buchungen!$B$7:$B$86=$A14)*(Buchungen!$D$7:$D$86&lt;=I$11)*(Buchungen!$E$7:$E$86&gt;I$11)*(Buchungen!$J$7:$J$86&lt;&gt;"Storniert"))=0,"",IF(SUMPRODUCT((Buchungen!$B$7:$B$86=$A14)*(Buchungen!$D$7:$D$86&lt;=I$11)*(Buchungen!$E$7:$E$86&gt;I$11)*(Buchungen!$J$7:$J$86&lt;&gt;"Storniert"))&gt;1,"!",INDEX(Buchungen!$K$7:$K$86,SUMPRODUCT(MAX(((Buchungen!$B$7:$B$86=$A14)*(Buchungen!$D$7:$D$86&lt;=I$11)*(Buchungen!$E$7:$E$86&gt;I$11)*(Buchungen!$J$7:$J$86&lt;&gt;"Storniert"))*ROW(Buchungen!$B$7:$B$86)))-6))))</f>
        <v/>
      </c>
      <c r="J14" s="24" t="str">
        <f aca="false">IF(J$11="","",IF(SUMPRODUCT((Buchungen!$B$7:$B$86=$A14)*(Buchungen!$D$7:$D$86&lt;=J$11)*(Buchungen!$E$7:$E$86&gt;J$11)*(Buchungen!$J$7:$J$86&lt;&gt;"Storniert"))=0,"",IF(SUMPRODUCT((Buchungen!$B$7:$B$86=$A14)*(Buchungen!$D$7:$D$86&lt;=J$11)*(Buchungen!$E$7:$E$86&gt;J$11)*(Buchungen!$J$7:$J$86&lt;&gt;"Storniert"))&gt;1,"!",INDEX(Buchungen!$K$7:$K$86,SUMPRODUCT(MAX(((Buchungen!$B$7:$B$86=$A14)*(Buchungen!$D$7:$D$86&lt;=J$11)*(Buchungen!$E$7:$E$86&gt;J$11)*(Buchungen!$J$7:$J$86&lt;&gt;"Storniert"))*ROW(Buchungen!$B$7:$B$86)))-6))))</f>
        <v>W</v>
      </c>
      <c r="K14" s="24" t="str">
        <f aca="false">IF(K$11="","",IF(SUMPRODUCT((Buchungen!$B$7:$B$86=$A14)*(Buchungen!$D$7:$D$86&lt;=K$11)*(Buchungen!$E$7:$E$86&gt;K$11)*(Buchungen!$J$7:$J$86&lt;&gt;"Storniert"))=0,"",IF(SUMPRODUCT((Buchungen!$B$7:$B$86=$A14)*(Buchungen!$D$7:$D$86&lt;=K$11)*(Buchungen!$E$7:$E$86&gt;K$11)*(Buchungen!$J$7:$J$86&lt;&gt;"Storniert"))&gt;1,"!",INDEX(Buchungen!$K$7:$K$86,SUMPRODUCT(MAX(((Buchungen!$B$7:$B$86=$A14)*(Buchungen!$D$7:$D$86&lt;=K$11)*(Buchungen!$E$7:$E$86&gt;K$11)*(Buchungen!$J$7:$J$86&lt;&gt;"Storniert"))*ROW(Buchungen!$B$7:$B$86)))-6))))</f>
        <v>W</v>
      </c>
      <c r="L14" s="24" t="str">
        <f aca="false">IF(L$11="","",IF(SUMPRODUCT((Buchungen!$B$7:$B$86=$A14)*(Buchungen!$D$7:$D$86&lt;=L$11)*(Buchungen!$E$7:$E$86&gt;L$11)*(Buchungen!$J$7:$J$86&lt;&gt;"Storniert"))=0,"",IF(SUMPRODUCT((Buchungen!$B$7:$B$86=$A14)*(Buchungen!$D$7:$D$86&lt;=L$11)*(Buchungen!$E$7:$E$86&gt;L$11)*(Buchungen!$J$7:$J$86&lt;&gt;"Storniert"))&gt;1,"!",INDEX(Buchungen!$K$7:$K$86,SUMPRODUCT(MAX(((Buchungen!$B$7:$B$86=$A14)*(Buchungen!$D$7:$D$86&lt;=L$11)*(Buchungen!$E$7:$E$86&gt;L$11)*(Buchungen!$J$7:$J$86&lt;&gt;"Storniert"))*ROW(Buchungen!$B$7:$B$86)))-6))))</f>
        <v>W</v>
      </c>
      <c r="M14" s="24" t="str">
        <f aca="false">IF(M$11="","",IF(SUMPRODUCT((Buchungen!$B$7:$B$86=$A14)*(Buchungen!$D$7:$D$86&lt;=M$11)*(Buchungen!$E$7:$E$86&gt;M$11)*(Buchungen!$J$7:$J$86&lt;&gt;"Storniert"))=0,"",IF(SUMPRODUCT((Buchungen!$B$7:$B$86=$A14)*(Buchungen!$D$7:$D$86&lt;=M$11)*(Buchungen!$E$7:$E$86&gt;M$11)*(Buchungen!$J$7:$J$86&lt;&gt;"Storniert"))&gt;1,"!",INDEX(Buchungen!$K$7:$K$86,SUMPRODUCT(MAX(((Buchungen!$B$7:$B$86=$A14)*(Buchungen!$D$7:$D$86&lt;=M$11)*(Buchungen!$E$7:$E$86&gt;M$11)*(Buchungen!$J$7:$J$86&lt;&gt;"Storniert"))*ROW(Buchungen!$B$7:$B$86)))-6))))</f>
        <v/>
      </c>
      <c r="N14" s="24" t="str">
        <f aca="false">IF(N$11="","",IF(SUMPRODUCT((Buchungen!$B$7:$B$86=$A14)*(Buchungen!$D$7:$D$86&lt;=N$11)*(Buchungen!$E$7:$E$86&gt;N$11)*(Buchungen!$J$7:$J$86&lt;&gt;"Storniert"))=0,"",IF(SUMPRODUCT((Buchungen!$B$7:$B$86=$A14)*(Buchungen!$D$7:$D$86&lt;=N$11)*(Buchungen!$E$7:$E$86&gt;N$11)*(Buchungen!$J$7:$J$86&lt;&gt;"Storniert"))&gt;1,"!",INDEX(Buchungen!$K$7:$K$86,SUMPRODUCT(MAX(((Buchungen!$B$7:$B$86=$A14)*(Buchungen!$D$7:$D$86&lt;=N$11)*(Buchungen!$E$7:$E$86&gt;N$11)*(Buchungen!$J$7:$J$86&lt;&gt;"Storniert"))*ROW(Buchungen!$B$7:$B$86)))-6))))</f>
        <v/>
      </c>
      <c r="O14" s="24" t="str">
        <f aca="false">IF(O$11="","",IF(SUMPRODUCT((Buchungen!$B$7:$B$86=$A14)*(Buchungen!$D$7:$D$86&lt;=O$11)*(Buchungen!$E$7:$E$86&gt;O$11)*(Buchungen!$J$7:$J$86&lt;&gt;"Storniert"))=0,"",IF(SUMPRODUCT((Buchungen!$B$7:$B$86=$A14)*(Buchungen!$D$7:$D$86&lt;=O$11)*(Buchungen!$E$7:$E$86&gt;O$11)*(Buchungen!$J$7:$J$86&lt;&gt;"Storniert"))&gt;1,"!",INDEX(Buchungen!$K$7:$K$86,SUMPRODUCT(MAX(((Buchungen!$B$7:$B$86=$A14)*(Buchungen!$D$7:$D$86&lt;=O$11)*(Buchungen!$E$7:$E$86&gt;O$11)*(Buchungen!$J$7:$J$86&lt;&gt;"Storniert"))*ROW(Buchungen!$B$7:$B$86)))-6))))</f>
        <v/>
      </c>
      <c r="P14" s="24" t="str">
        <f aca="false">IF(P$11="","",IF(SUMPRODUCT((Buchungen!$B$7:$B$86=$A14)*(Buchungen!$D$7:$D$86&lt;=P$11)*(Buchungen!$E$7:$E$86&gt;P$11)*(Buchungen!$J$7:$J$86&lt;&gt;"Storniert"))=0,"",IF(SUMPRODUCT((Buchungen!$B$7:$B$86=$A14)*(Buchungen!$D$7:$D$86&lt;=P$11)*(Buchungen!$E$7:$E$86&gt;P$11)*(Buchungen!$J$7:$J$86&lt;&gt;"Storniert"))&gt;1,"!",INDEX(Buchungen!$K$7:$K$86,SUMPRODUCT(MAX(((Buchungen!$B$7:$B$86=$A14)*(Buchungen!$D$7:$D$86&lt;=P$11)*(Buchungen!$E$7:$E$86&gt;P$11)*(Buchungen!$J$7:$J$86&lt;&gt;"Storniert"))*ROW(Buchungen!$B$7:$B$86)))-6))))</f>
        <v>B</v>
      </c>
      <c r="Q14" s="24" t="str">
        <f aca="false">IF(Q$11="","",IF(SUMPRODUCT((Buchungen!$B$7:$B$86=$A14)*(Buchungen!$D$7:$D$86&lt;=Q$11)*(Buchungen!$E$7:$E$86&gt;Q$11)*(Buchungen!$J$7:$J$86&lt;&gt;"Storniert"))=0,"",IF(SUMPRODUCT((Buchungen!$B$7:$B$86=$A14)*(Buchungen!$D$7:$D$86&lt;=Q$11)*(Buchungen!$E$7:$E$86&gt;Q$11)*(Buchungen!$J$7:$J$86&lt;&gt;"Storniert"))&gt;1,"!",INDEX(Buchungen!$K$7:$K$86,SUMPRODUCT(MAX(((Buchungen!$B$7:$B$86=$A14)*(Buchungen!$D$7:$D$86&lt;=Q$11)*(Buchungen!$E$7:$E$86&gt;Q$11)*(Buchungen!$J$7:$J$86&lt;&gt;"Storniert"))*ROW(Buchungen!$B$7:$B$86)))-6))))</f>
        <v>B</v>
      </c>
      <c r="R14" s="24" t="str">
        <f aca="false">IF(R$11="","",IF(SUMPRODUCT((Buchungen!$B$7:$B$86=$A14)*(Buchungen!$D$7:$D$86&lt;=R$11)*(Buchungen!$E$7:$E$86&gt;R$11)*(Buchungen!$J$7:$J$86&lt;&gt;"Storniert"))=0,"",IF(SUMPRODUCT((Buchungen!$B$7:$B$86=$A14)*(Buchungen!$D$7:$D$86&lt;=R$11)*(Buchungen!$E$7:$E$86&gt;R$11)*(Buchungen!$J$7:$J$86&lt;&gt;"Storniert"))&gt;1,"!",INDEX(Buchungen!$K$7:$K$86,SUMPRODUCT(MAX(((Buchungen!$B$7:$B$86=$A14)*(Buchungen!$D$7:$D$86&lt;=R$11)*(Buchungen!$E$7:$E$86&gt;R$11)*(Buchungen!$J$7:$J$86&lt;&gt;"Storniert"))*ROW(Buchungen!$B$7:$B$86)))-6))))</f>
        <v/>
      </c>
      <c r="S14" s="24" t="str">
        <f aca="false">IF(S$11="","",IF(SUMPRODUCT((Buchungen!$B$7:$B$86=$A14)*(Buchungen!$D$7:$D$86&lt;=S$11)*(Buchungen!$E$7:$E$86&gt;S$11)*(Buchungen!$J$7:$J$86&lt;&gt;"Storniert"))=0,"",IF(SUMPRODUCT((Buchungen!$B$7:$B$86=$A14)*(Buchungen!$D$7:$D$86&lt;=S$11)*(Buchungen!$E$7:$E$86&gt;S$11)*(Buchungen!$J$7:$J$86&lt;&gt;"Storniert"))&gt;1,"!",INDEX(Buchungen!$K$7:$K$86,SUMPRODUCT(MAX(((Buchungen!$B$7:$B$86=$A14)*(Buchungen!$D$7:$D$86&lt;=S$11)*(Buchungen!$E$7:$E$86&gt;S$11)*(Buchungen!$J$7:$J$86&lt;&gt;"Storniert"))*ROW(Buchungen!$B$7:$B$86)))-6))))</f>
        <v>B</v>
      </c>
      <c r="T14" s="24" t="str">
        <f aca="false">IF(T$11="","",IF(SUMPRODUCT((Buchungen!$B$7:$B$86=$A14)*(Buchungen!$D$7:$D$86&lt;=T$11)*(Buchungen!$E$7:$E$86&gt;T$11)*(Buchungen!$J$7:$J$86&lt;&gt;"Storniert"))=0,"",IF(SUMPRODUCT((Buchungen!$B$7:$B$86=$A14)*(Buchungen!$D$7:$D$86&lt;=T$11)*(Buchungen!$E$7:$E$86&gt;T$11)*(Buchungen!$J$7:$J$86&lt;&gt;"Storniert"))&gt;1,"!",INDEX(Buchungen!$K$7:$K$86,SUMPRODUCT(MAX(((Buchungen!$B$7:$B$86=$A14)*(Buchungen!$D$7:$D$86&lt;=T$11)*(Buchungen!$E$7:$E$86&gt;T$11)*(Buchungen!$J$7:$J$86&lt;&gt;"Storniert"))*ROW(Buchungen!$B$7:$B$86)))-6))))</f>
        <v>B</v>
      </c>
      <c r="U14" s="24" t="str">
        <f aca="false">IF(U$11="","",IF(SUMPRODUCT((Buchungen!$B$7:$B$86=$A14)*(Buchungen!$D$7:$D$86&lt;=U$11)*(Buchungen!$E$7:$E$86&gt;U$11)*(Buchungen!$J$7:$J$86&lt;&gt;"Storniert"))=0,"",IF(SUMPRODUCT((Buchungen!$B$7:$B$86=$A14)*(Buchungen!$D$7:$D$86&lt;=U$11)*(Buchungen!$E$7:$E$86&gt;U$11)*(Buchungen!$J$7:$J$86&lt;&gt;"Storniert"))&gt;1,"!",INDEX(Buchungen!$K$7:$K$86,SUMPRODUCT(MAX(((Buchungen!$B$7:$B$86=$A14)*(Buchungen!$D$7:$D$86&lt;=U$11)*(Buchungen!$E$7:$E$86&gt;U$11)*(Buchungen!$J$7:$J$86&lt;&gt;"Storniert"))*ROW(Buchungen!$B$7:$B$86)))-6))))</f>
        <v>B</v>
      </c>
      <c r="V14" s="24" t="str">
        <f aca="false">IF(V$11="","",IF(SUMPRODUCT((Buchungen!$B$7:$B$86=$A14)*(Buchungen!$D$7:$D$86&lt;=V$11)*(Buchungen!$E$7:$E$86&gt;V$11)*(Buchungen!$J$7:$J$86&lt;&gt;"Storniert"))=0,"",IF(SUMPRODUCT((Buchungen!$B$7:$B$86=$A14)*(Buchungen!$D$7:$D$86&lt;=V$11)*(Buchungen!$E$7:$E$86&gt;V$11)*(Buchungen!$J$7:$J$86&lt;&gt;"Storniert"))&gt;1,"!",INDEX(Buchungen!$K$7:$K$86,SUMPRODUCT(MAX(((Buchungen!$B$7:$B$86=$A14)*(Buchungen!$D$7:$D$86&lt;=V$11)*(Buchungen!$E$7:$E$86&gt;V$11)*(Buchungen!$J$7:$J$86&lt;&gt;"Storniert"))*ROW(Buchungen!$B$7:$B$86)))-6))))</f>
        <v>O</v>
      </c>
      <c r="W14" s="24" t="str">
        <f aca="false">IF(W$11="","",IF(SUMPRODUCT((Buchungen!$B$7:$B$86=$A14)*(Buchungen!$D$7:$D$86&lt;=W$11)*(Buchungen!$E$7:$E$86&gt;W$11)*(Buchungen!$J$7:$J$86&lt;&gt;"Storniert"))=0,"",IF(SUMPRODUCT((Buchungen!$B$7:$B$86=$A14)*(Buchungen!$D$7:$D$86&lt;=W$11)*(Buchungen!$E$7:$E$86&gt;W$11)*(Buchungen!$J$7:$J$86&lt;&gt;"Storniert"))&gt;1,"!",INDEX(Buchungen!$K$7:$K$86,SUMPRODUCT(MAX(((Buchungen!$B$7:$B$86=$A14)*(Buchungen!$D$7:$D$86&lt;=W$11)*(Buchungen!$E$7:$E$86&gt;W$11)*(Buchungen!$J$7:$J$86&lt;&gt;"Storniert"))*ROW(Buchungen!$B$7:$B$86)))-6))))</f>
        <v>O</v>
      </c>
      <c r="X14" s="24" t="str">
        <f aca="false">IF(X$11="","",IF(SUMPRODUCT((Buchungen!$B$7:$B$86=$A14)*(Buchungen!$D$7:$D$86&lt;=X$11)*(Buchungen!$E$7:$E$86&gt;X$11)*(Buchungen!$J$7:$J$86&lt;&gt;"Storniert"))=0,"",IF(SUMPRODUCT((Buchungen!$B$7:$B$86=$A14)*(Buchungen!$D$7:$D$86&lt;=X$11)*(Buchungen!$E$7:$E$86&gt;X$11)*(Buchungen!$J$7:$J$86&lt;&gt;"Storniert"))&gt;1,"!",INDEX(Buchungen!$K$7:$K$86,SUMPRODUCT(MAX(((Buchungen!$B$7:$B$86=$A14)*(Buchungen!$D$7:$D$86&lt;=X$11)*(Buchungen!$E$7:$E$86&gt;X$11)*(Buchungen!$J$7:$J$86&lt;&gt;"Storniert"))*ROW(Buchungen!$B$7:$B$86)))-6))))</f>
        <v>O</v>
      </c>
      <c r="Y14" s="24" t="str">
        <f aca="false">IF(Y$11="","",IF(SUMPRODUCT((Buchungen!$B$7:$B$86=$A14)*(Buchungen!$D$7:$D$86&lt;=Y$11)*(Buchungen!$E$7:$E$86&gt;Y$11)*(Buchungen!$J$7:$J$86&lt;&gt;"Storniert"))=0,"",IF(SUMPRODUCT((Buchungen!$B$7:$B$86=$A14)*(Buchungen!$D$7:$D$86&lt;=Y$11)*(Buchungen!$E$7:$E$86&gt;Y$11)*(Buchungen!$J$7:$J$86&lt;&gt;"Storniert"))&gt;1,"!",INDEX(Buchungen!$K$7:$K$86,SUMPRODUCT(MAX(((Buchungen!$B$7:$B$86=$A14)*(Buchungen!$D$7:$D$86&lt;=Y$11)*(Buchungen!$E$7:$E$86&gt;Y$11)*(Buchungen!$J$7:$J$86&lt;&gt;"Storniert"))*ROW(Buchungen!$B$7:$B$86)))-6))))</f>
        <v>B</v>
      </c>
      <c r="Z14" s="24" t="str">
        <f aca="false">IF(Z$11="","",IF(SUMPRODUCT((Buchungen!$B$7:$B$86=$A14)*(Buchungen!$D$7:$D$86&lt;=Z$11)*(Buchungen!$E$7:$E$86&gt;Z$11)*(Buchungen!$J$7:$J$86&lt;&gt;"Storniert"))=0,"",IF(SUMPRODUCT((Buchungen!$B$7:$B$86=$A14)*(Buchungen!$D$7:$D$86&lt;=Z$11)*(Buchungen!$E$7:$E$86&gt;Z$11)*(Buchungen!$J$7:$J$86&lt;&gt;"Storniert"))&gt;1,"!",INDEX(Buchungen!$K$7:$K$86,SUMPRODUCT(MAX(((Buchungen!$B$7:$B$86=$A14)*(Buchungen!$D$7:$D$86&lt;=Z$11)*(Buchungen!$E$7:$E$86&gt;Z$11)*(Buchungen!$J$7:$J$86&lt;&gt;"Storniert"))*ROW(Buchungen!$B$7:$B$86)))-6))))</f>
        <v>B</v>
      </c>
      <c r="AA14" s="24" t="str">
        <f aca="false">IF(AA$11="","",IF(SUMPRODUCT((Buchungen!$B$7:$B$86=$A14)*(Buchungen!$D$7:$D$86&lt;=AA$11)*(Buchungen!$E$7:$E$86&gt;AA$11)*(Buchungen!$J$7:$J$86&lt;&gt;"Storniert"))=0,"",IF(SUMPRODUCT((Buchungen!$B$7:$B$86=$A14)*(Buchungen!$D$7:$D$86&lt;=AA$11)*(Buchungen!$E$7:$E$86&gt;AA$11)*(Buchungen!$J$7:$J$86&lt;&gt;"Storniert"))&gt;1,"!",INDEX(Buchungen!$K$7:$K$86,SUMPRODUCT(MAX(((Buchungen!$B$7:$B$86=$A14)*(Buchungen!$D$7:$D$86&lt;=AA$11)*(Buchungen!$E$7:$E$86&gt;AA$11)*(Buchungen!$J$7:$J$86&lt;&gt;"Storniert"))*ROW(Buchungen!$B$7:$B$86)))-6))))</f>
        <v>B</v>
      </c>
      <c r="AB14" s="24" t="str">
        <f aca="false">IF(AB$11="","",IF(SUMPRODUCT((Buchungen!$B$7:$B$86=$A14)*(Buchungen!$D$7:$D$86&lt;=AB$11)*(Buchungen!$E$7:$E$86&gt;AB$11)*(Buchungen!$J$7:$J$86&lt;&gt;"Storniert"))=0,"",IF(SUMPRODUCT((Buchungen!$B$7:$B$86=$A14)*(Buchungen!$D$7:$D$86&lt;=AB$11)*(Buchungen!$E$7:$E$86&gt;AB$11)*(Buchungen!$J$7:$J$86&lt;&gt;"Storniert"))&gt;1,"!",INDEX(Buchungen!$K$7:$K$86,SUMPRODUCT(MAX(((Buchungen!$B$7:$B$86=$A14)*(Buchungen!$D$7:$D$86&lt;=AB$11)*(Buchungen!$E$7:$E$86&gt;AB$11)*(Buchungen!$J$7:$J$86&lt;&gt;"Storniert"))*ROW(Buchungen!$B$7:$B$86)))-6))))</f>
        <v/>
      </c>
      <c r="AC14" s="24" t="str">
        <f aca="false">IF(AC$11="","",IF(SUMPRODUCT((Buchungen!$B$7:$B$86=$A14)*(Buchungen!$D$7:$D$86&lt;=AC$11)*(Buchungen!$E$7:$E$86&gt;AC$11)*(Buchungen!$J$7:$J$86&lt;&gt;"Storniert"))=0,"",IF(SUMPRODUCT((Buchungen!$B$7:$B$86=$A14)*(Buchungen!$D$7:$D$86&lt;=AC$11)*(Buchungen!$E$7:$E$86&gt;AC$11)*(Buchungen!$J$7:$J$86&lt;&gt;"Storniert"))&gt;1,"!",INDEX(Buchungen!$K$7:$K$86,SUMPRODUCT(MAX(((Buchungen!$B$7:$B$86=$A14)*(Buchungen!$D$7:$D$86&lt;=AC$11)*(Buchungen!$E$7:$E$86&gt;AC$11)*(Buchungen!$J$7:$J$86&lt;&gt;"Storniert"))*ROW(Buchungen!$B$7:$B$86)))-6))))</f>
        <v>B</v>
      </c>
      <c r="AD14" s="24" t="str">
        <f aca="false">IF(AD$11="","",IF(SUMPRODUCT((Buchungen!$B$7:$B$86=$A14)*(Buchungen!$D$7:$D$86&lt;=AD$11)*(Buchungen!$E$7:$E$86&gt;AD$11)*(Buchungen!$J$7:$J$86&lt;&gt;"Storniert"))=0,"",IF(SUMPRODUCT((Buchungen!$B$7:$B$86=$A14)*(Buchungen!$D$7:$D$86&lt;=AD$11)*(Buchungen!$E$7:$E$86&gt;AD$11)*(Buchungen!$J$7:$J$86&lt;&gt;"Storniert"))&gt;1,"!",INDEX(Buchungen!$K$7:$K$86,SUMPRODUCT(MAX(((Buchungen!$B$7:$B$86=$A14)*(Buchungen!$D$7:$D$86&lt;=AD$11)*(Buchungen!$E$7:$E$86&gt;AD$11)*(Buchungen!$J$7:$J$86&lt;&gt;"Storniert"))*ROW(Buchungen!$B$7:$B$86)))-6))))</f>
        <v>B</v>
      </c>
      <c r="AE14" s="24" t="str">
        <f aca="false">IF(AE$11="","",IF(SUMPRODUCT((Buchungen!$B$7:$B$86=$A14)*(Buchungen!$D$7:$D$86&lt;=AE$11)*(Buchungen!$E$7:$E$86&gt;AE$11)*(Buchungen!$J$7:$J$86&lt;&gt;"Storniert"))=0,"",IF(SUMPRODUCT((Buchungen!$B$7:$B$86=$A14)*(Buchungen!$D$7:$D$86&lt;=AE$11)*(Buchungen!$E$7:$E$86&gt;AE$11)*(Buchungen!$J$7:$J$86&lt;&gt;"Storniert"))&gt;1,"!",INDEX(Buchungen!$K$7:$K$86,SUMPRODUCT(MAX(((Buchungen!$B$7:$B$86=$A14)*(Buchungen!$D$7:$D$86&lt;=AE$11)*(Buchungen!$E$7:$E$86&gt;AE$11)*(Buchungen!$J$7:$J$86&lt;&gt;"Storniert"))*ROW(Buchungen!$B$7:$B$86)))-6))))</f>
        <v>B</v>
      </c>
      <c r="AF14" s="24" t="str">
        <f aca="false">IF(AF$11="","",IF(SUMPRODUCT((Buchungen!$B$7:$B$86=$A14)*(Buchungen!$D$7:$D$86&lt;=AF$11)*(Buchungen!$E$7:$E$86&gt;AF$11)*(Buchungen!$J$7:$J$86&lt;&gt;"Storniert"))=0,"",IF(SUMPRODUCT((Buchungen!$B$7:$B$86=$A14)*(Buchungen!$D$7:$D$86&lt;=AF$11)*(Buchungen!$E$7:$E$86&gt;AF$11)*(Buchungen!$J$7:$J$86&lt;&gt;"Storniert"))&gt;1,"!",INDEX(Buchungen!$K$7:$K$86,SUMPRODUCT(MAX(((Buchungen!$B$7:$B$86=$A14)*(Buchungen!$D$7:$D$86&lt;=AF$11)*(Buchungen!$E$7:$E$86&gt;AF$11)*(Buchungen!$J$7:$J$86&lt;&gt;"Storniert"))*ROW(Buchungen!$B$7:$B$86)))-6))))</f>
        <v>B</v>
      </c>
      <c r="AG14" s="24" t="str">
        <f aca="false">IF(AG$11="","",IF(SUMPRODUCT((Buchungen!$B$7:$B$86=$A14)*(Buchungen!$D$7:$D$86&lt;=AG$11)*(Buchungen!$E$7:$E$86&gt;AG$11)*(Buchungen!$J$7:$J$86&lt;&gt;"Storniert"))=0,"",IF(SUMPRODUCT((Buchungen!$B$7:$B$86=$A14)*(Buchungen!$D$7:$D$86&lt;=AG$11)*(Buchungen!$E$7:$E$86&gt;AG$11)*(Buchungen!$J$7:$J$86&lt;&gt;"Storniert"))&gt;1,"!",INDEX(Buchungen!$K$7:$K$86,SUMPRODUCT(MAX(((Buchungen!$B$7:$B$86=$A14)*(Buchungen!$D$7:$D$86&lt;=AG$11)*(Buchungen!$E$7:$E$86&gt;AG$11)*(Buchungen!$J$7:$J$86&lt;&gt;"Storniert"))*ROW(Buchungen!$B$7:$B$86)))-6))))</f>
        <v>B</v>
      </c>
      <c r="AH14" s="25" t="n">
        <f aca="false">SUMIFS(Buchungen!$O$7:$O$86,Buchungen!$B$7:$B$86,$A14)</f>
        <v>15</v>
      </c>
      <c r="AI14" s="26" t="n">
        <f aca="false">IFERROR($AH14/$C$7,0)</f>
        <v>0.483870967741936</v>
      </c>
      <c r="AJ14" s="27" t="n">
        <f aca="false">SUMIFS(Buchungen!$P$7:$P$86,Buchungen!$B$7:$B$86,$A14)</f>
        <v>1635</v>
      </c>
    </row>
    <row r="15" customFormat="false" ht="16.5" hidden="false" customHeight="true" outlineLevel="0" collapsed="false">
      <c r="A15" s="28" t="str">
        <f aca="false">IF(OR(Stammdaten!$A10="",Stammdaten!$G10="Nein"),"",Stammdaten!$A10)</f>
        <v>Z-104</v>
      </c>
      <c r="B15" s="29" t="str">
        <f aca="false">IF($A15="","",Stammdaten!$B10)</f>
        <v>Doppelzimmer Standard</v>
      </c>
      <c r="C15" s="30" t="str">
        <f aca="false">IF(C$11="","",IF(SUMPRODUCT((Buchungen!$B$7:$B$86=$A15)*(Buchungen!$D$7:$D$86&lt;=C$11)*(Buchungen!$E$7:$E$86&gt;C$11)*(Buchungen!$J$7:$J$86&lt;&gt;"Storniert"))=0,"",IF(SUMPRODUCT((Buchungen!$B$7:$B$86=$A15)*(Buchungen!$D$7:$D$86&lt;=C$11)*(Buchungen!$E$7:$E$86&gt;C$11)*(Buchungen!$J$7:$J$86&lt;&gt;"Storniert"))&gt;1,"!",INDEX(Buchungen!$K$7:$K$86,SUMPRODUCT(MAX(((Buchungen!$B$7:$B$86=$A15)*(Buchungen!$D$7:$D$86&lt;=C$11)*(Buchungen!$E$7:$E$86&gt;C$11)*(Buchungen!$J$7:$J$86&lt;&gt;"Storniert"))*ROW(Buchungen!$B$7:$B$86)))-6))))</f>
        <v>B</v>
      </c>
      <c r="D15" s="30" t="str">
        <f aca="false">IF(D$11="","",IF(SUMPRODUCT((Buchungen!$B$7:$B$86=$A15)*(Buchungen!$D$7:$D$86&lt;=D$11)*(Buchungen!$E$7:$E$86&gt;D$11)*(Buchungen!$J$7:$J$86&lt;&gt;"Storniert"))=0,"",IF(SUMPRODUCT((Buchungen!$B$7:$B$86=$A15)*(Buchungen!$D$7:$D$86&lt;=D$11)*(Buchungen!$E$7:$E$86&gt;D$11)*(Buchungen!$J$7:$J$86&lt;&gt;"Storniert"))&gt;1,"!",INDEX(Buchungen!$K$7:$K$86,SUMPRODUCT(MAX(((Buchungen!$B$7:$B$86=$A15)*(Buchungen!$D$7:$D$86&lt;=D$11)*(Buchungen!$E$7:$E$86&gt;D$11)*(Buchungen!$J$7:$J$86&lt;&gt;"Storniert"))*ROW(Buchungen!$B$7:$B$86)))-6))))</f>
        <v>B</v>
      </c>
      <c r="E15" s="30" t="str">
        <f aca="false">IF(E$11="","",IF(SUMPRODUCT((Buchungen!$B$7:$B$86=$A15)*(Buchungen!$D$7:$D$86&lt;=E$11)*(Buchungen!$E$7:$E$86&gt;E$11)*(Buchungen!$J$7:$J$86&lt;&gt;"Storniert"))=0,"",IF(SUMPRODUCT((Buchungen!$B$7:$B$86=$A15)*(Buchungen!$D$7:$D$86&lt;=E$11)*(Buchungen!$E$7:$E$86&gt;E$11)*(Buchungen!$J$7:$J$86&lt;&gt;"Storniert"))&gt;1,"!",INDEX(Buchungen!$K$7:$K$86,SUMPRODUCT(MAX(((Buchungen!$B$7:$B$86=$A15)*(Buchungen!$D$7:$D$86&lt;=E$11)*(Buchungen!$E$7:$E$86&gt;E$11)*(Buchungen!$J$7:$J$86&lt;&gt;"Storniert"))*ROW(Buchungen!$B$7:$B$86)))-6))))</f>
        <v>B</v>
      </c>
      <c r="F15" s="30" t="str">
        <f aca="false">IF(F$11="","",IF(SUMPRODUCT((Buchungen!$B$7:$B$86=$A15)*(Buchungen!$D$7:$D$86&lt;=F$11)*(Buchungen!$E$7:$E$86&gt;F$11)*(Buchungen!$J$7:$J$86&lt;&gt;"Storniert"))=0,"",IF(SUMPRODUCT((Buchungen!$B$7:$B$86=$A15)*(Buchungen!$D$7:$D$86&lt;=F$11)*(Buchungen!$E$7:$E$86&gt;F$11)*(Buchungen!$J$7:$J$86&lt;&gt;"Storniert"))&gt;1,"!",INDEX(Buchungen!$K$7:$K$86,SUMPRODUCT(MAX(((Buchungen!$B$7:$B$86=$A15)*(Buchungen!$D$7:$D$86&lt;=F$11)*(Buchungen!$E$7:$E$86&gt;F$11)*(Buchungen!$J$7:$J$86&lt;&gt;"Storniert"))*ROW(Buchungen!$B$7:$B$86)))-6))))</f>
        <v/>
      </c>
      <c r="G15" s="30" t="str">
        <f aca="false">IF(G$11="","",IF(SUMPRODUCT((Buchungen!$B$7:$B$86=$A15)*(Buchungen!$D$7:$D$86&lt;=G$11)*(Buchungen!$E$7:$E$86&gt;G$11)*(Buchungen!$J$7:$J$86&lt;&gt;"Storniert"))=0,"",IF(SUMPRODUCT((Buchungen!$B$7:$B$86=$A15)*(Buchungen!$D$7:$D$86&lt;=G$11)*(Buchungen!$E$7:$E$86&gt;G$11)*(Buchungen!$J$7:$J$86&lt;&gt;"Storniert"))&gt;1,"!",INDEX(Buchungen!$K$7:$K$86,SUMPRODUCT(MAX(((Buchungen!$B$7:$B$86=$A15)*(Buchungen!$D$7:$D$86&lt;=G$11)*(Buchungen!$E$7:$E$86&gt;G$11)*(Buchungen!$J$7:$J$86&lt;&gt;"Storniert"))*ROW(Buchungen!$B$7:$B$86)))-6))))</f>
        <v/>
      </c>
      <c r="H15" s="30" t="str">
        <f aca="false">IF(H$11="","",IF(SUMPRODUCT((Buchungen!$B$7:$B$86=$A15)*(Buchungen!$D$7:$D$86&lt;=H$11)*(Buchungen!$E$7:$E$86&gt;H$11)*(Buchungen!$J$7:$J$86&lt;&gt;"Storniert"))=0,"",IF(SUMPRODUCT((Buchungen!$B$7:$B$86=$A15)*(Buchungen!$D$7:$D$86&lt;=H$11)*(Buchungen!$E$7:$E$86&gt;H$11)*(Buchungen!$J$7:$J$86&lt;&gt;"Storniert"))&gt;1,"!",INDEX(Buchungen!$K$7:$K$86,SUMPRODUCT(MAX(((Buchungen!$B$7:$B$86=$A15)*(Buchungen!$D$7:$D$86&lt;=H$11)*(Buchungen!$E$7:$E$86&gt;H$11)*(Buchungen!$J$7:$J$86&lt;&gt;"Storniert"))*ROW(Buchungen!$B$7:$B$86)))-6))))</f>
        <v/>
      </c>
      <c r="I15" s="30" t="str">
        <f aca="false">IF(I$11="","",IF(SUMPRODUCT((Buchungen!$B$7:$B$86=$A15)*(Buchungen!$D$7:$D$86&lt;=I$11)*(Buchungen!$E$7:$E$86&gt;I$11)*(Buchungen!$J$7:$J$86&lt;&gt;"Storniert"))=0,"",IF(SUMPRODUCT((Buchungen!$B$7:$B$86=$A15)*(Buchungen!$D$7:$D$86&lt;=I$11)*(Buchungen!$E$7:$E$86&gt;I$11)*(Buchungen!$J$7:$J$86&lt;&gt;"Storniert"))&gt;1,"!",INDEX(Buchungen!$K$7:$K$86,SUMPRODUCT(MAX(((Buchungen!$B$7:$B$86=$A15)*(Buchungen!$D$7:$D$86&lt;=I$11)*(Buchungen!$E$7:$E$86&gt;I$11)*(Buchungen!$J$7:$J$86&lt;&gt;"Storniert"))*ROW(Buchungen!$B$7:$B$86)))-6))))</f>
        <v>B</v>
      </c>
      <c r="J15" s="30" t="str">
        <f aca="false">IF(J$11="","",IF(SUMPRODUCT((Buchungen!$B$7:$B$86=$A15)*(Buchungen!$D$7:$D$86&lt;=J$11)*(Buchungen!$E$7:$E$86&gt;J$11)*(Buchungen!$J$7:$J$86&lt;&gt;"Storniert"))=0,"",IF(SUMPRODUCT((Buchungen!$B$7:$B$86=$A15)*(Buchungen!$D$7:$D$86&lt;=J$11)*(Buchungen!$E$7:$E$86&gt;J$11)*(Buchungen!$J$7:$J$86&lt;&gt;"Storniert"))&gt;1,"!",INDEX(Buchungen!$K$7:$K$86,SUMPRODUCT(MAX(((Buchungen!$B$7:$B$86=$A15)*(Buchungen!$D$7:$D$86&lt;=J$11)*(Buchungen!$E$7:$E$86&gt;J$11)*(Buchungen!$J$7:$J$86&lt;&gt;"Storniert"))*ROW(Buchungen!$B$7:$B$86)))-6))))</f>
        <v>B</v>
      </c>
      <c r="K15" s="30" t="str">
        <f aca="false">IF(K$11="","",IF(SUMPRODUCT((Buchungen!$B$7:$B$86=$A15)*(Buchungen!$D$7:$D$86&lt;=K$11)*(Buchungen!$E$7:$E$86&gt;K$11)*(Buchungen!$J$7:$J$86&lt;&gt;"Storniert"))=0,"",IF(SUMPRODUCT((Buchungen!$B$7:$B$86=$A15)*(Buchungen!$D$7:$D$86&lt;=K$11)*(Buchungen!$E$7:$E$86&gt;K$11)*(Buchungen!$J$7:$J$86&lt;&gt;"Storniert"))&gt;1,"!",INDEX(Buchungen!$K$7:$K$86,SUMPRODUCT(MAX(((Buchungen!$B$7:$B$86=$A15)*(Buchungen!$D$7:$D$86&lt;=K$11)*(Buchungen!$E$7:$E$86&gt;K$11)*(Buchungen!$J$7:$J$86&lt;&gt;"Storniert"))*ROW(Buchungen!$B$7:$B$86)))-6))))</f>
        <v>B</v>
      </c>
      <c r="L15" s="30" t="str">
        <f aca="false">IF(L$11="","",IF(SUMPRODUCT((Buchungen!$B$7:$B$86=$A15)*(Buchungen!$D$7:$D$86&lt;=L$11)*(Buchungen!$E$7:$E$86&gt;L$11)*(Buchungen!$J$7:$J$86&lt;&gt;"Storniert"))=0,"",IF(SUMPRODUCT((Buchungen!$B$7:$B$86=$A15)*(Buchungen!$D$7:$D$86&lt;=L$11)*(Buchungen!$E$7:$E$86&gt;L$11)*(Buchungen!$J$7:$J$86&lt;&gt;"Storniert"))&gt;1,"!",INDEX(Buchungen!$K$7:$K$86,SUMPRODUCT(MAX(((Buchungen!$B$7:$B$86=$A15)*(Buchungen!$D$7:$D$86&lt;=L$11)*(Buchungen!$E$7:$E$86&gt;L$11)*(Buchungen!$J$7:$J$86&lt;&gt;"Storniert"))*ROW(Buchungen!$B$7:$B$86)))-6))))</f>
        <v/>
      </c>
      <c r="M15" s="30" t="str">
        <f aca="false">IF(M$11="","",IF(SUMPRODUCT((Buchungen!$B$7:$B$86=$A15)*(Buchungen!$D$7:$D$86&lt;=M$11)*(Buchungen!$E$7:$E$86&gt;M$11)*(Buchungen!$J$7:$J$86&lt;&gt;"Storniert"))=0,"",IF(SUMPRODUCT((Buchungen!$B$7:$B$86=$A15)*(Buchungen!$D$7:$D$86&lt;=M$11)*(Buchungen!$E$7:$E$86&gt;M$11)*(Buchungen!$J$7:$J$86&lt;&gt;"Storniert"))&gt;1,"!",INDEX(Buchungen!$K$7:$K$86,SUMPRODUCT(MAX(((Buchungen!$B$7:$B$86=$A15)*(Buchungen!$D$7:$D$86&lt;=M$11)*(Buchungen!$E$7:$E$86&gt;M$11)*(Buchungen!$J$7:$J$86&lt;&gt;"Storniert"))*ROW(Buchungen!$B$7:$B$86)))-6))))</f>
        <v/>
      </c>
      <c r="N15" s="30" t="str">
        <f aca="false">IF(N$11="","",IF(SUMPRODUCT((Buchungen!$B$7:$B$86=$A15)*(Buchungen!$D$7:$D$86&lt;=N$11)*(Buchungen!$E$7:$E$86&gt;N$11)*(Buchungen!$J$7:$J$86&lt;&gt;"Storniert"))=0,"",IF(SUMPRODUCT((Buchungen!$B$7:$B$86=$A15)*(Buchungen!$D$7:$D$86&lt;=N$11)*(Buchungen!$E$7:$E$86&gt;N$11)*(Buchungen!$J$7:$J$86&lt;&gt;"Storniert"))&gt;1,"!",INDEX(Buchungen!$K$7:$K$86,SUMPRODUCT(MAX(((Buchungen!$B$7:$B$86=$A15)*(Buchungen!$D$7:$D$86&lt;=N$11)*(Buchungen!$E$7:$E$86&gt;N$11)*(Buchungen!$J$7:$J$86&lt;&gt;"Storniert"))*ROW(Buchungen!$B$7:$B$86)))-6))))</f>
        <v>B</v>
      </c>
      <c r="O15" s="30" t="str">
        <f aca="false">IF(O$11="","",IF(SUMPRODUCT((Buchungen!$B$7:$B$86=$A15)*(Buchungen!$D$7:$D$86&lt;=O$11)*(Buchungen!$E$7:$E$86&gt;O$11)*(Buchungen!$J$7:$J$86&lt;&gt;"Storniert"))=0,"",IF(SUMPRODUCT((Buchungen!$B$7:$B$86=$A15)*(Buchungen!$D$7:$D$86&lt;=O$11)*(Buchungen!$E$7:$E$86&gt;O$11)*(Buchungen!$J$7:$J$86&lt;&gt;"Storniert"))&gt;1,"!",INDEX(Buchungen!$K$7:$K$86,SUMPRODUCT(MAX(((Buchungen!$B$7:$B$86=$A15)*(Buchungen!$D$7:$D$86&lt;=O$11)*(Buchungen!$E$7:$E$86&gt;O$11)*(Buchungen!$J$7:$J$86&lt;&gt;"Storniert"))*ROW(Buchungen!$B$7:$B$86)))-6))))</f>
        <v>B</v>
      </c>
      <c r="P15" s="30" t="str">
        <f aca="false">IF(P$11="","",IF(SUMPRODUCT((Buchungen!$B$7:$B$86=$A15)*(Buchungen!$D$7:$D$86&lt;=P$11)*(Buchungen!$E$7:$E$86&gt;P$11)*(Buchungen!$J$7:$J$86&lt;&gt;"Storniert"))=0,"",IF(SUMPRODUCT((Buchungen!$B$7:$B$86=$A15)*(Buchungen!$D$7:$D$86&lt;=P$11)*(Buchungen!$E$7:$E$86&gt;P$11)*(Buchungen!$J$7:$J$86&lt;&gt;"Storniert"))&gt;1,"!",INDEX(Buchungen!$K$7:$K$86,SUMPRODUCT(MAX(((Buchungen!$B$7:$B$86=$A15)*(Buchungen!$D$7:$D$86&lt;=P$11)*(Buchungen!$E$7:$E$86&gt;P$11)*(Buchungen!$J$7:$J$86&lt;&gt;"Storniert"))*ROW(Buchungen!$B$7:$B$86)))-6))))</f>
        <v>B</v>
      </c>
      <c r="Q15" s="30" t="str">
        <f aca="false">IF(Q$11="","",IF(SUMPRODUCT((Buchungen!$B$7:$B$86=$A15)*(Buchungen!$D$7:$D$86&lt;=Q$11)*(Buchungen!$E$7:$E$86&gt;Q$11)*(Buchungen!$J$7:$J$86&lt;&gt;"Storniert"))=0,"",IF(SUMPRODUCT((Buchungen!$B$7:$B$86=$A15)*(Buchungen!$D$7:$D$86&lt;=Q$11)*(Buchungen!$E$7:$E$86&gt;Q$11)*(Buchungen!$J$7:$J$86&lt;&gt;"Storniert"))&gt;1,"!",INDEX(Buchungen!$K$7:$K$86,SUMPRODUCT(MAX(((Buchungen!$B$7:$B$86=$A15)*(Buchungen!$D$7:$D$86&lt;=Q$11)*(Buchungen!$E$7:$E$86&gt;Q$11)*(Buchungen!$J$7:$J$86&lt;&gt;"Storniert"))*ROW(Buchungen!$B$7:$B$86)))-6))))</f>
        <v>B</v>
      </c>
      <c r="R15" s="30" t="str">
        <f aca="false">IF(R$11="","",IF(SUMPRODUCT((Buchungen!$B$7:$B$86=$A15)*(Buchungen!$D$7:$D$86&lt;=R$11)*(Buchungen!$E$7:$E$86&gt;R$11)*(Buchungen!$J$7:$J$86&lt;&gt;"Storniert"))=0,"",IF(SUMPRODUCT((Buchungen!$B$7:$B$86=$A15)*(Buchungen!$D$7:$D$86&lt;=R$11)*(Buchungen!$E$7:$E$86&gt;R$11)*(Buchungen!$J$7:$J$86&lt;&gt;"Storniert"))&gt;1,"!",INDEX(Buchungen!$K$7:$K$86,SUMPRODUCT(MAX(((Buchungen!$B$7:$B$86=$A15)*(Buchungen!$D$7:$D$86&lt;=R$11)*(Buchungen!$E$7:$E$86&gt;R$11)*(Buchungen!$J$7:$J$86&lt;&gt;"Storniert"))*ROW(Buchungen!$B$7:$B$86)))-6))))</f>
        <v>B</v>
      </c>
      <c r="S15" s="30" t="str">
        <f aca="false">IF(S$11="","",IF(SUMPRODUCT((Buchungen!$B$7:$B$86=$A15)*(Buchungen!$D$7:$D$86&lt;=S$11)*(Buchungen!$E$7:$E$86&gt;S$11)*(Buchungen!$J$7:$J$86&lt;&gt;"Storniert"))=0,"",IF(SUMPRODUCT((Buchungen!$B$7:$B$86=$A15)*(Buchungen!$D$7:$D$86&lt;=S$11)*(Buchungen!$E$7:$E$86&gt;S$11)*(Buchungen!$J$7:$J$86&lt;&gt;"Storniert"))&gt;1,"!",INDEX(Buchungen!$K$7:$K$86,SUMPRODUCT(MAX(((Buchungen!$B$7:$B$86=$A15)*(Buchungen!$D$7:$D$86&lt;=S$11)*(Buchungen!$E$7:$E$86&gt;S$11)*(Buchungen!$J$7:$J$86&lt;&gt;"Storniert"))*ROW(Buchungen!$B$7:$B$86)))-6))))</f>
        <v>B</v>
      </c>
      <c r="T15" s="30" t="str">
        <f aca="false">IF(T$11="","",IF(SUMPRODUCT((Buchungen!$B$7:$B$86=$A15)*(Buchungen!$D$7:$D$86&lt;=T$11)*(Buchungen!$E$7:$E$86&gt;T$11)*(Buchungen!$J$7:$J$86&lt;&gt;"Storniert"))=0,"",IF(SUMPRODUCT((Buchungen!$B$7:$B$86=$A15)*(Buchungen!$D$7:$D$86&lt;=T$11)*(Buchungen!$E$7:$E$86&gt;T$11)*(Buchungen!$J$7:$J$86&lt;&gt;"Storniert"))&gt;1,"!",INDEX(Buchungen!$K$7:$K$86,SUMPRODUCT(MAX(((Buchungen!$B$7:$B$86=$A15)*(Buchungen!$D$7:$D$86&lt;=T$11)*(Buchungen!$E$7:$E$86&gt;T$11)*(Buchungen!$J$7:$J$86&lt;&gt;"Storniert"))*ROW(Buchungen!$B$7:$B$86)))-6))))</f>
        <v>B</v>
      </c>
      <c r="U15" s="30" t="str">
        <f aca="false">IF(U$11="","",IF(SUMPRODUCT((Buchungen!$B$7:$B$86=$A15)*(Buchungen!$D$7:$D$86&lt;=U$11)*(Buchungen!$E$7:$E$86&gt;U$11)*(Buchungen!$J$7:$J$86&lt;&gt;"Storniert"))=0,"",IF(SUMPRODUCT((Buchungen!$B$7:$B$86=$A15)*(Buchungen!$D$7:$D$86&lt;=U$11)*(Buchungen!$E$7:$E$86&gt;U$11)*(Buchungen!$J$7:$J$86&lt;&gt;"Storniert"))&gt;1,"!",INDEX(Buchungen!$K$7:$K$86,SUMPRODUCT(MAX(((Buchungen!$B$7:$B$86=$A15)*(Buchungen!$D$7:$D$86&lt;=U$11)*(Buchungen!$E$7:$E$86&gt;U$11)*(Buchungen!$J$7:$J$86&lt;&gt;"Storniert"))*ROW(Buchungen!$B$7:$B$86)))-6))))</f>
        <v/>
      </c>
      <c r="V15" s="30" t="str">
        <f aca="false">IF(V$11="","",IF(SUMPRODUCT((Buchungen!$B$7:$B$86=$A15)*(Buchungen!$D$7:$D$86&lt;=V$11)*(Buchungen!$E$7:$E$86&gt;V$11)*(Buchungen!$J$7:$J$86&lt;&gt;"Storniert"))=0,"",IF(SUMPRODUCT((Buchungen!$B$7:$B$86=$A15)*(Buchungen!$D$7:$D$86&lt;=V$11)*(Buchungen!$E$7:$E$86&gt;V$11)*(Buchungen!$J$7:$J$86&lt;&gt;"Storniert"))&gt;1,"!",INDEX(Buchungen!$K$7:$K$86,SUMPRODUCT(MAX(((Buchungen!$B$7:$B$86=$A15)*(Buchungen!$D$7:$D$86&lt;=V$11)*(Buchungen!$E$7:$E$86&gt;V$11)*(Buchungen!$J$7:$J$86&lt;&gt;"Storniert"))*ROW(Buchungen!$B$7:$B$86)))-6))))</f>
        <v>B</v>
      </c>
      <c r="W15" s="30" t="str">
        <f aca="false">IF(W$11="","",IF(SUMPRODUCT((Buchungen!$B$7:$B$86=$A15)*(Buchungen!$D$7:$D$86&lt;=W$11)*(Buchungen!$E$7:$E$86&gt;W$11)*(Buchungen!$J$7:$J$86&lt;&gt;"Storniert"))=0,"",IF(SUMPRODUCT((Buchungen!$B$7:$B$86=$A15)*(Buchungen!$D$7:$D$86&lt;=W$11)*(Buchungen!$E$7:$E$86&gt;W$11)*(Buchungen!$J$7:$J$86&lt;&gt;"Storniert"))&gt;1,"!",INDEX(Buchungen!$K$7:$K$86,SUMPRODUCT(MAX(((Buchungen!$B$7:$B$86=$A15)*(Buchungen!$D$7:$D$86&lt;=W$11)*(Buchungen!$E$7:$E$86&gt;W$11)*(Buchungen!$J$7:$J$86&lt;&gt;"Storniert"))*ROW(Buchungen!$B$7:$B$86)))-6))))</f>
        <v>B</v>
      </c>
      <c r="X15" s="30" t="str">
        <f aca="false">IF(X$11="","",IF(SUMPRODUCT((Buchungen!$B$7:$B$86=$A15)*(Buchungen!$D$7:$D$86&lt;=X$11)*(Buchungen!$E$7:$E$86&gt;X$11)*(Buchungen!$J$7:$J$86&lt;&gt;"Storniert"))=0,"",IF(SUMPRODUCT((Buchungen!$B$7:$B$86=$A15)*(Buchungen!$D$7:$D$86&lt;=X$11)*(Buchungen!$E$7:$E$86&gt;X$11)*(Buchungen!$J$7:$J$86&lt;&gt;"Storniert"))&gt;1,"!",INDEX(Buchungen!$K$7:$K$86,SUMPRODUCT(MAX(((Buchungen!$B$7:$B$86=$A15)*(Buchungen!$D$7:$D$86&lt;=X$11)*(Buchungen!$E$7:$E$86&gt;X$11)*(Buchungen!$J$7:$J$86&lt;&gt;"Storniert"))*ROW(Buchungen!$B$7:$B$86)))-6))))</f>
        <v>B</v>
      </c>
      <c r="Y15" s="30" t="str">
        <f aca="false">IF(Y$11="","",IF(SUMPRODUCT((Buchungen!$B$7:$B$86=$A15)*(Buchungen!$D$7:$D$86&lt;=Y$11)*(Buchungen!$E$7:$E$86&gt;Y$11)*(Buchungen!$J$7:$J$86&lt;&gt;"Storniert"))=0,"",IF(SUMPRODUCT((Buchungen!$B$7:$B$86=$A15)*(Buchungen!$D$7:$D$86&lt;=Y$11)*(Buchungen!$E$7:$E$86&gt;Y$11)*(Buchungen!$J$7:$J$86&lt;&gt;"Storniert"))&gt;1,"!",INDEX(Buchungen!$K$7:$K$86,SUMPRODUCT(MAX(((Buchungen!$B$7:$B$86=$A15)*(Buchungen!$D$7:$D$86&lt;=Y$11)*(Buchungen!$E$7:$E$86&gt;Y$11)*(Buchungen!$J$7:$J$86&lt;&gt;"Storniert"))*ROW(Buchungen!$B$7:$B$86)))-6))))</f>
        <v/>
      </c>
      <c r="Z15" s="30" t="str">
        <f aca="false">IF(Z$11="","",IF(SUMPRODUCT((Buchungen!$B$7:$B$86=$A15)*(Buchungen!$D$7:$D$86&lt;=Z$11)*(Buchungen!$E$7:$E$86&gt;Z$11)*(Buchungen!$J$7:$J$86&lt;&gt;"Storniert"))=0,"",IF(SUMPRODUCT((Buchungen!$B$7:$B$86=$A15)*(Buchungen!$D$7:$D$86&lt;=Z$11)*(Buchungen!$E$7:$E$86&gt;Z$11)*(Buchungen!$J$7:$J$86&lt;&gt;"Storniert"))&gt;1,"!",INDEX(Buchungen!$K$7:$K$86,SUMPRODUCT(MAX(((Buchungen!$B$7:$B$86=$A15)*(Buchungen!$D$7:$D$86&lt;=Z$11)*(Buchungen!$E$7:$E$86&gt;Z$11)*(Buchungen!$J$7:$J$86&lt;&gt;"Storniert"))*ROW(Buchungen!$B$7:$B$86)))-6))))</f>
        <v>B</v>
      </c>
      <c r="AA15" s="30" t="str">
        <f aca="false">IF(AA$11="","",IF(SUMPRODUCT((Buchungen!$B$7:$B$86=$A15)*(Buchungen!$D$7:$D$86&lt;=AA$11)*(Buchungen!$E$7:$E$86&gt;AA$11)*(Buchungen!$J$7:$J$86&lt;&gt;"Storniert"))=0,"",IF(SUMPRODUCT((Buchungen!$B$7:$B$86=$A15)*(Buchungen!$D$7:$D$86&lt;=AA$11)*(Buchungen!$E$7:$E$86&gt;AA$11)*(Buchungen!$J$7:$J$86&lt;&gt;"Storniert"))&gt;1,"!",INDEX(Buchungen!$K$7:$K$86,SUMPRODUCT(MAX(((Buchungen!$B$7:$B$86=$A15)*(Buchungen!$D$7:$D$86&lt;=AA$11)*(Buchungen!$E$7:$E$86&gt;AA$11)*(Buchungen!$J$7:$J$86&lt;&gt;"Storniert"))*ROW(Buchungen!$B$7:$B$86)))-6))))</f>
        <v>B</v>
      </c>
      <c r="AB15" s="30" t="str">
        <f aca="false">IF(AB$11="","",IF(SUMPRODUCT((Buchungen!$B$7:$B$86=$A15)*(Buchungen!$D$7:$D$86&lt;=AB$11)*(Buchungen!$E$7:$E$86&gt;AB$11)*(Buchungen!$J$7:$J$86&lt;&gt;"Storniert"))=0,"",IF(SUMPRODUCT((Buchungen!$B$7:$B$86=$A15)*(Buchungen!$D$7:$D$86&lt;=AB$11)*(Buchungen!$E$7:$E$86&gt;AB$11)*(Buchungen!$J$7:$J$86&lt;&gt;"Storniert"))&gt;1,"!",INDEX(Buchungen!$K$7:$K$86,SUMPRODUCT(MAX(((Buchungen!$B$7:$B$86=$A15)*(Buchungen!$D$7:$D$86&lt;=AB$11)*(Buchungen!$E$7:$E$86&gt;AB$11)*(Buchungen!$J$7:$J$86&lt;&gt;"Storniert"))*ROW(Buchungen!$B$7:$B$86)))-6))))</f>
        <v>B</v>
      </c>
      <c r="AC15" s="30" t="str">
        <f aca="false">IF(AC$11="","",IF(SUMPRODUCT((Buchungen!$B$7:$B$86=$A15)*(Buchungen!$D$7:$D$86&lt;=AC$11)*(Buchungen!$E$7:$E$86&gt;AC$11)*(Buchungen!$J$7:$J$86&lt;&gt;"Storniert"))=0,"",IF(SUMPRODUCT((Buchungen!$B$7:$B$86=$A15)*(Buchungen!$D$7:$D$86&lt;=AC$11)*(Buchungen!$E$7:$E$86&gt;AC$11)*(Buchungen!$J$7:$J$86&lt;&gt;"Storniert"))&gt;1,"!",INDEX(Buchungen!$K$7:$K$86,SUMPRODUCT(MAX(((Buchungen!$B$7:$B$86=$A15)*(Buchungen!$D$7:$D$86&lt;=AC$11)*(Buchungen!$E$7:$E$86&gt;AC$11)*(Buchungen!$J$7:$J$86&lt;&gt;"Storniert"))*ROW(Buchungen!$B$7:$B$86)))-6))))</f>
        <v>B</v>
      </c>
      <c r="AD15" s="30" t="str">
        <f aca="false">IF(AD$11="","",IF(SUMPRODUCT((Buchungen!$B$7:$B$86=$A15)*(Buchungen!$D$7:$D$86&lt;=AD$11)*(Buchungen!$E$7:$E$86&gt;AD$11)*(Buchungen!$J$7:$J$86&lt;&gt;"Storniert"))=0,"",IF(SUMPRODUCT((Buchungen!$B$7:$B$86=$A15)*(Buchungen!$D$7:$D$86&lt;=AD$11)*(Buchungen!$E$7:$E$86&gt;AD$11)*(Buchungen!$J$7:$J$86&lt;&gt;"Storniert"))&gt;1,"!",INDEX(Buchungen!$K$7:$K$86,SUMPRODUCT(MAX(((Buchungen!$B$7:$B$86=$A15)*(Buchungen!$D$7:$D$86&lt;=AD$11)*(Buchungen!$E$7:$E$86&gt;AD$11)*(Buchungen!$J$7:$J$86&lt;&gt;"Storniert"))*ROW(Buchungen!$B$7:$B$86)))-6))))</f>
        <v>B</v>
      </c>
      <c r="AE15" s="30" t="str">
        <f aca="false">IF(AE$11="","",IF(SUMPRODUCT((Buchungen!$B$7:$B$86=$A15)*(Buchungen!$D$7:$D$86&lt;=AE$11)*(Buchungen!$E$7:$E$86&gt;AE$11)*(Buchungen!$J$7:$J$86&lt;&gt;"Storniert"))=0,"",IF(SUMPRODUCT((Buchungen!$B$7:$B$86=$A15)*(Buchungen!$D$7:$D$86&lt;=AE$11)*(Buchungen!$E$7:$E$86&gt;AE$11)*(Buchungen!$J$7:$J$86&lt;&gt;"Storniert"))&gt;1,"!",INDEX(Buchungen!$K$7:$K$86,SUMPRODUCT(MAX(((Buchungen!$B$7:$B$86=$A15)*(Buchungen!$D$7:$D$86&lt;=AE$11)*(Buchungen!$E$7:$E$86&gt;AE$11)*(Buchungen!$J$7:$J$86&lt;&gt;"Storniert"))*ROW(Buchungen!$B$7:$B$86)))-6))))</f>
        <v>B</v>
      </c>
      <c r="AF15" s="30" t="str">
        <f aca="false">IF(AF$11="","",IF(SUMPRODUCT((Buchungen!$B$7:$B$86=$A15)*(Buchungen!$D$7:$D$86&lt;=AF$11)*(Buchungen!$E$7:$E$86&gt;AF$11)*(Buchungen!$J$7:$J$86&lt;&gt;"Storniert"))=0,"",IF(SUMPRODUCT((Buchungen!$B$7:$B$86=$A15)*(Buchungen!$D$7:$D$86&lt;=AF$11)*(Buchungen!$E$7:$E$86&gt;AF$11)*(Buchungen!$J$7:$J$86&lt;&gt;"Storniert"))&gt;1,"!",INDEX(Buchungen!$K$7:$K$86,SUMPRODUCT(MAX(((Buchungen!$B$7:$B$86=$A15)*(Buchungen!$D$7:$D$86&lt;=AF$11)*(Buchungen!$E$7:$E$86&gt;AF$11)*(Buchungen!$J$7:$J$86&lt;&gt;"Storniert"))*ROW(Buchungen!$B$7:$B$86)))-6))))</f>
        <v>B</v>
      </c>
      <c r="AG15" s="30" t="str">
        <f aca="false">IF(AG$11="","",IF(SUMPRODUCT((Buchungen!$B$7:$B$86=$A15)*(Buchungen!$D$7:$D$86&lt;=AG$11)*(Buchungen!$E$7:$E$86&gt;AG$11)*(Buchungen!$J$7:$J$86&lt;&gt;"Storniert"))=0,"",IF(SUMPRODUCT((Buchungen!$B$7:$B$86=$A15)*(Buchungen!$D$7:$D$86&lt;=AG$11)*(Buchungen!$E$7:$E$86&gt;AG$11)*(Buchungen!$J$7:$J$86&lt;&gt;"Storniert"))&gt;1,"!",INDEX(Buchungen!$K$7:$K$86,SUMPRODUCT(MAX(((Buchungen!$B$7:$B$86=$A15)*(Buchungen!$D$7:$D$86&lt;=AG$11)*(Buchungen!$E$7:$E$86&gt;AG$11)*(Buchungen!$J$7:$J$86&lt;&gt;"Storniert"))*ROW(Buchungen!$B$7:$B$86)))-6))))</f>
        <v/>
      </c>
      <c r="AH15" s="31" t="n">
        <f aca="false">SUMIFS(Buchungen!$O$7:$O$86,Buchungen!$B$7:$B$86,$A15)</f>
        <v>23</v>
      </c>
      <c r="AI15" s="32" t="n">
        <f aca="false">IFERROR($AH15/$C$7,0)</f>
        <v>0.741935483870968</v>
      </c>
      <c r="AJ15" s="33" t="n">
        <f aca="false">SUMIFS(Buchungen!$P$7:$P$86,Buchungen!$B$7:$B$86,$A15)</f>
        <v>2507</v>
      </c>
    </row>
    <row r="16" customFormat="false" ht="16.5" hidden="false" customHeight="true" outlineLevel="0" collapsed="false">
      <c r="A16" s="22" t="str">
        <f aca="false">IF(OR(Stammdaten!$A11="",Stammdaten!$G11="Nein"),"",Stammdaten!$A11)</f>
        <v>Z-105</v>
      </c>
      <c r="B16" s="23" t="str">
        <f aca="false">IF($A16="","",Stammdaten!$B11)</f>
        <v>Doppelzimmer Komfort</v>
      </c>
      <c r="C16" s="24" t="str">
        <f aca="false">IF(C$11="","",IF(SUMPRODUCT((Buchungen!$B$7:$B$86=$A16)*(Buchungen!$D$7:$D$86&lt;=C$11)*(Buchungen!$E$7:$E$86&gt;C$11)*(Buchungen!$J$7:$J$86&lt;&gt;"Storniert"))=0,"",IF(SUMPRODUCT((Buchungen!$B$7:$B$86=$A16)*(Buchungen!$D$7:$D$86&lt;=C$11)*(Buchungen!$E$7:$E$86&gt;C$11)*(Buchungen!$J$7:$J$86&lt;&gt;"Storniert"))&gt;1,"!",INDEX(Buchungen!$K$7:$K$86,SUMPRODUCT(MAX(((Buchungen!$B$7:$B$86=$A16)*(Buchungen!$D$7:$D$86&lt;=C$11)*(Buchungen!$E$7:$E$86&gt;C$11)*(Buchungen!$J$7:$J$86&lt;&gt;"Storniert"))*ROW(Buchungen!$B$7:$B$86)))-6))))</f>
        <v>B</v>
      </c>
      <c r="D16" s="24" t="str">
        <f aca="false">IF(D$11="","",IF(SUMPRODUCT((Buchungen!$B$7:$B$86=$A16)*(Buchungen!$D$7:$D$86&lt;=D$11)*(Buchungen!$E$7:$E$86&gt;D$11)*(Buchungen!$J$7:$J$86&lt;&gt;"Storniert"))=0,"",IF(SUMPRODUCT((Buchungen!$B$7:$B$86=$A16)*(Buchungen!$D$7:$D$86&lt;=D$11)*(Buchungen!$E$7:$E$86&gt;D$11)*(Buchungen!$J$7:$J$86&lt;&gt;"Storniert"))&gt;1,"!",INDEX(Buchungen!$K$7:$K$86,SUMPRODUCT(MAX(((Buchungen!$B$7:$B$86=$A16)*(Buchungen!$D$7:$D$86&lt;=D$11)*(Buchungen!$E$7:$E$86&gt;D$11)*(Buchungen!$J$7:$J$86&lt;&gt;"Storniert"))*ROW(Buchungen!$B$7:$B$86)))-6))))</f>
        <v>B</v>
      </c>
      <c r="E16" s="24" t="str">
        <f aca="false">IF(E$11="","",IF(SUMPRODUCT((Buchungen!$B$7:$B$86=$A16)*(Buchungen!$D$7:$D$86&lt;=E$11)*(Buchungen!$E$7:$E$86&gt;E$11)*(Buchungen!$J$7:$J$86&lt;&gt;"Storniert"))=0,"",IF(SUMPRODUCT((Buchungen!$B$7:$B$86=$A16)*(Buchungen!$D$7:$D$86&lt;=E$11)*(Buchungen!$E$7:$E$86&gt;E$11)*(Buchungen!$J$7:$J$86&lt;&gt;"Storniert"))&gt;1,"!",INDEX(Buchungen!$K$7:$K$86,SUMPRODUCT(MAX(((Buchungen!$B$7:$B$86=$A16)*(Buchungen!$D$7:$D$86&lt;=E$11)*(Buchungen!$E$7:$E$86&gt;E$11)*(Buchungen!$J$7:$J$86&lt;&gt;"Storniert"))*ROW(Buchungen!$B$7:$B$86)))-6))))</f>
        <v>B</v>
      </c>
      <c r="F16" s="24" t="str">
        <f aca="false">IF(F$11="","",IF(SUMPRODUCT((Buchungen!$B$7:$B$86=$A16)*(Buchungen!$D$7:$D$86&lt;=F$11)*(Buchungen!$E$7:$E$86&gt;F$11)*(Buchungen!$J$7:$J$86&lt;&gt;"Storniert"))=0,"",IF(SUMPRODUCT((Buchungen!$B$7:$B$86=$A16)*(Buchungen!$D$7:$D$86&lt;=F$11)*(Buchungen!$E$7:$E$86&gt;F$11)*(Buchungen!$J$7:$J$86&lt;&gt;"Storniert"))&gt;1,"!",INDEX(Buchungen!$K$7:$K$86,SUMPRODUCT(MAX(((Buchungen!$B$7:$B$86=$A16)*(Buchungen!$D$7:$D$86&lt;=F$11)*(Buchungen!$E$7:$E$86&gt;F$11)*(Buchungen!$J$7:$J$86&lt;&gt;"Storniert"))*ROW(Buchungen!$B$7:$B$86)))-6))))</f>
        <v>B</v>
      </c>
      <c r="G16" s="24" t="str">
        <f aca="false">IF(G$11="","",IF(SUMPRODUCT((Buchungen!$B$7:$B$86=$A16)*(Buchungen!$D$7:$D$86&lt;=G$11)*(Buchungen!$E$7:$E$86&gt;G$11)*(Buchungen!$J$7:$J$86&lt;&gt;"Storniert"))=0,"",IF(SUMPRODUCT((Buchungen!$B$7:$B$86=$A16)*(Buchungen!$D$7:$D$86&lt;=G$11)*(Buchungen!$E$7:$E$86&gt;G$11)*(Buchungen!$J$7:$J$86&lt;&gt;"Storniert"))&gt;1,"!",INDEX(Buchungen!$K$7:$K$86,SUMPRODUCT(MAX(((Buchungen!$B$7:$B$86=$A16)*(Buchungen!$D$7:$D$86&lt;=G$11)*(Buchungen!$E$7:$E$86&gt;G$11)*(Buchungen!$J$7:$J$86&lt;&gt;"Storniert"))*ROW(Buchungen!$B$7:$B$86)))-6))))</f>
        <v>B</v>
      </c>
      <c r="H16" s="24" t="str">
        <f aca="false">IF(H$11="","",IF(SUMPRODUCT((Buchungen!$B$7:$B$86=$A16)*(Buchungen!$D$7:$D$86&lt;=H$11)*(Buchungen!$E$7:$E$86&gt;H$11)*(Buchungen!$J$7:$J$86&lt;&gt;"Storniert"))=0,"",IF(SUMPRODUCT((Buchungen!$B$7:$B$86=$A16)*(Buchungen!$D$7:$D$86&lt;=H$11)*(Buchungen!$E$7:$E$86&gt;H$11)*(Buchungen!$J$7:$J$86&lt;&gt;"Storniert"))&gt;1,"!",INDEX(Buchungen!$K$7:$K$86,SUMPRODUCT(MAX(((Buchungen!$B$7:$B$86=$A16)*(Buchungen!$D$7:$D$86&lt;=H$11)*(Buchungen!$E$7:$E$86&gt;H$11)*(Buchungen!$J$7:$J$86&lt;&gt;"Storniert"))*ROW(Buchungen!$B$7:$B$86)))-6))))</f>
        <v>B</v>
      </c>
      <c r="I16" s="24" t="str">
        <f aca="false">IF(I$11="","",IF(SUMPRODUCT((Buchungen!$B$7:$B$86=$A16)*(Buchungen!$D$7:$D$86&lt;=I$11)*(Buchungen!$E$7:$E$86&gt;I$11)*(Buchungen!$J$7:$J$86&lt;&gt;"Storniert"))=0,"",IF(SUMPRODUCT((Buchungen!$B$7:$B$86=$A16)*(Buchungen!$D$7:$D$86&lt;=I$11)*(Buchungen!$E$7:$E$86&gt;I$11)*(Buchungen!$J$7:$J$86&lt;&gt;"Storniert"))&gt;1,"!",INDEX(Buchungen!$K$7:$K$86,SUMPRODUCT(MAX(((Buchungen!$B$7:$B$86=$A16)*(Buchungen!$D$7:$D$86&lt;=I$11)*(Buchungen!$E$7:$E$86&gt;I$11)*(Buchungen!$J$7:$J$86&lt;&gt;"Storniert"))*ROW(Buchungen!$B$7:$B$86)))-6))))</f>
        <v>B</v>
      </c>
      <c r="J16" s="24" t="str">
        <f aca="false">IF(J$11="","",IF(SUMPRODUCT((Buchungen!$B$7:$B$86=$A16)*(Buchungen!$D$7:$D$86&lt;=J$11)*(Buchungen!$E$7:$E$86&gt;J$11)*(Buchungen!$J$7:$J$86&lt;&gt;"Storniert"))=0,"",IF(SUMPRODUCT((Buchungen!$B$7:$B$86=$A16)*(Buchungen!$D$7:$D$86&lt;=J$11)*(Buchungen!$E$7:$E$86&gt;J$11)*(Buchungen!$J$7:$J$86&lt;&gt;"Storniert"))&gt;1,"!",INDEX(Buchungen!$K$7:$K$86,SUMPRODUCT(MAX(((Buchungen!$B$7:$B$86=$A16)*(Buchungen!$D$7:$D$86&lt;=J$11)*(Buchungen!$E$7:$E$86&gt;J$11)*(Buchungen!$J$7:$J$86&lt;&gt;"Storniert"))*ROW(Buchungen!$B$7:$B$86)))-6))))</f>
        <v/>
      </c>
      <c r="K16" s="24" t="str">
        <f aca="false">IF(K$11="","",IF(SUMPRODUCT((Buchungen!$B$7:$B$86=$A16)*(Buchungen!$D$7:$D$86&lt;=K$11)*(Buchungen!$E$7:$E$86&gt;K$11)*(Buchungen!$J$7:$J$86&lt;&gt;"Storniert"))=0,"",IF(SUMPRODUCT((Buchungen!$B$7:$B$86=$A16)*(Buchungen!$D$7:$D$86&lt;=K$11)*(Buchungen!$E$7:$E$86&gt;K$11)*(Buchungen!$J$7:$J$86&lt;&gt;"Storniert"))&gt;1,"!",INDEX(Buchungen!$K$7:$K$86,SUMPRODUCT(MAX(((Buchungen!$B$7:$B$86=$A16)*(Buchungen!$D$7:$D$86&lt;=K$11)*(Buchungen!$E$7:$E$86&gt;K$11)*(Buchungen!$J$7:$J$86&lt;&gt;"Storniert"))*ROW(Buchungen!$B$7:$B$86)))-6))))</f>
        <v/>
      </c>
      <c r="L16" s="24" t="str">
        <f aca="false">IF(L$11="","",IF(SUMPRODUCT((Buchungen!$B$7:$B$86=$A16)*(Buchungen!$D$7:$D$86&lt;=L$11)*(Buchungen!$E$7:$E$86&gt;L$11)*(Buchungen!$J$7:$J$86&lt;&gt;"Storniert"))=0,"",IF(SUMPRODUCT((Buchungen!$B$7:$B$86=$A16)*(Buchungen!$D$7:$D$86&lt;=L$11)*(Buchungen!$E$7:$E$86&gt;L$11)*(Buchungen!$J$7:$J$86&lt;&gt;"Storniert"))&gt;1,"!",INDEX(Buchungen!$K$7:$K$86,SUMPRODUCT(MAX(((Buchungen!$B$7:$B$86=$A16)*(Buchungen!$D$7:$D$86&lt;=L$11)*(Buchungen!$E$7:$E$86&gt;L$11)*(Buchungen!$J$7:$J$86&lt;&gt;"Storniert"))*ROW(Buchungen!$B$7:$B$86)))-6))))</f>
        <v/>
      </c>
      <c r="M16" s="24" t="str">
        <f aca="false">IF(M$11="","",IF(SUMPRODUCT((Buchungen!$B$7:$B$86=$A16)*(Buchungen!$D$7:$D$86&lt;=M$11)*(Buchungen!$E$7:$E$86&gt;M$11)*(Buchungen!$J$7:$J$86&lt;&gt;"Storniert"))=0,"",IF(SUMPRODUCT((Buchungen!$B$7:$B$86=$A16)*(Buchungen!$D$7:$D$86&lt;=M$11)*(Buchungen!$E$7:$E$86&gt;M$11)*(Buchungen!$J$7:$J$86&lt;&gt;"Storniert"))&gt;1,"!",INDEX(Buchungen!$K$7:$K$86,SUMPRODUCT(MAX(((Buchungen!$B$7:$B$86=$A16)*(Buchungen!$D$7:$D$86&lt;=M$11)*(Buchungen!$E$7:$E$86&gt;M$11)*(Buchungen!$J$7:$J$86&lt;&gt;"Storniert"))*ROW(Buchungen!$B$7:$B$86)))-6))))</f>
        <v>B</v>
      </c>
      <c r="N16" s="24" t="str">
        <f aca="false">IF(N$11="","",IF(SUMPRODUCT((Buchungen!$B$7:$B$86=$A16)*(Buchungen!$D$7:$D$86&lt;=N$11)*(Buchungen!$E$7:$E$86&gt;N$11)*(Buchungen!$J$7:$J$86&lt;&gt;"Storniert"))=0,"",IF(SUMPRODUCT((Buchungen!$B$7:$B$86=$A16)*(Buchungen!$D$7:$D$86&lt;=N$11)*(Buchungen!$E$7:$E$86&gt;N$11)*(Buchungen!$J$7:$J$86&lt;&gt;"Storniert"))&gt;1,"!",INDEX(Buchungen!$K$7:$K$86,SUMPRODUCT(MAX(((Buchungen!$B$7:$B$86=$A16)*(Buchungen!$D$7:$D$86&lt;=N$11)*(Buchungen!$E$7:$E$86&gt;N$11)*(Buchungen!$J$7:$J$86&lt;&gt;"Storniert"))*ROW(Buchungen!$B$7:$B$86)))-6))))</f>
        <v>B</v>
      </c>
      <c r="O16" s="24" t="str">
        <f aca="false">IF(O$11="","",IF(SUMPRODUCT((Buchungen!$B$7:$B$86=$A16)*(Buchungen!$D$7:$D$86&lt;=O$11)*(Buchungen!$E$7:$E$86&gt;O$11)*(Buchungen!$J$7:$J$86&lt;&gt;"Storniert"))=0,"",IF(SUMPRODUCT((Buchungen!$B$7:$B$86=$A16)*(Buchungen!$D$7:$D$86&lt;=O$11)*(Buchungen!$E$7:$E$86&gt;O$11)*(Buchungen!$J$7:$J$86&lt;&gt;"Storniert"))&gt;1,"!",INDEX(Buchungen!$K$7:$K$86,SUMPRODUCT(MAX(((Buchungen!$B$7:$B$86=$A16)*(Buchungen!$D$7:$D$86&lt;=O$11)*(Buchungen!$E$7:$E$86&gt;O$11)*(Buchungen!$J$7:$J$86&lt;&gt;"Storniert"))*ROW(Buchungen!$B$7:$B$86)))-6))))</f>
        <v>B</v>
      </c>
      <c r="P16" s="24" t="str">
        <f aca="false">IF(P$11="","",IF(SUMPRODUCT((Buchungen!$B$7:$B$86=$A16)*(Buchungen!$D$7:$D$86&lt;=P$11)*(Buchungen!$E$7:$E$86&gt;P$11)*(Buchungen!$J$7:$J$86&lt;&gt;"Storniert"))=0,"",IF(SUMPRODUCT((Buchungen!$B$7:$B$86=$A16)*(Buchungen!$D$7:$D$86&lt;=P$11)*(Buchungen!$E$7:$E$86&gt;P$11)*(Buchungen!$J$7:$J$86&lt;&gt;"Storniert"))&gt;1,"!",INDEX(Buchungen!$K$7:$K$86,SUMPRODUCT(MAX(((Buchungen!$B$7:$B$86=$A16)*(Buchungen!$D$7:$D$86&lt;=P$11)*(Buchungen!$E$7:$E$86&gt;P$11)*(Buchungen!$J$7:$J$86&lt;&gt;"Storniert"))*ROW(Buchungen!$B$7:$B$86)))-6))))</f>
        <v/>
      </c>
      <c r="Q16" s="24" t="str">
        <f aca="false">IF(Q$11="","",IF(SUMPRODUCT((Buchungen!$B$7:$B$86=$A16)*(Buchungen!$D$7:$D$86&lt;=Q$11)*(Buchungen!$E$7:$E$86&gt;Q$11)*(Buchungen!$J$7:$J$86&lt;&gt;"Storniert"))=0,"",IF(SUMPRODUCT((Buchungen!$B$7:$B$86=$A16)*(Buchungen!$D$7:$D$86&lt;=Q$11)*(Buchungen!$E$7:$E$86&gt;Q$11)*(Buchungen!$J$7:$J$86&lt;&gt;"Storniert"))&gt;1,"!",INDEX(Buchungen!$K$7:$K$86,SUMPRODUCT(MAX(((Buchungen!$B$7:$B$86=$A16)*(Buchungen!$D$7:$D$86&lt;=Q$11)*(Buchungen!$E$7:$E$86&gt;Q$11)*(Buchungen!$J$7:$J$86&lt;&gt;"Storniert"))*ROW(Buchungen!$B$7:$B$86)))-6))))</f>
        <v/>
      </c>
      <c r="R16" s="24" t="str">
        <f aca="false">IF(R$11="","",IF(SUMPRODUCT((Buchungen!$B$7:$B$86=$A16)*(Buchungen!$D$7:$D$86&lt;=R$11)*(Buchungen!$E$7:$E$86&gt;R$11)*(Buchungen!$J$7:$J$86&lt;&gt;"Storniert"))=0,"",IF(SUMPRODUCT((Buchungen!$B$7:$B$86=$A16)*(Buchungen!$D$7:$D$86&lt;=R$11)*(Buchungen!$E$7:$E$86&gt;R$11)*(Buchungen!$J$7:$J$86&lt;&gt;"Storniert"))&gt;1,"!",INDEX(Buchungen!$K$7:$K$86,SUMPRODUCT(MAX(((Buchungen!$B$7:$B$86=$A16)*(Buchungen!$D$7:$D$86&lt;=R$11)*(Buchungen!$E$7:$E$86&gt;R$11)*(Buchungen!$J$7:$J$86&lt;&gt;"Storniert"))*ROW(Buchungen!$B$7:$B$86)))-6))))</f>
        <v>B</v>
      </c>
      <c r="S16" s="24" t="str">
        <f aca="false">IF(S$11="","",IF(SUMPRODUCT((Buchungen!$B$7:$B$86=$A16)*(Buchungen!$D$7:$D$86&lt;=S$11)*(Buchungen!$E$7:$E$86&gt;S$11)*(Buchungen!$J$7:$J$86&lt;&gt;"Storniert"))=0,"",IF(SUMPRODUCT((Buchungen!$B$7:$B$86=$A16)*(Buchungen!$D$7:$D$86&lt;=S$11)*(Buchungen!$E$7:$E$86&gt;S$11)*(Buchungen!$J$7:$J$86&lt;&gt;"Storniert"))&gt;1,"!",INDEX(Buchungen!$K$7:$K$86,SUMPRODUCT(MAX(((Buchungen!$B$7:$B$86=$A16)*(Buchungen!$D$7:$D$86&lt;=S$11)*(Buchungen!$E$7:$E$86&gt;S$11)*(Buchungen!$J$7:$J$86&lt;&gt;"Storniert"))*ROW(Buchungen!$B$7:$B$86)))-6))))</f>
        <v>B</v>
      </c>
      <c r="T16" s="24" t="str">
        <f aca="false">IF(T$11="","",IF(SUMPRODUCT((Buchungen!$B$7:$B$86=$A16)*(Buchungen!$D$7:$D$86&lt;=T$11)*(Buchungen!$E$7:$E$86&gt;T$11)*(Buchungen!$J$7:$J$86&lt;&gt;"Storniert"))=0,"",IF(SUMPRODUCT((Buchungen!$B$7:$B$86=$A16)*(Buchungen!$D$7:$D$86&lt;=T$11)*(Buchungen!$E$7:$E$86&gt;T$11)*(Buchungen!$J$7:$J$86&lt;&gt;"Storniert"))&gt;1,"!",INDEX(Buchungen!$K$7:$K$86,SUMPRODUCT(MAX(((Buchungen!$B$7:$B$86=$A16)*(Buchungen!$D$7:$D$86&lt;=T$11)*(Buchungen!$E$7:$E$86&gt;T$11)*(Buchungen!$J$7:$J$86&lt;&gt;"Storniert"))*ROW(Buchungen!$B$7:$B$86)))-6))))</f>
        <v>B</v>
      </c>
      <c r="U16" s="24" t="str">
        <f aca="false">IF(U$11="","",IF(SUMPRODUCT((Buchungen!$B$7:$B$86=$A16)*(Buchungen!$D$7:$D$86&lt;=U$11)*(Buchungen!$E$7:$E$86&gt;U$11)*(Buchungen!$J$7:$J$86&lt;&gt;"Storniert"))=0,"",IF(SUMPRODUCT((Buchungen!$B$7:$B$86=$A16)*(Buchungen!$D$7:$D$86&lt;=U$11)*(Buchungen!$E$7:$E$86&gt;U$11)*(Buchungen!$J$7:$J$86&lt;&gt;"Storniert"))&gt;1,"!",INDEX(Buchungen!$K$7:$K$86,SUMPRODUCT(MAX(((Buchungen!$B$7:$B$86=$A16)*(Buchungen!$D$7:$D$86&lt;=U$11)*(Buchungen!$E$7:$E$86&gt;U$11)*(Buchungen!$J$7:$J$86&lt;&gt;"Storniert"))*ROW(Buchungen!$B$7:$B$86)))-6))))</f>
        <v>B</v>
      </c>
      <c r="V16" s="24" t="str">
        <f aca="false">IF(V$11="","",IF(SUMPRODUCT((Buchungen!$B$7:$B$86=$A16)*(Buchungen!$D$7:$D$86&lt;=V$11)*(Buchungen!$E$7:$E$86&gt;V$11)*(Buchungen!$J$7:$J$86&lt;&gt;"Storniert"))=0,"",IF(SUMPRODUCT((Buchungen!$B$7:$B$86=$A16)*(Buchungen!$D$7:$D$86&lt;=V$11)*(Buchungen!$E$7:$E$86&gt;V$11)*(Buchungen!$J$7:$J$86&lt;&gt;"Storniert"))&gt;1,"!",INDEX(Buchungen!$K$7:$K$86,SUMPRODUCT(MAX(((Buchungen!$B$7:$B$86=$A16)*(Buchungen!$D$7:$D$86&lt;=V$11)*(Buchungen!$E$7:$E$86&gt;V$11)*(Buchungen!$J$7:$J$86&lt;&gt;"Storniert"))*ROW(Buchungen!$B$7:$B$86)))-6))))</f>
        <v>B</v>
      </c>
      <c r="W16" s="24" t="str">
        <f aca="false">IF(W$11="","",IF(SUMPRODUCT((Buchungen!$B$7:$B$86=$A16)*(Buchungen!$D$7:$D$86&lt;=W$11)*(Buchungen!$E$7:$E$86&gt;W$11)*(Buchungen!$J$7:$J$86&lt;&gt;"Storniert"))=0,"",IF(SUMPRODUCT((Buchungen!$B$7:$B$86=$A16)*(Buchungen!$D$7:$D$86&lt;=W$11)*(Buchungen!$E$7:$E$86&gt;W$11)*(Buchungen!$J$7:$J$86&lt;&gt;"Storniert"))&gt;1,"!",INDEX(Buchungen!$K$7:$K$86,SUMPRODUCT(MAX(((Buchungen!$B$7:$B$86=$A16)*(Buchungen!$D$7:$D$86&lt;=W$11)*(Buchungen!$E$7:$E$86&gt;W$11)*(Buchungen!$J$7:$J$86&lt;&gt;"Storniert"))*ROW(Buchungen!$B$7:$B$86)))-6))))</f>
        <v>B</v>
      </c>
      <c r="X16" s="24" t="str">
        <f aca="false">IF(X$11="","",IF(SUMPRODUCT((Buchungen!$B$7:$B$86=$A16)*(Buchungen!$D$7:$D$86&lt;=X$11)*(Buchungen!$E$7:$E$86&gt;X$11)*(Buchungen!$J$7:$J$86&lt;&gt;"Storniert"))=0,"",IF(SUMPRODUCT((Buchungen!$B$7:$B$86=$A16)*(Buchungen!$D$7:$D$86&lt;=X$11)*(Buchungen!$E$7:$E$86&gt;X$11)*(Buchungen!$J$7:$J$86&lt;&gt;"Storniert"))&gt;1,"!",INDEX(Buchungen!$K$7:$K$86,SUMPRODUCT(MAX(((Buchungen!$B$7:$B$86=$A16)*(Buchungen!$D$7:$D$86&lt;=X$11)*(Buchungen!$E$7:$E$86&gt;X$11)*(Buchungen!$J$7:$J$86&lt;&gt;"Storniert"))*ROW(Buchungen!$B$7:$B$86)))-6))))</f>
        <v/>
      </c>
      <c r="Y16" s="24" t="str">
        <f aca="false">IF(Y$11="","",IF(SUMPRODUCT((Buchungen!$B$7:$B$86=$A16)*(Buchungen!$D$7:$D$86&lt;=Y$11)*(Buchungen!$E$7:$E$86&gt;Y$11)*(Buchungen!$J$7:$J$86&lt;&gt;"Storniert"))=0,"",IF(SUMPRODUCT((Buchungen!$B$7:$B$86=$A16)*(Buchungen!$D$7:$D$86&lt;=Y$11)*(Buchungen!$E$7:$E$86&gt;Y$11)*(Buchungen!$J$7:$J$86&lt;&gt;"Storniert"))&gt;1,"!",INDEX(Buchungen!$K$7:$K$86,SUMPRODUCT(MAX(((Buchungen!$B$7:$B$86=$A16)*(Buchungen!$D$7:$D$86&lt;=Y$11)*(Buchungen!$E$7:$E$86&gt;Y$11)*(Buchungen!$J$7:$J$86&lt;&gt;"Storniert"))*ROW(Buchungen!$B$7:$B$86)))-6))))</f>
        <v/>
      </c>
      <c r="Z16" s="24" t="str">
        <f aca="false">IF(Z$11="","",IF(SUMPRODUCT((Buchungen!$B$7:$B$86=$A16)*(Buchungen!$D$7:$D$86&lt;=Z$11)*(Buchungen!$E$7:$E$86&gt;Z$11)*(Buchungen!$J$7:$J$86&lt;&gt;"Storniert"))=0,"",IF(SUMPRODUCT((Buchungen!$B$7:$B$86=$A16)*(Buchungen!$D$7:$D$86&lt;=Z$11)*(Buchungen!$E$7:$E$86&gt;Z$11)*(Buchungen!$J$7:$J$86&lt;&gt;"Storniert"))&gt;1,"!",INDEX(Buchungen!$K$7:$K$86,SUMPRODUCT(MAX(((Buchungen!$B$7:$B$86=$A16)*(Buchungen!$D$7:$D$86&lt;=Z$11)*(Buchungen!$E$7:$E$86&gt;Z$11)*(Buchungen!$J$7:$J$86&lt;&gt;"Storniert"))*ROW(Buchungen!$B$7:$B$86)))-6))))</f>
        <v>B</v>
      </c>
      <c r="AA16" s="24" t="str">
        <f aca="false">IF(AA$11="","",IF(SUMPRODUCT((Buchungen!$B$7:$B$86=$A16)*(Buchungen!$D$7:$D$86&lt;=AA$11)*(Buchungen!$E$7:$E$86&gt;AA$11)*(Buchungen!$J$7:$J$86&lt;&gt;"Storniert"))=0,"",IF(SUMPRODUCT((Buchungen!$B$7:$B$86=$A16)*(Buchungen!$D$7:$D$86&lt;=AA$11)*(Buchungen!$E$7:$E$86&gt;AA$11)*(Buchungen!$J$7:$J$86&lt;&gt;"Storniert"))&gt;1,"!",INDEX(Buchungen!$K$7:$K$86,SUMPRODUCT(MAX(((Buchungen!$B$7:$B$86=$A16)*(Buchungen!$D$7:$D$86&lt;=AA$11)*(Buchungen!$E$7:$E$86&gt;AA$11)*(Buchungen!$J$7:$J$86&lt;&gt;"Storniert"))*ROW(Buchungen!$B$7:$B$86)))-6))))</f>
        <v>B</v>
      </c>
      <c r="AB16" s="24" t="str">
        <f aca="false">IF(AB$11="","",IF(SUMPRODUCT((Buchungen!$B$7:$B$86=$A16)*(Buchungen!$D$7:$D$86&lt;=AB$11)*(Buchungen!$E$7:$E$86&gt;AB$11)*(Buchungen!$J$7:$J$86&lt;&gt;"Storniert"))=0,"",IF(SUMPRODUCT((Buchungen!$B$7:$B$86=$A16)*(Buchungen!$D$7:$D$86&lt;=AB$11)*(Buchungen!$E$7:$E$86&gt;AB$11)*(Buchungen!$J$7:$J$86&lt;&gt;"Storniert"))&gt;1,"!",INDEX(Buchungen!$K$7:$K$86,SUMPRODUCT(MAX(((Buchungen!$B$7:$B$86=$A16)*(Buchungen!$D$7:$D$86&lt;=AB$11)*(Buchungen!$E$7:$E$86&gt;AB$11)*(Buchungen!$J$7:$J$86&lt;&gt;"Storniert"))*ROW(Buchungen!$B$7:$B$86)))-6))))</f>
        <v>B</v>
      </c>
      <c r="AC16" s="24" t="str">
        <f aca="false">IF(AC$11="","",IF(SUMPRODUCT((Buchungen!$B$7:$B$86=$A16)*(Buchungen!$D$7:$D$86&lt;=AC$11)*(Buchungen!$E$7:$E$86&gt;AC$11)*(Buchungen!$J$7:$J$86&lt;&gt;"Storniert"))=0,"",IF(SUMPRODUCT((Buchungen!$B$7:$B$86=$A16)*(Buchungen!$D$7:$D$86&lt;=AC$11)*(Buchungen!$E$7:$E$86&gt;AC$11)*(Buchungen!$J$7:$J$86&lt;&gt;"Storniert"))&gt;1,"!",INDEX(Buchungen!$K$7:$K$86,SUMPRODUCT(MAX(((Buchungen!$B$7:$B$86=$A16)*(Buchungen!$D$7:$D$86&lt;=AC$11)*(Buchungen!$E$7:$E$86&gt;AC$11)*(Buchungen!$J$7:$J$86&lt;&gt;"Storniert"))*ROW(Buchungen!$B$7:$B$86)))-6))))</f>
        <v/>
      </c>
      <c r="AD16" s="24" t="str">
        <f aca="false">IF(AD$11="","",IF(SUMPRODUCT((Buchungen!$B$7:$B$86=$A16)*(Buchungen!$D$7:$D$86&lt;=AD$11)*(Buchungen!$E$7:$E$86&gt;AD$11)*(Buchungen!$J$7:$J$86&lt;&gt;"Storniert"))=0,"",IF(SUMPRODUCT((Buchungen!$B$7:$B$86=$A16)*(Buchungen!$D$7:$D$86&lt;=AD$11)*(Buchungen!$E$7:$E$86&gt;AD$11)*(Buchungen!$J$7:$J$86&lt;&gt;"Storniert"))&gt;1,"!",INDEX(Buchungen!$K$7:$K$86,SUMPRODUCT(MAX(((Buchungen!$B$7:$B$86=$A16)*(Buchungen!$D$7:$D$86&lt;=AD$11)*(Buchungen!$E$7:$E$86&gt;AD$11)*(Buchungen!$J$7:$J$86&lt;&gt;"Storniert"))*ROW(Buchungen!$B$7:$B$86)))-6))))</f>
        <v>B</v>
      </c>
      <c r="AE16" s="24" t="str">
        <f aca="false">IF(AE$11="","",IF(SUMPRODUCT((Buchungen!$B$7:$B$86=$A16)*(Buchungen!$D$7:$D$86&lt;=AE$11)*(Buchungen!$E$7:$E$86&gt;AE$11)*(Buchungen!$J$7:$J$86&lt;&gt;"Storniert"))=0,"",IF(SUMPRODUCT((Buchungen!$B$7:$B$86=$A16)*(Buchungen!$D$7:$D$86&lt;=AE$11)*(Buchungen!$E$7:$E$86&gt;AE$11)*(Buchungen!$J$7:$J$86&lt;&gt;"Storniert"))&gt;1,"!",INDEX(Buchungen!$K$7:$K$86,SUMPRODUCT(MAX(((Buchungen!$B$7:$B$86=$A16)*(Buchungen!$D$7:$D$86&lt;=AE$11)*(Buchungen!$E$7:$E$86&gt;AE$11)*(Buchungen!$J$7:$J$86&lt;&gt;"Storniert"))*ROW(Buchungen!$B$7:$B$86)))-6))))</f>
        <v>B</v>
      </c>
      <c r="AF16" s="24" t="str">
        <f aca="false">IF(AF$11="","",IF(SUMPRODUCT((Buchungen!$B$7:$B$86=$A16)*(Buchungen!$D$7:$D$86&lt;=AF$11)*(Buchungen!$E$7:$E$86&gt;AF$11)*(Buchungen!$J$7:$J$86&lt;&gt;"Storniert"))=0,"",IF(SUMPRODUCT((Buchungen!$B$7:$B$86=$A16)*(Buchungen!$D$7:$D$86&lt;=AF$11)*(Buchungen!$E$7:$E$86&gt;AF$11)*(Buchungen!$J$7:$J$86&lt;&gt;"Storniert"))&gt;1,"!",INDEX(Buchungen!$K$7:$K$86,SUMPRODUCT(MAX(((Buchungen!$B$7:$B$86=$A16)*(Buchungen!$D$7:$D$86&lt;=AF$11)*(Buchungen!$E$7:$E$86&gt;AF$11)*(Buchungen!$J$7:$J$86&lt;&gt;"Storniert"))*ROW(Buchungen!$B$7:$B$86)))-6))))</f>
        <v>B</v>
      </c>
      <c r="AG16" s="24" t="str">
        <f aca="false">IF(AG$11="","",IF(SUMPRODUCT((Buchungen!$B$7:$B$86=$A16)*(Buchungen!$D$7:$D$86&lt;=AG$11)*(Buchungen!$E$7:$E$86&gt;AG$11)*(Buchungen!$J$7:$J$86&lt;&gt;"Storniert"))=0,"",IF(SUMPRODUCT((Buchungen!$B$7:$B$86=$A16)*(Buchungen!$D$7:$D$86&lt;=AG$11)*(Buchungen!$E$7:$E$86&gt;AG$11)*(Buchungen!$J$7:$J$86&lt;&gt;"Storniert"))&gt;1,"!",INDEX(Buchungen!$K$7:$K$86,SUMPRODUCT(MAX(((Buchungen!$B$7:$B$86=$A16)*(Buchungen!$D$7:$D$86&lt;=AG$11)*(Buchungen!$E$7:$E$86&gt;AG$11)*(Buchungen!$J$7:$J$86&lt;&gt;"Storniert"))*ROW(Buchungen!$B$7:$B$86)))-6))))</f>
        <v/>
      </c>
      <c r="AH16" s="25" t="n">
        <f aca="false">SUMIFS(Buchungen!$O$7:$O$86,Buchungen!$B$7:$B$86,$A16)</f>
        <v>22</v>
      </c>
      <c r="AI16" s="26" t="n">
        <f aca="false">IFERROR($AH16/$C$7,0)</f>
        <v>0.709677419354839</v>
      </c>
      <c r="AJ16" s="27" t="n">
        <f aca="false">SUMIFS(Buchungen!$P$7:$P$86,Buchungen!$B$7:$B$86,$A16)</f>
        <v>2838</v>
      </c>
    </row>
    <row r="17" customFormat="false" ht="16.5" hidden="false" customHeight="true" outlineLevel="0" collapsed="false">
      <c r="A17" s="28" t="str">
        <f aca="false">IF(OR(Stammdaten!$A12="",Stammdaten!$G12="Nein"),"",Stammdaten!$A12)</f>
        <v>Z-106</v>
      </c>
      <c r="B17" s="29" t="str">
        <f aca="false">IF($A17="","",Stammdaten!$B12)</f>
        <v>Doppelzimmer Komfort</v>
      </c>
      <c r="C17" s="30" t="str">
        <f aca="false">IF(C$11="","",IF(SUMPRODUCT((Buchungen!$B$7:$B$86=$A17)*(Buchungen!$D$7:$D$86&lt;=C$11)*(Buchungen!$E$7:$E$86&gt;C$11)*(Buchungen!$J$7:$J$86&lt;&gt;"Storniert"))=0,"",IF(SUMPRODUCT((Buchungen!$B$7:$B$86=$A17)*(Buchungen!$D$7:$D$86&lt;=C$11)*(Buchungen!$E$7:$E$86&gt;C$11)*(Buchungen!$J$7:$J$86&lt;&gt;"Storniert"))&gt;1,"!",INDEX(Buchungen!$K$7:$K$86,SUMPRODUCT(MAX(((Buchungen!$B$7:$B$86=$A17)*(Buchungen!$D$7:$D$86&lt;=C$11)*(Buchungen!$E$7:$E$86&gt;C$11)*(Buchungen!$J$7:$J$86&lt;&gt;"Storniert"))*ROW(Buchungen!$B$7:$B$86)))-6))))</f>
        <v>B</v>
      </c>
      <c r="D17" s="30" t="str">
        <f aca="false">IF(D$11="","",IF(SUMPRODUCT((Buchungen!$B$7:$B$86=$A17)*(Buchungen!$D$7:$D$86&lt;=D$11)*(Buchungen!$E$7:$E$86&gt;D$11)*(Buchungen!$J$7:$J$86&lt;&gt;"Storniert"))=0,"",IF(SUMPRODUCT((Buchungen!$B$7:$B$86=$A17)*(Buchungen!$D$7:$D$86&lt;=D$11)*(Buchungen!$E$7:$E$86&gt;D$11)*(Buchungen!$J$7:$J$86&lt;&gt;"Storniert"))&gt;1,"!",INDEX(Buchungen!$K$7:$K$86,SUMPRODUCT(MAX(((Buchungen!$B$7:$B$86=$A17)*(Buchungen!$D$7:$D$86&lt;=D$11)*(Buchungen!$E$7:$E$86&gt;D$11)*(Buchungen!$J$7:$J$86&lt;&gt;"Storniert"))*ROW(Buchungen!$B$7:$B$86)))-6))))</f>
        <v>B</v>
      </c>
      <c r="E17" s="30" t="str">
        <f aca="false">IF(E$11="","",IF(SUMPRODUCT((Buchungen!$B$7:$B$86=$A17)*(Buchungen!$D$7:$D$86&lt;=E$11)*(Buchungen!$E$7:$E$86&gt;E$11)*(Buchungen!$J$7:$J$86&lt;&gt;"Storniert"))=0,"",IF(SUMPRODUCT((Buchungen!$B$7:$B$86=$A17)*(Buchungen!$D$7:$D$86&lt;=E$11)*(Buchungen!$E$7:$E$86&gt;E$11)*(Buchungen!$J$7:$J$86&lt;&gt;"Storniert"))&gt;1,"!",INDEX(Buchungen!$K$7:$K$86,SUMPRODUCT(MAX(((Buchungen!$B$7:$B$86=$A17)*(Buchungen!$D$7:$D$86&lt;=E$11)*(Buchungen!$E$7:$E$86&gt;E$11)*(Buchungen!$J$7:$J$86&lt;&gt;"Storniert"))*ROW(Buchungen!$B$7:$B$86)))-6))))</f>
        <v>B</v>
      </c>
      <c r="F17" s="30" t="str">
        <f aca="false">IF(F$11="","",IF(SUMPRODUCT((Buchungen!$B$7:$B$86=$A17)*(Buchungen!$D$7:$D$86&lt;=F$11)*(Buchungen!$E$7:$E$86&gt;F$11)*(Buchungen!$J$7:$J$86&lt;&gt;"Storniert"))=0,"",IF(SUMPRODUCT((Buchungen!$B$7:$B$86=$A17)*(Buchungen!$D$7:$D$86&lt;=F$11)*(Buchungen!$E$7:$E$86&gt;F$11)*(Buchungen!$J$7:$J$86&lt;&gt;"Storniert"))&gt;1,"!",INDEX(Buchungen!$K$7:$K$86,SUMPRODUCT(MAX(((Buchungen!$B$7:$B$86=$A17)*(Buchungen!$D$7:$D$86&lt;=F$11)*(Buchungen!$E$7:$E$86&gt;F$11)*(Buchungen!$J$7:$J$86&lt;&gt;"Storniert"))*ROW(Buchungen!$B$7:$B$86)))-6))))</f>
        <v>B</v>
      </c>
      <c r="G17" s="30" t="str">
        <f aca="false">IF(G$11="","",IF(SUMPRODUCT((Buchungen!$B$7:$B$86=$A17)*(Buchungen!$D$7:$D$86&lt;=G$11)*(Buchungen!$E$7:$E$86&gt;G$11)*(Buchungen!$J$7:$J$86&lt;&gt;"Storniert"))=0,"",IF(SUMPRODUCT((Buchungen!$B$7:$B$86=$A17)*(Buchungen!$D$7:$D$86&lt;=G$11)*(Buchungen!$E$7:$E$86&gt;G$11)*(Buchungen!$J$7:$J$86&lt;&gt;"Storniert"))&gt;1,"!",INDEX(Buchungen!$K$7:$K$86,SUMPRODUCT(MAX(((Buchungen!$B$7:$B$86=$A17)*(Buchungen!$D$7:$D$86&lt;=G$11)*(Buchungen!$E$7:$E$86&gt;G$11)*(Buchungen!$J$7:$J$86&lt;&gt;"Storniert"))*ROW(Buchungen!$B$7:$B$86)))-6))))</f>
        <v>B</v>
      </c>
      <c r="H17" s="30" t="str">
        <f aca="false">IF(H$11="","",IF(SUMPRODUCT((Buchungen!$B$7:$B$86=$A17)*(Buchungen!$D$7:$D$86&lt;=H$11)*(Buchungen!$E$7:$E$86&gt;H$11)*(Buchungen!$J$7:$J$86&lt;&gt;"Storniert"))=0,"",IF(SUMPRODUCT((Buchungen!$B$7:$B$86=$A17)*(Buchungen!$D$7:$D$86&lt;=H$11)*(Buchungen!$E$7:$E$86&gt;H$11)*(Buchungen!$J$7:$J$86&lt;&gt;"Storniert"))&gt;1,"!",INDEX(Buchungen!$K$7:$K$86,SUMPRODUCT(MAX(((Buchungen!$B$7:$B$86=$A17)*(Buchungen!$D$7:$D$86&lt;=H$11)*(Buchungen!$E$7:$E$86&gt;H$11)*(Buchungen!$J$7:$J$86&lt;&gt;"Storniert"))*ROW(Buchungen!$B$7:$B$86)))-6))))</f>
        <v>B</v>
      </c>
      <c r="I17" s="30" t="str">
        <f aca="false">IF(I$11="","",IF(SUMPRODUCT((Buchungen!$B$7:$B$86=$A17)*(Buchungen!$D$7:$D$86&lt;=I$11)*(Buchungen!$E$7:$E$86&gt;I$11)*(Buchungen!$J$7:$J$86&lt;&gt;"Storniert"))=0,"",IF(SUMPRODUCT((Buchungen!$B$7:$B$86=$A17)*(Buchungen!$D$7:$D$86&lt;=I$11)*(Buchungen!$E$7:$E$86&gt;I$11)*(Buchungen!$J$7:$J$86&lt;&gt;"Storniert"))&gt;1,"!",INDEX(Buchungen!$K$7:$K$86,SUMPRODUCT(MAX(((Buchungen!$B$7:$B$86=$A17)*(Buchungen!$D$7:$D$86&lt;=I$11)*(Buchungen!$E$7:$E$86&gt;I$11)*(Buchungen!$J$7:$J$86&lt;&gt;"Storniert"))*ROW(Buchungen!$B$7:$B$86)))-6))))</f>
        <v>B</v>
      </c>
      <c r="J17" s="30" t="str">
        <f aca="false">IF(J$11="","",IF(SUMPRODUCT((Buchungen!$B$7:$B$86=$A17)*(Buchungen!$D$7:$D$86&lt;=J$11)*(Buchungen!$E$7:$E$86&gt;J$11)*(Buchungen!$J$7:$J$86&lt;&gt;"Storniert"))=0,"",IF(SUMPRODUCT((Buchungen!$B$7:$B$86=$A17)*(Buchungen!$D$7:$D$86&lt;=J$11)*(Buchungen!$E$7:$E$86&gt;J$11)*(Buchungen!$J$7:$J$86&lt;&gt;"Storniert"))&gt;1,"!",INDEX(Buchungen!$K$7:$K$86,SUMPRODUCT(MAX(((Buchungen!$B$7:$B$86=$A17)*(Buchungen!$D$7:$D$86&lt;=J$11)*(Buchungen!$E$7:$E$86&gt;J$11)*(Buchungen!$J$7:$J$86&lt;&gt;"Storniert"))*ROW(Buchungen!$B$7:$B$86)))-6))))</f>
        <v/>
      </c>
      <c r="K17" s="30" t="str">
        <f aca="false">IF(K$11="","",IF(SUMPRODUCT((Buchungen!$B$7:$B$86=$A17)*(Buchungen!$D$7:$D$86&lt;=K$11)*(Buchungen!$E$7:$E$86&gt;K$11)*(Buchungen!$J$7:$J$86&lt;&gt;"Storniert"))=0,"",IF(SUMPRODUCT((Buchungen!$B$7:$B$86=$A17)*(Buchungen!$D$7:$D$86&lt;=K$11)*(Buchungen!$E$7:$E$86&gt;K$11)*(Buchungen!$J$7:$J$86&lt;&gt;"Storniert"))&gt;1,"!",INDEX(Buchungen!$K$7:$K$86,SUMPRODUCT(MAX(((Buchungen!$B$7:$B$86=$A17)*(Buchungen!$D$7:$D$86&lt;=K$11)*(Buchungen!$E$7:$E$86&gt;K$11)*(Buchungen!$J$7:$J$86&lt;&gt;"Storniert"))*ROW(Buchungen!$B$7:$B$86)))-6))))</f>
        <v/>
      </c>
      <c r="L17" s="30" t="str">
        <f aca="false">IF(L$11="","",IF(SUMPRODUCT((Buchungen!$B$7:$B$86=$A17)*(Buchungen!$D$7:$D$86&lt;=L$11)*(Buchungen!$E$7:$E$86&gt;L$11)*(Buchungen!$J$7:$J$86&lt;&gt;"Storniert"))=0,"",IF(SUMPRODUCT((Buchungen!$B$7:$B$86=$A17)*(Buchungen!$D$7:$D$86&lt;=L$11)*(Buchungen!$E$7:$E$86&gt;L$11)*(Buchungen!$J$7:$J$86&lt;&gt;"Storniert"))&gt;1,"!",INDEX(Buchungen!$K$7:$K$86,SUMPRODUCT(MAX(((Buchungen!$B$7:$B$86=$A17)*(Buchungen!$D$7:$D$86&lt;=L$11)*(Buchungen!$E$7:$E$86&gt;L$11)*(Buchungen!$J$7:$J$86&lt;&gt;"Storniert"))*ROW(Buchungen!$B$7:$B$86)))-6))))</f>
        <v>B</v>
      </c>
      <c r="M17" s="30" t="str">
        <f aca="false">IF(M$11="","",IF(SUMPRODUCT((Buchungen!$B$7:$B$86=$A17)*(Buchungen!$D$7:$D$86&lt;=M$11)*(Buchungen!$E$7:$E$86&gt;M$11)*(Buchungen!$J$7:$J$86&lt;&gt;"Storniert"))=0,"",IF(SUMPRODUCT((Buchungen!$B$7:$B$86=$A17)*(Buchungen!$D$7:$D$86&lt;=M$11)*(Buchungen!$E$7:$E$86&gt;M$11)*(Buchungen!$J$7:$J$86&lt;&gt;"Storniert"))&gt;1,"!",INDEX(Buchungen!$K$7:$K$86,SUMPRODUCT(MAX(((Buchungen!$B$7:$B$86=$A17)*(Buchungen!$D$7:$D$86&lt;=M$11)*(Buchungen!$E$7:$E$86&gt;M$11)*(Buchungen!$J$7:$J$86&lt;&gt;"Storniert"))*ROW(Buchungen!$B$7:$B$86)))-6))))</f>
        <v>B</v>
      </c>
      <c r="N17" s="30" t="str">
        <f aca="false">IF(N$11="","",IF(SUMPRODUCT((Buchungen!$B$7:$B$86=$A17)*(Buchungen!$D$7:$D$86&lt;=N$11)*(Buchungen!$E$7:$E$86&gt;N$11)*(Buchungen!$J$7:$J$86&lt;&gt;"Storniert"))=0,"",IF(SUMPRODUCT((Buchungen!$B$7:$B$86=$A17)*(Buchungen!$D$7:$D$86&lt;=N$11)*(Buchungen!$E$7:$E$86&gt;N$11)*(Buchungen!$J$7:$J$86&lt;&gt;"Storniert"))&gt;1,"!",INDEX(Buchungen!$K$7:$K$86,SUMPRODUCT(MAX(((Buchungen!$B$7:$B$86=$A17)*(Buchungen!$D$7:$D$86&lt;=N$11)*(Buchungen!$E$7:$E$86&gt;N$11)*(Buchungen!$J$7:$J$86&lt;&gt;"Storniert"))*ROW(Buchungen!$B$7:$B$86)))-6))))</f>
        <v>B</v>
      </c>
      <c r="O17" s="30" t="str">
        <f aca="false">IF(O$11="","",IF(SUMPRODUCT((Buchungen!$B$7:$B$86=$A17)*(Buchungen!$D$7:$D$86&lt;=O$11)*(Buchungen!$E$7:$E$86&gt;O$11)*(Buchungen!$J$7:$J$86&lt;&gt;"Storniert"))=0,"",IF(SUMPRODUCT((Buchungen!$B$7:$B$86=$A17)*(Buchungen!$D$7:$D$86&lt;=O$11)*(Buchungen!$E$7:$E$86&gt;O$11)*(Buchungen!$J$7:$J$86&lt;&gt;"Storniert"))&gt;1,"!",INDEX(Buchungen!$K$7:$K$86,SUMPRODUCT(MAX(((Buchungen!$B$7:$B$86=$A17)*(Buchungen!$D$7:$D$86&lt;=O$11)*(Buchungen!$E$7:$E$86&gt;O$11)*(Buchungen!$J$7:$J$86&lt;&gt;"Storniert"))*ROW(Buchungen!$B$7:$B$86)))-6))))</f>
        <v>B</v>
      </c>
      <c r="P17" s="30" t="str">
        <f aca="false">IF(P$11="","",IF(SUMPRODUCT((Buchungen!$B$7:$B$86=$A17)*(Buchungen!$D$7:$D$86&lt;=P$11)*(Buchungen!$E$7:$E$86&gt;P$11)*(Buchungen!$J$7:$J$86&lt;&gt;"Storniert"))=0,"",IF(SUMPRODUCT((Buchungen!$B$7:$B$86=$A17)*(Buchungen!$D$7:$D$86&lt;=P$11)*(Buchungen!$E$7:$E$86&gt;P$11)*(Buchungen!$J$7:$J$86&lt;&gt;"Storniert"))&gt;1,"!",INDEX(Buchungen!$K$7:$K$86,SUMPRODUCT(MAX(((Buchungen!$B$7:$B$86=$A17)*(Buchungen!$D$7:$D$86&lt;=P$11)*(Buchungen!$E$7:$E$86&gt;P$11)*(Buchungen!$J$7:$J$86&lt;&gt;"Storniert"))*ROW(Buchungen!$B$7:$B$86)))-6))))</f>
        <v/>
      </c>
      <c r="Q17" s="30" t="str">
        <f aca="false">IF(Q$11="","",IF(SUMPRODUCT((Buchungen!$B$7:$B$86=$A17)*(Buchungen!$D$7:$D$86&lt;=Q$11)*(Buchungen!$E$7:$E$86&gt;Q$11)*(Buchungen!$J$7:$J$86&lt;&gt;"Storniert"))=0,"",IF(SUMPRODUCT((Buchungen!$B$7:$B$86=$A17)*(Buchungen!$D$7:$D$86&lt;=Q$11)*(Buchungen!$E$7:$E$86&gt;Q$11)*(Buchungen!$J$7:$J$86&lt;&gt;"Storniert"))&gt;1,"!",INDEX(Buchungen!$K$7:$K$86,SUMPRODUCT(MAX(((Buchungen!$B$7:$B$86=$A17)*(Buchungen!$D$7:$D$86&lt;=Q$11)*(Buchungen!$E$7:$E$86&gt;Q$11)*(Buchungen!$J$7:$J$86&lt;&gt;"Storniert"))*ROW(Buchungen!$B$7:$B$86)))-6))))</f>
        <v/>
      </c>
      <c r="R17" s="30" t="str">
        <f aca="false">IF(R$11="","",IF(SUMPRODUCT((Buchungen!$B$7:$B$86=$A17)*(Buchungen!$D$7:$D$86&lt;=R$11)*(Buchungen!$E$7:$E$86&gt;R$11)*(Buchungen!$J$7:$J$86&lt;&gt;"Storniert"))=0,"",IF(SUMPRODUCT((Buchungen!$B$7:$B$86=$A17)*(Buchungen!$D$7:$D$86&lt;=R$11)*(Buchungen!$E$7:$E$86&gt;R$11)*(Buchungen!$J$7:$J$86&lt;&gt;"Storniert"))&gt;1,"!",INDEX(Buchungen!$K$7:$K$86,SUMPRODUCT(MAX(((Buchungen!$B$7:$B$86=$A17)*(Buchungen!$D$7:$D$86&lt;=R$11)*(Buchungen!$E$7:$E$86&gt;R$11)*(Buchungen!$J$7:$J$86&lt;&gt;"Storniert"))*ROW(Buchungen!$B$7:$B$86)))-6))))</f>
        <v/>
      </c>
      <c r="S17" s="30" t="str">
        <f aca="false">IF(S$11="","",IF(SUMPRODUCT((Buchungen!$B$7:$B$86=$A17)*(Buchungen!$D$7:$D$86&lt;=S$11)*(Buchungen!$E$7:$E$86&gt;S$11)*(Buchungen!$J$7:$J$86&lt;&gt;"Storniert"))=0,"",IF(SUMPRODUCT((Buchungen!$B$7:$B$86=$A17)*(Buchungen!$D$7:$D$86&lt;=S$11)*(Buchungen!$E$7:$E$86&gt;S$11)*(Buchungen!$J$7:$J$86&lt;&gt;"Storniert"))&gt;1,"!",INDEX(Buchungen!$K$7:$K$86,SUMPRODUCT(MAX(((Buchungen!$B$7:$B$86=$A17)*(Buchungen!$D$7:$D$86&lt;=S$11)*(Buchungen!$E$7:$E$86&gt;S$11)*(Buchungen!$J$7:$J$86&lt;&gt;"Storniert"))*ROW(Buchungen!$B$7:$B$86)))-6))))</f>
        <v>B</v>
      </c>
      <c r="T17" s="30" t="str">
        <f aca="false">IF(T$11="","",IF(SUMPRODUCT((Buchungen!$B$7:$B$86=$A17)*(Buchungen!$D$7:$D$86&lt;=T$11)*(Buchungen!$E$7:$E$86&gt;T$11)*(Buchungen!$J$7:$J$86&lt;&gt;"Storniert"))=0,"",IF(SUMPRODUCT((Buchungen!$B$7:$B$86=$A17)*(Buchungen!$D$7:$D$86&lt;=T$11)*(Buchungen!$E$7:$E$86&gt;T$11)*(Buchungen!$J$7:$J$86&lt;&gt;"Storniert"))&gt;1,"!",INDEX(Buchungen!$K$7:$K$86,SUMPRODUCT(MAX(((Buchungen!$B$7:$B$86=$A17)*(Buchungen!$D$7:$D$86&lt;=T$11)*(Buchungen!$E$7:$E$86&gt;T$11)*(Buchungen!$J$7:$J$86&lt;&gt;"Storniert"))*ROW(Buchungen!$B$7:$B$86)))-6))))</f>
        <v>B</v>
      </c>
      <c r="U17" s="30" t="str">
        <f aca="false">IF(U$11="","",IF(SUMPRODUCT((Buchungen!$B$7:$B$86=$A17)*(Buchungen!$D$7:$D$86&lt;=U$11)*(Buchungen!$E$7:$E$86&gt;U$11)*(Buchungen!$J$7:$J$86&lt;&gt;"Storniert"))=0,"",IF(SUMPRODUCT((Buchungen!$B$7:$B$86=$A17)*(Buchungen!$D$7:$D$86&lt;=U$11)*(Buchungen!$E$7:$E$86&gt;U$11)*(Buchungen!$J$7:$J$86&lt;&gt;"Storniert"))&gt;1,"!",INDEX(Buchungen!$K$7:$K$86,SUMPRODUCT(MAX(((Buchungen!$B$7:$B$86=$A17)*(Buchungen!$D$7:$D$86&lt;=U$11)*(Buchungen!$E$7:$E$86&gt;U$11)*(Buchungen!$J$7:$J$86&lt;&gt;"Storniert"))*ROW(Buchungen!$B$7:$B$86)))-6))))</f>
        <v>B</v>
      </c>
      <c r="V17" s="30" t="str">
        <f aca="false">IF(V$11="","",IF(SUMPRODUCT((Buchungen!$B$7:$B$86=$A17)*(Buchungen!$D$7:$D$86&lt;=V$11)*(Buchungen!$E$7:$E$86&gt;V$11)*(Buchungen!$J$7:$J$86&lt;&gt;"Storniert"))=0,"",IF(SUMPRODUCT((Buchungen!$B$7:$B$86=$A17)*(Buchungen!$D$7:$D$86&lt;=V$11)*(Buchungen!$E$7:$E$86&gt;V$11)*(Buchungen!$J$7:$J$86&lt;&gt;"Storniert"))&gt;1,"!",INDEX(Buchungen!$K$7:$K$86,SUMPRODUCT(MAX(((Buchungen!$B$7:$B$86=$A17)*(Buchungen!$D$7:$D$86&lt;=V$11)*(Buchungen!$E$7:$E$86&gt;V$11)*(Buchungen!$J$7:$J$86&lt;&gt;"Storniert"))*ROW(Buchungen!$B$7:$B$86)))-6))))</f>
        <v>B</v>
      </c>
      <c r="W17" s="30" t="str">
        <f aca="false">IF(W$11="","",IF(SUMPRODUCT((Buchungen!$B$7:$B$86=$A17)*(Buchungen!$D$7:$D$86&lt;=W$11)*(Buchungen!$E$7:$E$86&gt;W$11)*(Buchungen!$J$7:$J$86&lt;&gt;"Storniert"))=0,"",IF(SUMPRODUCT((Buchungen!$B$7:$B$86=$A17)*(Buchungen!$D$7:$D$86&lt;=W$11)*(Buchungen!$E$7:$E$86&gt;W$11)*(Buchungen!$J$7:$J$86&lt;&gt;"Storniert"))&gt;1,"!",INDEX(Buchungen!$K$7:$K$86,SUMPRODUCT(MAX(((Buchungen!$B$7:$B$86=$A17)*(Buchungen!$D$7:$D$86&lt;=W$11)*(Buchungen!$E$7:$E$86&gt;W$11)*(Buchungen!$J$7:$J$86&lt;&gt;"Storniert"))*ROW(Buchungen!$B$7:$B$86)))-6))))</f>
        <v>B</v>
      </c>
      <c r="X17" s="30" t="str">
        <f aca="false">IF(X$11="","",IF(SUMPRODUCT((Buchungen!$B$7:$B$86=$A17)*(Buchungen!$D$7:$D$86&lt;=X$11)*(Buchungen!$E$7:$E$86&gt;X$11)*(Buchungen!$J$7:$J$86&lt;&gt;"Storniert"))=0,"",IF(SUMPRODUCT((Buchungen!$B$7:$B$86=$A17)*(Buchungen!$D$7:$D$86&lt;=X$11)*(Buchungen!$E$7:$E$86&gt;X$11)*(Buchungen!$J$7:$J$86&lt;&gt;"Storniert"))&gt;1,"!",INDEX(Buchungen!$K$7:$K$86,SUMPRODUCT(MAX(((Buchungen!$B$7:$B$86=$A17)*(Buchungen!$D$7:$D$86&lt;=X$11)*(Buchungen!$E$7:$E$86&gt;X$11)*(Buchungen!$J$7:$J$86&lt;&gt;"Storniert"))*ROW(Buchungen!$B$7:$B$86)))-6))))</f>
        <v>B</v>
      </c>
      <c r="Y17" s="30" t="str">
        <f aca="false">IF(Y$11="","",IF(SUMPRODUCT((Buchungen!$B$7:$B$86=$A17)*(Buchungen!$D$7:$D$86&lt;=Y$11)*(Buchungen!$E$7:$E$86&gt;Y$11)*(Buchungen!$J$7:$J$86&lt;&gt;"Storniert"))=0,"",IF(SUMPRODUCT((Buchungen!$B$7:$B$86=$A17)*(Buchungen!$D$7:$D$86&lt;=Y$11)*(Buchungen!$E$7:$E$86&gt;Y$11)*(Buchungen!$J$7:$J$86&lt;&gt;"Storniert"))&gt;1,"!",INDEX(Buchungen!$K$7:$K$86,SUMPRODUCT(MAX(((Buchungen!$B$7:$B$86=$A17)*(Buchungen!$D$7:$D$86&lt;=Y$11)*(Buchungen!$E$7:$E$86&gt;Y$11)*(Buchungen!$J$7:$J$86&lt;&gt;"Storniert"))*ROW(Buchungen!$B$7:$B$86)))-6))))</f>
        <v>B</v>
      </c>
      <c r="Z17" s="30" t="str">
        <f aca="false">IF(Z$11="","",IF(SUMPRODUCT((Buchungen!$B$7:$B$86=$A17)*(Buchungen!$D$7:$D$86&lt;=Z$11)*(Buchungen!$E$7:$E$86&gt;Z$11)*(Buchungen!$J$7:$J$86&lt;&gt;"Storniert"))=0,"",IF(SUMPRODUCT((Buchungen!$B$7:$B$86=$A17)*(Buchungen!$D$7:$D$86&lt;=Z$11)*(Buchungen!$E$7:$E$86&gt;Z$11)*(Buchungen!$J$7:$J$86&lt;&gt;"Storniert"))&gt;1,"!",INDEX(Buchungen!$K$7:$K$86,SUMPRODUCT(MAX(((Buchungen!$B$7:$B$86=$A17)*(Buchungen!$D$7:$D$86&lt;=Z$11)*(Buchungen!$E$7:$E$86&gt;Z$11)*(Buchungen!$J$7:$J$86&lt;&gt;"Storniert"))*ROW(Buchungen!$B$7:$B$86)))-6))))</f>
        <v>B</v>
      </c>
      <c r="AA17" s="30" t="str">
        <f aca="false">IF(AA$11="","",IF(SUMPRODUCT((Buchungen!$B$7:$B$86=$A17)*(Buchungen!$D$7:$D$86&lt;=AA$11)*(Buchungen!$E$7:$E$86&gt;AA$11)*(Buchungen!$J$7:$J$86&lt;&gt;"Storniert"))=0,"",IF(SUMPRODUCT((Buchungen!$B$7:$B$86=$A17)*(Buchungen!$D$7:$D$86&lt;=AA$11)*(Buchungen!$E$7:$E$86&gt;AA$11)*(Buchungen!$J$7:$J$86&lt;&gt;"Storniert"))&gt;1,"!",INDEX(Buchungen!$K$7:$K$86,SUMPRODUCT(MAX(((Buchungen!$B$7:$B$86=$A17)*(Buchungen!$D$7:$D$86&lt;=AA$11)*(Buchungen!$E$7:$E$86&gt;AA$11)*(Buchungen!$J$7:$J$86&lt;&gt;"Storniert"))*ROW(Buchungen!$B$7:$B$86)))-6))))</f>
        <v>B</v>
      </c>
      <c r="AB17" s="30" t="str">
        <f aca="false">IF(AB$11="","",IF(SUMPRODUCT((Buchungen!$B$7:$B$86=$A17)*(Buchungen!$D$7:$D$86&lt;=AB$11)*(Buchungen!$E$7:$E$86&gt;AB$11)*(Buchungen!$J$7:$J$86&lt;&gt;"Storniert"))=0,"",IF(SUMPRODUCT((Buchungen!$B$7:$B$86=$A17)*(Buchungen!$D$7:$D$86&lt;=AB$11)*(Buchungen!$E$7:$E$86&gt;AB$11)*(Buchungen!$J$7:$J$86&lt;&gt;"Storniert"))&gt;1,"!",INDEX(Buchungen!$K$7:$K$86,SUMPRODUCT(MAX(((Buchungen!$B$7:$B$86=$A17)*(Buchungen!$D$7:$D$86&lt;=AB$11)*(Buchungen!$E$7:$E$86&gt;AB$11)*(Buchungen!$J$7:$J$86&lt;&gt;"Storniert"))*ROW(Buchungen!$B$7:$B$86)))-6))))</f>
        <v>B</v>
      </c>
      <c r="AC17" s="30" t="str">
        <f aca="false">IF(AC$11="","",IF(SUMPRODUCT((Buchungen!$B$7:$B$86=$A17)*(Buchungen!$D$7:$D$86&lt;=AC$11)*(Buchungen!$E$7:$E$86&gt;AC$11)*(Buchungen!$J$7:$J$86&lt;&gt;"Storniert"))=0,"",IF(SUMPRODUCT((Buchungen!$B$7:$B$86=$A17)*(Buchungen!$D$7:$D$86&lt;=AC$11)*(Buchungen!$E$7:$E$86&gt;AC$11)*(Buchungen!$J$7:$J$86&lt;&gt;"Storniert"))&gt;1,"!",INDEX(Buchungen!$K$7:$K$86,SUMPRODUCT(MAX(((Buchungen!$B$7:$B$86=$A17)*(Buchungen!$D$7:$D$86&lt;=AC$11)*(Buchungen!$E$7:$E$86&gt;AC$11)*(Buchungen!$J$7:$J$86&lt;&gt;"Storniert"))*ROW(Buchungen!$B$7:$B$86)))-6))))</f>
        <v>B</v>
      </c>
      <c r="AD17" s="30" t="str">
        <f aca="false">IF(AD$11="","",IF(SUMPRODUCT((Buchungen!$B$7:$B$86=$A17)*(Buchungen!$D$7:$D$86&lt;=AD$11)*(Buchungen!$E$7:$E$86&gt;AD$11)*(Buchungen!$J$7:$J$86&lt;&gt;"Storniert"))=0,"",IF(SUMPRODUCT((Buchungen!$B$7:$B$86=$A17)*(Buchungen!$D$7:$D$86&lt;=AD$11)*(Buchungen!$E$7:$E$86&gt;AD$11)*(Buchungen!$J$7:$J$86&lt;&gt;"Storniert"))&gt;1,"!",INDEX(Buchungen!$K$7:$K$86,SUMPRODUCT(MAX(((Buchungen!$B$7:$B$86=$A17)*(Buchungen!$D$7:$D$86&lt;=AD$11)*(Buchungen!$E$7:$E$86&gt;AD$11)*(Buchungen!$J$7:$J$86&lt;&gt;"Storniert"))*ROW(Buchungen!$B$7:$B$86)))-6))))</f>
        <v>B</v>
      </c>
      <c r="AE17" s="30" t="str">
        <f aca="false">IF(AE$11="","",IF(SUMPRODUCT((Buchungen!$B$7:$B$86=$A17)*(Buchungen!$D$7:$D$86&lt;=AE$11)*(Buchungen!$E$7:$E$86&gt;AE$11)*(Buchungen!$J$7:$J$86&lt;&gt;"Storniert"))=0,"",IF(SUMPRODUCT((Buchungen!$B$7:$B$86=$A17)*(Buchungen!$D$7:$D$86&lt;=AE$11)*(Buchungen!$E$7:$E$86&gt;AE$11)*(Buchungen!$J$7:$J$86&lt;&gt;"Storniert"))&gt;1,"!",INDEX(Buchungen!$K$7:$K$86,SUMPRODUCT(MAX(((Buchungen!$B$7:$B$86=$A17)*(Buchungen!$D$7:$D$86&lt;=AE$11)*(Buchungen!$E$7:$E$86&gt;AE$11)*(Buchungen!$J$7:$J$86&lt;&gt;"Storniert"))*ROW(Buchungen!$B$7:$B$86)))-6))))</f>
        <v>B</v>
      </c>
      <c r="AF17" s="30" t="str">
        <f aca="false">IF(AF$11="","",IF(SUMPRODUCT((Buchungen!$B$7:$B$86=$A17)*(Buchungen!$D$7:$D$86&lt;=AF$11)*(Buchungen!$E$7:$E$86&gt;AF$11)*(Buchungen!$J$7:$J$86&lt;&gt;"Storniert"))=0,"",IF(SUMPRODUCT((Buchungen!$B$7:$B$86=$A17)*(Buchungen!$D$7:$D$86&lt;=AF$11)*(Buchungen!$E$7:$E$86&gt;AF$11)*(Buchungen!$J$7:$J$86&lt;&gt;"Storniert"))&gt;1,"!",INDEX(Buchungen!$K$7:$K$86,SUMPRODUCT(MAX(((Buchungen!$B$7:$B$86=$A17)*(Buchungen!$D$7:$D$86&lt;=AF$11)*(Buchungen!$E$7:$E$86&gt;AF$11)*(Buchungen!$J$7:$J$86&lt;&gt;"Storniert"))*ROW(Buchungen!$B$7:$B$86)))-6))))</f>
        <v/>
      </c>
      <c r="AG17" s="30" t="str">
        <f aca="false">IF(AG$11="","",IF(SUMPRODUCT((Buchungen!$B$7:$B$86=$A17)*(Buchungen!$D$7:$D$86&lt;=AG$11)*(Buchungen!$E$7:$E$86&gt;AG$11)*(Buchungen!$J$7:$J$86&lt;&gt;"Storniert"))=0,"",IF(SUMPRODUCT((Buchungen!$B$7:$B$86=$A17)*(Buchungen!$D$7:$D$86&lt;=AG$11)*(Buchungen!$E$7:$E$86&gt;AG$11)*(Buchungen!$J$7:$J$86&lt;&gt;"Storniert"))&gt;1,"!",INDEX(Buchungen!$K$7:$K$86,SUMPRODUCT(MAX(((Buchungen!$B$7:$B$86=$A17)*(Buchungen!$D$7:$D$86&lt;=AG$11)*(Buchungen!$E$7:$E$86&gt;AG$11)*(Buchungen!$J$7:$J$86&lt;&gt;"Storniert"))*ROW(Buchungen!$B$7:$B$86)))-6))))</f>
        <v/>
      </c>
      <c r="AH17" s="31" t="n">
        <f aca="false">SUMIFS(Buchungen!$O$7:$O$86,Buchungen!$B$7:$B$86,$A17)</f>
        <v>24</v>
      </c>
      <c r="AI17" s="32" t="n">
        <f aca="false">IFERROR($AH17/$C$7,0)</f>
        <v>0.774193548387097</v>
      </c>
      <c r="AJ17" s="33" t="n">
        <f aca="false">SUMIFS(Buchungen!$P$7:$P$86,Buchungen!$B$7:$B$86,$A17)</f>
        <v>3096</v>
      </c>
    </row>
    <row r="18" customFormat="false" ht="16.5" hidden="false" customHeight="true" outlineLevel="0" collapsed="false">
      <c r="A18" s="22" t="str">
        <f aca="false">IF(OR(Stammdaten!$A13="",Stammdaten!$G13="Nein"),"",Stammdaten!$A13)</f>
        <v>Z-107</v>
      </c>
      <c r="B18" s="23" t="str">
        <f aca="false">IF($A18="","",Stammdaten!$B13)</f>
        <v>Dreibettzimmer</v>
      </c>
      <c r="C18" s="24" t="str">
        <f aca="false">IF(C$11="","",IF(SUMPRODUCT((Buchungen!$B$7:$B$86=$A18)*(Buchungen!$D$7:$D$86&lt;=C$11)*(Buchungen!$E$7:$E$86&gt;C$11)*(Buchungen!$J$7:$J$86&lt;&gt;"Storniert"))=0,"",IF(SUMPRODUCT((Buchungen!$B$7:$B$86=$A18)*(Buchungen!$D$7:$D$86&lt;=C$11)*(Buchungen!$E$7:$E$86&gt;C$11)*(Buchungen!$J$7:$J$86&lt;&gt;"Storniert"))&gt;1,"!",INDEX(Buchungen!$K$7:$K$86,SUMPRODUCT(MAX(((Buchungen!$B$7:$B$86=$A18)*(Buchungen!$D$7:$D$86&lt;=C$11)*(Buchungen!$E$7:$E$86&gt;C$11)*(Buchungen!$J$7:$J$86&lt;&gt;"Storniert"))*ROW(Buchungen!$B$7:$B$86)))-6))))</f>
        <v>B</v>
      </c>
      <c r="D18" s="24" t="str">
        <f aca="false">IF(D$11="","",IF(SUMPRODUCT((Buchungen!$B$7:$B$86=$A18)*(Buchungen!$D$7:$D$86&lt;=D$11)*(Buchungen!$E$7:$E$86&gt;D$11)*(Buchungen!$J$7:$J$86&lt;&gt;"Storniert"))=0,"",IF(SUMPRODUCT((Buchungen!$B$7:$B$86=$A18)*(Buchungen!$D$7:$D$86&lt;=D$11)*(Buchungen!$E$7:$E$86&gt;D$11)*(Buchungen!$J$7:$J$86&lt;&gt;"Storniert"))&gt;1,"!",INDEX(Buchungen!$K$7:$K$86,SUMPRODUCT(MAX(((Buchungen!$B$7:$B$86=$A18)*(Buchungen!$D$7:$D$86&lt;=D$11)*(Buchungen!$E$7:$E$86&gt;D$11)*(Buchungen!$J$7:$J$86&lt;&gt;"Storniert"))*ROW(Buchungen!$B$7:$B$86)))-6))))</f>
        <v>B</v>
      </c>
      <c r="E18" s="24" t="str">
        <f aca="false">IF(E$11="","",IF(SUMPRODUCT((Buchungen!$B$7:$B$86=$A18)*(Buchungen!$D$7:$D$86&lt;=E$11)*(Buchungen!$E$7:$E$86&gt;E$11)*(Buchungen!$J$7:$J$86&lt;&gt;"Storniert"))=0,"",IF(SUMPRODUCT((Buchungen!$B$7:$B$86=$A18)*(Buchungen!$D$7:$D$86&lt;=E$11)*(Buchungen!$E$7:$E$86&gt;E$11)*(Buchungen!$J$7:$J$86&lt;&gt;"Storniert"))&gt;1,"!",INDEX(Buchungen!$K$7:$K$86,SUMPRODUCT(MAX(((Buchungen!$B$7:$B$86=$A18)*(Buchungen!$D$7:$D$86&lt;=E$11)*(Buchungen!$E$7:$E$86&gt;E$11)*(Buchungen!$J$7:$J$86&lt;&gt;"Storniert"))*ROW(Buchungen!$B$7:$B$86)))-6))))</f>
        <v/>
      </c>
      <c r="F18" s="24" t="str">
        <f aca="false">IF(F$11="","",IF(SUMPRODUCT((Buchungen!$B$7:$B$86=$A18)*(Buchungen!$D$7:$D$86&lt;=F$11)*(Buchungen!$E$7:$E$86&gt;F$11)*(Buchungen!$J$7:$J$86&lt;&gt;"Storniert"))=0,"",IF(SUMPRODUCT((Buchungen!$B$7:$B$86=$A18)*(Buchungen!$D$7:$D$86&lt;=F$11)*(Buchungen!$E$7:$E$86&gt;F$11)*(Buchungen!$J$7:$J$86&lt;&gt;"Storniert"))&gt;1,"!",INDEX(Buchungen!$K$7:$K$86,SUMPRODUCT(MAX(((Buchungen!$B$7:$B$86=$A18)*(Buchungen!$D$7:$D$86&lt;=F$11)*(Buchungen!$E$7:$E$86&gt;F$11)*(Buchungen!$J$7:$J$86&lt;&gt;"Storniert"))*ROW(Buchungen!$B$7:$B$86)))-6))))</f>
        <v>B</v>
      </c>
      <c r="G18" s="24" t="str">
        <f aca="false">IF(G$11="","",IF(SUMPRODUCT((Buchungen!$B$7:$B$86=$A18)*(Buchungen!$D$7:$D$86&lt;=G$11)*(Buchungen!$E$7:$E$86&gt;G$11)*(Buchungen!$J$7:$J$86&lt;&gt;"Storniert"))=0,"",IF(SUMPRODUCT((Buchungen!$B$7:$B$86=$A18)*(Buchungen!$D$7:$D$86&lt;=G$11)*(Buchungen!$E$7:$E$86&gt;G$11)*(Buchungen!$J$7:$J$86&lt;&gt;"Storniert"))&gt;1,"!",INDEX(Buchungen!$K$7:$K$86,SUMPRODUCT(MAX(((Buchungen!$B$7:$B$86=$A18)*(Buchungen!$D$7:$D$86&lt;=G$11)*(Buchungen!$E$7:$E$86&gt;G$11)*(Buchungen!$J$7:$J$86&lt;&gt;"Storniert"))*ROW(Buchungen!$B$7:$B$86)))-6))))</f>
        <v>B</v>
      </c>
      <c r="H18" s="24" t="str">
        <f aca="false">IF(H$11="","",IF(SUMPRODUCT((Buchungen!$B$7:$B$86=$A18)*(Buchungen!$D$7:$D$86&lt;=H$11)*(Buchungen!$E$7:$E$86&gt;H$11)*(Buchungen!$J$7:$J$86&lt;&gt;"Storniert"))=0,"",IF(SUMPRODUCT((Buchungen!$B$7:$B$86=$A18)*(Buchungen!$D$7:$D$86&lt;=H$11)*(Buchungen!$E$7:$E$86&gt;H$11)*(Buchungen!$J$7:$J$86&lt;&gt;"Storniert"))&gt;1,"!",INDEX(Buchungen!$K$7:$K$86,SUMPRODUCT(MAX(((Buchungen!$B$7:$B$86=$A18)*(Buchungen!$D$7:$D$86&lt;=H$11)*(Buchungen!$E$7:$E$86&gt;H$11)*(Buchungen!$J$7:$J$86&lt;&gt;"Storniert"))*ROW(Buchungen!$B$7:$B$86)))-6))))</f>
        <v>B</v>
      </c>
      <c r="I18" s="24" t="str">
        <f aca="false">IF(I$11="","",IF(SUMPRODUCT((Buchungen!$B$7:$B$86=$A18)*(Buchungen!$D$7:$D$86&lt;=I$11)*(Buchungen!$E$7:$E$86&gt;I$11)*(Buchungen!$J$7:$J$86&lt;&gt;"Storniert"))=0,"",IF(SUMPRODUCT((Buchungen!$B$7:$B$86=$A18)*(Buchungen!$D$7:$D$86&lt;=I$11)*(Buchungen!$E$7:$E$86&gt;I$11)*(Buchungen!$J$7:$J$86&lt;&gt;"Storniert"))&gt;1,"!",INDEX(Buchungen!$K$7:$K$86,SUMPRODUCT(MAX(((Buchungen!$B$7:$B$86=$A18)*(Buchungen!$D$7:$D$86&lt;=I$11)*(Buchungen!$E$7:$E$86&gt;I$11)*(Buchungen!$J$7:$J$86&lt;&gt;"Storniert"))*ROW(Buchungen!$B$7:$B$86)))-6))))</f>
        <v>B</v>
      </c>
      <c r="J18" s="24" t="str">
        <f aca="false">IF(J$11="","",IF(SUMPRODUCT((Buchungen!$B$7:$B$86=$A18)*(Buchungen!$D$7:$D$86&lt;=J$11)*(Buchungen!$E$7:$E$86&gt;J$11)*(Buchungen!$J$7:$J$86&lt;&gt;"Storniert"))=0,"",IF(SUMPRODUCT((Buchungen!$B$7:$B$86=$A18)*(Buchungen!$D$7:$D$86&lt;=J$11)*(Buchungen!$E$7:$E$86&gt;J$11)*(Buchungen!$J$7:$J$86&lt;&gt;"Storniert"))&gt;1,"!",INDEX(Buchungen!$K$7:$K$86,SUMPRODUCT(MAX(((Buchungen!$B$7:$B$86=$A18)*(Buchungen!$D$7:$D$86&lt;=J$11)*(Buchungen!$E$7:$E$86&gt;J$11)*(Buchungen!$J$7:$J$86&lt;&gt;"Storniert"))*ROW(Buchungen!$B$7:$B$86)))-6))))</f>
        <v>B</v>
      </c>
      <c r="K18" s="24" t="str">
        <f aca="false">IF(K$11="","",IF(SUMPRODUCT((Buchungen!$B$7:$B$86=$A18)*(Buchungen!$D$7:$D$86&lt;=K$11)*(Buchungen!$E$7:$E$86&gt;K$11)*(Buchungen!$J$7:$J$86&lt;&gt;"Storniert"))=0,"",IF(SUMPRODUCT((Buchungen!$B$7:$B$86=$A18)*(Buchungen!$D$7:$D$86&lt;=K$11)*(Buchungen!$E$7:$E$86&gt;K$11)*(Buchungen!$J$7:$J$86&lt;&gt;"Storniert"))&gt;1,"!",INDEX(Buchungen!$K$7:$K$86,SUMPRODUCT(MAX(((Buchungen!$B$7:$B$86=$A18)*(Buchungen!$D$7:$D$86&lt;=K$11)*(Buchungen!$E$7:$E$86&gt;K$11)*(Buchungen!$J$7:$J$86&lt;&gt;"Storniert"))*ROW(Buchungen!$B$7:$B$86)))-6))))</f>
        <v>B</v>
      </c>
      <c r="L18" s="24" t="str">
        <f aca="false">IF(L$11="","",IF(SUMPRODUCT((Buchungen!$B$7:$B$86=$A18)*(Buchungen!$D$7:$D$86&lt;=L$11)*(Buchungen!$E$7:$E$86&gt;L$11)*(Buchungen!$J$7:$J$86&lt;&gt;"Storniert"))=0,"",IF(SUMPRODUCT((Buchungen!$B$7:$B$86=$A18)*(Buchungen!$D$7:$D$86&lt;=L$11)*(Buchungen!$E$7:$E$86&gt;L$11)*(Buchungen!$J$7:$J$86&lt;&gt;"Storniert"))&gt;1,"!",INDEX(Buchungen!$K$7:$K$86,SUMPRODUCT(MAX(((Buchungen!$B$7:$B$86=$A18)*(Buchungen!$D$7:$D$86&lt;=L$11)*(Buchungen!$E$7:$E$86&gt;L$11)*(Buchungen!$J$7:$J$86&lt;&gt;"Storniert"))*ROW(Buchungen!$B$7:$B$86)))-6))))</f>
        <v>B</v>
      </c>
      <c r="M18" s="24" t="str">
        <f aca="false">IF(M$11="","",IF(SUMPRODUCT((Buchungen!$B$7:$B$86=$A18)*(Buchungen!$D$7:$D$86&lt;=M$11)*(Buchungen!$E$7:$E$86&gt;M$11)*(Buchungen!$J$7:$J$86&lt;&gt;"Storniert"))=0,"",IF(SUMPRODUCT((Buchungen!$B$7:$B$86=$A18)*(Buchungen!$D$7:$D$86&lt;=M$11)*(Buchungen!$E$7:$E$86&gt;M$11)*(Buchungen!$J$7:$J$86&lt;&gt;"Storniert"))&gt;1,"!",INDEX(Buchungen!$K$7:$K$86,SUMPRODUCT(MAX(((Buchungen!$B$7:$B$86=$A18)*(Buchungen!$D$7:$D$86&lt;=M$11)*(Buchungen!$E$7:$E$86&gt;M$11)*(Buchungen!$J$7:$J$86&lt;&gt;"Storniert"))*ROW(Buchungen!$B$7:$B$86)))-6))))</f>
        <v/>
      </c>
      <c r="N18" s="24" t="str">
        <f aca="false">IF(N$11="","",IF(SUMPRODUCT((Buchungen!$B$7:$B$86=$A18)*(Buchungen!$D$7:$D$86&lt;=N$11)*(Buchungen!$E$7:$E$86&gt;N$11)*(Buchungen!$J$7:$J$86&lt;&gt;"Storniert"))=0,"",IF(SUMPRODUCT((Buchungen!$B$7:$B$86=$A18)*(Buchungen!$D$7:$D$86&lt;=N$11)*(Buchungen!$E$7:$E$86&gt;N$11)*(Buchungen!$J$7:$J$86&lt;&gt;"Storniert"))&gt;1,"!",INDEX(Buchungen!$K$7:$K$86,SUMPRODUCT(MAX(((Buchungen!$B$7:$B$86=$A18)*(Buchungen!$D$7:$D$86&lt;=N$11)*(Buchungen!$E$7:$E$86&gt;N$11)*(Buchungen!$J$7:$J$86&lt;&gt;"Storniert"))*ROW(Buchungen!$B$7:$B$86)))-6))))</f>
        <v/>
      </c>
      <c r="O18" s="24" t="str">
        <f aca="false">IF(O$11="","",IF(SUMPRODUCT((Buchungen!$B$7:$B$86=$A18)*(Buchungen!$D$7:$D$86&lt;=O$11)*(Buchungen!$E$7:$E$86&gt;O$11)*(Buchungen!$J$7:$J$86&lt;&gt;"Storniert"))=0,"",IF(SUMPRODUCT((Buchungen!$B$7:$B$86=$A18)*(Buchungen!$D$7:$D$86&lt;=O$11)*(Buchungen!$E$7:$E$86&gt;O$11)*(Buchungen!$J$7:$J$86&lt;&gt;"Storniert"))&gt;1,"!",INDEX(Buchungen!$K$7:$K$86,SUMPRODUCT(MAX(((Buchungen!$B$7:$B$86=$A18)*(Buchungen!$D$7:$D$86&lt;=O$11)*(Buchungen!$E$7:$E$86&gt;O$11)*(Buchungen!$J$7:$J$86&lt;&gt;"Storniert"))*ROW(Buchungen!$B$7:$B$86)))-6))))</f>
        <v>B</v>
      </c>
      <c r="P18" s="24" t="str">
        <f aca="false">IF(P$11="","",IF(SUMPRODUCT((Buchungen!$B$7:$B$86=$A18)*(Buchungen!$D$7:$D$86&lt;=P$11)*(Buchungen!$E$7:$E$86&gt;P$11)*(Buchungen!$J$7:$J$86&lt;&gt;"Storniert"))=0,"",IF(SUMPRODUCT((Buchungen!$B$7:$B$86=$A18)*(Buchungen!$D$7:$D$86&lt;=P$11)*(Buchungen!$E$7:$E$86&gt;P$11)*(Buchungen!$J$7:$J$86&lt;&gt;"Storniert"))&gt;1,"!",INDEX(Buchungen!$K$7:$K$86,SUMPRODUCT(MAX(((Buchungen!$B$7:$B$86=$A18)*(Buchungen!$D$7:$D$86&lt;=P$11)*(Buchungen!$E$7:$E$86&gt;P$11)*(Buchungen!$J$7:$J$86&lt;&gt;"Storniert"))*ROW(Buchungen!$B$7:$B$86)))-6))))</f>
        <v>B</v>
      </c>
      <c r="Q18" s="24" t="str">
        <f aca="false">IF(Q$11="","",IF(SUMPRODUCT((Buchungen!$B$7:$B$86=$A18)*(Buchungen!$D$7:$D$86&lt;=Q$11)*(Buchungen!$E$7:$E$86&gt;Q$11)*(Buchungen!$J$7:$J$86&lt;&gt;"Storniert"))=0,"",IF(SUMPRODUCT((Buchungen!$B$7:$B$86=$A18)*(Buchungen!$D$7:$D$86&lt;=Q$11)*(Buchungen!$E$7:$E$86&gt;Q$11)*(Buchungen!$J$7:$J$86&lt;&gt;"Storniert"))&gt;1,"!",INDEX(Buchungen!$K$7:$K$86,SUMPRODUCT(MAX(((Buchungen!$B$7:$B$86=$A18)*(Buchungen!$D$7:$D$86&lt;=Q$11)*(Buchungen!$E$7:$E$86&gt;Q$11)*(Buchungen!$J$7:$J$86&lt;&gt;"Storniert"))*ROW(Buchungen!$B$7:$B$86)))-6))))</f>
        <v>B</v>
      </c>
      <c r="R18" s="24" t="str">
        <f aca="false">IF(R$11="","",IF(SUMPRODUCT((Buchungen!$B$7:$B$86=$A18)*(Buchungen!$D$7:$D$86&lt;=R$11)*(Buchungen!$E$7:$E$86&gt;R$11)*(Buchungen!$J$7:$J$86&lt;&gt;"Storniert"))=0,"",IF(SUMPRODUCT((Buchungen!$B$7:$B$86=$A18)*(Buchungen!$D$7:$D$86&lt;=R$11)*(Buchungen!$E$7:$E$86&gt;R$11)*(Buchungen!$J$7:$J$86&lt;&gt;"Storniert"))&gt;1,"!",INDEX(Buchungen!$K$7:$K$86,SUMPRODUCT(MAX(((Buchungen!$B$7:$B$86=$A18)*(Buchungen!$D$7:$D$86&lt;=R$11)*(Buchungen!$E$7:$E$86&gt;R$11)*(Buchungen!$J$7:$J$86&lt;&gt;"Storniert"))*ROW(Buchungen!$B$7:$B$86)))-6))))</f>
        <v>B</v>
      </c>
      <c r="S18" s="24" t="str">
        <f aca="false">IF(S$11="","",IF(SUMPRODUCT((Buchungen!$B$7:$B$86=$A18)*(Buchungen!$D$7:$D$86&lt;=S$11)*(Buchungen!$E$7:$E$86&gt;S$11)*(Buchungen!$J$7:$J$86&lt;&gt;"Storniert"))=0,"",IF(SUMPRODUCT((Buchungen!$B$7:$B$86=$A18)*(Buchungen!$D$7:$D$86&lt;=S$11)*(Buchungen!$E$7:$E$86&gt;S$11)*(Buchungen!$J$7:$J$86&lt;&gt;"Storniert"))&gt;1,"!",INDEX(Buchungen!$K$7:$K$86,SUMPRODUCT(MAX(((Buchungen!$B$7:$B$86=$A18)*(Buchungen!$D$7:$D$86&lt;=S$11)*(Buchungen!$E$7:$E$86&gt;S$11)*(Buchungen!$J$7:$J$86&lt;&gt;"Storniert"))*ROW(Buchungen!$B$7:$B$86)))-6))))</f>
        <v>B</v>
      </c>
      <c r="T18" s="24" t="str">
        <f aca="false">IF(T$11="","",IF(SUMPRODUCT((Buchungen!$B$7:$B$86=$A18)*(Buchungen!$D$7:$D$86&lt;=T$11)*(Buchungen!$E$7:$E$86&gt;T$11)*(Buchungen!$J$7:$J$86&lt;&gt;"Storniert"))=0,"",IF(SUMPRODUCT((Buchungen!$B$7:$B$86=$A18)*(Buchungen!$D$7:$D$86&lt;=T$11)*(Buchungen!$E$7:$E$86&gt;T$11)*(Buchungen!$J$7:$J$86&lt;&gt;"Storniert"))&gt;1,"!",INDEX(Buchungen!$K$7:$K$86,SUMPRODUCT(MAX(((Buchungen!$B$7:$B$86=$A18)*(Buchungen!$D$7:$D$86&lt;=T$11)*(Buchungen!$E$7:$E$86&gt;T$11)*(Buchungen!$J$7:$J$86&lt;&gt;"Storniert"))*ROW(Buchungen!$B$7:$B$86)))-6))))</f>
        <v>B</v>
      </c>
      <c r="U18" s="24" t="str">
        <f aca="false">IF(U$11="","",IF(SUMPRODUCT((Buchungen!$B$7:$B$86=$A18)*(Buchungen!$D$7:$D$86&lt;=U$11)*(Buchungen!$E$7:$E$86&gt;U$11)*(Buchungen!$J$7:$J$86&lt;&gt;"Storniert"))=0,"",IF(SUMPRODUCT((Buchungen!$B$7:$B$86=$A18)*(Buchungen!$D$7:$D$86&lt;=U$11)*(Buchungen!$E$7:$E$86&gt;U$11)*(Buchungen!$J$7:$J$86&lt;&gt;"Storniert"))&gt;1,"!",INDEX(Buchungen!$K$7:$K$86,SUMPRODUCT(MAX(((Buchungen!$B$7:$B$86=$A18)*(Buchungen!$D$7:$D$86&lt;=U$11)*(Buchungen!$E$7:$E$86&gt;U$11)*(Buchungen!$J$7:$J$86&lt;&gt;"Storniert"))*ROW(Buchungen!$B$7:$B$86)))-6))))</f>
        <v>B</v>
      </c>
      <c r="V18" s="24" t="str">
        <f aca="false">IF(V$11="","",IF(SUMPRODUCT((Buchungen!$B$7:$B$86=$A18)*(Buchungen!$D$7:$D$86&lt;=V$11)*(Buchungen!$E$7:$E$86&gt;V$11)*(Buchungen!$J$7:$J$86&lt;&gt;"Storniert"))=0,"",IF(SUMPRODUCT((Buchungen!$B$7:$B$86=$A18)*(Buchungen!$D$7:$D$86&lt;=V$11)*(Buchungen!$E$7:$E$86&gt;V$11)*(Buchungen!$J$7:$J$86&lt;&gt;"Storniert"))&gt;1,"!",INDEX(Buchungen!$K$7:$K$86,SUMPRODUCT(MAX(((Buchungen!$B$7:$B$86=$A18)*(Buchungen!$D$7:$D$86&lt;=V$11)*(Buchungen!$E$7:$E$86&gt;V$11)*(Buchungen!$J$7:$J$86&lt;&gt;"Storniert"))*ROW(Buchungen!$B$7:$B$86)))-6))))</f>
        <v>B</v>
      </c>
      <c r="W18" s="24" t="str">
        <f aca="false">IF(W$11="","",IF(SUMPRODUCT((Buchungen!$B$7:$B$86=$A18)*(Buchungen!$D$7:$D$86&lt;=W$11)*(Buchungen!$E$7:$E$86&gt;W$11)*(Buchungen!$J$7:$J$86&lt;&gt;"Storniert"))=0,"",IF(SUMPRODUCT((Buchungen!$B$7:$B$86=$A18)*(Buchungen!$D$7:$D$86&lt;=W$11)*(Buchungen!$E$7:$E$86&gt;W$11)*(Buchungen!$J$7:$J$86&lt;&gt;"Storniert"))&gt;1,"!",INDEX(Buchungen!$K$7:$K$86,SUMPRODUCT(MAX(((Buchungen!$B$7:$B$86=$A18)*(Buchungen!$D$7:$D$86&lt;=W$11)*(Buchungen!$E$7:$E$86&gt;W$11)*(Buchungen!$J$7:$J$86&lt;&gt;"Storniert"))*ROW(Buchungen!$B$7:$B$86)))-6))))</f>
        <v>B</v>
      </c>
      <c r="X18" s="24" t="str">
        <f aca="false">IF(X$11="","",IF(SUMPRODUCT((Buchungen!$B$7:$B$86=$A18)*(Buchungen!$D$7:$D$86&lt;=X$11)*(Buchungen!$E$7:$E$86&gt;X$11)*(Buchungen!$J$7:$J$86&lt;&gt;"Storniert"))=0,"",IF(SUMPRODUCT((Buchungen!$B$7:$B$86=$A18)*(Buchungen!$D$7:$D$86&lt;=X$11)*(Buchungen!$E$7:$E$86&gt;X$11)*(Buchungen!$J$7:$J$86&lt;&gt;"Storniert"))&gt;1,"!",INDEX(Buchungen!$K$7:$K$86,SUMPRODUCT(MAX(((Buchungen!$B$7:$B$86=$A18)*(Buchungen!$D$7:$D$86&lt;=X$11)*(Buchungen!$E$7:$E$86&gt;X$11)*(Buchungen!$J$7:$J$86&lt;&gt;"Storniert"))*ROW(Buchungen!$B$7:$B$86)))-6))))</f>
        <v/>
      </c>
      <c r="Y18" s="24" t="str">
        <f aca="false">IF(Y$11="","",IF(SUMPRODUCT((Buchungen!$B$7:$B$86=$A18)*(Buchungen!$D$7:$D$86&lt;=Y$11)*(Buchungen!$E$7:$E$86&gt;Y$11)*(Buchungen!$J$7:$J$86&lt;&gt;"Storniert"))=0,"",IF(SUMPRODUCT((Buchungen!$B$7:$B$86=$A18)*(Buchungen!$D$7:$D$86&lt;=Y$11)*(Buchungen!$E$7:$E$86&gt;Y$11)*(Buchungen!$J$7:$J$86&lt;&gt;"Storniert"))&gt;1,"!",INDEX(Buchungen!$K$7:$K$86,SUMPRODUCT(MAX(((Buchungen!$B$7:$B$86=$A18)*(Buchungen!$D$7:$D$86&lt;=Y$11)*(Buchungen!$E$7:$E$86&gt;Y$11)*(Buchungen!$J$7:$J$86&lt;&gt;"Storniert"))*ROW(Buchungen!$B$7:$B$86)))-6))))</f>
        <v/>
      </c>
      <c r="Z18" s="24" t="str">
        <f aca="false">IF(Z$11="","",IF(SUMPRODUCT((Buchungen!$B$7:$B$86=$A18)*(Buchungen!$D$7:$D$86&lt;=Z$11)*(Buchungen!$E$7:$E$86&gt;Z$11)*(Buchungen!$J$7:$J$86&lt;&gt;"Storniert"))=0,"",IF(SUMPRODUCT((Buchungen!$B$7:$B$86=$A18)*(Buchungen!$D$7:$D$86&lt;=Z$11)*(Buchungen!$E$7:$E$86&gt;Z$11)*(Buchungen!$J$7:$J$86&lt;&gt;"Storniert"))&gt;1,"!",INDEX(Buchungen!$K$7:$K$86,SUMPRODUCT(MAX(((Buchungen!$B$7:$B$86=$A18)*(Buchungen!$D$7:$D$86&lt;=Z$11)*(Buchungen!$E$7:$E$86&gt;Z$11)*(Buchungen!$J$7:$J$86&lt;&gt;"Storniert"))*ROW(Buchungen!$B$7:$B$86)))-6))))</f>
        <v/>
      </c>
      <c r="AA18" s="24" t="str">
        <f aca="false">IF(AA$11="","",IF(SUMPRODUCT((Buchungen!$B$7:$B$86=$A18)*(Buchungen!$D$7:$D$86&lt;=AA$11)*(Buchungen!$E$7:$E$86&gt;AA$11)*(Buchungen!$J$7:$J$86&lt;&gt;"Storniert"))=0,"",IF(SUMPRODUCT((Buchungen!$B$7:$B$86=$A18)*(Buchungen!$D$7:$D$86&lt;=AA$11)*(Buchungen!$E$7:$E$86&gt;AA$11)*(Buchungen!$J$7:$J$86&lt;&gt;"Storniert"))&gt;1,"!",INDEX(Buchungen!$K$7:$K$86,SUMPRODUCT(MAX(((Buchungen!$B$7:$B$86=$A18)*(Buchungen!$D$7:$D$86&lt;=AA$11)*(Buchungen!$E$7:$E$86&gt;AA$11)*(Buchungen!$J$7:$J$86&lt;&gt;"Storniert"))*ROW(Buchungen!$B$7:$B$86)))-6))))</f>
        <v/>
      </c>
      <c r="AB18" s="24" t="str">
        <f aca="false">IF(AB$11="","",IF(SUMPRODUCT((Buchungen!$B$7:$B$86=$A18)*(Buchungen!$D$7:$D$86&lt;=AB$11)*(Buchungen!$E$7:$E$86&gt;AB$11)*(Buchungen!$J$7:$J$86&lt;&gt;"Storniert"))=0,"",IF(SUMPRODUCT((Buchungen!$B$7:$B$86=$A18)*(Buchungen!$D$7:$D$86&lt;=AB$11)*(Buchungen!$E$7:$E$86&gt;AB$11)*(Buchungen!$J$7:$J$86&lt;&gt;"Storniert"))&gt;1,"!",INDEX(Buchungen!$K$7:$K$86,SUMPRODUCT(MAX(((Buchungen!$B$7:$B$86=$A18)*(Buchungen!$D$7:$D$86&lt;=AB$11)*(Buchungen!$E$7:$E$86&gt;AB$11)*(Buchungen!$J$7:$J$86&lt;&gt;"Storniert"))*ROW(Buchungen!$B$7:$B$86)))-6))))</f>
        <v/>
      </c>
      <c r="AC18" s="24" t="str">
        <f aca="false">IF(AC$11="","",IF(SUMPRODUCT((Buchungen!$B$7:$B$86=$A18)*(Buchungen!$D$7:$D$86&lt;=AC$11)*(Buchungen!$E$7:$E$86&gt;AC$11)*(Buchungen!$J$7:$J$86&lt;&gt;"Storniert"))=0,"",IF(SUMPRODUCT((Buchungen!$B$7:$B$86=$A18)*(Buchungen!$D$7:$D$86&lt;=AC$11)*(Buchungen!$E$7:$E$86&gt;AC$11)*(Buchungen!$J$7:$J$86&lt;&gt;"Storniert"))&gt;1,"!",INDEX(Buchungen!$K$7:$K$86,SUMPRODUCT(MAX(((Buchungen!$B$7:$B$86=$A18)*(Buchungen!$D$7:$D$86&lt;=AC$11)*(Buchungen!$E$7:$E$86&gt;AC$11)*(Buchungen!$J$7:$J$86&lt;&gt;"Storniert"))*ROW(Buchungen!$B$7:$B$86)))-6))))</f>
        <v/>
      </c>
      <c r="AD18" s="24" t="str">
        <f aca="false">IF(AD$11="","",IF(SUMPRODUCT((Buchungen!$B$7:$B$86=$A18)*(Buchungen!$D$7:$D$86&lt;=AD$11)*(Buchungen!$E$7:$E$86&gt;AD$11)*(Buchungen!$J$7:$J$86&lt;&gt;"Storniert"))=0,"",IF(SUMPRODUCT((Buchungen!$B$7:$B$86=$A18)*(Buchungen!$D$7:$D$86&lt;=AD$11)*(Buchungen!$E$7:$E$86&gt;AD$11)*(Buchungen!$J$7:$J$86&lt;&gt;"Storniert"))&gt;1,"!",INDEX(Buchungen!$K$7:$K$86,SUMPRODUCT(MAX(((Buchungen!$B$7:$B$86=$A18)*(Buchungen!$D$7:$D$86&lt;=AD$11)*(Buchungen!$E$7:$E$86&gt;AD$11)*(Buchungen!$J$7:$J$86&lt;&gt;"Storniert"))*ROW(Buchungen!$B$7:$B$86)))-6))))</f>
        <v/>
      </c>
      <c r="AE18" s="24" t="str">
        <f aca="false">IF(AE$11="","",IF(SUMPRODUCT((Buchungen!$B$7:$B$86=$A18)*(Buchungen!$D$7:$D$86&lt;=AE$11)*(Buchungen!$E$7:$E$86&gt;AE$11)*(Buchungen!$J$7:$J$86&lt;&gt;"Storniert"))=0,"",IF(SUMPRODUCT((Buchungen!$B$7:$B$86=$A18)*(Buchungen!$D$7:$D$86&lt;=AE$11)*(Buchungen!$E$7:$E$86&gt;AE$11)*(Buchungen!$J$7:$J$86&lt;&gt;"Storniert"))&gt;1,"!",INDEX(Buchungen!$K$7:$K$86,SUMPRODUCT(MAX(((Buchungen!$B$7:$B$86=$A18)*(Buchungen!$D$7:$D$86&lt;=AE$11)*(Buchungen!$E$7:$E$86&gt;AE$11)*(Buchungen!$J$7:$J$86&lt;&gt;"Storniert"))*ROW(Buchungen!$B$7:$B$86)))-6))))</f>
        <v/>
      </c>
      <c r="AF18" s="24" t="str">
        <f aca="false">IF(AF$11="","",IF(SUMPRODUCT((Buchungen!$B$7:$B$86=$A18)*(Buchungen!$D$7:$D$86&lt;=AF$11)*(Buchungen!$E$7:$E$86&gt;AF$11)*(Buchungen!$J$7:$J$86&lt;&gt;"Storniert"))=0,"",IF(SUMPRODUCT((Buchungen!$B$7:$B$86=$A18)*(Buchungen!$D$7:$D$86&lt;=AF$11)*(Buchungen!$E$7:$E$86&gt;AF$11)*(Buchungen!$J$7:$J$86&lt;&gt;"Storniert"))&gt;1,"!",INDEX(Buchungen!$K$7:$K$86,SUMPRODUCT(MAX(((Buchungen!$B$7:$B$86=$A18)*(Buchungen!$D$7:$D$86&lt;=AF$11)*(Buchungen!$E$7:$E$86&gt;AF$11)*(Buchungen!$J$7:$J$86&lt;&gt;"Storniert"))*ROW(Buchungen!$B$7:$B$86)))-6))))</f>
        <v/>
      </c>
      <c r="AG18" s="24" t="str">
        <f aca="false">IF(AG$11="","",IF(SUMPRODUCT((Buchungen!$B$7:$B$86=$A18)*(Buchungen!$D$7:$D$86&lt;=AG$11)*(Buchungen!$E$7:$E$86&gt;AG$11)*(Buchungen!$J$7:$J$86&lt;&gt;"Storniert"))=0,"",IF(SUMPRODUCT((Buchungen!$B$7:$B$86=$A18)*(Buchungen!$D$7:$D$86&lt;=AG$11)*(Buchungen!$E$7:$E$86&gt;AG$11)*(Buchungen!$J$7:$J$86&lt;&gt;"Storniert"))&gt;1,"!",INDEX(Buchungen!$K$7:$K$86,SUMPRODUCT(MAX(((Buchungen!$B$7:$B$86=$A18)*(Buchungen!$D$7:$D$86&lt;=AG$11)*(Buchungen!$E$7:$E$86&gt;AG$11)*(Buchungen!$J$7:$J$86&lt;&gt;"Storniert"))*ROW(Buchungen!$B$7:$B$86)))-6))))</f>
        <v/>
      </c>
      <c r="AH18" s="25" t="n">
        <f aca="false">SUMIFS(Buchungen!$O$7:$O$86,Buchungen!$B$7:$B$86,$A18)</f>
        <v>18</v>
      </c>
      <c r="AI18" s="26" t="n">
        <f aca="false">IFERROR($AH18/$C$7,0)</f>
        <v>0.580645161290323</v>
      </c>
      <c r="AJ18" s="27" t="n">
        <f aca="false">SUMIFS(Buchungen!$P$7:$P$86,Buchungen!$B$7:$B$86,$A18)</f>
        <v>2610</v>
      </c>
    </row>
    <row r="19" customFormat="false" ht="16.5" hidden="false" customHeight="true" outlineLevel="0" collapsed="false">
      <c r="A19" s="28" t="str">
        <f aca="false">IF(OR(Stammdaten!$A14="",Stammdaten!$G14="Nein"),"",Stammdaten!$A14)</f>
        <v>Z-108</v>
      </c>
      <c r="B19" s="29" t="str">
        <f aca="false">IF($A19="","",Stammdaten!$B14)</f>
        <v>Familienzimmer</v>
      </c>
      <c r="C19" s="30" t="str">
        <f aca="false">IF(C$11="","",IF(SUMPRODUCT((Buchungen!$B$7:$B$86=$A19)*(Buchungen!$D$7:$D$86&lt;=C$11)*(Buchungen!$E$7:$E$86&gt;C$11)*(Buchungen!$J$7:$J$86&lt;&gt;"Storniert"))=0,"",IF(SUMPRODUCT((Buchungen!$B$7:$B$86=$A19)*(Buchungen!$D$7:$D$86&lt;=C$11)*(Buchungen!$E$7:$E$86&gt;C$11)*(Buchungen!$J$7:$J$86&lt;&gt;"Storniert"))&gt;1,"!",INDEX(Buchungen!$K$7:$K$86,SUMPRODUCT(MAX(((Buchungen!$B$7:$B$86=$A19)*(Buchungen!$D$7:$D$86&lt;=C$11)*(Buchungen!$E$7:$E$86&gt;C$11)*(Buchungen!$J$7:$J$86&lt;&gt;"Storniert"))*ROW(Buchungen!$B$7:$B$86)))-6))))</f>
        <v>O</v>
      </c>
      <c r="D19" s="30" t="str">
        <f aca="false">IF(D$11="","",IF(SUMPRODUCT((Buchungen!$B$7:$B$86=$A19)*(Buchungen!$D$7:$D$86&lt;=D$11)*(Buchungen!$E$7:$E$86&gt;D$11)*(Buchungen!$J$7:$J$86&lt;&gt;"Storniert"))=0,"",IF(SUMPRODUCT((Buchungen!$B$7:$B$86=$A19)*(Buchungen!$D$7:$D$86&lt;=D$11)*(Buchungen!$E$7:$E$86&gt;D$11)*(Buchungen!$J$7:$J$86&lt;&gt;"Storniert"))&gt;1,"!",INDEX(Buchungen!$K$7:$K$86,SUMPRODUCT(MAX(((Buchungen!$B$7:$B$86=$A19)*(Buchungen!$D$7:$D$86&lt;=D$11)*(Buchungen!$E$7:$E$86&gt;D$11)*(Buchungen!$J$7:$J$86&lt;&gt;"Storniert"))*ROW(Buchungen!$B$7:$B$86)))-6))))</f>
        <v/>
      </c>
      <c r="E19" s="30" t="str">
        <f aca="false">IF(E$11="","",IF(SUMPRODUCT((Buchungen!$B$7:$B$86=$A19)*(Buchungen!$D$7:$D$86&lt;=E$11)*(Buchungen!$E$7:$E$86&gt;E$11)*(Buchungen!$J$7:$J$86&lt;&gt;"Storniert"))=0,"",IF(SUMPRODUCT((Buchungen!$B$7:$B$86=$A19)*(Buchungen!$D$7:$D$86&lt;=E$11)*(Buchungen!$E$7:$E$86&gt;E$11)*(Buchungen!$J$7:$J$86&lt;&gt;"Storniert"))&gt;1,"!",INDEX(Buchungen!$K$7:$K$86,SUMPRODUCT(MAX(((Buchungen!$B$7:$B$86=$A19)*(Buchungen!$D$7:$D$86&lt;=E$11)*(Buchungen!$E$7:$E$86&gt;E$11)*(Buchungen!$J$7:$J$86&lt;&gt;"Storniert"))*ROW(Buchungen!$B$7:$B$86)))-6))))</f>
        <v/>
      </c>
      <c r="F19" s="30" t="str">
        <f aca="false">IF(F$11="","",IF(SUMPRODUCT((Buchungen!$B$7:$B$86=$A19)*(Buchungen!$D$7:$D$86&lt;=F$11)*(Buchungen!$E$7:$E$86&gt;F$11)*(Buchungen!$J$7:$J$86&lt;&gt;"Storniert"))=0,"",IF(SUMPRODUCT((Buchungen!$B$7:$B$86=$A19)*(Buchungen!$D$7:$D$86&lt;=F$11)*(Buchungen!$E$7:$E$86&gt;F$11)*(Buchungen!$J$7:$J$86&lt;&gt;"Storniert"))&gt;1,"!",INDEX(Buchungen!$K$7:$K$86,SUMPRODUCT(MAX(((Buchungen!$B$7:$B$86=$A19)*(Buchungen!$D$7:$D$86&lt;=F$11)*(Buchungen!$E$7:$E$86&gt;F$11)*(Buchungen!$J$7:$J$86&lt;&gt;"Storniert"))*ROW(Buchungen!$B$7:$B$86)))-6))))</f>
        <v>B</v>
      </c>
      <c r="G19" s="30" t="str">
        <f aca="false">IF(G$11="","",IF(SUMPRODUCT((Buchungen!$B$7:$B$86=$A19)*(Buchungen!$D$7:$D$86&lt;=G$11)*(Buchungen!$E$7:$E$86&gt;G$11)*(Buchungen!$J$7:$J$86&lt;&gt;"Storniert"))=0,"",IF(SUMPRODUCT((Buchungen!$B$7:$B$86=$A19)*(Buchungen!$D$7:$D$86&lt;=G$11)*(Buchungen!$E$7:$E$86&gt;G$11)*(Buchungen!$J$7:$J$86&lt;&gt;"Storniert"))&gt;1,"!",INDEX(Buchungen!$K$7:$K$86,SUMPRODUCT(MAX(((Buchungen!$B$7:$B$86=$A19)*(Buchungen!$D$7:$D$86&lt;=G$11)*(Buchungen!$E$7:$E$86&gt;G$11)*(Buchungen!$J$7:$J$86&lt;&gt;"Storniert"))*ROW(Buchungen!$B$7:$B$86)))-6))))</f>
        <v>B</v>
      </c>
      <c r="H19" s="30" t="str">
        <f aca="false">IF(H$11="","",IF(SUMPRODUCT((Buchungen!$B$7:$B$86=$A19)*(Buchungen!$D$7:$D$86&lt;=H$11)*(Buchungen!$E$7:$E$86&gt;H$11)*(Buchungen!$J$7:$J$86&lt;&gt;"Storniert"))=0,"",IF(SUMPRODUCT((Buchungen!$B$7:$B$86=$A19)*(Buchungen!$D$7:$D$86&lt;=H$11)*(Buchungen!$E$7:$E$86&gt;H$11)*(Buchungen!$J$7:$J$86&lt;&gt;"Storniert"))&gt;1,"!",INDEX(Buchungen!$K$7:$K$86,SUMPRODUCT(MAX(((Buchungen!$B$7:$B$86=$A19)*(Buchungen!$D$7:$D$86&lt;=H$11)*(Buchungen!$E$7:$E$86&gt;H$11)*(Buchungen!$J$7:$J$86&lt;&gt;"Storniert"))*ROW(Buchungen!$B$7:$B$86)))-6))))</f>
        <v>B</v>
      </c>
      <c r="I19" s="30" t="str">
        <f aca="false">IF(I$11="","",IF(SUMPRODUCT((Buchungen!$B$7:$B$86=$A19)*(Buchungen!$D$7:$D$86&lt;=I$11)*(Buchungen!$E$7:$E$86&gt;I$11)*(Buchungen!$J$7:$J$86&lt;&gt;"Storniert"))=0,"",IF(SUMPRODUCT((Buchungen!$B$7:$B$86=$A19)*(Buchungen!$D$7:$D$86&lt;=I$11)*(Buchungen!$E$7:$E$86&gt;I$11)*(Buchungen!$J$7:$J$86&lt;&gt;"Storniert"))&gt;1,"!",INDEX(Buchungen!$K$7:$K$86,SUMPRODUCT(MAX(((Buchungen!$B$7:$B$86=$A19)*(Buchungen!$D$7:$D$86&lt;=I$11)*(Buchungen!$E$7:$E$86&gt;I$11)*(Buchungen!$J$7:$J$86&lt;&gt;"Storniert"))*ROW(Buchungen!$B$7:$B$86)))-6))))</f>
        <v>B</v>
      </c>
      <c r="J19" s="30" t="str">
        <f aca="false">IF(J$11="","",IF(SUMPRODUCT((Buchungen!$B$7:$B$86=$A19)*(Buchungen!$D$7:$D$86&lt;=J$11)*(Buchungen!$E$7:$E$86&gt;J$11)*(Buchungen!$J$7:$J$86&lt;&gt;"Storniert"))=0,"",IF(SUMPRODUCT((Buchungen!$B$7:$B$86=$A19)*(Buchungen!$D$7:$D$86&lt;=J$11)*(Buchungen!$E$7:$E$86&gt;J$11)*(Buchungen!$J$7:$J$86&lt;&gt;"Storniert"))&gt;1,"!",INDEX(Buchungen!$K$7:$K$86,SUMPRODUCT(MAX(((Buchungen!$B$7:$B$86=$A19)*(Buchungen!$D$7:$D$86&lt;=J$11)*(Buchungen!$E$7:$E$86&gt;J$11)*(Buchungen!$J$7:$J$86&lt;&gt;"Storniert"))*ROW(Buchungen!$B$7:$B$86)))-6))))</f>
        <v>B</v>
      </c>
      <c r="K19" s="30" t="str">
        <f aca="false">IF(K$11="","",IF(SUMPRODUCT((Buchungen!$B$7:$B$86=$A19)*(Buchungen!$D$7:$D$86&lt;=K$11)*(Buchungen!$E$7:$E$86&gt;K$11)*(Buchungen!$J$7:$J$86&lt;&gt;"Storniert"))=0,"",IF(SUMPRODUCT((Buchungen!$B$7:$B$86=$A19)*(Buchungen!$D$7:$D$86&lt;=K$11)*(Buchungen!$E$7:$E$86&gt;K$11)*(Buchungen!$J$7:$J$86&lt;&gt;"Storniert"))&gt;1,"!",INDEX(Buchungen!$K$7:$K$86,SUMPRODUCT(MAX(((Buchungen!$B$7:$B$86=$A19)*(Buchungen!$D$7:$D$86&lt;=K$11)*(Buchungen!$E$7:$E$86&gt;K$11)*(Buchungen!$J$7:$J$86&lt;&gt;"Storniert"))*ROW(Buchungen!$B$7:$B$86)))-6))))</f>
        <v/>
      </c>
      <c r="L19" s="30" t="str">
        <f aca="false">IF(L$11="","",IF(SUMPRODUCT((Buchungen!$B$7:$B$86=$A19)*(Buchungen!$D$7:$D$86&lt;=L$11)*(Buchungen!$E$7:$E$86&gt;L$11)*(Buchungen!$J$7:$J$86&lt;&gt;"Storniert"))=0,"",IF(SUMPRODUCT((Buchungen!$B$7:$B$86=$A19)*(Buchungen!$D$7:$D$86&lt;=L$11)*(Buchungen!$E$7:$E$86&gt;L$11)*(Buchungen!$J$7:$J$86&lt;&gt;"Storniert"))&gt;1,"!",INDEX(Buchungen!$K$7:$K$86,SUMPRODUCT(MAX(((Buchungen!$B$7:$B$86=$A19)*(Buchungen!$D$7:$D$86&lt;=L$11)*(Buchungen!$E$7:$E$86&gt;L$11)*(Buchungen!$J$7:$J$86&lt;&gt;"Storniert"))*ROW(Buchungen!$B$7:$B$86)))-6))))</f>
        <v/>
      </c>
      <c r="M19" s="30" t="str">
        <f aca="false">IF(M$11="","",IF(SUMPRODUCT((Buchungen!$B$7:$B$86=$A19)*(Buchungen!$D$7:$D$86&lt;=M$11)*(Buchungen!$E$7:$E$86&gt;M$11)*(Buchungen!$J$7:$J$86&lt;&gt;"Storniert"))=0,"",IF(SUMPRODUCT((Buchungen!$B$7:$B$86=$A19)*(Buchungen!$D$7:$D$86&lt;=M$11)*(Buchungen!$E$7:$E$86&gt;M$11)*(Buchungen!$J$7:$J$86&lt;&gt;"Storniert"))&gt;1,"!",INDEX(Buchungen!$K$7:$K$86,SUMPRODUCT(MAX(((Buchungen!$B$7:$B$86=$A19)*(Buchungen!$D$7:$D$86&lt;=M$11)*(Buchungen!$E$7:$E$86&gt;M$11)*(Buchungen!$J$7:$J$86&lt;&gt;"Storniert"))*ROW(Buchungen!$B$7:$B$86)))-6))))</f>
        <v>B</v>
      </c>
      <c r="N19" s="30" t="str">
        <f aca="false">IF(N$11="","",IF(SUMPRODUCT((Buchungen!$B$7:$B$86=$A19)*(Buchungen!$D$7:$D$86&lt;=N$11)*(Buchungen!$E$7:$E$86&gt;N$11)*(Buchungen!$J$7:$J$86&lt;&gt;"Storniert"))=0,"",IF(SUMPRODUCT((Buchungen!$B$7:$B$86=$A19)*(Buchungen!$D$7:$D$86&lt;=N$11)*(Buchungen!$E$7:$E$86&gt;N$11)*(Buchungen!$J$7:$J$86&lt;&gt;"Storniert"))&gt;1,"!",INDEX(Buchungen!$K$7:$K$86,SUMPRODUCT(MAX(((Buchungen!$B$7:$B$86=$A19)*(Buchungen!$D$7:$D$86&lt;=N$11)*(Buchungen!$E$7:$E$86&gt;N$11)*(Buchungen!$J$7:$J$86&lt;&gt;"Storniert"))*ROW(Buchungen!$B$7:$B$86)))-6))))</f>
        <v>B</v>
      </c>
      <c r="O19" s="30" t="str">
        <f aca="false">IF(O$11="","",IF(SUMPRODUCT((Buchungen!$B$7:$B$86=$A19)*(Buchungen!$D$7:$D$86&lt;=O$11)*(Buchungen!$E$7:$E$86&gt;O$11)*(Buchungen!$J$7:$J$86&lt;&gt;"Storniert"))=0,"",IF(SUMPRODUCT((Buchungen!$B$7:$B$86=$A19)*(Buchungen!$D$7:$D$86&lt;=O$11)*(Buchungen!$E$7:$E$86&gt;O$11)*(Buchungen!$J$7:$J$86&lt;&gt;"Storniert"))&gt;1,"!",INDEX(Buchungen!$K$7:$K$86,SUMPRODUCT(MAX(((Buchungen!$B$7:$B$86=$A19)*(Buchungen!$D$7:$D$86&lt;=O$11)*(Buchungen!$E$7:$E$86&gt;O$11)*(Buchungen!$J$7:$J$86&lt;&gt;"Storniert"))*ROW(Buchungen!$B$7:$B$86)))-6))))</f>
        <v>B</v>
      </c>
      <c r="P19" s="30" t="str">
        <f aca="false">IF(P$11="","",IF(SUMPRODUCT((Buchungen!$B$7:$B$86=$A19)*(Buchungen!$D$7:$D$86&lt;=P$11)*(Buchungen!$E$7:$E$86&gt;P$11)*(Buchungen!$J$7:$J$86&lt;&gt;"Storniert"))=0,"",IF(SUMPRODUCT((Buchungen!$B$7:$B$86=$A19)*(Buchungen!$D$7:$D$86&lt;=P$11)*(Buchungen!$E$7:$E$86&gt;P$11)*(Buchungen!$J$7:$J$86&lt;&gt;"Storniert"))&gt;1,"!",INDEX(Buchungen!$K$7:$K$86,SUMPRODUCT(MAX(((Buchungen!$B$7:$B$86=$A19)*(Buchungen!$D$7:$D$86&lt;=P$11)*(Buchungen!$E$7:$E$86&gt;P$11)*(Buchungen!$J$7:$J$86&lt;&gt;"Storniert"))*ROW(Buchungen!$B$7:$B$86)))-6))))</f>
        <v>B</v>
      </c>
      <c r="Q19" s="30" t="str">
        <f aca="false">IF(Q$11="","",IF(SUMPRODUCT((Buchungen!$B$7:$B$86=$A19)*(Buchungen!$D$7:$D$86&lt;=Q$11)*(Buchungen!$E$7:$E$86&gt;Q$11)*(Buchungen!$J$7:$J$86&lt;&gt;"Storniert"))=0,"",IF(SUMPRODUCT((Buchungen!$B$7:$B$86=$A19)*(Buchungen!$D$7:$D$86&lt;=Q$11)*(Buchungen!$E$7:$E$86&gt;Q$11)*(Buchungen!$J$7:$J$86&lt;&gt;"Storniert"))&gt;1,"!",INDEX(Buchungen!$K$7:$K$86,SUMPRODUCT(MAX(((Buchungen!$B$7:$B$86=$A19)*(Buchungen!$D$7:$D$86&lt;=Q$11)*(Buchungen!$E$7:$E$86&gt;Q$11)*(Buchungen!$J$7:$J$86&lt;&gt;"Storniert"))*ROW(Buchungen!$B$7:$B$86)))-6))))</f>
        <v/>
      </c>
      <c r="R19" s="30" t="str">
        <f aca="false">IF(R$11="","",IF(SUMPRODUCT((Buchungen!$B$7:$B$86=$A19)*(Buchungen!$D$7:$D$86&lt;=R$11)*(Buchungen!$E$7:$E$86&gt;R$11)*(Buchungen!$J$7:$J$86&lt;&gt;"Storniert"))=0,"",IF(SUMPRODUCT((Buchungen!$B$7:$B$86=$A19)*(Buchungen!$D$7:$D$86&lt;=R$11)*(Buchungen!$E$7:$E$86&gt;R$11)*(Buchungen!$J$7:$J$86&lt;&gt;"Storniert"))&gt;1,"!",INDEX(Buchungen!$K$7:$K$86,SUMPRODUCT(MAX(((Buchungen!$B$7:$B$86=$A19)*(Buchungen!$D$7:$D$86&lt;=R$11)*(Buchungen!$E$7:$E$86&gt;R$11)*(Buchungen!$J$7:$J$86&lt;&gt;"Storniert"))*ROW(Buchungen!$B$7:$B$86)))-6))))</f>
        <v>B</v>
      </c>
      <c r="S19" s="30" t="str">
        <f aca="false">IF(S$11="","",IF(SUMPRODUCT((Buchungen!$B$7:$B$86=$A19)*(Buchungen!$D$7:$D$86&lt;=S$11)*(Buchungen!$E$7:$E$86&gt;S$11)*(Buchungen!$J$7:$J$86&lt;&gt;"Storniert"))=0,"",IF(SUMPRODUCT((Buchungen!$B$7:$B$86=$A19)*(Buchungen!$D$7:$D$86&lt;=S$11)*(Buchungen!$E$7:$E$86&gt;S$11)*(Buchungen!$J$7:$J$86&lt;&gt;"Storniert"))&gt;1,"!",INDEX(Buchungen!$K$7:$K$86,SUMPRODUCT(MAX(((Buchungen!$B$7:$B$86=$A19)*(Buchungen!$D$7:$D$86&lt;=S$11)*(Buchungen!$E$7:$E$86&gt;S$11)*(Buchungen!$J$7:$J$86&lt;&gt;"Storniert"))*ROW(Buchungen!$B$7:$B$86)))-6))))</f>
        <v>B</v>
      </c>
      <c r="T19" s="30" t="str">
        <f aca="false">IF(T$11="","",IF(SUMPRODUCT((Buchungen!$B$7:$B$86=$A19)*(Buchungen!$D$7:$D$86&lt;=T$11)*(Buchungen!$E$7:$E$86&gt;T$11)*(Buchungen!$J$7:$J$86&lt;&gt;"Storniert"))=0,"",IF(SUMPRODUCT((Buchungen!$B$7:$B$86=$A19)*(Buchungen!$D$7:$D$86&lt;=T$11)*(Buchungen!$E$7:$E$86&gt;T$11)*(Buchungen!$J$7:$J$86&lt;&gt;"Storniert"))&gt;1,"!",INDEX(Buchungen!$K$7:$K$86,SUMPRODUCT(MAX(((Buchungen!$B$7:$B$86=$A19)*(Buchungen!$D$7:$D$86&lt;=T$11)*(Buchungen!$E$7:$E$86&gt;T$11)*(Buchungen!$J$7:$J$86&lt;&gt;"Storniert"))*ROW(Buchungen!$B$7:$B$86)))-6))))</f>
        <v>B</v>
      </c>
      <c r="U19" s="30" t="str">
        <f aca="false">IF(U$11="","",IF(SUMPRODUCT((Buchungen!$B$7:$B$86=$A19)*(Buchungen!$D$7:$D$86&lt;=U$11)*(Buchungen!$E$7:$E$86&gt;U$11)*(Buchungen!$J$7:$J$86&lt;&gt;"Storniert"))=0,"",IF(SUMPRODUCT((Buchungen!$B$7:$B$86=$A19)*(Buchungen!$D$7:$D$86&lt;=U$11)*(Buchungen!$E$7:$E$86&gt;U$11)*(Buchungen!$J$7:$J$86&lt;&gt;"Storniert"))&gt;1,"!",INDEX(Buchungen!$K$7:$K$86,SUMPRODUCT(MAX(((Buchungen!$B$7:$B$86=$A19)*(Buchungen!$D$7:$D$86&lt;=U$11)*(Buchungen!$E$7:$E$86&gt;U$11)*(Buchungen!$J$7:$J$86&lt;&gt;"Storniert"))*ROW(Buchungen!$B$7:$B$86)))-6))))</f>
        <v>B</v>
      </c>
      <c r="V19" s="30" t="str">
        <f aca="false">IF(V$11="","",IF(SUMPRODUCT((Buchungen!$B$7:$B$86=$A19)*(Buchungen!$D$7:$D$86&lt;=V$11)*(Buchungen!$E$7:$E$86&gt;V$11)*(Buchungen!$J$7:$J$86&lt;&gt;"Storniert"))=0,"",IF(SUMPRODUCT((Buchungen!$B$7:$B$86=$A19)*(Buchungen!$D$7:$D$86&lt;=V$11)*(Buchungen!$E$7:$E$86&gt;V$11)*(Buchungen!$J$7:$J$86&lt;&gt;"Storniert"))&gt;1,"!",INDEX(Buchungen!$K$7:$K$86,SUMPRODUCT(MAX(((Buchungen!$B$7:$B$86=$A19)*(Buchungen!$D$7:$D$86&lt;=V$11)*(Buchungen!$E$7:$E$86&gt;V$11)*(Buchungen!$J$7:$J$86&lt;&gt;"Storniert"))*ROW(Buchungen!$B$7:$B$86)))-6))))</f>
        <v>B</v>
      </c>
      <c r="W19" s="30" t="str">
        <f aca="false">IF(W$11="","",IF(SUMPRODUCT((Buchungen!$B$7:$B$86=$A19)*(Buchungen!$D$7:$D$86&lt;=W$11)*(Buchungen!$E$7:$E$86&gt;W$11)*(Buchungen!$J$7:$J$86&lt;&gt;"Storniert"))=0,"",IF(SUMPRODUCT((Buchungen!$B$7:$B$86=$A19)*(Buchungen!$D$7:$D$86&lt;=W$11)*(Buchungen!$E$7:$E$86&gt;W$11)*(Buchungen!$J$7:$J$86&lt;&gt;"Storniert"))&gt;1,"!",INDEX(Buchungen!$K$7:$K$86,SUMPRODUCT(MAX(((Buchungen!$B$7:$B$86=$A19)*(Buchungen!$D$7:$D$86&lt;=W$11)*(Buchungen!$E$7:$E$86&gt;W$11)*(Buchungen!$J$7:$J$86&lt;&gt;"Storniert"))*ROW(Buchungen!$B$7:$B$86)))-6))))</f>
        <v>B</v>
      </c>
      <c r="X19" s="30" t="str">
        <f aca="false">IF(X$11="","",IF(SUMPRODUCT((Buchungen!$B$7:$B$86=$A19)*(Buchungen!$D$7:$D$86&lt;=X$11)*(Buchungen!$E$7:$E$86&gt;X$11)*(Buchungen!$J$7:$J$86&lt;&gt;"Storniert"))=0,"",IF(SUMPRODUCT((Buchungen!$B$7:$B$86=$A19)*(Buchungen!$D$7:$D$86&lt;=X$11)*(Buchungen!$E$7:$E$86&gt;X$11)*(Buchungen!$J$7:$J$86&lt;&gt;"Storniert"))&gt;1,"!",INDEX(Buchungen!$K$7:$K$86,SUMPRODUCT(MAX(((Buchungen!$B$7:$B$86=$A19)*(Buchungen!$D$7:$D$86&lt;=X$11)*(Buchungen!$E$7:$E$86&gt;X$11)*(Buchungen!$J$7:$J$86&lt;&gt;"Storniert"))*ROW(Buchungen!$B$7:$B$86)))-6))))</f>
        <v/>
      </c>
      <c r="Y19" s="30" t="str">
        <f aca="false">IF(Y$11="","",IF(SUMPRODUCT((Buchungen!$B$7:$B$86=$A19)*(Buchungen!$D$7:$D$86&lt;=Y$11)*(Buchungen!$E$7:$E$86&gt;Y$11)*(Buchungen!$J$7:$J$86&lt;&gt;"Storniert"))=0,"",IF(SUMPRODUCT((Buchungen!$B$7:$B$86=$A19)*(Buchungen!$D$7:$D$86&lt;=Y$11)*(Buchungen!$E$7:$E$86&gt;Y$11)*(Buchungen!$J$7:$J$86&lt;&gt;"Storniert"))&gt;1,"!",INDEX(Buchungen!$K$7:$K$86,SUMPRODUCT(MAX(((Buchungen!$B$7:$B$86=$A19)*(Buchungen!$D$7:$D$86&lt;=Y$11)*(Buchungen!$E$7:$E$86&gt;Y$11)*(Buchungen!$J$7:$J$86&lt;&gt;"Storniert"))*ROW(Buchungen!$B$7:$B$86)))-6))))</f>
        <v>B</v>
      </c>
      <c r="Z19" s="30" t="str">
        <f aca="false">IF(Z$11="","",IF(SUMPRODUCT((Buchungen!$B$7:$B$86=$A19)*(Buchungen!$D$7:$D$86&lt;=Z$11)*(Buchungen!$E$7:$E$86&gt;Z$11)*(Buchungen!$J$7:$J$86&lt;&gt;"Storniert"))=0,"",IF(SUMPRODUCT((Buchungen!$B$7:$B$86=$A19)*(Buchungen!$D$7:$D$86&lt;=Z$11)*(Buchungen!$E$7:$E$86&gt;Z$11)*(Buchungen!$J$7:$J$86&lt;&gt;"Storniert"))&gt;1,"!",INDEX(Buchungen!$K$7:$K$86,SUMPRODUCT(MAX(((Buchungen!$B$7:$B$86=$A19)*(Buchungen!$D$7:$D$86&lt;=Z$11)*(Buchungen!$E$7:$E$86&gt;Z$11)*(Buchungen!$J$7:$J$86&lt;&gt;"Storniert"))*ROW(Buchungen!$B$7:$B$86)))-6))))</f>
        <v>B</v>
      </c>
      <c r="AA19" s="30" t="str">
        <f aca="false">IF(AA$11="","",IF(SUMPRODUCT((Buchungen!$B$7:$B$86=$A19)*(Buchungen!$D$7:$D$86&lt;=AA$11)*(Buchungen!$E$7:$E$86&gt;AA$11)*(Buchungen!$J$7:$J$86&lt;&gt;"Storniert"))=0,"",IF(SUMPRODUCT((Buchungen!$B$7:$B$86=$A19)*(Buchungen!$D$7:$D$86&lt;=AA$11)*(Buchungen!$E$7:$E$86&gt;AA$11)*(Buchungen!$J$7:$J$86&lt;&gt;"Storniert"))&gt;1,"!",INDEX(Buchungen!$K$7:$K$86,SUMPRODUCT(MAX(((Buchungen!$B$7:$B$86=$A19)*(Buchungen!$D$7:$D$86&lt;=AA$11)*(Buchungen!$E$7:$E$86&gt;AA$11)*(Buchungen!$J$7:$J$86&lt;&gt;"Storniert"))*ROW(Buchungen!$B$7:$B$86)))-6))))</f>
        <v>B</v>
      </c>
      <c r="AB19" s="30" t="str">
        <f aca="false">IF(AB$11="","",IF(SUMPRODUCT((Buchungen!$B$7:$B$86=$A19)*(Buchungen!$D$7:$D$86&lt;=AB$11)*(Buchungen!$E$7:$E$86&gt;AB$11)*(Buchungen!$J$7:$J$86&lt;&gt;"Storniert"))=0,"",IF(SUMPRODUCT((Buchungen!$B$7:$B$86=$A19)*(Buchungen!$D$7:$D$86&lt;=AB$11)*(Buchungen!$E$7:$E$86&gt;AB$11)*(Buchungen!$J$7:$J$86&lt;&gt;"Storniert"))&gt;1,"!",INDEX(Buchungen!$K$7:$K$86,SUMPRODUCT(MAX(((Buchungen!$B$7:$B$86=$A19)*(Buchungen!$D$7:$D$86&lt;=AB$11)*(Buchungen!$E$7:$E$86&gt;AB$11)*(Buchungen!$J$7:$J$86&lt;&gt;"Storniert"))*ROW(Buchungen!$B$7:$B$86)))-6))))</f>
        <v/>
      </c>
      <c r="AC19" s="30" t="str">
        <f aca="false">IF(AC$11="","",IF(SUMPRODUCT((Buchungen!$B$7:$B$86=$A19)*(Buchungen!$D$7:$D$86&lt;=AC$11)*(Buchungen!$E$7:$E$86&gt;AC$11)*(Buchungen!$J$7:$J$86&lt;&gt;"Storniert"))=0,"",IF(SUMPRODUCT((Buchungen!$B$7:$B$86=$A19)*(Buchungen!$D$7:$D$86&lt;=AC$11)*(Buchungen!$E$7:$E$86&gt;AC$11)*(Buchungen!$J$7:$J$86&lt;&gt;"Storniert"))&gt;1,"!",INDEX(Buchungen!$K$7:$K$86,SUMPRODUCT(MAX(((Buchungen!$B$7:$B$86=$A19)*(Buchungen!$D$7:$D$86&lt;=AC$11)*(Buchungen!$E$7:$E$86&gt;AC$11)*(Buchungen!$J$7:$J$86&lt;&gt;"Storniert"))*ROW(Buchungen!$B$7:$B$86)))-6))))</f>
        <v>B</v>
      </c>
      <c r="AD19" s="30" t="str">
        <f aca="false">IF(AD$11="","",IF(SUMPRODUCT((Buchungen!$B$7:$B$86=$A19)*(Buchungen!$D$7:$D$86&lt;=AD$11)*(Buchungen!$E$7:$E$86&gt;AD$11)*(Buchungen!$J$7:$J$86&lt;&gt;"Storniert"))=0,"",IF(SUMPRODUCT((Buchungen!$B$7:$B$86=$A19)*(Buchungen!$D$7:$D$86&lt;=AD$11)*(Buchungen!$E$7:$E$86&gt;AD$11)*(Buchungen!$J$7:$J$86&lt;&gt;"Storniert"))&gt;1,"!",INDEX(Buchungen!$K$7:$K$86,SUMPRODUCT(MAX(((Buchungen!$B$7:$B$86=$A19)*(Buchungen!$D$7:$D$86&lt;=AD$11)*(Buchungen!$E$7:$E$86&gt;AD$11)*(Buchungen!$J$7:$J$86&lt;&gt;"Storniert"))*ROW(Buchungen!$B$7:$B$86)))-6))))</f>
        <v>B</v>
      </c>
      <c r="AE19" s="30" t="str">
        <f aca="false">IF(AE$11="","",IF(SUMPRODUCT((Buchungen!$B$7:$B$86=$A19)*(Buchungen!$D$7:$D$86&lt;=AE$11)*(Buchungen!$E$7:$E$86&gt;AE$11)*(Buchungen!$J$7:$J$86&lt;&gt;"Storniert"))=0,"",IF(SUMPRODUCT((Buchungen!$B$7:$B$86=$A19)*(Buchungen!$D$7:$D$86&lt;=AE$11)*(Buchungen!$E$7:$E$86&gt;AE$11)*(Buchungen!$J$7:$J$86&lt;&gt;"Storniert"))&gt;1,"!",INDEX(Buchungen!$K$7:$K$86,SUMPRODUCT(MAX(((Buchungen!$B$7:$B$86=$A19)*(Buchungen!$D$7:$D$86&lt;=AE$11)*(Buchungen!$E$7:$E$86&gt;AE$11)*(Buchungen!$J$7:$J$86&lt;&gt;"Storniert"))*ROW(Buchungen!$B$7:$B$86)))-6))))</f>
        <v>B</v>
      </c>
      <c r="AF19" s="30" t="str">
        <f aca="false">IF(AF$11="","",IF(SUMPRODUCT((Buchungen!$B$7:$B$86=$A19)*(Buchungen!$D$7:$D$86&lt;=AF$11)*(Buchungen!$E$7:$E$86&gt;AF$11)*(Buchungen!$J$7:$J$86&lt;&gt;"Storniert"))=0,"",IF(SUMPRODUCT((Buchungen!$B$7:$B$86=$A19)*(Buchungen!$D$7:$D$86&lt;=AF$11)*(Buchungen!$E$7:$E$86&gt;AF$11)*(Buchungen!$J$7:$J$86&lt;&gt;"Storniert"))&gt;1,"!",INDEX(Buchungen!$K$7:$K$86,SUMPRODUCT(MAX(((Buchungen!$B$7:$B$86=$A19)*(Buchungen!$D$7:$D$86&lt;=AF$11)*(Buchungen!$E$7:$E$86&gt;AF$11)*(Buchungen!$J$7:$J$86&lt;&gt;"Storniert"))*ROW(Buchungen!$B$7:$B$86)))-6))))</f>
        <v>B</v>
      </c>
      <c r="AG19" s="30" t="str">
        <f aca="false">IF(AG$11="","",IF(SUMPRODUCT((Buchungen!$B$7:$B$86=$A19)*(Buchungen!$D$7:$D$86&lt;=AG$11)*(Buchungen!$E$7:$E$86&gt;AG$11)*(Buchungen!$J$7:$J$86&lt;&gt;"Storniert"))=0,"",IF(SUMPRODUCT((Buchungen!$B$7:$B$86=$A19)*(Buchungen!$D$7:$D$86&lt;=AG$11)*(Buchungen!$E$7:$E$86&gt;AG$11)*(Buchungen!$J$7:$J$86&lt;&gt;"Storniert"))&gt;1,"!",INDEX(Buchungen!$K$7:$K$86,SUMPRODUCT(MAX(((Buchungen!$B$7:$B$86=$A19)*(Buchungen!$D$7:$D$86&lt;=AG$11)*(Buchungen!$E$7:$E$86&gt;AG$11)*(Buchungen!$J$7:$J$86&lt;&gt;"Storniert"))*ROW(Buchungen!$B$7:$B$86)))-6))))</f>
        <v>B</v>
      </c>
      <c r="AH19" s="31" t="n">
        <f aca="false">SUMIFS(Buchungen!$O$7:$O$86,Buchungen!$B$7:$B$86,$A19)</f>
        <v>23</v>
      </c>
      <c r="AI19" s="32" t="n">
        <f aca="false">IFERROR($AH19/$C$7,0)</f>
        <v>0.741935483870968</v>
      </c>
      <c r="AJ19" s="33" t="n">
        <f aca="false">SUMIFS(Buchungen!$P$7:$P$86,Buchungen!$B$7:$B$86,$A19)</f>
        <v>3887</v>
      </c>
    </row>
    <row r="20" customFormat="false" ht="16.5" hidden="false" customHeight="true" outlineLevel="0" collapsed="false">
      <c r="A20" s="22" t="str">
        <f aca="false">IF(OR(Stammdaten!$A15="",Stammdaten!$G15="Nein"),"",Stammdaten!$A15)</f>
        <v>Z-109</v>
      </c>
      <c r="B20" s="23" t="str">
        <f aca="false">IF($A20="","",Stammdaten!$B15)</f>
        <v>Familienzimmer</v>
      </c>
      <c r="C20" s="24" t="str">
        <f aca="false">IF(C$11="","",IF(SUMPRODUCT((Buchungen!$B$7:$B$86=$A20)*(Buchungen!$D$7:$D$86&lt;=C$11)*(Buchungen!$E$7:$E$86&gt;C$11)*(Buchungen!$J$7:$J$86&lt;&gt;"Storniert"))=0,"",IF(SUMPRODUCT((Buchungen!$B$7:$B$86=$A20)*(Buchungen!$D$7:$D$86&lt;=C$11)*(Buchungen!$E$7:$E$86&gt;C$11)*(Buchungen!$J$7:$J$86&lt;&gt;"Storniert"))&gt;1,"!",INDEX(Buchungen!$K$7:$K$86,SUMPRODUCT(MAX(((Buchungen!$B$7:$B$86=$A20)*(Buchungen!$D$7:$D$86&lt;=C$11)*(Buchungen!$E$7:$E$86&gt;C$11)*(Buchungen!$J$7:$J$86&lt;&gt;"Storniert"))*ROW(Buchungen!$B$7:$B$86)))-6))))</f>
        <v>B</v>
      </c>
      <c r="D20" s="24" t="str">
        <f aca="false">IF(D$11="","",IF(SUMPRODUCT((Buchungen!$B$7:$B$86=$A20)*(Buchungen!$D$7:$D$86&lt;=D$11)*(Buchungen!$E$7:$E$86&gt;D$11)*(Buchungen!$J$7:$J$86&lt;&gt;"Storniert"))=0,"",IF(SUMPRODUCT((Buchungen!$B$7:$B$86=$A20)*(Buchungen!$D$7:$D$86&lt;=D$11)*(Buchungen!$E$7:$E$86&gt;D$11)*(Buchungen!$J$7:$J$86&lt;&gt;"Storniert"))&gt;1,"!",INDEX(Buchungen!$K$7:$K$86,SUMPRODUCT(MAX(((Buchungen!$B$7:$B$86=$A20)*(Buchungen!$D$7:$D$86&lt;=D$11)*(Buchungen!$E$7:$E$86&gt;D$11)*(Buchungen!$J$7:$J$86&lt;&gt;"Storniert"))*ROW(Buchungen!$B$7:$B$86)))-6))))</f>
        <v>B</v>
      </c>
      <c r="E20" s="24" t="str">
        <f aca="false">IF(E$11="","",IF(SUMPRODUCT((Buchungen!$B$7:$B$86=$A20)*(Buchungen!$D$7:$D$86&lt;=E$11)*(Buchungen!$E$7:$E$86&gt;E$11)*(Buchungen!$J$7:$J$86&lt;&gt;"Storniert"))=0,"",IF(SUMPRODUCT((Buchungen!$B$7:$B$86=$A20)*(Buchungen!$D$7:$D$86&lt;=E$11)*(Buchungen!$E$7:$E$86&gt;E$11)*(Buchungen!$J$7:$J$86&lt;&gt;"Storniert"))&gt;1,"!",INDEX(Buchungen!$K$7:$K$86,SUMPRODUCT(MAX(((Buchungen!$B$7:$B$86=$A20)*(Buchungen!$D$7:$D$86&lt;=E$11)*(Buchungen!$E$7:$E$86&gt;E$11)*(Buchungen!$J$7:$J$86&lt;&gt;"Storniert"))*ROW(Buchungen!$B$7:$B$86)))-6))))</f>
        <v>B</v>
      </c>
      <c r="F20" s="24" t="str">
        <f aca="false">IF(F$11="","",IF(SUMPRODUCT((Buchungen!$B$7:$B$86=$A20)*(Buchungen!$D$7:$D$86&lt;=F$11)*(Buchungen!$E$7:$E$86&gt;F$11)*(Buchungen!$J$7:$J$86&lt;&gt;"Storniert"))=0,"",IF(SUMPRODUCT((Buchungen!$B$7:$B$86=$A20)*(Buchungen!$D$7:$D$86&lt;=F$11)*(Buchungen!$E$7:$E$86&gt;F$11)*(Buchungen!$J$7:$J$86&lt;&gt;"Storniert"))&gt;1,"!",INDEX(Buchungen!$K$7:$K$86,SUMPRODUCT(MAX(((Buchungen!$B$7:$B$86=$A20)*(Buchungen!$D$7:$D$86&lt;=F$11)*(Buchungen!$E$7:$E$86&gt;F$11)*(Buchungen!$J$7:$J$86&lt;&gt;"Storniert"))*ROW(Buchungen!$B$7:$B$86)))-6))))</f>
        <v>B</v>
      </c>
      <c r="G20" s="24" t="str">
        <f aca="false">IF(G$11="","",IF(SUMPRODUCT((Buchungen!$B$7:$B$86=$A20)*(Buchungen!$D$7:$D$86&lt;=G$11)*(Buchungen!$E$7:$E$86&gt;G$11)*(Buchungen!$J$7:$J$86&lt;&gt;"Storniert"))=0,"",IF(SUMPRODUCT((Buchungen!$B$7:$B$86=$A20)*(Buchungen!$D$7:$D$86&lt;=G$11)*(Buchungen!$E$7:$E$86&gt;G$11)*(Buchungen!$J$7:$J$86&lt;&gt;"Storniert"))&gt;1,"!",INDEX(Buchungen!$K$7:$K$86,SUMPRODUCT(MAX(((Buchungen!$B$7:$B$86=$A20)*(Buchungen!$D$7:$D$86&lt;=G$11)*(Buchungen!$E$7:$E$86&gt;G$11)*(Buchungen!$J$7:$J$86&lt;&gt;"Storniert"))*ROW(Buchungen!$B$7:$B$86)))-6))))</f>
        <v>B</v>
      </c>
      <c r="H20" s="24" t="str">
        <f aca="false">IF(H$11="","",IF(SUMPRODUCT((Buchungen!$B$7:$B$86=$A20)*(Buchungen!$D$7:$D$86&lt;=H$11)*(Buchungen!$E$7:$E$86&gt;H$11)*(Buchungen!$J$7:$J$86&lt;&gt;"Storniert"))=0,"",IF(SUMPRODUCT((Buchungen!$B$7:$B$86=$A20)*(Buchungen!$D$7:$D$86&lt;=H$11)*(Buchungen!$E$7:$E$86&gt;H$11)*(Buchungen!$J$7:$J$86&lt;&gt;"Storniert"))&gt;1,"!",INDEX(Buchungen!$K$7:$K$86,SUMPRODUCT(MAX(((Buchungen!$B$7:$B$86=$A20)*(Buchungen!$D$7:$D$86&lt;=H$11)*(Buchungen!$E$7:$E$86&gt;H$11)*(Buchungen!$J$7:$J$86&lt;&gt;"Storniert"))*ROW(Buchungen!$B$7:$B$86)))-6))))</f>
        <v/>
      </c>
      <c r="I20" s="24" t="str">
        <f aca="false">IF(I$11="","",IF(SUMPRODUCT((Buchungen!$B$7:$B$86=$A20)*(Buchungen!$D$7:$D$86&lt;=I$11)*(Buchungen!$E$7:$E$86&gt;I$11)*(Buchungen!$J$7:$J$86&lt;&gt;"Storniert"))=0,"",IF(SUMPRODUCT((Buchungen!$B$7:$B$86=$A20)*(Buchungen!$D$7:$D$86&lt;=I$11)*(Buchungen!$E$7:$E$86&gt;I$11)*(Buchungen!$J$7:$J$86&lt;&gt;"Storniert"))&gt;1,"!",INDEX(Buchungen!$K$7:$K$86,SUMPRODUCT(MAX(((Buchungen!$B$7:$B$86=$A20)*(Buchungen!$D$7:$D$86&lt;=I$11)*(Buchungen!$E$7:$E$86&gt;I$11)*(Buchungen!$J$7:$J$86&lt;&gt;"Storniert"))*ROW(Buchungen!$B$7:$B$86)))-6))))</f>
        <v>B</v>
      </c>
      <c r="J20" s="24" t="str">
        <f aca="false">IF(J$11="","",IF(SUMPRODUCT((Buchungen!$B$7:$B$86=$A20)*(Buchungen!$D$7:$D$86&lt;=J$11)*(Buchungen!$E$7:$E$86&gt;J$11)*(Buchungen!$J$7:$J$86&lt;&gt;"Storniert"))=0,"",IF(SUMPRODUCT((Buchungen!$B$7:$B$86=$A20)*(Buchungen!$D$7:$D$86&lt;=J$11)*(Buchungen!$E$7:$E$86&gt;J$11)*(Buchungen!$J$7:$J$86&lt;&gt;"Storniert"))&gt;1,"!",INDEX(Buchungen!$K$7:$K$86,SUMPRODUCT(MAX(((Buchungen!$B$7:$B$86=$A20)*(Buchungen!$D$7:$D$86&lt;=J$11)*(Buchungen!$E$7:$E$86&gt;J$11)*(Buchungen!$J$7:$J$86&lt;&gt;"Storniert"))*ROW(Buchungen!$B$7:$B$86)))-6))))</f>
        <v>B</v>
      </c>
      <c r="K20" s="24" t="str">
        <f aca="false">IF(K$11="","",IF(SUMPRODUCT((Buchungen!$B$7:$B$86=$A20)*(Buchungen!$D$7:$D$86&lt;=K$11)*(Buchungen!$E$7:$E$86&gt;K$11)*(Buchungen!$J$7:$J$86&lt;&gt;"Storniert"))=0,"",IF(SUMPRODUCT((Buchungen!$B$7:$B$86=$A20)*(Buchungen!$D$7:$D$86&lt;=K$11)*(Buchungen!$E$7:$E$86&gt;K$11)*(Buchungen!$J$7:$J$86&lt;&gt;"Storniert"))&gt;1,"!",INDEX(Buchungen!$K$7:$K$86,SUMPRODUCT(MAX(((Buchungen!$B$7:$B$86=$A20)*(Buchungen!$D$7:$D$86&lt;=K$11)*(Buchungen!$E$7:$E$86&gt;K$11)*(Buchungen!$J$7:$J$86&lt;&gt;"Storniert"))*ROW(Buchungen!$B$7:$B$86)))-6))))</f>
        <v>B</v>
      </c>
      <c r="L20" s="24" t="str">
        <f aca="false">IF(L$11="","",IF(SUMPRODUCT((Buchungen!$B$7:$B$86=$A20)*(Buchungen!$D$7:$D$86&lt;=L$11)*(Buchungen!$E$7:$E$86&gt;L$11)*(Buchungen!$J$7:$J$86&lt;&gt;"Storniert"))=0,"",IF(SUMPRODUCT((Buchungen!$B$7:$B$86=$A20)*(Buchungen!$D$7:$D$86&lt;=L$11)*(Buchungen!$E$7:$E$86&gt;L$11)*(Buchungen!$J$7:$J$86&lt;&gt;"Storniert"))&gt;1,"!",INDEX(Buchungen!$K$7:$K$86,SUMPRODUCT(MAX(((Buchungen!$B$7:$B$86=$A20)*(Buchungen!$D$7:$D$86&lt;=L$11)*(Buchungen!$E$7:$E$86&gt;L$11)*(Buchungen!$J$7:$J$86&lt;&gt;"Storniert"))*ROW(Buchungen!$B$7:$B$86)))-6))))</f>
        <v>B</v>
      </c>
      <c r="M20" s="24" t="str">
        <f aca="false">IF(M$11="","",IF(SUMPRODUCT((Buchungen!$B$7:$B$86=$A20)*(Buchungen!$D$7:$D$86&lt;=M$11)*(Buchungen!$E$7:$E$86&gt;M$11)*(Buchungen!$J$7:$J$86&lt;&gt;"Storniert"))=0,"",IF(SUMPRODUCT((Buchungen!$B$7:$B$86=$A20)*(Buchungen!$D$7:$D$86&lt;=M$11)*(Buchungen!$E$7:$E$86&gt;M$11)*(Buchungen!$J$7:$J$86&lt;&gt;"Storniert"))&gt;1,"!",INDEX(Buchungen!$K$7:$K$86,SUMPRODUCT(MAX(((Buchungen!$B$7:$B$86=$A20)*(Buchungen!$D$7:$D$86&lt;=M$11)*(Buchungen!$E$7:$E$86&gt;M$11)*(Buchungen!$J$7:$J$86&lt;&gt;"Storniert"))*ROW(Buchungen!$B$7:$B$86)))-6))))</f>
        <v>B</v>
      </c>
      <c r="N20" s="24" t="str">
        <f aca="false">IF(N$11="","",IF(SUMPRODUCT((Buchungen!$B$7:$B$86=$A20)*(Buchungen!$D$7:$D$86&lt;=N$11)*(Buchungen!$E$7:$E$86&gt;N$11)*(Buchungen!$J$7:$J$86&lt;&gt;"Storniert"))=0,"",IF(SUMPRODUCT((Buchungen!$B$7:$B$86=$A20)*(Buchungen!$D$7:$D$86&lt;=N$11)*(Buchungen!$E$7:$E$86&gt;N$11)*(Buchungen!$J$7:$J$86&lt;&gt;"Storniert"))&gt;1,"!",INDEX(Buchungen!$K$7:$K$86,SUMPRODUCT(MAX(((Buchungen!$B$7:$B$86=$A20)*(Buchungen!$D$7:$D$86&lt;=N$11)*(Buchungen!$E$7:$E$86&gt;N$11)*(Buchungen!$J$7:$J$86&lt;&gt;"Storniert"))*ROW(Buchungen!$B$7:$B$86)))-6))))</f>
        <v>B</v>
      </c>
      <c r="O20" s="24" t="str">
        <f aca="false">IF(O$11="","",IF(SUMPRODUCT((Buchungen!$B$7:$B$86=$A20)*(Buchungen!$D$7:$D$86&lt;=O$11)*(Buchungen!$E$7:$E$86&gt;O$11)*(Buchungen!$J$7:$J$86&lt;&gt;"Storniert"))=0,"",IF(SUMPRODUCT((Buchungen!$B$7:$B$86=$A20)*(Buchungen!$D$7:$D$86&lt;=O$11)*(Buchungen!$E$7:$E$86&gt;O$11)*(Buchungen!$J$7:$J$86&lt;&gt;"Storniert"))&gt;1,"!",INDEX(Buchungen!$K$7:$K$86,SUMPRODUCT(MAX(((Buchungen!$B$7:$B$86=$A20)*(Buchungen!$D$7:$D$86&lt;=O$11)*(Buchungen!$E$7:$E$86&gt;O$11)*(Buchungen!$J$7:$J$86&lt;&gt;"Storniert"))*ROW(Buchungen!$B$7:$B$86)))-6))))</f>
        <v>B</v>
      </c>
      <c r="P20" s="24" t="str">
        <f aca="false">IF(P$11="","",IF(SUMPRODUCT((Buchungen!$B$7:$B$86=$A20)*(Buchungen!$D$7:$D$86&lt;=P$11)*(Buchungen!$E$7:$E$86&gt;P$11)*(Buchungen!$J$7:$J$86&lt;&gt;"Storniert"))=0,"",IF(SUMPRODUCT((Buchungen!$B$7:$B$86=$A20)*(Buchungen!$D$7:$D$86&lt;=P$11)*(Buchungen!$E$7:$E$86&gt;P$11)*(Buchungen!$J$7:$J$86&lt;&gt;"Storniert"))&gt;1,"!",INDEX(Buchungen!$K$7:$K$86,SUMPRODUCT(MAX(((Buchungen!$B$7:$B$86=$A20)*(Buchungen!$D$7:$D$86&lt;=P$11)*(Buchungen!$E$7:$E$86&gt;P$11)*(Buchungen!$J$7:$J$86&lt;&gt;"Storniert"))*ROW(Buchungen!$B$7:$B$86)))-6))))</f>
        <v/>
      </c>
      <c r="Q20" s="24" t="str">
        <f aca="false">IF(Q$11="","",IF(SUMPRODUCT((Buchungen!$B$7:$B$86=$A20)*(Buchungen!$D$7:$D$86&lt;=Q$11)*(Buchungen!$E$7:$E$86&gt;Q$11)*(Buchungen!$J$7:$J$86&lt;&gt;"Storniert"))=0,"",IF(SUMPRODUCT((Buchungen!$B$7:$B$86=$A20)*(Buchungen!$D$7:$D$86&lt;=Q$11)*(Buchungen!$E$7:$E$86&gt;Q$11)*(Buchungen!$J$7:$J$86&lt;&gt;"Storniert"))&gt;1,"!",INDEX(Buchungen!$K$7:$K$86,SUMPRODUCT(MAX(((Buchungen!$B$7:$B$86=$A20)*(Buchungen!$D$7:$D$86&lt;=Q$11)*(Buchungen!$E$7:$E$86&gt;Q$11)*(Buchungen!$J$7:$J$86&lt;&gt;"Storniert"))*ROW(Buchungen!$B$7:$B$86)))-6))))</f>
        <v/>
      </c>
      <c r="R20" s="24" t="str">
        <f aca="false">IF(R$11="","",IF(SUMPRODUCT((Buchungen!$B$7:$B$86=$A20)*(Buchungen!$D$7:$D$86&lt;=R$11)*(Buchungen!$E$7:$E$86&gt;R$11)*(Buchungen!$J$7:$J$86&lt;&gt;"Storniert"))=0,"",IF(SUMPRODUCT((Buchungen!$B$7:$B$86=$A20)*(Buchungen!$D$7:$D$86&lt;=R$11)*(Buchungen!$E$7:$E$86&gt;R$11)*(Buchungen!$J$7:$J$86&lt;&gt;"Storniert"))&gt;1,"!",INDEX(Buchungen!$K$7:$K$86,SUMPRODUCT(MAX(((Buchungen!$B$7:$B$86=$A20)*(Buchungen!$D$7:$D$86&lt;=R$11)*(Buchungen!$E$7:$E$86&gt;R$11)*(Buchungen!$J$7:$J$86&lt;&gt;"Storniert"))*ROW(Buchungen!$B$7:$B$86)))-6))))</f>
        <v/>
      </c>
      <c r="S20" s="24" t="str">
        <f aca="false">IF(S$11="","",IF(SUMPRODUCT((Buchungen!$B$7:$B$86=$A20)*(Buchungen!$D$7:$D$86&lt;=S$11)*(Buchungen!$E$7:$E$86&gt;S$11)*(Buchungen!$J$7:$J$86&lt;&gt;"Storniert"))=0,"",IF(SUMPRODUCT((Buchungen!$B$7:$B$86=$A20)*(Buchungen!$D$7:$D$86&lt;=S$11)*(Buchungen!$E$7:$E$86&gt;S$11)*(Buchungen!$J$7:$J$86&lt;&gt;"Storniert"))&gt;1,"!",INDEX(Buchungen!$K$7:$K$86,SUMPRODUCT(MAX(((Buchungen!$B$7:$B$86=$A20)*(Buchungen!$D$7:$D$86&lt;=S$11)*(Buchungen!$E$7:$E$86&gt;S$11)*(Buchungen!$J$7:$J$86&lt;&gt;"Storniert"))*ROW(Buchungen!$B$7:$B$86)))-6))))</f>
        <v>B</v>
      </c>
      <c r="T20" s="24" t="str">
        <f aca="false">IF(T$11="","",IF(SUMPRODUCT((Buchungen!$B$7:$B$86=$A20)*(Buchungen!$D$7:$D$86&lt;=T$11)*(Buchungen!$E$7:$E$86&gt;T$11)*(Buchungen!$J$7:$J$86&lt;&gt;"Storniert"))=0,"",IF(SUMPRODUCT((Buchungen!$B$7:$B$86=$A20)*(Buchungen!$D$7:$D$86&lt;=T$11)*(Buchungen!$E$7:$E$86&gt;T$11)*(Buchungen!$J$7:$J$86&lt;&gt;"Storniert"))&gt;1,"!",INDEX(Buchungen!$K$7:$K$86,SUMPRODUCT(MAX(((Buchungen!$B$7:$B$86=$A20)*(Buchungen!$D$7:$D$86&lt;=T$11)*(Buchungen!$E$7:$E$86&gt;T$11)*(Buchungen!$J$7:$J$86&lt;&gt;"Storniert"))*ROW(Buchungen!$B$7:$B$86)))-6))))</f>
        <v>B</v>
      </c>
      <c r="U20" s="24" t="str">
        <f aca="false">IF(U$11="","",IF(SUMPRODUCT((Buchungen!$B$7:$B$86=$A20)*(Buchungen!$D$7:$D$86&lt;=U$11)*(Buchungen!$E$7:$E$86&gt;U$11)*(Buchungen!$J$7:$J$86&lt;&gt;"Storniert"))=0,"",IF(SUMPRODUCT((Buchungen!$B$7:$B$86=$A20)*(Buchungen!$D$7:$D$86&lt;=U$11)*(Buchungen!$E$7:$E$86&gt;U$11)*(Buchungen!$J$7:$J$86&lt;&gt;"Storniert"))&gt;1,"!",INDEX(Buchungen!$K$7:$K$86,SUMPRODUCT(MAX(((Buchungen!$B$7:$B$86=$A20)*(Buchungen!$D$7:$D$86&lt;=U$11)*(Buchungen!$E$7:$E$86&gt;U$11)*(Buchungen!$J$7:$J$86&lt;&gt;"Storniert"))*ROW(Buchungen!$B$7:$B$86)))-6))))</f>
        <v>B</v>
      </c>
      <c r="V20" s="24" t="str">
        <f aca="false">IF(V$11="","",IF(SUMPRODUCT((Buchungen!$B$7:$B$86=$A20)*(Buchungen!$D$7:$D$86&lt;=V$11)*(Buchungen!$E$7:$E$86&gt;V$11)*(Buchungen!$J$7:$J$86&lt;&gt;"Storniert"))=0,"",IF(SUMPRODUCT((Buchungen!$B$7:$B$86=$A20)*(Buchungen!$D$7:$D$86&lt;=V$11)*(Buchungen!$E$7:$E$86&gt;V$11)*(Buchungen!$J$7:$J$86&lt;&gt;"Storniert"))&gt;1,"!",INDEX(Buchungen!$K$7:$K$86,SUMPRODUCT(MAX(((Buchungen!$B$7:$B$86=$A20)*(Buchungen!$D$7:$D$86&lt;=V$11)*(Buchungen!$E$7:$E$86&gt;V$11)*(Buchungen!$J$7:$J$86&lt;&gt;"Storniert"))*ROW(Buchungen!$B$7:$B$86)))-6))))</f>
        <v>B</v>
      </c>
      <c r="W20" s="24" t="str">
        <f aca="false">IF(W$11="","",IF(SUMPRODUCT((Buchungen!$B$7:$B$86=$A20)*(Buchungen!$D$7:$D$86&lt;=W$11)*(Buchungen!$E$7:$E$86&gt;W$11)*(Buchungen!$J$7:$J$86&lt;&gt;"Storniert"))=0,"",IF(SUMPRODUCT((Buchungen!$B$7:$B$86=$A20)*(Buchungen!$D$7:$D$86&lt;=W$11)*(Buchungen!$E$7:$E$86&gt;W$11)*(Buchungen!$J$7:$J$86&lt;&gt;"Storniert"))&gt;1,"!",INDEX(Buchungen!$K$7:$K$86,SUMPRODUCT(MAX(((Buchungen!$B$7:$B$86=$A20)*(Buchungen!$D$7:$D$86&lt;=W$11)*(Buchungen!$E$7:$E$86&gt;W$11)*(Buchungen!$J$7:$J$86&lt;&gt;"Storniert"))*ROW(Buchungen!$B$7:$B$86)))-6))))</f>
        <v>B</v>
      </c>
      <c r="X20" s="24" t="str">
        <f aca="false">IF(X$11="","",IF(SUMPRODUCT((Buchungen!$B$7:$B$86=$A20)*(Buchungen!$D$7:$D$86&lt;=X$11)*(Buchungen!$E$7:$E$86&gt;X$11)*(Buchungen!$J$7:$J$86&lt;&gt;"Storniert"))=0,"",IF(SUMPRODUCT((Buchungen!$B$7:$B$86=$A20)*(Buchungen!$D$7:$D$86&lt;=X$11)*(Buchungen!$E$7:$E$86&gt;X$11)*(Buchungen!$J$7:$J$86&lt;&gt;"Storniert"))&gt;1,"!",INDEX(Buchungen!$K$7:$K$86,SUMPRODUCT(MAX(((Buchungen!$B$7:$B$86=$A20)*(Buchungen!$D$7:$D$86&lt;=X$11)*(Buchungen!$E$7:$E$86&gt;X$11)*(Buchungen!$J$7:$J$86&lt;&gt;"Storniert"))*ROW(Buchungen!$B$7:$B$86)))-6))))</f>
        <v>B</v>
      </c>
      <c r="Y20" s="24" t="str">
        <f aca="false">IF(Y$11="","",IF(SUMPRODUCT((Buchungen!$B$7:$B$86=$A20)*(Buchungen!$D$7:$D$86&lt;=Y$11)*(Buchungen!$E$7:$E$86&gt;Y$11)*(Buchungen!$J$7:$J$86&lt;&gt;"Storniert"))=0,"",IF(SUMPRODUCT((Buchungen!$B$7:$B$86=$A20)*(Buchungen!$D$7:$D$86&lt;=Y$11)*(Buchungen!$E$7:$E$86&gt;Y$11)*(Buchungen!$J$7:$J$86&lt;&gt;"Storniert"))&gt;1,"!",INDEX(Buchungen!$K$7:$K$86,SUMPRODUCT(MAX(((Buchungen!$B$7:$B$86=$A20)*(Buchungen!$D$7:$D$86&lt;=Y$11)*(Buchungen!$E$7:$E$86&gt;Y$11)*(Buchungen!$J$7:$J$86&lt;&gt;"Storniert"))*ROW(Buchungen!$B$7:$B$86)))-6))))</f>
        <v/>
      </c>
      <c r="Z20" s="24" t="str">
        <f aca="false">IF(Z$11="","",IF(SUMPRODUCT((Buchungen!$B$7:$B$86=$A20)*(Buchungen!$D$7:$D$86&lt;=Z$11)*(Buchungen!$E$7:$E$86&gt;Z$11)*(Buchungen!$J$7:$J$86&lt;&gt;"Storniert"))=0,"",IF(SUMPRODUCT((Buchungen!$B$7:$B$86=$A20)*(Buchungen!$D$7:$D$86&lt;=Z$11)*(Buchungen!$E$7:$E$86&gt;Z$11)*(Buchungen!$J$7:$J$86&lt;&gt;"Storniert"))&gt;1,"!",INDEX(Buchungen!$K$7:$K$86,SUMPRODUCT(MAX(((Buchungen!$B$7:$B$86=$A20)*(Buchungen!$D$7:$D$86&lt;=Z$11)*(Buchungen!$E$7:$E$86&gt;Z$11)*(Buchungen!$J$7:$J$86&lt;&gt;"Storniert"))*ROW(Buchungen!$B$7:$B$86)))-6))))</f>
        <v>B</v>
      </c>
      <c r="AA20" s="24" t="str">
        <f aca="false">IF(AA$11="","",IF(SUMPRODUCT((Buchungen!$B$7:$B$86=$A20)*(Buchungen!$D$7:$D$86&lt;=AA$11)*(Buchungen!$E$7:$E$86&gt;AA$11)*(Buchungen!$J$7:$J$86&lt;&gt;"Storniert"))=0,"",IF(SUMPRODUCT((Buchungen!$B$7:$B$86=$A20)*(Buchungen!$D$7:$D$86&lt;=AA$11)*(Buchungen!$E$7:$E$86&gt;AA$11)*(Buchungen!$J$7:$J$86&lt;&gt;"Storniert"))&gt;1,"!",INDEX(Buchungen!$K$7:$K$86,SUMPRODUCT(MAX(((Buchungen!$B$7:$B$86=$A20)*(Buchungen!$D$7:$D$86&lt;=AA$11)*(Buchungen!$E$7:$E$86&gt;AA$11)*(Buchungen!$J$7:$J$86&lt;&gt;"Storniert"))*ROW(Buchungen!$B$7:$B$86)))-6))))</f>
        <v>B</v>
      </c>
      <c r="AB20" s="24" t="str">
        <f aca="false">IF(AB$11="","",IF(SUMPRODUCT((Buchungen!$B$7:$B$86=$A20)*(Buchungen!$D$7:$D$86&lt;=AB$11)*(Buchungen!$E$7:$E$86&gt;AB$11)*(Buchungen!$J$7:$J$86&lt;&gt;"Storniert"))=0,"",IF(SUMPRODUCT((Buchungen!$B$7:$B$86=$A20)*(Buchungen!$D$7:$D$86&lt;=AB$11)*(Buchungen!$E$7:$E$86&gt;AB$11)*(Buchungen!$J$7:$J$86&lt;&gt;"Storniert"))&gt;1,"!",INDEX(Buchungen!$K$7:$K$86,SUMPRODUCT(MAX(((Buchungen!$B$7:$B$86=$A20)*(Buchungen!$D$7:$D$86&lt;=AB$11)*(Buchungen!$E$7:$E$86&gt;AB$11)*(Buchungen!$J$7:$J$86&lt;&gt;"Storniert"))*ROW(Buchungen!$B$7:$B$86)))-6))))</f>
        <v>B</v>
      </c>
      <c r="AC20" s="24" t="str">
        <f aca="false">IF(AC$11="","",IF(SUMPRODUCT((Buchungen!$B$7:$B$86=$A20)*(Buchungen!$D$7:$D$86&lt;=AC$11)*(Buchungen!$E$7:$E$86&gt;AC$11)*(Buchungen!$J$7:$J$86&lt;&gt;"Storniert"))=0,"",IF(SUMPRODUCT((Buchungen!$B$7:$B$86=$A20)*(Buchungen!$D$7:$D$86&lt;=AC$11)*(Buchungen!$E$7:$E$86&gt;AC$11)*(Buchungen!$J$7:$J$86&lt;&gt;"Storniert"))&gt;1,"!",INDEX(Buchungen!$K$7:$K$86,SUMPRODUCT(MAX(((Buchungen!$B$7:$B$86=$A20)*(Buchungen!$D$7:$D$86&lt;=AC$11)*(Buchungen!$E$7:$E$86&gt;AC$11)*(Buchungen!$J$7:$J$86&lt;&gt;"Storniert"))*ROW(Buchungen!$B$7:$B$86)))-6))))</f>
        <v>B</v>
      </c>
      <c r="AD20" s="24" t="str">
        <f aca="false">IF(AD$11="","",IF(SUMPRODUCT((Buchungen!$B$7:$B$86=$A20)*(Buchungen!$D$7:$D$86&lt;=AD$11)*(Buchungen!$E$7:$E$86&gt;AD$11)*(Buchungen!$J$7:$J$86&lt;&gt;"Storniert"))=0,"",IF(SUMPRODUCT((Buchungen!$B$7:$B$86=$A20)*(Buchungen!$D$7:$D$86&lt;=AD$11)*(Buchungen!$E$7:$E$86&gt;AD$11)*(Buchungen!$J$7:$J$86&lt;&gt;"Storniert"))&gt;1,"!",INDEX(Buchungen!$K$7:$K$86,SUMPRODUCT(MAX(((Buchungen!$B$7:$B$86=$A20)*(Buchungen!$D$7:$D$86&lt;=AD$11)*(Buchungen!$E$7:$E$86&gt;AD$11)*(Buchungen!$J$7:$J$86&lt;&gt;"Storniert"))*ROW(Buchungen!$B$7:$B$86)))-6))))</f>
        <v/>
      </c>
      <c r="AE20" s="24" t="str">
        <f aca="false">IF(AE$11="","",IF(SUMPRODUCT((Buchungen!$B$7:$B$86=$A20)*(Buchungen!$D$7:$D$86&lt;=AE$11)*(Buchungen!$E$7:$E$86&gt;AE$11)*(Buchungen!$J$7:$J$86&lt;&gt;"Storniert"))=0,"",IF(SUMPRODUCT((Buchungen!$B$7:$B$86=$A20)*(Buchungen!$D$7:$D$86&lt;=AE$11)*(Buchungen!$E$7:$E$86&gt;AE$11)*(Buchungen!$J$7:$J$86&lt;&gt;"Storniert"))&gt;1,"!",INDEX(Buchungen!$K$7:$K$86,SUMPRODUCT(MAX(((Buchungen!$B$7:$B$86=$A20)*(Buchungen!$D$7:$D$86&lt;=AE$11)*(Buchungen!$E$7:$E$86&gt;AE$11)*(Buchungen!$J$7:$J$86&lt;&gt;"Storniert"))*ROW(Buchungen!$B$7:$B$86)))-6))))</f>
        <v/>
      </c>
      <c r="AF20" s="24" t="str">
        <f aca="false">IF(AF$11="","",IF(SUMPRODUCT((Buchungen!$B$7:$B$86=$A20)*(Buchungen!$D$7:$D$86&lt;=AF$11)*(Buchungen!$E$7:$E$86&gt;AF$11)*(Buchungen!$J$7:$J$86&lt;&gt;"Storniert"))=0,"",IF(SUMPRODUCT((Buchungen!$B$7:$B$86=$A20)*(Buchungen!$D$7:$D$86&lt;=AF$11)*(Buchungen!$E$7:$E$86&gt;AF$11)*(Buchungen!$J$7:$J$86&lt;&gt;"Storniert"))&gt;1,"!",INDEX(Buchungen!$K$7:$K$86,SUMPRODUCT(MAX(((Buchungen!$B$7:$B$86=$A20)*(Buchungen!$D$7:$D$86&lt;=AF$11)*(Buchungen!$E$7:$E$86&gt;AF$11)*(Buchungen!$J$7:$J$86&lt;&gt;"Storniert"))*ROW(Buchungen!$B$7:$B$86)))-6))))</f>
        <v/>
      </c>
      <c r="AG20" s="24" t="str">
        <f aca="false">IF(AG$11="","",IF(SUMPRODUCT((Buchungen!$B$7:$B$86=$A20)*(Buchungen!$D$7:$D$86&lt;=AG$11)*(Buchungen!$E$7:$E$86&gt;AG$11)*(Buchungen!$J$7:$J$86&lt;&gt;"Storniert"))=0,"",IF(SUMPRODUCT((Buchungen!$B$7:$B$86=$A20)*(Buchungen!$D$7:$D$86&lt;=AG$11)*(Buchungen!$E$7:$E$86&gt;AG$11)*(Buchungen!$J$7:$J$86&lt;&gt;"Storniert"))&gt;1,"!",INDEX(Buchungen!$K$7:$K$86,SUMPRODUCT(MAX(((Buchungen!$B$7:$B$86=$A20)*(Buchungen!$D$7:$D$86&lt;=AG$11)*(Buchungen!$E$7:$E$86&gt;AG$11)*(Buchungen!$J$7:$J$86&lt;&gt;"Storniert"))*ROW(Buchungen!$B$7:$B$86)))-6))))</f>
        <v>B</v>
      </c>
      <c r="AH20" s="25" t="n">
        <f aca="false">SUMIFS(Buchungen!$O$7:$O$86,Buchungen!$B$7:$B$86,$A20)</f>
        <v>23</v>
      </c>
      <c r="AI20" s="26" t="n">
        <f aca="false">IFERROR($AH20/$C$7,0)</f>
        <v>0.741935483870968</v>
      </c>
      <c r="AJ20" s="27" t="n">
        <f aca="false">SUMIFS(Buchungen!$P$7:$P$86,Buchungen!$B$7:$B$86,$A20)</f>
        <v>3887</v>
      </c>
    </row>
    <row r="21" customFormat="false" ht="16.5" hidden="false" customHeight="true" outlineLevel="0" collapsed="false">
      <c r="A21" s="28" t="str">
        <f aca="false">IF(OR(Stammdaten!$A16="",Stammdaten!$G16="Nein"),"",Stammdaten!$A16)</f>
        <v>Z-110</v>
      </c>
      <c r="B21" s="29" t="str">
        <f aca="false">IF($A21="","",Stammdaten!$B16)</f>
        <v>Apartment mit Küche</v>
      </c>
      <c r="C21" s="30" t="str">
        <f aca="false">IF(C$11="","",IF(SUMPRODUCT((Buchungen!$B$7:$B$86=$A21)*(Buchungen!$D$7:$D$86&lt;=C$11)*(Buchungen!$E$7:$E$86&gt;C$11)*(Buchungen!$J$7:$J$86&lt;&gt;"Storniert"))=0,"",IF(SUMPRODUCT((Buchungen!$B$7:$B$86=$A21)*(Buchungen!$D$7:$D$86&lt;=C$11)*(Buchungen!$E$7:$E$86&gt;C$11)*(Buchungen!$J$7:$J$86&lt;&gt;"Storniert"))&gt;1,"!",INDEX(Buchungen!$K$7:$K$86,SUMPRODUCT(MAX(((Buchungen!$B$7:$B$86=$A21)*(Buchungen!$D$7:$D$86&lt;=C$11)*(Buchungen!$E$7:$E$86&gt;C$11)*(Buchungen!$J$7:$J$86&lt;&gt;"Storniert"))*ROW(Buchungen!$B$7:$B$86)))-6))))</f>
        <v>B</v>
      </c>
      <c r="D21" s="30" t="str">
        <f aca="false">IF(D$11="","",IF(SUMPRODUCT((Buchungen!$B$7:$B$86=$A21)*(Buchungen!$D$7:$D$86&lt;=D$11)*(Buchungen!$E$7:$E$86&gt;D$11)*(Buchungen!$J$7:$J$86&lt;&gt;"Storniert"))=0,"",IF(SUMPRODUCT((Buchungen!$B$7:$B$86=$A21)*(Buchungen!$D$7:$D$86&lt;=D$11)*(Buchungen!$E$7:$E$86&gt;D$11)*(Buchungen!$J$7:$J$86&lt;&gt;"Storniert"))&gt;1,"!",INDEX(Buchungen!$K$7:$K$86,SUMPRODUCT(MAX(((Buchungen!$B$7:$B$86=$A21)*(Buchungen!$D$7:$D$86&lt;=D$11)*(Buchungen!$E$7:$E$86&gt;D$11)*(Buchungen!$J$7:$J$86&lt;&gt;"Storniert"))*ROW(Buchungen!$B$7:$B$86)))-6))))</f>
        <v>B</v>
      </c>
      <c r="E21" s="30" t="str">
        <f aca="false">IF(E$11="","",IF(SUMPRODUCT((Buchungen!$B$7:$B$86=$A21)*(Buchungen!$D$7:$D$86&lt;=E$11)*(Buchungen!$E$7:$E$86&gt;E$11)*(Buchungen!$J$7:$J$86&lt;&gt;"Storniert"))=0,"",IF(SUMPRODUCT((Buchungen!$B$7:$B$86=$A21)*(Buchungen!$D$7:$D$86&lt;=E$11)*(Buchungen!$E$7:$E$86&gt;E$11)*(Buchungen!$J$7:$J$86&lt;&gt;"Storniert"))&gt;1,"!",INDEX(Buchungen!$K$7:$K$86,SUMPRODUCT(MAX(((Buchungen!$B$7:$B$86=$A21)*(Buchungen!$D$7:$D$86&lt;=E$11)*(Buchungen!$E$7:$E$86&gt;E$11)*(Buchungen!$J$7:$J$86&lt;&gt;"Storniert"))*ROW(Buchungen!$B$7:$B$86)))-6))))</f>
        <v>B</v>
      </c>
      <c r="F21" s="30" t="str">
        <f aca="false">IF(F$11="","",IF(SUMPRODUCT((Buchungen!$B$7:$B$86=$A21)*(Buchungen!$D$7:$D$86&lt;=F$11)*(Buchungen!$E$7:$E$86&gt;F$11)*(Buchungen!$J$7:$J$86&lt;&gt;"Storniert"))=0,"",IF(SUMPRODUCT((Buchungen!$B$7:$B$86=$A21)*(Buchungen!$D$7:$D$86&lt;=F$11)*(Buchungen!$E$7:$E$86&gt;F$11)*(Buchungen!$J$7:$J$86&lt;&gt;"Storniert"))&gt;1,"!",INDEX(Buchungen!$K$7:$K$86,SUMPRODUCT(MAX(((Buchungen!$B$7:$B$86=$A21)*(Buchungen!$D$7:$D$86&lt;=F$11)*(Buchungen!$E$7:$E$86&gt;F$11)*(Buchungen!$J$7:$J$86&lt;&gt;"Storniert"))*ROW(Buchungen!$B$7:$B$86)))-6))))</f>
        <v>B</v>
      </c>
      <c r="G21" s="30" t="str">
        <f aca="false">IF(G$11="","",IF(SUMPRODUCT((Buchungen!$B$7:$B$86=$A21)*(Buchungen!$D$7:$D$86&lt;=G$11)*(Buchungen!$E$7:$E$86&gt;G$11)*(Buchungen!$J$7:$J$86&lt;&gt;"Storniert"))=0,"",IF(SUMPRODUCT((Buchungen!$B$7:$B$86=$A21)*(Buchungen!$D$7:$D$86&lt;=G$11)*(Buchungen!$E$7:$E$86&gt;G$11)*(Buchungen!$J$7:$J$86&lt;&gt;"Storniert"))&gt;1,"!",INDEX(Buchungen!$K$7:$K$86,SUMPRODUCT(MAX(((Buchungen!$B$7:$B$86=$A21)*(Buchungen!$D$7:$D$86&lt;=G$11)*(Buchungen!$E$7:$E$86&gt;G$11)*(Buchungen!$J$7:$J$86&lt;&gt;"Storniert"))*ROW(Buchungen!$B$7:$B$86)))-6))))</f>
        <v>B</v>
      </c>
      <c r="H21" s="30" t="str">
        <f aca="false">IF(H$11="","",IF(SUMPRODUCT((Buchungen!$B$7:$B$86=$A21)*(Buchungen!$D$7:$D$86&lt;=H$11)*(Buchungen!$E$7:$E$86&gt;H$11)*(Buchungen!$J$7:$J$86&lt;&gt;"Storniert"))=0,"",IF(SUMPRODUCT((Buchungen!$B$7:$B$86=$A21)*(Buchungen!$D$7:$D$86&lt;=H$11)*(Buchungen!$E$7:$E$86&gt;H$11)*(Buchungen!$J$7:$J$86&lt;&gt;"Storniert"))&gt;1,"!",INDEX(Buchungen!$K$7:$K$86,SUMPRODUCT(MAX(((Buchungen!$B$7:$B$86=$A21)*(Buchungen!$D$7:$D$86&lt;=H$11)*(Buchungen!$E$7:$E$86&gt;H$11)*(Buchungen!$J$7:$J$86&lt;&gt;"Storniert"))*ROW(Buchungen!$B$7:$B$86)))-6))))</f>
        <v>B</v>
      </c>
      <c r="I21" s="30" t="str">
        <f aca="false">IF(I$11="","",IF(SUMPRODUCT((Buchungen!$B$7:$B$86=$A21)*(Buchungen!$D$7:$D$86&lt;=I$11)*(Buchungen!$E$7:$E$86&gt;I$11)*(Buchungen!$J$7:$J$86&lt;&gt;"Storniert"))=0,"",IF(SUMPRODUCT((Buchungen!$B$7:$B$86=$A21)*(Buchungen!$D$7:$D$86&lt;=I$11)*(Buchungen!$E$7:$E$86&gt;I$11)*(Buchungen!$J$7:$J$86&lt;&gt;"Storniert"))&gt;1,"!",INDEX(Buchungen!$K$7:$K$86,SUMPRODUCT(MAX(((Buchungen!$B$7:$B$86=$A21)*(Buchungen!$D$7:$D$86&lt;=I$11)*(Buchungen!$E$7:$E$86&gt;I$11)*(Buchungen!$J$7:$J$86&lt;&gt;"Storniert"))*ROW(Buchungen!$B$7:$B$86)))-6))))</f>
        <v>B</v>
      </c>
      <c r="J21" s="30" t="str">
        <f aca="false">IF(J$11="","",IF(SUMPRODUCT((Buchungen!$B$7:$B$86=$A21)*(Buchungen!$D$7:$D$86&lt;=J$11)*(Buchungen!$E$7:$E$86&gt;J$11)*(Buchungen!$J$7:$J$86&lt;&gt;"Storniert"))=0,"",IF(SUMPRODUCT((Buchungen!$B$7:$B$86=$A21)*(Buchungen!$D$7:$D$86&lt;=J$11)*(Buchungen!$E$7:$E$86&gt;J$11)*(Buchungen!$J$7:$J$86&lt;&gt;"Storniert"))&gt;1,"!",INDEX(Buchungen!$K$7:$K$86,SUMPRODUCT(MAX(((Buchungen!$B$7:$B$86=$A21)*(Buchungen!$D$7:$D$86&lt;=J$11)*(Buchungen!$E$7:$E$86&gt;J$11)*(Buchungen!$J$7:$J$86&lt;&gt;"Storniert"))*ROW(Buchungen!$B$7:$B$86)))-6))))</f>
        <v>B</v>
      </c>
      <c r="K21" s="30" t="str">
        <f aca="false">IF(K$11="","",IF(SUMPRODUCT((Buchungen!$B$7:$B$86=$A21)*(Buchungen!$D$7:$D$86&lt;=K$11)*(Buchungen!$E$7:$E$86&gt;K$11)*(Buchungen!$J$7:$J$86&lt;&gt;"Storniert"))=0,"",IF(SUMPRODUCT((Buchungen!$B$7:$B$86=$A21)*(Buchungen!$D$7:$D$86&lt;=K$11)*(Buchungen!$E$7:$E$86&gt;K$11)*(Buchungen!$J$7:$J$86&lt;&gt;"Storniert"))&gt;1,"!",INDEX(Buchungen!$K$7:$K$86,SUMPRODUCT(MAX(((Buchungen!$B$7:$B$86=$A21)*(Buchungen!$D$7:$D$86&lt;=K$11)*(Buchungen!$E$7:$E$86&gt;K$11)*(Buchungen!$J$7:$J$86&lt;&gt;"Storniert"))*ROW(Buchungen!$B$7:$B$86)))-6))))</f>
        <v/>
      </c>
      <c r="L21" s="30" t="str">
        <f aca="false">IF(L$11="","",IF(SUMPRODUCT((Buchungen!$B$7:$B$86=$A21)*(Buchungen!$D$7:$D$86&lt;=L$11)*(Buchungen!$E$7:$E$86&gt;L$11)*(Buchungen!$J$7:$J$86&lt;&gt;"Storniert"))=0,"",IF(SUMPRODUCT((Buchungen!$B$7:$B$86=$A21)*(Buchungen!$D$7:$D$86&lt;=L$11)*(Buchungen!$E$7:$E$86&gt;L$11)*(Buchungen!$J$7:$J$86&lt;&gt;"Storniert"))&gt;1,"!",INDEX(Buchungen!$K$7:$K$86,SUMPRODUCT(MAX(((Buchungen!$B$7:$B$86=$A21)*(Buchungen!$D$7:$D$86&lt;=L$11)*(Buchungen!$E$7:$E$86&gt;L$11)*(Buchungen!$J$7:$J$86&lt;&gt;"Storniert"))*ROW(Buchungen!$B$7:$B$86)))-6))))</f>
        <v>B</v>
      </c>
      <c r="M21" s="30" t="str">
        <f aca="false">IF(M$11="","",IF(SUMPRODUCT((Buchungen!$B$7:$B$86=$A21)*(Buchungen!$D$7:$D$86&lt;=M$11)*(Buchungen!$E$7:$E$86&gt;M$11)*(Buchungen!$J$7:$J$86&lt;&gt;"Storniert"))=0,"",IF(SUMPRODUCT((Buchungen!$B$7:$B$86=$A21)*(Buchungen!$D$7:$D$86&lt;=M$11)*(Buchungen!$E$7:$E$86&gt;M$11)*(Buchungen!$J$7:$J$86&lt;&gt;"Storniert"))&gt;1,"!",INDEX(Buchungen!$K$7:$K$86,SUMPRODUCT(MAX(((Buchungen!$B$7:$B$86=$A21)*(Buchungen!$D$7:$D$86&lt;=M$11)*(Buchungen!$E$7:$E$86&gt;M$11)*(Buchungen!$J$7:$J$86&lt;&gt;"Storniert"))*ROW(Buchungen!$B$7:$B$86)))-6))))</f>
        <v>B</v>
      </c>
      <c r="N21" s="30" t="str">
        <f aca="false">IF(N$11="","",IF(SUMPRODUCT((Buchungen!$B$7:$B$86=$A21)*(Buchungen!$D$7:$D$86&lt;=N$11)*(Buchungen!$E$7:$E$86&gt;N$11)*(Buchungen!$J$7:$J$86&lt;&gt;"Storniert"))=0,"",IF(SUMPRODUCT((Buchungen!$B$7:$B$86=$A21)*(Buchungen!$D$7:$D$86&lt;=N$11)*(Buchungen!$E$7:$E$86&gt;N$11)*(Buchungen!$J$7:$J$86&lt;&gt;"Storniert"))&gt;1,"!",INDEX(Buchungen!$K$7:$K$86,SUMPRODUCT(MAX(((Buchungen!$B$7:$B$86=$A21)*(Buchungen!$D$7:$D$86&lt;=N$11)*(Buchungen!$E$7:$E$86&gt;N$11)*(Buchungen!$J$7:$J$86&lt;&gt;"Storniert"))*ROW(Buchungen!$B$7:$B$86)))-6))))</f>
        <v/>
      </c>
      <c r="O21" s="30" t="str">
        <f aca="false">IF(O$11="","",IF(SUMPRODUCT((Buchungen!$B$7:$B$86=$A21)*(Buchungen!$D$7:$D$86&lt;=O$11)*(Buchungen!$E$7:$E$86&gt;O$11)*(Buchungen!$J$7:$J$86&lt;&gt;"Storniert"))=0,"",IF(SUMPRODUCT((Buchungen!$B$7:$B$86=$A21)*(Buchungen!$D$7:$D$86&lt;=O$11)*(Buchungen!$E$7:$E$86&gt;O$11)*(Buchungen!$J$7:$J$86&lt;&gt;"Storniert"))&gt;1,"!",INDEX(Buchungen!$K$7:$K$86,SUMPRODUCT(MAX(((Buchungen!$B$7:$B$86=$A21)*(Buchungen!$D$7:$D$86&lt;=O$11)*(Buchungen!$E$7:$E$86&gt;O$11)*(Buchungen!$J$7:$J$86&lt;&gt;"Storniert"))*ROW(Buchungen!$B$7:$B$86)))-6))))</f>
        <v>B</v>
      </c>
      <c r="P21" s="30" t="str">
        <f aca="false">IF(P$11="","",IF(SUMPRODUCT((Buchungen!$B$7:$B$86=$A21)*(Buchungen!$D$7:$D$86&lt;=P$11)*(Buchungen!$E$7:$E$86&gt;P$11)*(Buchungen!$J$7:$J$86&lt;&gt;"Storniert"))=0,"",IF(SUMPRODUCT((Buchungen!$B$7:$B$86=$A21)*(Buchungen!$D$7:$D$86&lt;=P$11)*(Buchungen!$E$7:$E$86&gt;P$11)*(Buchungen!$J$7:$J$86&lt;&gt;"Storniert"))&gt;1,"!",INDEX(Buchungen!$K$7:$K$86,SUMPRODUCT(MAX(((Buchungen!$B$7:$B$86=$A21)*(Buchungen!$D$7:$D$86&lt;=P$11)*(Buchungen!$E$7:$E$86&gt;P$11)*(Buchungen!$J$7:$J$86&lt;&gt;"Storniert"))*ROW(Buchungen!$B$7:$B$86)))-6))))</f>
        <v>B</v>
      </c>
      <c r="Q21" s="30" t="str">
        <f aca="false">IF(Q$11="","",IF(SUMPRODUCT((Buchungen!$B$7:$B$86=$A21)*(Buchungen!$D$7:$D$86&lt;=Q$11)*(Buchungen!$E$7:$E$86&gt;Q$11)*(Buchungen!$J$7:$J$86&lt;&gt;"Storniert"))=0,"",IF(SUMPRODUCT((Buchungen!$B$7:$B$86=$A21)*(Buchungen!$D$7:$D$86&lt;=Q$11)*(Buchungen!$E$7:$E$86&gt;Q$11)*(Buchungen!$J$7:$J$86&lt;&gt;"Storniert"))&gt;1,"!",INDEX(Buchungen!$K$7:$K$86,SUMPRODUCT(MAX(((Buchungen!$B$7:$B$86=$A21)*(Buchungen!$D$7:$D$86&lt;=Q$11)*(Buchungen!$E$7:$E$86&gt;Q$11)*(Buchungen!$J$7:$J$86&lt;&gt;"Storniert"))*ROW(Buchungen!$B$7:$B$86)))-6))))</f>
        <v>B</v>
      </c>
      <c r="R21" s="30" t="str">
        <f aca="false">IF(R$11="","",IF(SUMPRODUCT((Buchungen!$B$7:$B$86=$A21)*(Buchungen!$D$7:$D$86&lt;=R$11)*(Buchungen!$E$7:$E$86&gt;R$11)*(Buchungen!$J$7:$J$86&lt;&gt;"Storniert"))=0,"",IF(SUMPRODUCT((Buchungen!$B$7:$B$86=$A21)*(Buchungen!$D$7:$D$86&lt;=R$11)*(Buchungen!$E$7:$E$86&gt;R$11)*(Buchungen!$J$7:$J$86&lt;&gt;"Storniert"))&gt;1,"!",INDEX(Buchungen!$K$7:$K$86,SUMPRODUCT(MAX(((Buchungen!$B$7:$B$86=$A21)*(Buchungen!$D$7:$D$86&lt;=R$11)*(Buchungen!$E$7:$E$86&gt;R$11)*(Buchungen!$J$7:$J$86&lt;&gt;"Storniert"))*ROW(Buchungen!$B$7:$B$86)))-6))))</f>
        <v>B</v>
      </c>
      <c r="S21" s="30" t="str">
        <f aca="false">IF(S$11="","",IF(SUMPRODUCT((Buchungen!$B$7:$B$86=$A21)*(Buchungen!$D$7:$D$86&lt;=S$11)*(Buchungen!$E$7:$E$86&gt;S$11)*(Buchungen!$J$7:$J$86&lt;&gt;"Storniert"))=0,"",IF(SUMPRODUCT((Buchungen!$B$7:$B$86=$A21)*(Buchungen!$D$7:$D$86&lt;=S$11)*(Buchungen!$E$7:$E$86&gt;S$11)*(Buchungen!$J$7:$J$86&lt;&gt;"Storniert"))&gt;1,"!",INDEX(Buchungen!$K$7:$K$86,SUMPRODUCT(MAX(((Buchungen!$B$7:$B$86=$A21)*(Buchungen!$D$7:$D$86&lt;=S$11)*(Buchungen!$E$7:$E$86&gt;S$11)*(Buchungen!$J$7:$J$86&lt;&gt;"Storniert"))*ROW(Buchungen!$B$7:$B$86)))-6))))</f>
        <v>B</v>
      </c>
      <c r="T21" s="30" t="str">
        <f aca="false">IF(T$11="","",IF(SUMPRODUCT((Buchungen!$B$7:$B$86=$A21)*(Buchungen!$D$7:$D$86&lt;=T$11)*(Buchungen!$E$7:$E$86&gt;T$11)*(Buchungen!$J$7:$J$86&lt;&gt;"Storniert"))=0,"",IF(SUMPRODUCT((Buchungen!$B$7:$B$86=$A21)*(Buchungen!$D$7:$D$86&lt;=T$11)*(Buchungen!$E$7:$E$86&gt;T$11)*(Buchungen!$J$7:$J$86&lt;&gt;"Storniert"))&gt;1,"!",INDEX(Buchungen!$K$7:$K$86,SUMPRODUCT(MAX(((Buchungen!$B$7:$B$86=$A21)*(Buchungen!$D$7:$D$86&lt;=T$11)*(Buchungen!$E$7:$E$86&gt;T$11)*(Buchungen!$J$7:$J$86&lt;&gt;"Storniert"))*ROW(Buchungen!$B$7:$B$86)))-6))))</f>
        <v/>
      </c>
      <c r="U21" s="30" t="str">
        <f aca="false">IF(U$11="","",IF(SUMPRODUCT((Buchungen!$B$7:$B$86=$A21)*(Buchungen!$D$7:$D$86&lt;=U$11)*(Buchungen!$E$7:$E$86&gt;U$11)*(Buchungen!$J$7:$J$86&lt;&gt;"Storniert"))=0,"",IF(SUMPRODUCT((Buchungen!$B$7:$B$86=$A21)*(Buchungen!$D$7:$D$86&lt;=U$11)*(Buchungen!$E$7:$E$86&gt;U$11)*(Buchungen!$J$7:$J$86&lt;&gt;"Storniert"))&gt;1,"!",INDEX(Buchungen!$K$7:$K$86,SUMPRODUCT(MAX(((Buchungen!$B$7:$B$86=$A21)*(Buchungen!$D$7:$D$86&lt;=U$11)*(Buchungen!$E$7:$E$86&gt;U$11)*(Buchungen!$J$7:$J$86&lt;&gt;"Storniert"))*ROW(Buchungen!$B$7:$B$86)))-6))))</f>
        <v>B</v>
      </c>
      <c r="V21" s="30" t="str">
        <f aca="false">IF(V$11="","",IF(SUMPRODUCT((Buchungen!$B$7:$B$86=$A21)*(Buchungen!$D$7:$D$86&lt;=V$11)*(Buchungen!$E$7:$E$86&gt;V$11)*(Buchungen!$J$7:$J$86&lt;&gt;"Storniert"))=0,"",IF(SUMPRODUCT((Buchungen!$B$7:$B$86=$A21)*(Buchungen!$D$7:$D$86&lt;=V$11)*(Buchungen!$E$7:$E$86&gt;V$11)*(Buchungen!$J$7:$J$86&lt;&gt;"Storniert"))&gt;1,"!",INDEX(Buchungen!$K$7:$K$86,SUMPRODUCT(MAX(((Buchungen!$B$7:$B$86=$A21)*(Buchungen!$D$7:$D$86&lt;=V$11)*(Buchungen!$E$7:$E$86&gt;V$11)*(Buchungen!$J$7:$J$86&lt;&gt;"Storniert"))*ROW(Buchungen!$B$7:$B$86)))-6))))</f>
        <v>B</v>
      </c>
      <c r="W21" s="30" t="str">
        <f aca="false">IF(W$11="","",IF(SUMPRODUCT((Buchungen!$B$7:$B$86=$A21)*(Buchungen!$D$7:$D$86&lt;=W$11)*(Buchungen!$E$7:$E$86&gt;W$11)*(Buchungen!$J$7:$J$86&lt;&gt;"Storniert"))=0,"",IF(SUMPRODUCT((Buchungen!$B$7:$B$86=$A21)*(Buchungen!$D$7:$D$86&lt;=W$11)*(Buchungen!$E$7:$E$86&gt;W$11)*(Buchungen!$J$7:$J$86&lt;&gt;"Storniert"))&gt;1,"!",INDEX(Buchungen!$K$7:$K$86,SUMPRODUCT(MAX(((Buchungen!$B$7:$B$86=$A21)*(Buchungen!$D$7:$D$86&lt;=W$11)*(Buchungen!$E$7:$E$86&gt;W$11)*(Buchungen!$J$7:$J$86&lt;&gt;"Storniert"))*ROW(Buchungen!$B$7:$B$86)))-6))))</f>
        <v>B</v>
      </c>
      <c r="X21" s="30" t="str">
        <f aca="false">IF(X$11="","",IF(SUMPRODUCT((Buchungen!$B$7:$B$86=$A21)*(Buchungen!$D$7:$D$86&lt;=X$11)*(Buchungen!$E$7:$E$86&gt;X$11)*(Buchungen!$J$7:$J$86&lt;&gt;"Storniert"))=0,"",IF(SUMPRODUCT((Buchungen!$B$7:$B$86=$A21)*(Buchungen!$D$7:$D$86&lt;=X$11)*(Buchungen!$E$7:$E$86&gt;X$11)*(Buchungen!$J$7:$J$86&lt;&gt;"Storniert"))&gt;1,"!",INDEX(Buchungen!$K$7:$K$86,SUMPRODUCT(MAX(((Buchungen!$B$7:$B$86=$A21)*(Buchungen!$D$7:$D$86&lt;=X$11)*(Buchungen!$E$7:$E$86&gt;X$11)*(Buchungen!$J$7:$J$86&lt;&gt;"Storniert"))*ROW(Buchungen!$B$7:$B$86)))-6))))</f>
        <v>B</v>
      </c>
      <c r="Y21" s="30" t="str">
        <f aca="false">IF(Y$11="","",IF(SUMPRODUCT((Buchungen!$B$7:$B$86=$A21)*(Buchungen!$D$7:$D$86&lt;=Y$11)*(Buchungen!$E$7:$E$86&gt;Y$11)*(Buchungen!$J$7:$J$86&lt;&gt;"Storniert"))=0,"",IF(SUMPRODUCT((Buchungen!$B$7:$B$86=$A21)*(Buchungen!$D$7:$D$86&lt;=Y$11)*(Buchungen!$E$7:$E$86&gt;Y$11)*(Buchungen!$J$7:$J$86&lt;&gt;"Storniert"))&gt;1,"!",INDEX(Buchungen!$K$7:$K$86,SUMPRODUCT(MAX(((Buchungen!$B$7:$B$86=$A21)*(Buchungen!$D$7:$D$86&lt;=Y$11)*(Buchungen!$E$7:$E$86&gt;Y$11)*(Buchungen!$J$7:$J$86&lt;&gt;"Storniert"))*ROW(Buchungen!$B$7:$B$86)))-6))))</f>
        <v>B</v>
      </c>
      <c r="Z21" s="30" t="str">
        <f aca="false">IF(Z$11="","",IF(SUMPRODUCT((Buchungen!$B$7:$B$86=$A21)*(Buchungen!$D$7:$D$86&lt;=Z$11)*(Buchungen!$E$7:$E$86&gt;Z$11)*(Buchungen!$J$7:$J$86&lt;&gt;"Storniert"))=0,"",IF(SUMPRODUCT((Buchungen!$B$7:$B$86=$A21)*(Buchungen!$D$7:$D$86&lt;=Z$11)*(Buchungen!$E$7:$E$86&gt;Z$11)*(Buchungen!$J$7:$J$86&lt;&gt;"Storniert"))&gt;1,"!",INDEX(Buchungen!$K$7:$K$86,SUMPRODUCT(MAX(((Buchungen!$B$7:$B$86=$A21)*(Buchungen!$D$7:$D$86&lt;=Z$11)*(Buchungen!$E$7:$E$86&gt;Z$11)*(Buchungen!$J$7:$J$86&lt;&gt;"Storniert"))*ROW(Buchungen!$B$7:$B$86)))-6))))</f>
        <v>B</v>
      </c>
      <c r="AA21" s="30" t="str">
        <f aca="false">IF(AA$11="","",IF(SUMPRODUCT((Buchungen!$B$7:$B$86=$A21)*(Buchungen!$D$7:$D$86&lt;=AA$11)*(Buchungen!$E$7:$E$86&gt;AA$11)*(Buchungen!$J$7:$J$86&lt;&gt;"Storniert"))=0,"",IF(SUMPRODUCT((Buchungen!$B$7:$B$86=$A21)*(Buchungen!$D$7:$D$86&lt;=AA$11)*(Buchungen!$E$7:$E$86&gt;AA$11)*(Buchungen!$J$7:$J$86&lt;&gt;"Storniert"))&gt;1,"!",INDEX(Buchungen!$K$7:$K$86,SUMPRODUCT(MAX(((Buchungen!$B$7:$B$86=$A21)*(Buchungen!$D$7:$D$86&lt;=AA$11)*(Buchungen!$E$7:$E$86&gt;AA$11)*(Buchungen!$J$7:$J$86&lt;&gt;"Storniert"))*ROW(Buchungen!$B$7:$B$86)))-6))))</f>
        <v/>
      </c>
      <c r="AB21" s="30" t="str">
        <f aca="false">IF(AB$11="","",IF(SUMPRODUCT((Buchungen!$B$7:$B$86=$A21)*(Buchungen!$D$7:$D$86&lt;=AB$11)*(Buchungen!$E$7:$E$86&gt;AB$11)*(Buchungen!$J$7:$J$86&lt;&gt;"Storniert"))=0,"",IF(SUMPRODUCT((Buchungen!$B$7:$B$86=$A21)*(Buchungen!$D$7:$D$86&lt;=AB$11)*(Buchungen!$E$7:$E$86&gt;AB$11)*(Buchungen!$J$7:$J$86&lt;&gt;"Storniert"))&gt;1,"!",INDEX(Buchungen!$K$7:$K$86,SUMPRODUCT(MAX(((Buchungen!$B$7:$B$86=$A21)*(Buchungen!$D$7:$D$86&lt;=AB$11)*(Buchungen!$E$7:$E$86&gt;AB$11)*(Buchungen!$J$7:$J$86&lt;&gt;"Storniert"))*ROW(Buchungen!$B$7:$B$86)))-6))))</f>
        <v/>
      </c>
      <c r="AC21" s="30" t="str">
        <f aca="false">IF(AC$11="","",IF(SUMPRODUCT((Buchungen!$B$7:$B$86=$A21)*(Buchungen!$D$7:$D$86&lt;=AC$11)*(Buchungen!$E$7:$E$86&gt;AC$11)*(Buchungen!$J$7:$J$86&lt;&gt;"Storniert"))=0,"",IF(SUMPRODUCT((Buchungen!$B$7:$B$86=$A21)*(Buchungen!$D$7:$D$86&lt;=AC$11)*(Buchungen!$E$7:$E$86&gt;AC$11)*(Buchungen!$J$7:$J$86&lt;&gt;"Storniert"))&gt;1,"!",INDEX(Buchungen!$K$7:$K$86,SUMPRODUCT(MAX(((Buchungen!$B$7:$B$86=$A21)*(Buchungen!$D$7:$D$86&lt;=AC$11)*(Buchungen!$E$7:$E$86&gt;AC$11)*(Buchungen!$J$7:$J$86&lt;&gt;"Storniert"))*ROW(Buchungen!$B$7:$B$86)))-6))))</f>
        <v/>
      </c>
      <c r="AD21" s="30" t="str">
        <f aca="false">IF(AD$11="","",IF(SUMPRODUCT((Buchungen!$B$7:$B$86=$A21)*(Buchungen!$D$7:$D$86&lt;=AD$11)*(Buchungen!$E$7:$E$86&gt;AD$11)*(Buchungen!$J$7:$J$86&lt;&gt;"Storniert"))=0,"",IF(SUMPRODUCT((Buchungen!$B$7:$B$86=$A21)*(Buchungen!$D$7:$D$86&lt;=AD$11)*(Buchungen!$E$7:$E$86&gt;AD$11)*(Buchungen!$J$7:$J$86&lt;&gt;"Storniert"))&gt;1,"!",INDEX(Buchungen!$K$7:$K$86,SUMPRODUCT(MAX(((Buchungen!$B$7:$B$86=$A21)*(Buchungen!$D$7:$D$86&lt;=AD$11)*(Buchungen!$E$7:$E$86&gt;AD$11)*(Buchungen!$J$7:$J$86&lt;&gt;"Storniert"))*ROW(Buchungen!$B$7:$B$86)))-6))))</f>
        <v/>
      </c>
      <c r="AE21" s="30" t="str">
        <f aca="false">IF(AE$11="","",IF(SUMPRODUCT((Buchungen!$B$7:$B$86=$A21)*(Buchungen!$D$7:$D$86&lt;=AE$11)*(Buchungen!$E$7:$E$86&gt;AE$11)*(Buchungen!$J$7:$J$86&lt;&gt;"Storniert"))=0,"",IF(SUMPRODUCT((Buchungen!$B$7:$B$86=$A21)*(Buchungen!$D$7:$D$86&lt;=AE$11)*(Buchungen!$E$7:$E$86&gt;AE$11)*(Buchungen!$J$7:$J$86&lt;&gt;"Storniert"))&gt;1,"!",INDEX(Buchungen!$K$7:$K$86,SUMPRODUCT(MAX(((Buchungen!$B$7:$B$86=$A21)*(Buchungen!$D$7:$D$86&lt;=AE$11)*(Buchungen!$E$7:$E$86&gt;AE$11)*(Buchungen!$J$7:$J$86&lt;&gt;"Storniert"))*ROW(Buchungen!$B$7:$B$86)))-6))))</f>
        <v>B</v>
      </c>
      <c r="AF21" s="30" t="str">
        <f aca="false">IF(AF$11="","",IF(SUMPRODUCT((Buchungen!$B$7:$B$86=$A21)*(Buchungen!$D$7:$D$86&lt;=AF$11)*(Buchungen!$E$7:$E$86&gt;AF$11)*(Buchungen!$J$7:$J$86&lt;&gt;"Storniert"))=0,"",IF(SUMPRODUCT((Buchungen!$B$7:$B$86=$A21)*(Buchungen!$D$7:$D$86&lt;=AF$11)*(Buchungen!$E$7:$E$86&gt;AF$11)*(Buchungen!$J$7:$J$86&lt;&gt;"Storniert"))&gt;1,"!",INDEX(Buchungen!$K$7:$K$86,SUMPRODUCT(MAX(((Buchungen!$B$7:$B$86=$A21)*(Buchungen!$D$7:$D$86&lt;=AF$11)*(Buchungen!$E$7:$E$86&gt;AF$11)*(Buchungen!$J$7:$J$86&lt;&gt;"Storniert"))*ROW(Buchungen!$B$7:$B$86)))-6))))</f>
        <v>B</v>
      </c>
      <c r="AG21" s="30" t="str">
        <f aca="false">IF(AG$11="","",IF(SUMPRODUCT((Buchungen!$B$7:$B$86=$A21)*(Buchungen!$D$7:$D$86&lt;=AG$11)*(Buchungen!$E$7:$E$86&gt;AG$11)*(Buchungen!$J$7:$J$86&lt;&gt;"Storniert"))=0,"",IF(SUMPRODUCT((Buchungen!$B$7:$B$86=$A21)*(Buchungen!$D$7:$D$86&lt;=AG$11)*(Buchungen!$E$7:$E$86&gt;AG$11)*(Buchungen!$J$7:$J$86&lt;&gt;"Storniert"))&gt;1,"!",INDEX(Buchungen!$K$7:$K$86,SUMPRODUCT(MAX(((Buchungen!$B$7:$B$86=$A21)*(Buchungen!$D$7:$D$86&lt;=AG$11)*(Buchungen!$E$7:$E$86&gt;AG$11)*(Buchungen!$J$7:$J$86&lt;&gt;"Storniert"))*ROW(Buchungen!$B$7:$B$86)))-6))))</f>
        <v>B</v>
      </c>
      <c r="AH21" s="31" t="n">
        <f aca="false">SUMIFS(Buchungen!$O$7:$O$86,Buchungen!$B$7:$B$86,$A21)</f>
        <v>24</v>
      </c>
      <c r="AI21" s="32" t="n">
        <f aca="false">IFERROR($AH21/$C$7,0)</f>
        <v>0.774193548387097</v>
      </c>
      <c r="AJ21" s="33" t="n">
        <f aca="false">SUMIFS(Buchungen!$P$7:$P$86,Buchungen!$B$7:$B$86,$A21)</f>
        <v>4536</v>
      </c>
    </row>
    <row r="22" customFormat="false" ht="16.5" hidden="false" customHeight="true" outlineLevel="0" collapsed="false">
      <c r="A22" s="22" t="str">
        <f aca="false">IF(OR(Stammdaten!$A17="",Stammdaten!$G17="Nein"),"",Stammdaten!$A17)</f>
        <v>Z-111</v>
      </c>
      <c r="B22" s="23" t="str">
        <f aca="false">IF($A22="","",Stammdaten!$B17)</f>
        <v>Suite</v>
      </c>
      <c r="C22" s="24" t="str">
        <f aca="false">IF(C$11="","",IF(SUMPRODUCT((Buchungen!$B$7:$B$86=$A22)*(Buchungen!$D$7:$D$86&lt;=C$11)*(Buchungen!$E$7:$E$86&gt;C$11)*(Buchungen!$J$7:$J$86&lt;&gt;"Storniert"))=0,"",IF(SUMPRODUCT((Buchungen!$B$7:$B$86=$A22)*(Buchungen!$D$7:$D$86&lt;=C$11)*(Buchungen!$E$7:$E$86&gt;C$11)*(Buchungen!$J$7:$J$86&lt;&gt;"Storniert"))&gt;1,"!",INDEX(Buchungen!$K$7:$K$86,SUMPRODUCT(MAX(((Buchungen!$B$7:$B$86=$A22)*(Buchungen!$D$7:$D$86&lt;=C$11)*(Buchungen!$E$7:$E$86&gt;C$11)*(Buchungen!$J$7:$J$86&lt;&gt;"Storniert"))*ROW(Buchungen!$B$7:$B$86)))-6))))</f>
        <v>B</v>
      </c>
      <c r="D22" s="24" t="str">
        <f aca="false">IF(D$11="","",IF(SUMPRODUCT((Buchungen!$B$7:$B$86=$A22)*(Buchungen!$D$7:$D$86&lt;=D$11)*(Buchungen!$E$7:$E$86&gt;D$11)*(Buchungen!$J$7:$J$86&lt;&gt;"Storniert"))=0,"",IF(SUMPRODUCT((Buchungen!$B$7:$B$86=$A22)*(Buchungen!$D$7:$D$86&lt;=D$11)*(Buchungen!$E$7:$E$86&gt;D$11)*(Buchungen!$J$7:$J$86&lt;&gt;"Storniert"))&gt;1,"!",INDEX(Buchungen!$K$7:$K$86,SUMPRODUCT(MAX(((Buchungen!$B$7:$B$86=$A22)*(Buchungen!$D$7:$D$86&lt;=D$11)*(Buchungen!$E$7:$E$86&gt;D$11)*(Buchungen!$J$7:$J$86&lt;&gt;"Storniert"))*ROW(Buchungen!$B$7:$B$86)))-6))))</f>
        <v>B</v>
      </c>
      <c r="E22" s="24" t="str">
        <f aca="false">IF(E$11="","",IF(SUMPRODUCT((Buchungen!$B$7:$B$86=$A22)*(Buchungen!$D$7:$D$86&lt;=E$11)*(Buchungen!$E$7:$E$86&gt;E$11)*(Buchungen!$J$7:$J$86&lt;&gt;"Storniert"))=0,"",IF(SUMPRODUCT((Buchungen!$B$7:$B$86=$A22)*(Buchungen!$D$7:$D$86&lt;=E$11)*(Buchungen!$E$7:$E$86&gt;E$11)*(Buchungen!$J$7:$J$86&lt;&gt;"Storniert"))&gt;1,"!",INDEX(Buchungen!$K$7:$K$86,SUMPRODUCT(MAX(((Buchungen!$B$7:$B$86=$A22)*(Buchungen!$D$7:$D$86&lt;=E$11)*(Buchungen!$E$7:$E$86&gt;E$11)*(Buchungen!$J$7:$J$86&lt;&gt;"Storniert"))*ROW(Buchungen!$B$7:$B$86)))-6))))</f>
        <v>B</v>
      </c>
      <c r="F22" s="24" t="str">
        <f aca="false">IF(F$11="","",IF(SUMPRODUCT((Buchungen!$B$7:$B$86=$A22)*(Buchungen!$D$7:$D$86&lt;=F$11)*(Buchungen!$E$7:$E$86&gt;F$11)*(Buchungen!$J$7:$J$86&lt;&gt;"Storniert"))=0,"",IF(SUMPRODUCT((Buchungen!$B$7:$B$86=$A22)*(Buchungen!$D$7:$D$86&lt;=F$11)*(Buchungen!$E$7:$E$86&gt;F$11)*(Buchungen!$J$7:$J$86&lt;&gt;"Storniert"))&gt;1,"!",INDEX(Buchungen!$K$7:$K$86,SUMPRODUCT(MAX(((Buchungen!$B$7:$B$86=$A22)*(Buchungen!$D$7:$D$86&lt;=F$11)*(Buchungen!$E$7:$E$86&gt;F$11)*(Buchungen!$J$7:$J$86&lt;&gt;"Storniert"))*ROW(Buchungen!$B$7:$B$86)))-6))))</f>
        <v>B</v>
      </c>
      <c r="G22" s="24" t="str">
        <f aca="false">IF(G$11="","",IF(SUMPRODUCT((Buchungen!$B$7:$B$86=$A22)*(Buchungen!$D$7:$D$86&lt;=G$11)*(Buchungen!$E$7:$E$86&gt;G$11)*(Buchungen!$J$7:$J$86&lt;&gt;"Storniert"))=0,"",IF(SUMPRODUCT((Buchungen!$B$7:$B$86=$A22)*(Buchungen!$D$7:$D$86&lt;=G$11)*(Buchungen!$E$7:$E$86&gt;G$11)*(Buchungen!$J$7:$J$86&lt;&gt;"Storniert"))&gt;1,"!",INDEX(Buchungen!$K$7:$K$86,SUMPRODUCT(MAX(((Buchungen!$B$7:$B$86=$A22)*(Buchungen!$D$7:$D$86&lt;=G$11)*(Buchungen!$E$7:$E$86&gt;G$11)*(Buchungen!$J$7:$J$86&lt;&gt;"Storniert"))*ROW(Buchungen!$B$7:$B$86)))-6))))</f>
        <v>B</v>
      </c>
      <c r="H22" s="24" t="str">
        <f aca="false">IF(H$11="","",IF(SUMPRODUCT((Buchungen!$B$7:$B$86=$A22)*(Buchungen!$D$7:$D$86&lt;=H$11)*(Buchungen!$E$7:$E$86&gt;H$11)*(Buchungen!$J$7:$J$86&lt;&gt;"Storniert"))=0,"",IF(SUMPRODUCT((Buchungen!$B$7:$B$86=$A22)*(Buchungen!$D$7:$D$86&lt;=H$11)*(Buchungen!$E$7:$E$86&gt;H$11)*(Buchungen!$J$7:$J$86&lt;&gt;"Storniert"))&gt;1,"!",INDEX(Buchungen!$K$7:$K$86,SUMPRODUCT(MAX(((Buchungen!$B$7:$B$86=$A22)*(Buchungen!$D$7:$D$86&lt;=H$11)*(Buchungen!$E$7:$E$86&gt;H$11)*(Buchungen!$J$7:$J$86&lt;&gt;"Storniert"))*ROW(Buchungen!$B$7:$B$86)))-6))))</f>
        <v>B</v>
      </c>
      <c r="I22" s="24" t="str">
        <f aca="false">IF(I$11="","",IF(SUMPRODUCT((Buchungen!$B$7:$B$86=$A22)*(Buchungen!$D$7:$D$86&lt;=I$11)*(Buchungen!$E$7:$E$86&gt;I$11)*(Buchungen!$J$7:$J$86&lt;&gt;"Storniert"))=0,"",IF(SUMPRODUCT((Buchungen!$B$7:$B$86=$A22)*(Buchungen!$D$7:$D$86&lt;=I$11)*(Buchungen!$E$7:$E$86&gt;I$11)*(Buchungen!$J$7:$J$86&lt;&gt;"Storniert"))&gt;1,"!",INDEX(Buchungen!$K$7:$K$86,SUMPRODUCT(MAX(((Buchungen!$B$7:$B$86=$A22)*(Buchungen!$D$7:$D$86&lt;=I$11)*(Buchungen!$E$7:$E$86&gt;I$11)*(Buchungen!$J$7:$J$86&lt;&gt;"Storniert"))*ROW(Buchungen!$B$7:$B$86)))-6))))</f>
        <v>B</v>
      </c>
      <c r="J22" s="24" t="str">
        <f aca="false">IF(J$11="","",IF(SUMPRODUCT((Buchungen!$B$7:$B$86=$A22)*(Buchungen!$D$7:$D$86&lt;=J$11)*(Buchungen!$E$7:$E$86&gt;J$11)*(Buchungen!$J$7:$J$86&lt;&gt;"Storniert"))=0,"",IF(SUMPRODUCT((Buchungen!$B$7:$B$86=$A22)*(Buchungen!$D$7:$D$86&lt;=J$11)*(Buchungen!$E$7:$E$86&gt;J$11)*(Buchungen!$J$7:$J$86&lt;&gt;"Storniert"))&gt;1,"!",INDEX(Buchungen!$K$7:$K$86,SUMPRODUCT(MAX(((Buchungen!$B$7:$B$86=$A22)*(Buchungen!$D$7:$D$86&lt;=J$11)*(Buchungen!$E$7:$E$86&gt;J$11)*(Buchungen!$J$7:$J$86&lt;&gt;"Storniert"))*ROW(Buchungen!$B$7:$B$86)))-6))))</f>
        <v/>
      </c>
      <c r="K22" s="24" t="str">
        <f aca="false">IF(K$11="","",IF(SUMPRODUCT((Buchungen!$B$7:$B$86=$A22)*(Buchungen!$D$7:$D$86&lt;=K$11)*(Buchungen!$E$7:$E$86&gt;K$11)*(Buchungen!$J$7:$J$86&lt;&gt;"Storniert"))=0,"",IF(SUMPRODUCT((Buchungen!$B$7:$B$86=$A22)*(Buchungen!$D$7:$D$86&lt;=K$11)*(Buchungen!$E$7:$E$86&gt;K$11)*(Buchungen!$J$7:$J$86&lt;&gt;"Storniert"))&gt;1,"!",INDEX(Buchungen!$K$7:$K$86,SUMPRODUCT(MAX(((Buchungen!$B$7:$B$86=$A22)*(Buchungen!$D$7:$D$86&lt;=K$11)*(Buchungen!$E$7:$E$86&gt;K$11)*(Buchungen!$J$7:$J$86&lt;&gt;"Storniert"))*ROW(Buchungen!$B$7:$B$86)))-6))))</f>
        <v/>
      </c>
      <c r="L22" s="24" t="str">
        <f aca="false">IF(L$11="","",IF(SUMPRODUCT((Buchungen!$B$7:$B$86=$A22)*(Buchungen!$D$7:$D$86&lt;=L$11)*(Buchungen!$E$7:$E$86&gt;L$11)*(Buchungen!$J$7:$J$86&lt;&gt;"Storniert"))=0,"",IF(SUMPRODUCT((Buchungen!$B$7:$B$86=$A22)*(Buchungen!$D$7:$D$86&lt;=L$11)*(Buchungen!$E$7:$E$86&gt;L$11)*(Buchungen!$J$7:$J$86&lt;&gt;"Storniert"))&gt;1,"!",INDEX(Buchungen!$K$7:$K$86,SUMPRODUCT(MAX(((Buchungen!$B$7:$B$86=$A22)*(Buchungen!$D$7:$D$86&lt;=L$11)*(Buchungen!$E$7:$E$86&gt;L$11)*(Buchungen!$J$7:$J$86&lt;&gt;"Storniert"))*ROW(Buchungen!$B$7:$B$86)))-6))))</f>
        <v/>
      </c>
      <c r="M22" s="24" t="str">
        <f aca="false">IF(M$11="","",IF(SUMPRODUCT((Buchungen!$B$7:$B$86=$A22)*(Buchungen!$D$7:$D$86&lt;=M$11)*(Buchungen!$E$7:$E$86&gt;M$11)*(Buchungen!$J$7:$J$86&lt;&gt;"Storniert"))=0,"",IF(SUMPRODUCT((Buchungen!$B$7:$B$86=$A22)*(Buchungen!$D$7:$D$86&lt;=M$11)*(Buchungen!$E$7:$E$86&gt;M$11)*(Buchungen!$J$7:$J$86&lt;&gt;"Storniert"))&gt;1,"!",INDEX(Buchungen!$K$7:$K$86,SUMPRODUCT(MAX(((Buchungen!$B$7:$B$86=$A22)*(Buchungen!$D$7:$D$86&lt;=M$11)*(Buchungen!$E$7:$E$86&gt;M$11)*(Buchungen!$J$7:$J$86&lt;&gt;"Storniert"))*ROW(Buchungen!$B$7:$B$86)))-6))))</f>
        <v>B</v>
      </c>
      <c r="N22" s="24" t="str">
        <f aca="false">IF(N$11="","",IF(SUMPRODUCT((Buchungen!$B$7:$B$86=$A22)*(Buchungen!$D$7:$D$86&lt;=N$11)*(Buchungen!$E$7:$E$86&gt;N$11)*(Buchungen!$J$7:$J$86&lt;&gt;"Storniert"))=0,"",IF(SUMPRODUCT((Buchungen!$B$7:$B$86=$A22)*(Buchungen!$D$7:$D$86&lt;=N$11)*(Buchungen!$E$7:$E$86&gt;N$11)*(Buchungen!$J$7:$J$86&lt;&gt;"Storniert"))&gt;1,"!",INDEX(Buchungen!$K$7:$K$86,SUMPRODUCT(MAX(((Buchungen!$B$7:$B$86=$A22)*(Buchungen!$D$7:$D$86&lt;=N$11)*(Buchungen!$E$7:$E$86&gt;N$11)*(Buchungen!$J$7:$J$86&lt;&gt;"Storniert"))*ROW(Buchungen!$B$7:$B$86)))-6))))</f>
        <v>B</v>
      </c>
      <c r="O22" s="24" t="str">
        <f aca="false">IF(O$11="","",IF(SUMPRODUCT((Buchungen!$B$7:$B$86=$A22)*(Buchungen!$D$7:$D$86&lt;=O$11)*(Buchungen!$E$7:$E$86&gt;O$11)*(Buchungen!$J$7:$J$86&lt;&gt;"Storniert"))=0,"",IF(SUMPRODUCT((Buchungen!$B$7:$B$86=$A22)*(Buchungen!$D$7:$D$86&lt;=O$11)*(Buchungen!$E$7:$E$86&gt;O$11)*(Buchungen!$J$7:$J$86&lt;&gt;"Storniert"))&gt;1,"!",INDEX(Buchungen!$K$7:$K$86,SUMPRODUCT(MAX(((Buchungen!$B$7:$B$86=$A22)*(Buchungen!$D$7:$D$86&lt;=O$11)*(Buchungen!$E$7:$E$86&gt;O$11)*(Buchungen!$J$7:$J$86&lt;&gt;"Storniert"))*ROW(Buchungen!$B$7:$B$86)))-6))))</f>
        <v>B</v>
      </c>
      <c r="P22" s="24" t="str">
        <f aca="false">IF(P$11="","",IF(SUMPRODUCT((Buchungen!$B$7:$B$86=$A22)*(Buchungen!$D$7:$D$86&lt;=P$11)*(Buchungen!$E$7:$E$86&gt;P$11)*(Buchungen!$J$7:$J$86&lt;&gt;"Storniert"))=0,"",IF(SUMPRODUCT((Buchungen!$B$7:$B$86=$A22)*(Buchungen!$D$7:$D$86&lt;=P$11)*(Buchungen!$E$7:$E$86&gt;P$11)*(Buchungen!$J$7:$J$86&lt;&gt;"Storniert"))&gt;1,"!",INDEX(Buchungen!$K$7:$K$86,SUMPRODUCT(MAX(((Buchungen!$B$7:$B$86=$A22)*(Buchungen!$D$7:$D$86&lt;=P$11)*(Buchungen!$E$7:$E$86&gt;P$11)*(Buchungen!$J$7:$J$86&lt;&gt;"Storniert"))*ROW(Buchungen!$B$7:$B$86)))-6))))</f>
        <v>B</v>
      </c>
      <c r="Q22" s="24" t="str">
        <f aca="false">IF(Q$11="","",IF(SUMPRODUCT((Buchungen!$B$7:$B$86=$A22)*(Buchungen!$D$7:$D$86&lt;=Q$11)*(Buchungen!$E$7:$E$86&gt;Q$11)*(Buchungen!$J$7:$J$86&lt;&gt;"Storniert"))=0,"",IF(SUMPRODUCT((Buchungen!$B$7:$B$86=$A22)*(Buchungen!$D$7:$D$86&lt;=Q$11)*(Buchungen!$E$7:$E$86&gt;Q$11)*(Buchungen!$J$7:$J$86&lt;&gt;"Storniert"))&gt;1,"!",INDEX(Buchungen!$K$7:$K$86,SUMPRODUCT(MAX(((Buchungen!$B$7:$B$86=$A22)*(Buchungen!$D$7:$D$86&lt;=Q$11)*(Buchungen!$E$7:$E$86&gt;Q$11)*(Buchungen!$J$7:$J$86&lt;&gt;"Storniert"))*ROW(Buchungen!$B$7:$B$86)))-6))))</f>
        <v>B</v>
      </c>
      <c r="R22" s="24" t="str">
        <f aca="false">IF(R$11="","",IF(SUMPRODUCT((Buchungen!$B$7:$B$86=$A22)*(Buchungen!$D$7:$D$86&lt;=R$11)*(Buchungen!$E$7:$E$86&gt;R$11)*(Buchungen!$J$7:$J$86&lt;&gt;"Storniert"))=0,"",IF(SUMPRODUCT((Buchungen!$B$7:$B$86=$A22)*(Buchungen!$D$7:$D$86&lt;=R$11)*(Buchungen!$E$7:$E$86&gt;R$11)*(Buchungen!$J$7:$J$86&lt;&gt;"Storniert"))&gt;1,"!",INDEX(Buchungen!$K$7:$K$86,SUMPRODUCT(MAX(((Buchungen!$B$7:$B$86=$A22)*(Buchungen!$D$7:$D$86&lt;=R$11)*(Buchungen!$E$7:$E$86&gt;R$11)*(Buchungen!$J$7:$J$86&lt;&gt;"Storniert"))*ROW(Buchungen!$B$7:$B$86)))-6))))</f>
        <v>B</v>
      </c>
      <c r="S22" s="24" t="str">
        <f aca="false">IF(S$11="","",IF(SUMPRODUCT((Buchungen!$B$7:$B$86=$A22)*(Buchungen!$D$7:$D$86&lt;=S$11)*(Buchungen!$E$7:$E$86&gt;S$11)*(Buchungen!$J$7:$J$86&lt;&gt;"Storniert"))=0,"",IF(SUMPRODUCT((Buchungen!$B$7:$B$86=$A22)*(Buchungen!$D$7:$D$86&lt;=S$11)*(Buchungen!$E$7:$E$86&gt;S$11)*(Buchungen!$J$7:$J$86&lt;&gt;"Storniert"))&gt;1,"!",INDEX(Buchungen!$K$7:$K$86,SUMPRODUCT(MAX(((Buchungen!$B$7:$B$86=$A22)*(Buchungen!$D$7:$D$86&lt;=S$11)*(Buchungen!$E$7:$E$86&gt;S$11)*(Buchungen!$J$7:$J$86&lt;&gt;"Storniert"))*ROW(Buchungen!$B$7:$B$86)))-6))))</f>
        <v>B</v>
      </c>
      <c r="T22" s="24" t="str">
        <f aca="false">IF(T$11="","",IF(SUMPRODUCT((Buchungen!$B$7:$B$86=$A22)*(Buchungen!$D$7:$D$86&lt;=T$11)*(Buchungen!$E$7:$E$86&gt;T$11)*(Buchungen!$J$7:$J$86&lt;&gt;"Storniert"))=0,"",IF(SUMPRODUCT((Buchungen!$B$7:$B$86=$A22)*(Buchungen!$D$7:$D$86&lt;=T$11)*(Buchungen!$E$7:$E$86&gt;T$11)*(Buchungen!$J$7:$J$86&lt;&gt;"Storniert"))&gt;1,"!",INDEX(Buchungen!$K$7:$K$86,SUMPRODUCT(MAX(((Buchungen!$B$7:$B$86=$A22)*(Buchungen!$D$7:$D$86&lt;=T$11)*(Buchungen!$E$7:$E$86&gt;T$11)*(Buchungen!$J$7:$J$86&lt;&gt;"Storniert"))*ROW(Buchungen!$B$7:$B$86)))-6))))</f>
        <v>B</v>
      </c>
      <c r="U22" s="24" t="str">
        <f aca="false">IF(U$11="","",IF(SUMPRODUCT((Buchungen!$B$7:$B$86=$A22)*(Buchungen!$D$7:$D$86&lt;=U$11)*(Buchungen!$E$7:$E$86&gt;U$11)*(Buchungen!$J$7:$J$86&lt;&gt;"Storniert"))=0,"",IF(SUMPRODUCT((Buchungen!$B$7:$B$86=$A22)*(Buchungen!$D$7:$D$86&lt;=U$11)*(Buchungen!$E$7:$E$86&gt;U$11)*(Buchungen!$J$7:$J$86&lt;&gt;"Storniert"))&gt;1,"!",INDEX(Buchungen!$K$7:$K$86,SUMPRODUCT(MAX(((Buchungen!$B$7:$B$86=$A22)*(Buchungen!$D$7:$D$86&lt;=U$11)*(Buchungen!$E$7:$E$86&gt;U$11)*(Buchungen!$J$7:$J$86&lt;&gt;"Storniert"))*ROW(Buchungen!$B$7:$B$86)))-6))))</f>
        <v>B</v>
      </c>
      <c r="V22" s="24" t="str">
        <f aca="false">IF(V$11="","",IF(SUMPRODUCT((Buchungen!$B$7:$B$86=$A22)*(Buchungen!$D$7:$D$86&lt;=V$11)*(Buchungen!$E$7:$E$86&gt;V$11)*(Buchungen!$J$7:$J$86&lt;&gt;"Storniert"))=0,"",IF(SUMPRODUCT((Buchungen!$B$7:$B$86=$A22)*(Buchungen!$D$7:$D$86&lt;=V$11)*(Buchungen!$E$7:$E$86&gt;V$11)*(Buchungen!$J$7:$J$86&lt;&gt;"Storniert"))&gt;1,"!",INDEX(Buchungen!$K$7:$K$86,SUMPRODUCT(MAX(((Buchungen!$B$7:$B$86=$A22)*(Buchungen!$D$7:$D$86&lt;=V$11)*(Buchungen!$E$7:$E$86&gt;V$11)*(Buchungen!$J$7:$J$86&lt;&gt;"Storniert"))*ROW(Buchungen!$B$7:$B$86)))-6))))</f>
        <v>B</v>
      </c>
      <c r="W22" s="24" t="str">
        <f aca="false">IF(W$11="","",IF(SUMPRODUCT((Buchungen!$B$7:$B$86=$A22)*(Buchungen!$D$7:$D$86&lt;=W$11)*(Buchungen!$E$7:$E$86&gt;W$11)*(Buchungen!$J$7:$J$86&lt;&gt;"Storniert"))=0,"",IF(SUMPRODUCT((Buchungen!$B$7:$B$86=$A22)*(Buchungen!$D$7:$D$86&lt;=W$11)*(Buchungen!$E$7:$E$86&gt;W$11)*(Buchungen!$J$7:$J$86&lt;&gt;"Storniert"))&gt;1,"!",INDEX(Buchungen!$K$7:$K$86,SUMPRODUCT(MAX(((Buchungen!$B$7:$B$86=$A22)*(Buchungen!$D$7:$D$86&lt;=W$11)*(Buchungen!$E$7:$E$86&gt;W$11)*(Buchungen!$J$7:$J$86&lt;&gt;"Storniert"))*ROW(Buchungen!$B$7:$B$86)))-6))))</f>
        <v/>
      </c>
      <c r="X22" s="24" t="str">
        <f aca="false">IF(X$11="","",IF(SUMPRODUCT((Buchungen!$B$7:$B$86=$A22)*(Buchungen!$D$7:$D$86&lt;=X$11)*(Buchungen!$E$7:$E$86&gt;X$11)*(Buchungen!$J$7:$J$86&lt;&gt;"Storniert"))=0,"",IF(SUMPRODUCT((Buchungen!$B$7:$B$86=$A22)*(Buchungen!$D$7:$D$86&lt;=X$11)*(Buchungen!$E$7:$E$86&gt;X$11)*(Buchungen!$J$7:$J$86&lt;&gt;"Storniert"))&gt;1,"!",INDEX(Buchungen!$K$7:$K$86,SUMPRODUCT(MAX(((Buchungen!$B$7:$B$86=$A22)*(Buchungen!$D$7:$D$86&lt;=X$11)*(Buchungen!$E$7:$E$86&gt;X$11)*(Buchungen!$J$7:$J$86&lt;&gt;"Storniert"))*ROW(Buchungen!$B$7:$B$86)))-6))))</f>
        <v/>
      </c>
      <c r="Y22" s="24" t="str">
        <f aca="false">IF(Y$11="","",IF(SUMPRODUCT((Buchungen!$B$7:$B$86=$A22)*(Buchungen!$D$7:$D$86&lt;=Y$11)*(Buchungen!$E$7:$E$86&gt;Y$11)*(Buchungen!$J$7:$J$86&lt;&gt;"Storniert"))=0,"",IF(SUMPRODUCT((Buchungen!$B$7:$B$86=$A22)*(Buchungen!$D$7:$D$86&lt;=Y$11)*(Buchungen!$E$7:$E$86&gt;Y$11)*(Buchungen!$J$7:$J$86&lt;&gt;"Storniert"))&gt;1,"!",INDEX(Buchungen!$K$7:$K$86,SUMPRODUCT(MAX(((Buchungen!$B$7:$B$86=$A22)*(Buchungen!$D$7:$D$86&lt;=Y$11)*(Buchungen!$E$7:$E$86&gt;Y$11)*(Buchungen!$J$7:$J$86&lt;&gt;"Storniert"))*ROW(Buchungen!$B$7:$B$86)))-6))))</f>
        <v>B</v>
      </c>
      <c r="Z22" s="24" t="str">
        <f aca="false">IF(Z$11="","",IF(SUMPRODUCT((Buchungen!$B$7:$B$86=$A22)*(Buchungen!$D$7:$D$86&lt;=Z$11)*(Buchungen!$E$7:$E$86&gt;Z$11)*(Buchungen!$J$7:$J$86&lt;&gt;"Storniert"))=0,"",IF(SUMPRODUCT((Buchungen!$B$7:$B$86=$A22)*(Buchungen!$D$7:$D$86&lt;=Z$11)*(Buchungen!$E$7:$E$86&gt;Z$11)*(Buchungen!$J$7:$J$86&lt;&gt;"Storniert"))&gt;1,"!",INDEX(Buchungen!$K$7:$K$86,SUMPRODUCT(MAX(((Buchungen!$B$7:$B$86=$A22)*(Buchungen!$D$7:$D$86&lt;=Z$11)*(Buchungen!$E$7:$E$86&gt;Z$11)*(Buchungen!$J$7:$J$86&lt;&gt;"Storniert"))*ROW(Buchungen!$B$7:$B$86)))-6))))</f>
        <v>B</v>
      </c>
      <c r="AA22" s="24" t="str">
        <f aca="false">IF(AA$11="","",IF(SUMPRODUCT((Buchungen!$B$7:$B$86=$A22)*(Buchungen!$D$7:$D$86&lt;=AA$11)*(Buchungen!$E$7:$E$86&gt;AA$11)*(Buchungen!$J$7:$J$86&lt;&gt;"Storniert"))=0,"",IF(SUMPRODUCT((Buchungen!$B$7:$B$86=$A22)*(Buchungen!$D$7:$D$86&lt;=AA$11)*(Buchungen!$E$7:$E$86&gt;AA$11)*(Buchungen!$J$7:$J$86&lt;&gt;"Storniert"))&gt;1,"!",INDEX(Buchungen!$K$7:$K$86,SUMPRODUCT(MAX(((Buchungen!$B$7:$B$86=$A22)*(Buchungen!$D$7:$D$86&lt;=AA$11)*(Buchungen!$E$7:$E$86&gt;AA$11)*(Buchungen!$J$7:$J$86&lt;&gt;"Storniert"))*ROW(Buchungen!$B$7:$B$86)))-6))))</f>
        <v>B</v>
      </c>
      <c r="AB22" s="24" t="str">
        <f aca="false">IF(AB$11="","",IF(SUMPRODUCT((Buchungen!$B$7:$B$86=$A22)*(Buchungen!$D$7:$D$86&lt;=AB$11)*(Buchungen!$E$7:$E$86&gt;AB$11)*(Buchungen!$J$7:$J$86&lt;&gt;"Storniert"))=0,"",IF(SUMPRODUCT((Buchungen!$B$7:$B$86=$A22)*(Buchungen!$D$7:$D$86&lt;=AB$11)*(Buchungen!$E$7:$E$86&gt;AB$11)*(Buchungen!$J$7:$J$86&lt;&gt;"Storniert"))&gt;1,"!",INDEX(Buchungen!$K$7:$K$86,SUMPRODUCT(MAX(((Buchungen!$B$7:$B$86=$A22)*(Buchungen!$D$7:$D$86&lt;=AB$11)*(Buchungen!$E$7:$E$86&gt;AB$11)*(Buchungen!$J$7:$J$86&lt;&gt;"Storniert"))*ROW(Buchungen!$B$7:$B$86)))-6))))</f>
        <v>B</v>
      </c>
      <c r="AC22" s="24" t="str">
        <f aca="false">IF(AC$11="","",IF(SUMPRODUCT((Buchungen!$B$7:$B$86=$A22)*(Buchungen!$D$7:$D$86&lt;=AC$11)*(Buchungen!$E$7:$E$86&gt;AC$11)*(Buchungen!$J$7:$J$86&lt;&gt;"Storniert"))=0,"",IF(SUMPRODUCT((Buchungen!$B$7:$B$86=$A22)*(Buchungen!$D$7:$D$86&lt;=AC$11)*(Buchungen!$E$7:$E$86&gt;AC$11)*(Buchungen!$J$7:$J$86&lt;&gt;"Storniert"))&gt;1,"!",INDEX(Buchungen!$K$7:$K$86,SUMPRODUCT(MAX(((Buchungen!$B$7:$B$86=$A22)*(Buchungen!$D$7:$D$86&lt;=AC$11)*(Buchungen!$E$7:$E$86&gt;AC$11)*(Buchungen!$J$7:$J$86&lt;&gt;"Storniert"))*ROW(Buchungen!$B$7:$B$86)))-6))))</f>
        <v>B</v>
      </c>
      <c r="AD22" s="24" t="str">
        <f aca="false">IF(AD$11="","",IF(SUMPRODUCT((Buchungen!$B$7:$B$86=$A22)*(Buchungen!$D$7:$D$86&lt;=AD$11)*(Buchungen!$E$7:$E$86&gt;AD$11)*(Buchungen!$J$7:$J$86&lt;&gt;"Storniert"))=0,"",IF(SUMPRODUCT((Buchungen!$B$7:$B$86=$A22)*(Buchungen!$D$7:$D$86&lt;=AD$11)*(Buchungen!$E$7:$E$86&gt;AD$11)*(Buchungen!$J$7:$J$86&lt;&gt;"Storniert"))&gt;1,"!",INDEX(Buchungen!$K$7:$K$86,SUMPRODUCT(MAX(((Buchungen!$B$7:$B$86=$A22)*(Buchungen!$D$7:$D$86&lt;=AD$11)*(Buchungen!$E$7:$E$86&gt;AD$11)*(Buchungen!$J$7:$J$86&lt;&gt;"Storniert"))*ROW(Buchungen!$B$7:$B$86)))-6))))</f>
        <v>B</v>
      </c>
      <c r="AE22" s="24" t="str">
        <f aca="false">IF(AE$11="","",IF(SUMPRODUCT((Buchungen!$B$7:$B$86=$A22)*(Buchungen!$D$7:$D$86&lt;=AE$11)*(Buchungen!$E$7:$E$86&gt;AE$11)*(Buchungen!$J$7:$J$86&lt;&gt;"Storniert"))=0,"",IF(SUMPRODUCT((Buchungen!$B$7:$B$86=$A22)*(Buchungen!$D$7:$D$86&lt;=AE$11)*(Buchungen!$E$7:$E$86&gt;AE$11)*(Buchungen!$J$7:$J$86&lt;&gt;"Storniert"))&gt;1,"!",INDEX(Buchungen!$K$7:$K$86,SUMPRODUCT(MAX(((Buchungen!$B$7:$B$86=$A22)*(Buchungen!$D$7:$D$86&lt;=AE$11)*(Buchungen!$E$7:$E$86&gt;AE$11)*(Buchungen!$J$7:$J$86&lt;&gt;"Storniert"))*ROW(Buchungen!$B$7:$B$86)))-6))))</f>
        <v>W</v>
      </c>
      <c r="AF22" s="24" t="str">
        <f aca="false">IF(AF$11="","",IF(SUMPRODUCT((Buchungen!$B$7:$B$86=$A22)*(Buchungen!$D$7:$D$86&lt;=AF$11)*(Buchungen!$E$7:$E$86&gt;AF$11)*(Buchungen!$J$7:$J$86&lt;&gt;"Storniert"))=0,"",IF(SUMPRODUCT((Buchungen!$B$7:$B$86=$A22)*(Buchungen!$D$7:$D$86&lt;=AF$11)*(Buchungen!$E$7:$E$86&gt;AF$11)*(Buchungen!$J$7:$J$86&lt;&gt;"Storniert"))&gt;1,"!",INDEX(Buchungen!$K$7:$K$86,SUMPRODUCT(MAX(((Buchungen!$B$7:$B$86=$A22)*(Buchungen!$D$7:$D$86&lt;=AF$11)*(Buchungen!$E$7:$E$86&gt;AF$11)*(Buchungen!$J$7:$J$86&lt;&gt;"Storniert"))*ROW(Buchungen!$B$7:$B$86)))-6))))</f>
        <v>W</v>
      </c>
      <c r="AG22" s="24" t="str">
        <f aca="false">IF(AG$11="","",IF(SUMPRODUCT((Buchungen!$B$7:$B$86=$A22)*(Buchungen!$D$7:$D$86&lt;=AG$11)*(Buchungen!$E$7:$E$86&gt;AG$11)*(Buchungen!$J$7:$J$86&lt;&gt;"Storniert"))=0,"",IF(SUMPRODUCT((Buchungen!$B$7:$B$86=$A22)*(Buchungen!$D$7:$D$86&lt;=AG$11)*(Buchungen!$E$7:$E$86&gt;AG$11)*(Buchungen!$J$7:$J$86&lt;&gt;"Storniert"))&gt;1,"!",INDEX(Buchungen!$K$7:$K$86,SUMPRODUCT(MAX(((Buchungen!$B$7:$B$86=$A22)*(Buchungen!$D$7:$D$86&lt;=AG$11)*(Buchungen!$E$7:$E$86&gt;AG$11)*(Buchungen!$J$7:$J$86&lt;&gt;"Storniert"))*ROW(Buchungen!$B$7:$B$86)))-6))))</f>
        <v>B</v>
      </c>
      <c r="AH22" s="25" t="n">
        <f aca="false">SUMIFS(Buchungen!$O$7:$O$86,Buchungen!$B$7:$B$86,$A22)</f>
        <v>24</v>
      </c>
      <c r="AI22" s="26" t="n">
        <f aca="false">IFERROR($AH22/$C$7,0)</f>
        <v>0.774193548387097</v>
      </c>
      <c r="AJ22" s="27" t="n">
        <f aca="false">SUMIFS(Buchungen!$P$7:$P$86,Buchungen!$B$7:$B$86,$A22)</f>
        <v>5016</v>
      </c>
    </row>
    <row r="23" customFormat="false" ht="16.5" hidden="false" customHeight="true" outlineLevel="0" collapsed="false">
      <c r="A23" s="28" t="str">
        <f aca="false">IF(OR(Stammdaten!$A18="",Stammdaten!$G18="Nein"),"",Stammdaten!$A18)</f>
        <v>Z-112</v>
      </c>
      <c r="B23" s="29" t="str">
        <f aca="false">IF($A23="","",Stammdaten!$B18)</f>
        <v>Barrierefreies Zimmer</v>
      </c>
      <c r="C23" s="30" t="str">
        <f aca="false">IF(C$11="","",IF(SUMPRODUCT((Buchungen!$B$7:$B$86=$A23)*(Buchungen!$D$7:$D$86&lt;=C$11)*(Buchungen!$E$7:$E$86&gt;C$11)*(Buchungen!$J$7:$J$86&lt;&gt;"Storniert"))=0,"",IF(SUMPRODUCT((Buchungen!$B$7:$B$86=$A23)*(Buchungen!$D$7:$D$86&lt;=C$11)*(Buchungen!$E$7:$E$86&gt;C$11)*(Buchungen!$J$7:$J$86&lt;&gt;"Storniert"))&gt;1,"!",INDEX(Buchungen!$K$7:$K$86,SUMPRODUCT(MAX(((Buchungen!$B$7:$B$86=$A23)*(Buchungen!$D$7:$D$86&lt;=C$11)*(Buchungen!$E$7:$E$86&gt;C$11)*(Buchungen!$J$7:$J$86&lt;&gt;"Storniert"))*ROW(Buchungen!$B$7:$B$86)))-6))))</f>
        <v>B</v>
      </c>
      <c r="D23" s="30" t="str">
        <f aca="false">IF(D$11="","",IF(SUMPRODUCT((Buchungen!$B$7:$B$86=$A23)*(Buchungen!$D$7:$D$86&lt;=D$11)*(Buchungen!$E$7:$E$86&gt;D$11)*(Buchungen!$J$7:$J$86&lt;&gt;"Storniert"))=0,"",IF(SUMPRODUCT((Buchungen!$B$7:$B$86=$A23)*(Buchungen!$D$7:$D$86&lt;=D$11)*(Buchungen!$E$7:$E$86&gt;D$11)*(Buchungen!$J$7:$J$86&lt;&gt;"Storniert"))&gt;1,"!",INDEX(Buchungen!$K$7:$K$86,SUMPRODUCT(MAX(((Buchungen!$B$7:$B$86=$A23)*(Buchungen!$D$7:$D$86&lt;=D$11)*(Buchungen!$E$7:$E$86&gt;D$11)*(Buchungen!$J$7:$J$86&lt;&gt;"Storniert"))*ROW(Buchungen!$B$7:$B$86)))-6))))</f>
        <v/>
      </c>
      <c r="E23" s="30" t="str">
        <f aca="false">IF(E$11="","",IF(SUMPRODUCT((Buchungen!$B$7:$B$86=$A23)*(Buchungen!$D$7:$D$86&lt;=E$11)*(Buchungen!$E$7:$E$86&gt;E$11)*(Buchungen!$J$7:$J$86&lt;&gt;"Storniert"))=0,"",IF(SUMPRODUCT((Buchungen!$B$7:$B$86=$A23)*(Buchungen!$D$7:$D$86&lt;=E$11)*(Buchungen!$E$7:$E$86&gt;E$11)*(Buchungen!$J$7:$J$86&lt;&gt;"Storniert"))&gt;1,"!",INDEX(Buchungen!$K$7:$K$86,SUMPRODUCT(MAX(((Buchungen!$B$7:$B$86=$A23)*(Buchungen!$D$7:$D$86&lt;=E$11)*(Buchungen!$E$7:$E$86&gt;E$11)*(Buchungen!$J$7:$J$86&lt;&gt;"Storniert"))*ROW(Buchungen!$B$7:$B$86)))-6))))</f>
        <v/>
      </c>
      <c r="F23" s="30" t="str">
        <f aca="false">IF(F$11="","",IF(SUMPRODUCT((Buchungen!$B$7:$B$86=$A23)*(Buchungen!$D$7:$D$86&lt;=F$11)*(Buchungen!$E$7:$E$86&gt;F$11)*(Buchungen!$J$7:$J$86&lt;&gt;"Storniert"))=0,"",IF(SUMPRODUCT((Buchungen!$B$7:$B$86=$A23)*(Buchungen!$D$7:$D$86&lt;=F$11)*(Buchungen!$E$7:$E$86&gt;F$11)*(Buchungen!$J$7:$J$86&lt;&gt;"Storniert"))&gt;1,"!",INDEX(Buchungen!$K$7:$K$86,SUMPRODUCT(MAX(((Buchungen!$B$7:$B$86=$A23)*(Buchungen!$D$7:$D$86&lt;=F$11)*(Buchungen!$E$7:$E$86&gt;F$11)*(Buchungen!$J$7:$J$86&lt;&gt;"Storniert"))*ROW(Buchungen!$B$7:$B$86)))-6))))</f>
        <v/>
      </c>
      <c r="G23" s="30" t="str">
        <f aca="false">IF(G$11="","",IF(SUMPRODUCT((Buchungen!$B$7:$B$86=$A23)*(Buchungen!$D$7:$D$86&lt;=G$11)*(Buchungen!$E$7:$E$86&gt;G$11)*(Buchungen!$J$7:$J$86&lt;&gt;"Storniert"))=0,"",IF(SUMPRODUCT((Buchungen!$B$7:$B$86=$A23)*(Buchungen!$D$7:$D$86&lt;=G$11)*(Buchungen!$E$7:$E$86&gt;G$11)*(Buchungen!$J$7:$J$86&lt;&gt;"Storniert"))&gt;1,"!",INDEX(Buchungen!$K$7:$K$86,SUMPRODUCT(MAX(((Buchungen!$B$7:$B$86=$A23)*(Buchungen!$D$7:$D$86&lt;=G$11)*(Buchungen!$E$7:$E$86&gt;G$11)*(Buchungen!$J$7:$J$86&lt;&gt;"Storniert"))*ROW(Buchungen!$B$7:$B$86)))-6))))</f>
        <v/>
      </c>
      <c r="H23" s="30" t="str">
        <f aca="false">IF(H$11="","",IF(SUMPRODUCT((Buchungen!$B$7:$B$86=$A23)*(Buchungen!$D$7:$D$86&lt;=H$11)*(Buchungen!$E$7:$E$86&gt;H$11)*(Buchungen!$J$7:$J$86&lt;&gt;"Storniert"))=0,"",IF(SUMPRODUCT((Buchungen!$B$7:$B$86=$A23)*(Buchungen!$D$7:$D$86&lt;=H$11)*(Buchungen!$E$7:$E$86&gt;H$11)*(Buchungen!$J$7:$J$86&lt;&gt;"Storniert"))&gt;1,"!",INDEX(Buchungen!$K$7:$K$86,SUMPRODUCT(MAX(((Buchungen!$B$7:$B$86=$A23)*(Buchungen!$D$7:$D$86&lt;=H$11)*(Buchungen!$E$7:$E$86&gt;H$11)*(Buchungen!$J$7:$J$86&lt;&gt;"Storniert"))*ROW(Buchungen!$B$7:$B$86)))-6))))</f>
        <v/>
      </c>
      <c r="I23" s="30" t="str">
        <f aca="false">IF(I$11="","",IF(SUMPRODUCT((Buchungen!$B$7:$B$86=$A23)*(Buchungen!$D$7:$D$86&lt;=I$11)*(Buchungen!$E$7:$E$86&gt;I$11)*(Buchungen!$J$7:$J$86&lt;&gt;"Storniert"))=0,"",IF(SUMPRODUCT((Buchungen!$B$7:$B$86=$A23)*(Buchungen!$D$7:$D$86&lt;=I$11)*(Buchungen!$E$7:$E$86&gt;I$11)*(Buchungen!$J$7:$J$86&lt;&gt;"Storniert"))&gt;1,"!",INDEX(Buchungen!$K$7:$K$86,SUMPRODUCT(MAX(((Buchungen!$B$7:$B$86=$A23)*(Buchungen!$D$7:$D$86&lt;=I$11)*(Buchungen!$E$7:$E$86&gt;I$11)*(Buchungen!$J$7:$J$86&lt;&gt;"Storniert"))*ROW(Buchungen!$B$7:$B$86)))-6))))</f>
        <v/>
      </c>
      <c r="J23" s="30" t="str">
        <f aca="false">IF(J$11="","",IF(SUMPRODUCT((Buchungen!$B$7:$B$86=$A23)*(Buchungen!$D$7:$D$86&lt;=J$11)*(Buchungen!$E$7:$E$86&gt;J$11)*(Buchungen!$J$7:$J$86&lt;&gt;"Storniert"))=0,"",IF(SUMPRODUCT((Buchungen!$B$7:$B$86=$A23)*(Buchungen!$D$7:$D$86&lt;=J$11)*(Buchungen!$E$7:$E$86&gt;J$11)*(Buchungen!$J$7:$J$86&lt;&gt;"Storniert"))&gt;1,"!",INDEX(Buchungen!$K$7:$K$86,SUMPRODUCT(MAX(((Buchungen!$B$7:$B$86=$A23)*(Buchungen!$D$7:$D$86&lt;=J$11)*(Buchungen!$E$7:$E$86&gt;J$11)*(Buchungen!$J$7:$J$86&lt;&gt;"Storniert"))*ROW(Buchungen!$B$7:$B$86)))-6))))</f>
        <v>B</v>
      </c>
      <c r="K23" s="30" t="str">
        <f aca="false">IF(K$11="","",IF(SUMPRODUCT((Buchungen!$B$7:$B$86=$A23)*(Buchungen!$D$7:$D$86&lt;=K$11)*(Buchungen!$E$7:$E$86&gt;K$11)*(Buchungen!$J$7:$J$86&lt;&gt;"Storniert"))=0,"",IF(SUMPRODUCT((Buchungen!$B$7:$B$86=$A23)*(Buchungen!$D$7:$D$86&lt;=K$11)*(Buchungen!$E$7:$E$86&gt;K$11)*(Buchungen!$J$7:$J$86&lt;&gt;"Storniert"))&gt;1,"!",INDEX(Buchungen!$K$7:$K$86,SUMPRODUCT(MAX(((Buchungen!$B$7:$B$86=$A23)*(Buchungen!$D$7:$D$86&lt;=K$11)*(Buchungen!$E$7:$E$86&gt;K$11)*(Buchungen!$J$7:$J$86&lt;&gt;"Storniert"))*ROW(Buchungen!$B$7:$B$86)))-6))))</f>
        <v>B</v>
      </c>
      <c r="L23" s="30" t="str">
        <f aca="false">IF(L$11="","",IF(SUMPRODUCT((Buchungen!$B$7:$B$86=$A23)*(Buchungen!$D$7:$D$86&lt;=L$11)*(Buchungen!$E$7:$E$86&gt;L$11)*(Buchungen!$J$7:$J$86&lt;&gt;"Storniert"))=0,"",IF(SUMPRODUCT((Buchungen!$B$7:$B$86=$A23)*(Buchungen!$D$7:$D$86&lt;=L$11)*(Buchungen!$E$7:$E$86&gt;L$11)*(Buchungen!$J$7:$J$86&lt;&gt;"Storniert"))&gt;1,"!",INDEX(Buchungen!$K$7:$K$86,SUMPRODUCT(MAX(((Buchungen!$B$7:$B$86=$A23)*(Buchungen!$D$7:$D$86&lt;=L$11)*(Buchungen!$E$7:$E$86&gt;L$11)*(Buchungen!$J$7:$J$86&lt;&gt;"Storniert"))*ROW(Buchungen!$B$7:$B$86)))-6))))</f>
        <v>B</v>
      </c>
      <c r="M23" s="30" t="str">
        <f aca="false">IF(M$11="","",IF(SUMPRODUCT((Buchungen!$B$7:$B$86=$A23)*(Buchungen!$D$7:$D$86&lt;=M$11)*(Buchungen!$E$7:$E$86&gt;M$11)*(Buchungen!$J$7:$J$86&lt;&gt;"Storniert"))=0,"",IF(SUMPRODUCT((Buchungen!$B$7:$B$86=$A23)*(Buchungen!$D$7:$D$86&lt;=M$11)*(Buchungen!$E$7:$E$86&gt;M$11)*(Buchungen!$J$7:$J$86&lt;&gt;"Storniert"))&gt;1,"!",INDEX(Buchungen!$K$7:$K$86,SUMPRODUCT(MAX(((Buchungen!$B$7:$B$86=$A23)*(Buchungen!$D$7:$D$86&lt;=M$11)*(Buchungen!$E$7:$E$86&gt;M$11)*(Buchungen!$J$7:$J$86&lt;&gt;"Storniert"))*ROW(Buchungen!$B$7:$B$86)))-6))))</f>
        <v>B</v>
      </c>
      <c r="N23" s="30" t="str">
        <f aca="false">IF(N$11="","",IF(SUMPRODUCT((Buchungen!$B$7:$B$86=$A23)*(Buchungen!$D$7:$D$86&lt;=N$11)*(Buchungen!$E$7:$E$86&gt;N$11)*(Buchungen!$J$7:$J$86&lt;&gt;"Storniert"))=0,"",IF(SUMPRODUCT((Buchungen!$B$7:$B$86=$A23)*(Buchungen!$D$7:$D$86&lt;=N$11)*(Buchungen!$E$7:$E$86&gt;N$11)*(Buchungen!$J$7:$J$86&lt;&gt;"Storniert"))&gt;1,"!",INDEX(Buchungen!$K$7:$K$86,SUMPRODUCT(MAX(((Buchungen!$B$7:$B$86=$A23)*(Buchungen!$D$7:$D$86&lt;=N$11)*(Buchungen!$E$7:$E$86&gt;N$11)*(Buchungen!$J$7:$J$86&lt;&gt;"Storniert"))*ROW(Buchungen!$B$7:$B$86)))-6))))</f>
        <v>B</v>
      </c>
      <c r="O23" s="30" t="str">
        <f aca="false">IF(O$11="","",IF(SUMPRODUCT((Buchungen!$B$7:$B$86=$A23)*(Buchungen!$D$7:$D$86&lt;=O$11)*(Buchungen!$E$7:$E$86&gt;O$11)*(Buchungen!$J$7:$J$86&lt;&gt;"Storniert"))=0,"",IF(SUMPRODUCT((Buchungen!$B$7:$B$86=$A23)*(Buchungen!$D$7:$D$86&lt;=O$11)*(Buchungen!$E$7:$E$86&gt;O$11)*(Buchungen!$J$7:$J$86&lt;&gt;"Storniert"))&gt;1,"!",INDEX(Buchungen!$K$7:$K$86,SUMPRODUCT(MAX(((Buchungen!$B$7:$B$86=$A23)*(Buchungen!$D$7:$D$86&lt;=O$11)*(Buchungen!$E$7:$E$86&gt;O$11)*(Buchungen!$J$7:$J$86&lt;&gt;"Storniert"))*ROW(Buchungen!$B$7:$B$86)))-6))))</f>
        <v>B</v>
      </c>
      <c r="P23" s="30" t="str">
        <f aca="false">IF(P$11="","",IF(SUMPRODUCT((Buchungen!$B$7:$B$86=$A23)*(Buchungen!$D$7:$D$86&lt;=P$11)*(Buchungen!$E$7:$E$86&gt;P$11)*(Buchungen!$J$7:$J$86&lt;&gt;"Storniert"))=0,"",IF(SUMPRODUCT((Buchungen!$B$7:$B$86=$A23)*(Buchungen!$D$7:$D$86&lt;=P$11)*(Buchungen!$E$7:$E$86&gt;P$11)*(Buchungen!$J$7:$J$86&lt;&gt;"Storniert"))&gt;1,"!",INDEX(Buchungen!$K$7:$K$86,SUMPRODUCT(MAX(((Buchungen!$B$7:$B$86=$A23)*(Buchungen!$D$7:$D$86&lt;=P$11)*(Buchungen!$E$7:$E$86&gt;P$11)*(Buchungen!$J$7:$J$86&lt;&gt;"Storniert"))*ROW(Buchungen!$B$7:$B$86)))-6))))</f>
        <v>B</v>
      </c>
      <c r="Q23" s="30" t="str">
        <f aca="false">IF(Q$11="","",IF(SUMPRODUCT((Buchungen!$B$7:$B$86=$A23)*(Buchungen!$D$7:$D$86&lt;=Q$11)*(Buchungen!$E$7:$E$86&gt;Q$11)*(Buchungen!$J$7:$J$86&lt;&gt;"Storniert"))=0,"",IF(SUMPRODUCT((Buchungen!$B$7:$B$86=$A23)*(Buchungen!$D$7:$D$86&lt;=Q$11)*(Buchungen!$E$7:$E$86&gt;Q$11)*(Buchungen!$J$7:$J$86&lt;&gt;"Storniert"))&gt;1,"!",INDEX(Buchungen!$K$7:$K$86,SUMPRODUCT(MAX(((Buchungen!$B$7:$B$86=$A23)*(Buchungen!$D$7:$D$86&lt;=Q$11)*(Buchungen!$E$7:$E$86&gt;Q$11)*(Buchungen!$J$7:$J$86&lt;&gt;"Storniert"))*ROW(Buchungen!$B$7:$B$86)))-6))))</f>
        <v>B</v>
      </c>
      <c r="R23" s="30" t="str">
        <f aca="false">IF(R$11="","",IF(SUMPRODUCT((Buchungen!$B$7:$B$86=$A23)*(Buchungen!$D$7:$D$86&lt;=R$11)*(Buchungen!$E$7:$E$86&gt;R$11)*(Buchungen!$J$7:$J$86&lt;&gt;"Storniert"))=0,"",IF(SUMPRODUCT((Buchungen!$B$7:$B$86=$A23)*(Buchungen!$D$7:$D$86&lt;=R$11)*(Buchungen!$E$7:$E$86&gt;R$11)*(Buchungen!$J$7:$J$86&lt;&gt;"Storniert"))&gt;1,"!",INDEX(Buchungen!$K$7:$K$86,SUMPRODUCT(MAX(((Buchungen!$B$7:$B$86=$A23)*(Buchungen!$D$7:$D$86&lt;=R$11)*(Buchungen!$E$7:$E$86&gt;R$11)*(Buchungen!$J$7:$J$86&lt;&gt;"Storniert"))*ROW(Buchungen!$B$7:$B$86)))-6))))</f>
        <v>B</v>
      </c>
      <c r="S23" s="30" t="str">
        <f aca="false">IF(S$11="","",IF(SUMPRODUCT((Buchungen!$B$7:$B$86=$A23)*(Buchungen!$D$7:$D$86&lt;=S$11)*(Buchungen!$E$7:$E$86&gt;S$11)*(Buchungen!$J$7:$J$86&lt;&gt;"Storniert"))=0,"",IF(SUMPRODUCT((Buchungen!$B$7:$B$86=$A23)*(Buchungen!$D$7:$D$86&lt;=S$11)*(Buchungen!$E$7:$E$86&gt;S$11)*(Buchungen!$J$7:$J$86&lt;&gt;"Storniert"))&gt;1,"!",INDEX(Buchungen!$K$7:$K$86,SUMPRODUCT(MAX(((Buchungen!$B$7:$B$86=$A23)*(Buchungen!$D$7:$D$86&lt;=S$11)*(Buchungen!$E$7:$E$86&gt;S$11)*(Buchungen!$J$7:$J$86&lt;&gt;"Storniert"))*ROW(Buchungen!$B$7:$B$86)))-6))))</f>
        <v>B</v>
      </c>
      <c r="T23" s="30" t="str">
        <f aca="false">IF(T$11="","",IF(SUMPRODUCT((Buchungen!$B$7:$B$86=$A23)*(Buchungen!$D$7:$D$86&lt;=T$11)*(Buchungen!$E$7:$E$86&gt;T$11)*(Buchungen!$J$7:$J$86&lt;&gt;"Storniert"))=0,"",IF(SUMPRODUCT((Buchungen!$B$7:$B$86=$A23)*(Buchungen!$D$7:$D$86&lt;=T$11)*(Buchungen!$E$7:$E$86&gt;T$11)*(Buchungen!$J$7:$J$86&lt;&gt;"Storniert"))&gt;1,"!",INDEX(Buchungen!$K$7:$K$86,SUMPRODUCT(MAX(((Buchungen!$B$7:$B$86=$A23)*(Buchungen!$D$7:$D$86&lt;=T$11)*(Buchungen!$E$7:$E$86&gt;T$11)*(Buchungen!$J$7:$J$86&lt;&gt;"Storniert"))*ROW(Buchungen!$B$7:$B$86)))-6))))</f>
        <v/>
      </c>
      <c r="U23" s="30" t="str">
        <f aca="false">IF(U$11="","",IF(SUMPRODUCT((Buchungen!$B$7:$B$86=$A23)*(Buchungen!$D$7:$D$86&lt;=U$11)*(Buchungen!$E$7:$E$86&gt;U$11)*(Buchungen!$J$7:$J$86&lt;&gt;"Storniert"))=0,"",IF(SUMPRODUCT((Buchungen!$B$7:$B$86=$A23)*(Buchungen!$D$7:$D$86&lt;=U$11)*(Buchungen!$E$7:$E$86&gt;U$11)*(Buchungen!$J$7:$J$86&lt;&gt;"Storniert"))&gt;1,"!",INDEX(Buchungen!$K$7:$K$86,SUMPRODUCT(MAX(((Buchungen!$B$7:$B$86=$A23)*(Buchungen!$D$7:$D$86&lt;=U$11)*(Buchungen!$E$7:$E$86&gt;U$11)*(Buchungen!$J$7:$J$86&lt;&gt;"Storniert"))*ROW(Buchungen!$B$7:$B$86)))-6))))</f>
        <v>B</v>
      </c>
      <c r="V23" s="30" t="str">
        <f aca="false">IF(V$11="","",IF(SUMPRODUCT((Buchungen!$B$7:$B$86=$A23)*(Buchungen!$D$7:$D$86&lt;=V$11)*(Buchungen!$E$7:$E$86&gt;V$11)*(Buchungen!$J$7:$J$86&lt;&gt;"Storniert"))=0,"",IF(SUMPRODUCT((Buchungen!$B$7:$B$86=$A23)*(Buchungen!$D$7:$D$86&lt;=V$11)*(Buchungen!$E$7:$E$86&gt;V$11)*(Buchungen!$J$7:$J$86&lt;&gt;"Storniert"))&gt;1,"!",INDEX(Buchungen!$K$7:$K$86,SUMPRODUCT(MAX(((Buchungen!$B$7:$B$86=$A23)*(Buchungen!$D$7:$D$86&lt;=V$11)*(Buchungen!$E$7:$E$86&gt;V$11)*(Buchungen!$J$7:$J$86&lt;&gt;"Storniert"))*ROW(Buchungen!$B$7:$B$86)))-6))))</f>
        <v>B</v>
      </c>
      <c r="W23" s="30" t="str">
        <f aca="false">IF(W$11="","",IF(SUMPRODUCT((Buchungen!$B$7:$B$86=$A23)*(Buchungen!$D$7:$D$86&lt;=W$11)*(Buchungen!$E$7:$E$86&gt;W$11)*(Buchungen!$J$7:$J$86&lt;&gt;"Storniert"))=0,"",IF(SUMPRODUCT((Buchungen!$B$7:$B$86=$A23)*(Buchungen!$D$7:$D$86&lt;=W$11)*(Buchungen!$E$7:$E$86&gt;W$11)*(Buchungen!$J$7:$J$86&lt;&gt;"Storniert"))&gt;1,"!",INDEX(Buchungen!$K$7:$K$86,SUMPRODUCT(MAX(((Buchungen!$B$7:$B$86=$A23)*(Buchungen!$D$7:$D$86&lt;=W$11)*(Buchungen!$E$7:$E$86&gt;W$11)*(Buchungen!$J$7:$J$86&lt;&gt;"Storniert"))*ROW(Buchungen!$B$7:$B$86)))-6))))</f>
        <v>B</v>
      </c>
      <c r="X23" s="30" t="str">
        <f aca="false">IF(X$11="","",IF(SUMPRODUCT((Buchungen!$B$7:$B$86=$A23)*(Buchungen!$D$7:$D$86&lt;=X$11)*(Buchungen!$E$7:$E$86&gt;X$11)*(Buchungen!$J$7:$J$86&lt;&gt;"Storniert"))=0,"",IF(SUMPRODUCT((Buchungen!$B$7:$B$86=$A23)*(Buchungen!$D$7:$D$86&lt;=X$11)*(Buchungen!$E$7:$E$86&gt;X$11)*(Buchungen!$J$7:$J$86&lt;&gt;"Storniert"))&gt;1,"!",INDEX(Buchungen!$K$7:$K$86,SUMPRODUCT(MAX(((Buchungen!$B$7:$B$86=$A23)*(Buchungen!$D$7:$D$86&lt;=X$11)*(Buchungen!$E$7:$E$86&gt;X$11)*(Buchungen!$J$7:$J$86&lt;&gt;"Storniert"))*ROW(Buchungen!$B$7:$B$86)))-6))))</f>
        <v>B</v>
      </c>
      <c r="Y23" s="30" t="str">
        <f aca="false">IF(Y$11="","",IF(SUMPRODUCT((Buchungen!$B$7:$B$86=$A23)*(Buchungen!$D$7:$D$86&lt;=Y$11)*(Buchungen!$E$7:$E$86&gt;Y$11)*(Buchungen!$J$7:$J$86&lt;&gt;"Storniert"))=0,"",IF(SUMPRODUCT((Buchungen!$B$7:$B$86=$A23)*(Buchungen!$D$7:$D$86&lt;=Y$11)*(Buchungen!$E$7:$E$86&gt;Y$11)*(Buchungen!$J$7:$J$86&lt;&gt;"Storniert"))&gt;1,"!",INDEX(Buchungen!$K$7:$K$86,SUMPRODUCT(MAX(((Buchungen!$B$7:$B$86=$A23)*(Buchungen!$D$7:$D$86&lt;=Y$11)*(Buchungen!$E$7:$E$86&gt;Y$11)*(Buchungen!$J$7:$J$86&lt;&gt;"Storniert"))*ROW(Buchungen!$B$7:$B$86)))-6))))</f>
        <v/>
      </c>
      <c r="Z23" s="30" t="str">
        <f aca="false">IF(Z$11="","",IF(SUMPRODUCT((Buchungen!$B$7:$B$86=$A23)*(Buchungen!$D$7:$D$86&lt;=Z$11)*(Buchungen!$E$7:$E$86&gt;Z$11)*(Buchungen!$J$7:$J$86&lt;&gt;"Storniert"))=0,"",IF(SUMPRODUCT((Buchungen!$B$7:$B$86=$A23)*(Buchungen!$D$7:$D$86&lt;=Z$11)*(Buchungen!$E$7:$E$86&gt;Z$11)*(Buchungen!$J$7:$J$86&lt;&gt;"Storniert"))&gt;1,"!",INDEX(Buchungen!$K$7:$K$86,SUMPRODUCT(MAX(((Buchungen!$B$7:$B$86=$A23)*(Buchungen!$D$7:$D$86&lt;=Z$11)*(Buchungen!$E$7:$E$86&gt;Z$11)*(Buchungen!$J$7:$J$86&lt;&gt;"Storniert"))*ROW(Buchungen!$B$7:$B$86)))-6))))</f>
        <v/>
      </c>
      <c r="AA23" s="30" t="str">
        <f aca="false">IF(AA$11="","",IF(SUMPRODUCT((Buchungen!$B$7:$B$86=$A23)*(Buchungen!$D$7:$D$86&lt;=AA$11)*(Buchungen!$E$7:$E$86&gt;AA$11)*(Buchungen!$J$7:$J$86&lt;&gt;"Storniert"))=0,"",IF(SUMPRODUCT((Buchungen!$B$7:$B$86=$A23)*(Buchungen!$D$7:$D$86&lt;=AA$11)*(Buchungen!$E$7:$E$86&gt;AA$11)*(Buchungen!$J$7:$J$86&lt;&gt;"Storniert"))&gt;1,"!",INDEX(Buchungen!$K$7:$K$86,SUMPRODUCT(MAX(((Buchungen!$B$7:$B$86=$A23)*(Buchungen!$D$7:$D$86&lt;=AA$11)*(Buchungen!$E$7:$E$86&gt;AA$11)*(Buchungen!$J$7:$J$86&lt;&gt;"Storniert"))*ROW(Buchungen!$B$7:$B$86)))-6))))</f>
        <v>B</v>
      </c>
      <c r="AB23" s="30" t="str">
        <f aca="false">IF(AB$11="","",IF(SUMPRODUCT((Buchungen!$B$7:$B$86=$A23)*(Buchungen!$D$7:$D$86&lt;=AB$11)*(Buchungen!$E$7:$E$86&gt;AB$11)*(Buchungen!$J$7:$J$86&lt;&gt;"Storniert"))=0,"",IF(SUMPRODUCT((Buchungen!$B$7:$B$86=$A23)*(Buchungen!$D$7:$D$86&lt;=AB$11)*(Buchungen!$E$7:$E$86&gt;AB$11)*(Buchungen!$J$7:$J$86&lt;&gt;"Storniert"))&gt;1,"!",INDEX(Buchungen!$K$7:$K$86,SUMPRODUCT(MAX(((Buchungen!$B$7:$B$86=$A23)*(Buchungen!$D$7:$D$86&lt;=AB$11)*(Buchungen!$E$7:$E$86&gt;AB$11)*(Buchungen!$J$7:$J$86&lt;&gt;"Storniert"))*ROW(Buchungen!$B$7:$B$86)))-6))))</f>
        <v>B</v>
      </c>
      <c r="AC23" s="30" t="str">
        <f aca="false">IF(AC$11="","",IF(SUMPRODUCT((Buchungen!$B$7:$B$86=$A23)*(Buchungen!$D$7:$D$86&lt;=AC$11)*(Buchungen!$E$7:$E$86&gt;AC$11)*(Buchungen!$J$7:$J$86&lt;&gt;"Storniert"))=0,"",IF(SUMPRODUCT((Buchungen!$B$7:$B$86=$A23)*(Buchungen!$D$7:$D$86&lt;=AC$11)*(Buchungen!$E$7:$E$86&gt;AC$11)*(Buchungen!$J$7:$J$86&lt;&gt;"Storniert"))&gt;1,"!",INDEX(Buchungen!$K$7:$K$86,SUMPRODUCT(MAX(((Buchungen!$B$7:$B$86=$A23)*(Buchungen!$D$7:$D$86&lt;=AC$11)*(Buchungen!$E$7:$E$86&gt;AC$11)*(Buchungen!$J$7:$J$86&lt;&gt;"Storniert"))*ROW(Buchungen!$B$7:$B$86)))-6))))</f>
        <v>B</v>
      </c>
      <c r="AD23" s="30" t="str">
        <f aca="false">IF(AD$11="","",IF(SUMPRODUCT((Buchungen!$B$7:$B$86=$A23)*(Buchungen!$D$7:$D$86&lt;=AD$11)*(Buchungen!$E$7:$E$86&gt;AD$11)*(Buchungen!$J$7:$J$86&lt;&gt;"Storniert"))=0,"",IF(SUMPRODUCT((Buchungen!$B$7:$B$86=$A23)*(Buchungen!$D$7:$D$86&lt;=AD$11)*(Buchungen!$E$7:$E$86&gt;AD$11)*(Buchungen!$J$7:$J$86&lt;&gt;"Storniert"))&gt;1,"!",INDEX(Buchungen!$K$7:$K$86,SUMPRODUCT(MAX(((Buchungen!$B$7:$B$86=$A23)*(Buchungen!$D$7:$D$86&lt;=AD$11)*(Buchungen!$E$7:$E$86&gt;AD$11)*(Buchungen!$J$7:$J$86&lt;&gt;"Storniert"))*ROW(Buchungen!$B$7:$B$86)))-6))))</f>
        <v>B</v>
      </c>
      <c r="AE23" s="30" t="str">
        <f aca="false">IF(AE$11="","",IF(SUMPRODUCT((Buchungen!$B$7:$B$86=$A23)*(Buchungen!$D$7:$D$86&lt;=AE$11)*(Buchungen!$E$7:$E$86&gt;AE$11)*(Buchungen!$J$7:$J$86&lt;&gt;"Storniert"))=0,"",IF(SUMPRODUCT((Buchungen!$B$7:$B$86=$A23)*(Buchungen!$D$7:$D$86&lt;=AE$11)*(Buchungen!$E$7:$E$86&gt;AE$11)*(Buchungen!$J$7:$J$86&lt;&gt;"Storniert"))&gt;1,"!",INDEX(Buchungen!$K$7:$K$86,SUMPRODUCT(MAX(((Buchungen!$B$7:$B$86=$A23)*(Buchungen!$D$7:$D$86&lt;=AE$11)*(Buchungen!$E$7:$E$86&gt;AE$11)*(Buchungen!$J$7:$J$86&lt;&gt;"Storniert"))*ROW(Buchungen!$B$7:$B$86)))-6))))</f>
        <v>B</v>
      </c>
      <c r="AF23" s="30" t="str">
        <f aca="false">IF(AF$11="","",IF(SUMPRODUCT((Buchungen!$B$7:$B$86=$A23)*(Buchungen!$D$7:$D$86&lt;=AF$11)*(Buchungen!$E$7:$E$86&gt;AF$11)*(Buchungen!$J$7:$J$86&lt;&gt;"Storniert"))=0,"",IF(SUMPRODUCT((Buchungen!$B$7:$B$86=$A23)*(Buchungen!$D$7:$D$86&lt;=AF$11)*(Buchungen!$E$7:$E$86&gt;AF$11)*(Buchungen!$J$7:$J$86&lt;&gt;"Storniert"))&gt;1,"!",INDEX(Buchungen!$K$7:$K$86,SUMPRODUCT(MAX(((Buchungen!$B$7:$B$86=$A23)*(Buchungen!$D$7:$D$86&lt;=AF$11)*(Buchungen!$E$7:$E$86&gt;AF$11)*(Buchungen!$J$7:$J$86&lt;&gt;"Storniert"))*ROW(Buchungen!$B$7:$B$86)))-6))))</f>
        <v>B</v>
      </c>
      <c r="AG23" s="30" t="str">
        <f aca="false">IF(AG$11="","",IF(SUMPRODUCT((Buchungen!$B$7:$B$86=$A23)*(Buchungen!$D$7:$D$86&lt;=AG$11)*(Buchungen!$E$7:$E$86&gt;AG$11)*(Buchungen!$J$7:$J$86&lt;&gt;"Storniert"))=0,"",IF(SUMPRODUCT((Buchungen!$B$7:$B$86=$A23)*(Buchungen!$D$7:$D$86&lt;=AG$11)*(Buchungen!$E$7:$E$86&gt;AG$11)*(Buchungen!$J$7:$J$86&lt;&gt;"Storniert"))&gt;1,"!",INDEX(Buchungen!$K$7:$K$86,SUMPRODUCT(MAX(((Buchungen!$B$7:$B$86=$A23)*(Buchungen!$D$7:$D$86&lt;=AG$11)*(Buchungen!$E$7:$E$86&gt;AG$11)*(Buchungen!$J$7:$J$86&lt;&gt;"Storniert"))*ROW(Buchungen!$B$7:$B$86)))-6))))</f>
        <v>B</v>
      </c>
      <c r="AH23" s="31" t="n">
        <f aca="false">SUMIFS(Buchungen!$O$7:$O$86,Buchungen!$B$7:$B$86,$A23)</f>
        <v>22</v>
      </c>
      <c r="AI23" s="32" t="n">
        <f aca="false">IFERROR($AH23/$C$7,0)</f>
        <v>0.709677419354839</v>
      </c>
      <c r="AJ23" s="33" t="n">
        <f aca="false">SUMIFS(Buchungen!$P$7:$P$86,Buchungen!$B$7:$B$86,$A23)</f>
        <v>2618</v>
      </c>
    </row>
    <row r="24" customFormat="false" ht="6.75" hidden="false" customHeight="true" outlineLevel="0" collapsed="false"/>
    <row r="25" customFormat="false" ht="15" hidden="false" customHeight="true" outlineLevel="0" collapsed="false">
      <c r="A25" s="34" t="s">
        <v>24</v>
      </c>
      <c r="B25" s="34"/>
      <c r="C25" s="35" t="n">
        <f aca="false">IF(C$11="","",COUNTIF(C$12:C$23,"B"))</f>
        <v>11</v>
      </c>
      <c r="D25" s="35" t="n">
        <f aca="false">IF(D$11="","",COUNTIF(D$12:D$23,"B"))</f>
        <v>10</v>
      </c>
      <c r="E25" s="35" t="n">
        <f aca="false">IF(E$11="","",COUNTIF(E$12:E$23,"B"))</f>
        <v>8</v>
      </c>
      <c r="F25" s="35" t="n">
        <f aca="false">IF(F$11="","",COUNTIF(F$12:F$23,"B"))</f>
        <v>7</v>
      </c>
      <c r="G25" s="35" t="n">
        <f aca="false">IF(G$11="","",COUNTIF(G$12:G$23,"B"))</f>
        <v>7</v>
      </c>
      <c r="H25" s="35" t="n">
        <f aca="false">IF(H$11="","",COUNTIF(H$12:H$23,"B"))</f>
        <v>7</v>
      </c>
      <c r="I25" s="35" t="n">
        <f aca="false">IF(I$11="","",COUNTIF(I$12:I$23,"B"))</f>
        <v>9</v>
      </c>
      <c r="J25" s="35" t="n">
        <f aca="false">IF(J$11="","",COUNTIF(J$12:J$23,"B"))</f>
        <v>6</v>
      </c>
      <c r="K25" s="35" t="n">
        <f aca="false">IF(K$11="","",COUNTIF(K$12:K$23,"B"))</f>
        <v>4</v>
      </c>
      <c r="L25" s="35" t="n">
        <f aca="false">IF(L$11="","",COUNTIF(L$12:L$23,"B"))</f>
        <v>5</v>
      </c>
      <c r="M25" s="35" t="n">
        <f aca="false">IF(M$11="","",COUNTIF(M$12:M$23,"B"))</f>
        <v>7</v>
      </c>
      <c r="N25" s="35" t="n">
        <f aca="false">IF(N$11="","",COUNTIF(N$12:N$23,"B"))</f>
        <v>7</v>
      </c>
      <c r="O25" s="35" t="n">
        <f aca="false">IF(O$11="","",COUNTIF(O$12:O$23,"B"))</f>
        <v>10</v>
      </c>
      <c r="P25" s="35" t="n">
        <f aca="false">IF(P$11="","",COUNTIF(P$12:P$23,"B"))</f>
        <v>8</v>
      </c>
      <c r="Q25" s="35" t="n">
        <f aca="false">IF(Q$11="","",COUNTIF(Q$12:Q$23,"B"))</f>
        <v>8</v>
      </c>
      <c r="R25" s="35" t="n">
        <f aca="false">IF(R$11="","",COUNTIF(R$12:R$23,"B"))</f>
        <v>9</v>
      </c>
      <c r="S25" s="35" t="n">
        <f aca="false">IF(S$11="","",COUNTIF(S$12:S$23,"B"))</f>
        <v>11</v>
      </c>
      <c r="T25" s="35" t="n">
        <f aca="false">IF(T$11="","",COUNTIF(T$12:T$23,"B"))</f>
        <v>9</v>
      </c>
      <c r="U25" s="35" t="n">
        <f aca="false">IF(U$11="","",COUNTIF(U$12:U$23,"B"))</f>
        <v>9</v>
      </c>
      <c r="V25" s="35" t="n">
        <f aca="false">IF(V$11="","",COUNTIF(V$12:V$23,"B"))</f>
        <v>10</v>
      </c>
      <c r="W25" s="35" t="n">
        <f aca="false">IF(W$11="","",COUNTIF(W$12:W$23,"B"))</f>
        <v>9</v>
      </c>
      <c r="X25" s="35" t="n">
        <f aca="false">IF(X$11="","",COUNTIF(X$12:X$23,"B"))</f>
        <v>7</v>
      </c>
      <c r="Y25" s="35" t="n">
        <f aca="false">IF(Y$11="","",COUNTIF(Y$12:Y$23,"B"))</f>
        <v>7</v>
      </c>
      <c r="Z25" s="35" t="n">
        <f aca="false">IF(Z$11="","",COUNTIF(Z$12:Z$23,"B"))</f>
        <v>10</v>
      </c>
      <c r="AA25" s="35" t="n">
        <f aca="false">IF(AA$11="","",COUNTIF(AA$12:AA$23,"B"))</f>
        <v>9</v>
      </c>
      <c r="AB25" s="35" t="n">
        <f aca="false">IF(AB$11="","",COUNTIF(AB$12:AB$23,"B"))</f>
        <v>7</v>
      </c>
      <c r="AC25" s="35" t="n">
        <f aca="false">IF(AC$11="","",COUNTIF(AC$12:AC$23,"B"))</f>
        <v>8</v>
      </c>
      <c r="AD25" s="35" t="n">
        <f aca="false">IF(AD$11="","",COUNTIF(AD$12:AD$23,"B"))</f>
        <v>9</v>
      </c>
      <c r="AE25" s="35" t="n">
        <f aca="false">IF(AE$11="","",COUNTIF(AE$12:AE$23,"B"))</f>
        <v>9</v>
      </c>
      <c r="AF25" s="35" t="n">
        <f aca="false">IF(AF$11="","",COUNTIF(AF$12:AF$23,"B"))</f>
        <v>7</v>
      </c>
      <c r="AG25" s="35" t="n">
        <f aca="false">IF(AG$11="","",COUNTIF(AG$12:AG$23,"B"))</f>
        <v>7</v>
      </c>
      <c r="AH25" s="36" t="n">
        <f aca="false">SUM(C25:AG25)</f>
        <v>251</v>
      </c>
      <c r="AI25" s="37"/>
      <c r="AJ25" s="37"/>
    </row>
    <row r="26" customFormat="false" ht="15" hidden="false" customHeight="true" outlineLevel="0" collapsed="false">
      <c r="A26" s="38" t="s">
        <v>25</v>
      </c>
      <c r="B26" s="38"/>
      <c r="C26" s="39" t="n">
        <f aca="false">IF(C$11="","",$G$7-COUNTIF(C$12:C$23,"B")-COUNTIF(C$12:C$23,"O")-COUNTIF(C$12:C$23,"W")-COUNTIF(C$12:C$23,"!"))</f>
        <v>0</v>
      </c>
      <c r="D26" s="39" t="n">
        <f aca="false">IF(D$11="","",$G$7-COUNTIF(D$12:D$23,"B")-COUNTIF(D$12:D$23,"O")-COUNTIF(D$12:D$23,"W")-COUNTIF(D$12:D$23,"!"))</f>
        <v>2</v>
      </c>
      <c r="E26" s="39" t="n">
        <f aca="false">IF(E$11="","",$G$7-COUNTIF(E$12:E$23,"B")-COUNTIF(E$12:E$23,"O")-COUNTIF(E$12:E$23,"W")-COUNTIF(E$12:E$23,"!"))</f>
        <v>4</v>
      </c>
      <c r="F26" s="39" t="n">
        <f aca="false">IF(F$11="","",$G$7-COUNTIF(F$12:F$23,"B")-COUNTIF(F$12:F$23,"O")-COUNTIF(F$12:F$23,"W")-COUNTIF(F$12:F$23,"!"))</f>
        <v>4</v>
      </c>
      <c r="G26" s="39" t="n">
        <f aca="false">IF(G$11="","",$G$7-COUNTIF(G$12:G$23,"B")-COUNTIF(G$12:G$23,"O")-COUNTIF(G$12:G$23,"W")-COUNTIF(G$12:G$23,"!"))</f>
        <v>3</v>
      </c>
      <c r="H26" s="39" t="n">
        <f aca="false">IF(H$11="","",$G$7-COUNTIF(H$12:H$23,"B")-COUNTIF(H$12:H$23,"O")-COUNTIF(H$12:H$23,"W")-COUNTIF(H$12:H$23,"!"))</f>
        <v>3</v>
      </c>
      <c r="I26" s="39" t="n">
        <f aca="false">IF(I$11="","",$G$7-COUNTIF(I$12:I$23,"B")-COUNTIF(I$12:I$23,"O")-COUNTIF(I$12:I$23,"W")-COUNTIF(I$12:I$23,"!"))</f>
        <v>2</v>
      </c>
      <c r="J26" s="39" t="n">
        <f aca="false">IF(J$11="","",$G$7-COUNTIF(J$12:J$23,"B")-COUNTIF(J$12:J$23,"O")-COUNTIF(J$12:J$23,"W")-COUNTIF(J$12:J$23,"!"))</f>
        <v>4</v>
      </c>
      <c r="K26" s="39" t="n">
        <f aca="false">IF(K$11="","",$G$7-COUNTIF(K$12:K$23,"B")-COUNTIF(K$12:K$23,"O")-COUNTIF(K$12:K$23,"W")-COUNTIF(K$12:K$23,"!"))</f>
        <v>6</v>
      </c>
      <c r="L26" s="39" t="n">
        <f aca="false">IF(L$11="","",$G$7-COUNTIF(L$12:L$23,"B")-COUNTIF(L$12:L$23,"O")-COUNTIF(L$12:L$23,"W")-COUNTIF(L$12:L$23,"!"))</f>
        <v>4</v>
      </c>
      <c r="M26" s="39" t="n">
        <f aca="false">IF(M$11="","",$G$7-COUNTIF(M$12:M$23,"B")-COUNTIF(M$12:M$23,"O")-COUNTIF(M$12:M$23,"W")-COUNTIF(M$12:M$23,"!"))</f>
        <v>3</v>
      </c>
      <c r="N26" s="39" t="n">
        <f aca="false">IF(N$11="","",$G$7-COUNTIF(N$12:N$23,"B")-COUNTIF(N$12:N$23,"O")-COUNTIF(N$12:N$23,"W")-COUNTIF(N$12:N$23,"!"))</f>
        <v>5</v>
      </c>
      <c r="O26" s="39" t="n">
        <f aca="false">IF(O$11="","",$G$7-COUNTIF(O$12:O$23,"B")-COUNTIF(O$12:O$23,"O")-COUNTIF(O$12:O$23,"W")-COUNTIF(O$12:O$23,"!"))</f>
        <v>2</v>
      </c>
      <c r="P26" s="39" t="n">
        <f aca="false">IF(P$11="","",$G$7-COUNTIF(P$12:P$23,"B")-COUNTIF(P$12:P$23,"O")-COUNTIF(P$12:P$23,"W")-COUNTIF(P$12:P$23,"!"))</f>
        <v>4</v>
      </c>
      <c r="Q26" s="39" t="n">
        <f aca="false">IF(Q$11="","",$G$7-COUNTIF(Q$12:Q$23,"B")-COUNTIF(Q$12:Q$23,"O")-COUNTIF(Q$12:Q$23,"W")-COUNTIF(Q$12:Q$23,"!"))</f>
        <v>4</v>
      </c>
      <c r="R26" s="39" t="n">
        <f aca="false">IF(R$11="","",$G$7-COUNTIF(R$12:R$23,"B")-COUNTIF(R$12:R$23,"O")-COUNTIF(R$12:R$23,"W")-COUNTIF(R$12:R$23,"!"))</f>
        <v>3</v>
      </c>
      <c r="S26" s="39" t="n">
        <f aca="false">IF(S$11="","",$G$7-COUNTIF(S$12:S$23,"B")-COUNTIF(S$12:S$23,"O")-COUNTIF(S$12:S$23,"W")-COUNTIF(S$12:S$23,"!"))</f>
        <v>0</v>
      </c>
      <c r="T26" s="39" t="n">
        <f aca="false">IF(T$11="","",$G$7-COUNTIF(T$12:T$23,"B")-COUNTIF(T$12:T$23,"O")-COUNTIF(T$12:T$23,"W")-COUNTIF(T$12:T$23,"!"))</f>
        <v>2</v>
      </c>
      <c r="U26" s="39" t="n">
        <f aca="false">IF(U$11="","",$G$7-COUNTIF(U$12:U$23,"B")-COUNTIF(U$12:U$23,"O")-COUNTIF(U$12:U$23,"W")-COUNTIF(U$12:U$23,"!"))</f>
        <v>2</v>
      </c>
      <c r="V26" s="39" t="n">
        <f aca="false">IF(V$11="","",$G$7-COUNTIF(V$12:V$23,"B")-COUNTIF(V$12:V$23,"O")-COUNTIF(V$12:V$23,"W")-COUNTIF(V$12:V$23,"!"))</f>
        <v>1</v>
      </c>
      <c r="W26" s="39" t="n">
        <f aca="false">IF(W$11="","",$G$7-COUNTIF(W$12:W$23,"B")-COUNTIF(W$12:W$23,"O")-COUNTIF(W$12:W$23,"W")-COUNTIF(W$12:W$23,"!"))</f>
        <v>2</v>
      </c>
      <c r="X26" s="39" t="n">
        <f aca="false">IF(X$11="","",$G$7-COUNTIF(X$12:X$23,"B")-COUNTIF(X$12:X$23,"O")-COUNTIF(X$12:X$23,"W")-COUNTIF(X$12:X$23,"!"))</f>
        <v>4</v>
      </c>
      <c r="Y26" s="39" t="n">
        <f aca="false">IF(Y$11="","",$G$7-COUNTIF(Y$12:Y$23,"B")-COUNTIF(Y$12:Y$23,"O")-COUNTIF(Y$12:Y$23,"W")-COUNTIF(Y$12:Y$23,"!"))</f>
        <v>5</v>
      </c>
      <c r="Z26" s="39" t="n">
        <f aca="false">IF(Z$11="","",$G$7-COUNTIF(Z$12:Z$23,"B")-COUNTIF(Z$12:Z$23,"O")-COUNTIF(Z$12:Z$23,"W")-COUNTIF(Z$12:Z$23,"!"))</f>
        <v>2</v>
      </c>
      <c r="AA26" s="39" t="n">
        <f aca="false">IF(AA$11="","",$G$7-COUNTIF(AA$12:AA$23,"B")-COUNTIF(AA$12:AA$23,"O")-COUNTIF(AA$12:AA$23,"W")-COUNTIF(AA$12:AA$23,"!"))</f>
        <v>3</v>
      </c>
      <c r="AB26" s="39" t="n">
        <f aca="false">IF(AB$11="","",$G$7-COUNTIF(AB$12:AB$23,"B")-COUNTIF(AB$12:AB$23,"O")-COUNTIF(AB$12:AB$23,"W")-COUNTIF(AB$12:AB$23,"!"))</f>
        <v>5</v>
      </c>
      <c r="AC26" s="39" t="n">
        <f aca="false">IF(AC$11="","",$G$7-COUNTIF(AC$12:AC$23,"B")-COUNTIF(AC$12:AC$23,"O")-COUNTIF(AC$12:AC$23,"W")-COUNTIF(AC$12:AC$23,"!"))</f>
        <v>4</v>
      </c>
      <c r="AD26" s="39" t="n">
        <f aca="false">IF(AD$11="","",$G$7-COUNTIF(AD$12:AD$23,"B")-COUNTIF(AD$12:AD$23,"O")-COUNTIF(AD$12:AD$23,"W")-COUNTIF(AD$12:AD$23,"!"))</f>
        <v>3</v>
      </c>
      <c r="AE26" s="39" t="n">
        <f aca="false">IF(AE$11="","",$G$7-COUNTIF(AE$12:AE$23,"B")-COUNTIF(AE$12:AE$23,"O")-COUNTIF(AE$12:AE$23,"W")-COUNTIF(AE$12:AE$23,"!"))</f>
        <v>2</v>
      </c>
      <c r="AF26" s="39" t="n">
        <f aca="false">IF(AF$11="","",$G$7-COUNTIF(AF$12:AF$23,"B")-COUNTIF(AF$12:AF$23,"O")-COUNTIF(AF$12:AF$23,"W")-COUNTIF(AF$12:AF$23,"!"))</f>
        <v>4</v>
      </c>
      <c r="AG26" s="39" t="n">
        <f aca="false">IF(AG$11="","",$G$7-COUNTIF(AG$12:AG$23,"B")-COUNTIF(AG$12:AG$23,"O")-COUNTIF(AG$12:AG$23,"W")-COUNTIF(AG$12:AG$23,"!"))</f>
        <v>5</v>
      </c>
      <c r="AH26" s="40"/>
      <c r="AI26" s="37"/>
      <c r="AJ26" s="37"/>
    </row>
    <row r="27" customFormat="false" ht="15" hidden="false" customHeight="true" outlineLevel="0" collapsed="false">
      <c r="A27" s="38" t="s">
        <v>22</v>
      </c>
      <c r="B27" s="38"/>
      <c r="C27" s="41" t="n">
        <f aca="false">IF(C$11="","",IFERROR(C25/$G$7,0))</f>
        <v>0.916666666666667</v>
      </c>
      <c r="D27" s="41" t="n">
        <f aca="false">IF(D$11="","",IFERROR(D25/$G$7,0))</f>
        <v>0.833333333333333</v>
      </c>
      <c r="E27" s="41" t="n">
        <f aca="false">IF(E$11="","",IFERROR(E25/$G$7,0))</f>
        <v>0.666666666666667</v>
      </c>
      <c r="F27" s="41" t="n">
        <f aca="false">IF(F$11="","",IFERROR(F25/$G$7,0))</f>
        <v>0.583333333333333</v>
      </c>
      <c r="G27" s="41" t="n">
        <f aca="false">IF(G$11="","",IFERROR(G25/$G$7,0))</f>
        <v>0.583333333333333</v>
      </c>
      <c r="H27" s="41" t="n">
        <f aca="false">IF(H$11="","",IFERROR(H25/$G$7,0))</f>
        <v>0.583333333333333</v>
      </c>
      <c r="I27" s="41" t="n">
        <f aca="false">IF(I$11="","",IFERROR(I25/$G$7,0))</f>
        <v>0.75</v>
      </c>
      <c r="J27" s="41" t="n">
        <f aca="false">IF(J$11="","",IFERROR(J25/$G$7,0))</f>
        <v>0.5</v>
      </c>
      <c r="K27" s="41" t="n">
        <f aca="false">IF(K$11="","",IFERROR(K25/$G$7,0))</f>
        <v>0.333333333333333</v>
      </c>
      <c r="L27" s="41" t="n">
        <f aca="false">IF(L$11="","",IFERROR(L25/$G$7,0))</f>
        <v>0.416666666666667</v>
      </c>
      <c r="M27" s="41" t="n">
        <f aca="false">IF(M$11="","",IFERROR(M25/$G$7,0))</f>
        <v>0.583333333333333</v>
      </c>
      <c r="N27" s="41" t="n">
        <f aca="false">IF(N$11="","",IFERROR(N25/$G$7,0))</f>
        <v>0.583333333333333</v>
      </c>
      <c r="O27" s="41" t="n">
        <f aca="false">IF(O$11="","",IFERROR(O25/$G$7,0))</f>
        <v>0.833333333333333</v>
      </c>
      <c r="P27" s="41" t="n">
        <f aca="false">IF(P$11="","",IFERROR(P25/$G$7,0))</f>
        <v>0.666666666666667</v>
      </c>
      <c r="Q27" s="41" t="n">
        <f aca="false">IF(Q$11="","",IFERROR(Q25/$G$7,0))</f>
        <v>0.666666666666667</v>
      </c>
      <c r="R27" s="41" t="n">
        <f aca="false">IF(R$11="","",IFERROR(R25/$G$7,0))</f>
        <v>0.75</v>
      </c>
      <c r="S27" s="41" t="n">
        <f aca="false">IF(S$11="","",IFERROR(S25/$G$7,0))</f>
        <v>0.916666666666667</v>
      </c>
      <c r="T27" s="41" t="n">
        <f aca="false">IF(T$11="","",IFERROR(T25/$G$7,0))</f>
        <v>0.75</v>
      </c>
      <c r="U27" s="41" t="n">
        <f aca="false">IF(U$11="","",IFERROR(U25/$G$7,0))</f>
        <v>0.75</v>
      </c>
      <c r="V27" s="41" t="n">
        <f aca="false">IF(V$11="","",IFERROR(V25/$G$7,0))</f>
        <v>0.833333333333333</v>
      </c>
      <c r="W27" s="41" t="n">
        <f aca="false">IF(W$11="","",IFERROR(W25/$G$7,0))</f>
        <v>0.75</v>
      </c>
      <c r="X27" s="41" t="n">
        <f aca="false">IF(X$11="","",IFERROR(X25/$G$7,0))</f>
        <v>0.583333333333333</v>
      </c>
      <c r="Y27" s="41" t="n">
        <f aca="false">IF(Y$11="","",IFERROR(Y25/$G$7,0))</f>
        <v>0.583333333333333</v>
      </c>
      <c r="Z27" s="41" t="n">
        <f aca="false">IF(Z$11="","",IFERROR(Z25/$G$7,0))</f>
        <v>0.833333333333333</v>
      </c>
      <c r="AA27" s="41" t="n">
        <f aca="false">IF(AA$11="","",IFERROR(AA25/$G$7,0))</f>
        <v>0.75</v>
      </c>
      <c r="AB27" s="41" t="n">
        <f aca="false">IF(AB$11="","",IFERROR(AB25/$G$7,0))</f>
        <v>0.583333333333333</v>
      </c>
      <c r="AC27" s="41" t="n">
        <f aca="false">IF(AC$11="","",IFERROR(AC25/$G$7,0))</f>
        <v>0.666666666666667</v>
      </c>
      <c r="AD27" s="41" t="n">
        <f aca="false">IF(AD$11="","",IFERROR(AD25/$G$7,0))</f>
        <v>0.75</v>
      </c>
      <c r="AE27" s="41" t="n">
        <f aca="false">IF(AE$11="","",IFERROR(AE25/$G$7,0))</f>
        <v>0.75</v>
      </c>
      <c r="AF27" s="41" t="n">
        <f aca="false">IF(AF$11="","",IFERROR(AF25/$G$7,0))</f>
        <v>0.583333333333333</v>
      </c>
      <c r="AG27" s="41" t="n">
        <f aca="false">IF(AG$11="","",IFERROR(AG25/$G$7,0))</f>
        <v>0.583333333333333</v>
      </c>
      <c r="AH27" s="42" t="n">
        <f aca="false">IFERROR($AH$25/$K$7,0)</f>
        <v>0.674731182795699</v>
      </c>
      <c r="AI27" s="37"/>
      <c r="AJ27" s="37"/>
    </row>
    <row r="28" customFormat="false" ht="15" hidden="false" customHeight="true" outlineLevel="0" collapsed="false">
      <c r="A28" s="38" t="s">
        <v>26</v>
      </c>
      <c r="B28" s="38"/>
      <c r="C28" s="39" t="n">
        <f aca="false">IF(C$11="","",SUMPRODUCT((Buchungen!$D$7:$D$86=C$11)*(Buchungen!$J$7:$J$86="Bestätigt")))</f>
        <v>1</v>
      </c>
      <c r="D28" s="39" t="n">
        <f aca="false">IF(D$11="","",SUMPRODUCT((Buchungen!$D$7:$D$86=D$11)*(Buchungen!$J$7:$J$86="Bestätigt")))</f>
        <v>1</v>
      </c>
      <c r="E28" s="39" t="n">
        <f aca="false">IF(E$11="","",SUMPRODUCT((Buchungen!$D$7:$D$86=E$11)*(Buchungen!$J$7:$J$86="Bestätigt")))</f>
        <v>0</v>
      </c>
      <c r="F28" s="39" t="n">
        <f aca="false">IF(F$11="","",SUMPRODUCT((Buchungen!$D$7:$D$86=F$11)*(Buchungen!$J$7:$J$86="Bestätigt")))</f>
        <v>3</v>
      </c>
      <c r="G28" s="39" t="n">
        <f aca="false">IF(G$11="","",SUMPRODUCT((Buchungen!$D$7:$D$86=G$11)*(Buchungen!$J$7:$J$86="Bestätigt")))</f>
        <v>1</v>
      </c>
      <c r="H28" s="39" t="n">
        <f aca="false">IF(H$11="","",SUMPRODUCT((Buchungen!$D$7:$D$86=H$11)*(Buchungen!$J$7:$J$86="Bestätigt")))</f>
        <v>2</v>
      </c>
      <c r="I28" s="39" t="n">
        <f aca="false">IF(I$11="","",SUMPRODUCT((Buchungen!$D$7:$D$86=I$11)*(Buchungen!$J$7:$J$86="Bestätigt")))</f>
        <v>2</v>
      </c>
      <c r="J28" s="39" t="n">
        <f aca="false">IF(J$11="","",SUMPRODUCT((Buchungen!$D$7:$D$86=J$11)*(Buchungen!$J$7:$J$86="Bestätigt")))</f>
        <v>1</v>
      </c>
      <c r="K28" s="39" t="n">
        <f aca="false">IF(K$11="","",SUMPRODUCT((Buchungen!$D$7:$D$86=K$11)*(Buchungen!$J$7:$J$86="Bestätigt")))</f>
        <v>0</v>
      </c>
      <c r="L28" s="39" t="n">
        <f aca="false">IF(L$11="","",SUMPRODUCT((Buchungen!$D$7:$D$86=L$11)*(Buchungen!$J$7:$J$86="Bestätigt")))</f>
        <v>2</v>
      </c>
      <c r="M28" s="39" t="n">
        <f aca="false">IF(M$11="","",SUMPRODUCT((Buchungen!$D$7:$D$86=M$11)*(Buchungen!$J$7:$J$86="Bestätigt")))</f>
        <v>3</v>
      </c>
      <c r="N28" s="39" t="n">
        <f aca="false">IF(N$11="","",SUMPRODUCT((Buchungen!$D$7:$D$86=N$11)*(Buchungen!$J$7:$J$86="Bestätigt")))</f>
        <v>1</v>
      </c>
      <c r="O28" s="39" t="n">
        <f aca="false">IF(O$11="","",SUMPRODUCT((Buchungen!$D$7:$D$86=O$11)*(Buchungen!$J$7:$J$86="Bestätigt")))</f>
        <v>3</v>
      </c>
      <c r="P28" s="39" t="n">
        <f aca="false">IF(P$11="","",SUMPRODUCT((Buchungen!$D$7:$D$86=P$11)*(Buchungen!$J$7:$J$86="Bestätigt")))</f>
        <v>2</v>
      </c>
      <c r="Q28" s="39" t="n">
        <f aca="false">IF(Q$11="","",SUMPRODUCT((Buchungen!$D$7:$D$86=Q$11)*(Buchungen!$J$7:$J$86="Bestätigt")))</f>
        <v>2</v>
      </c>
      <c r="R28" s="39" t="n">
        <f aca="false">IF(R$11="","",SUMPRODUCT((Buchungen!$D$7:$D$86=R$11)*(Buchungen!$J$7:$J$86="Bestätigt")))</f>
        <v>3</v>
      </c>
      <c r="S28" s="39" t="n">
        <f aca="false">IF(S$11="","",SUMPRODUCT((Buchungen!$D$7:$D$86=S$11)*(Buchungen!$J$7:$J$86="Bestätigt")))</f>
        <v>3</v>
      </c>
      <c r="T28" s="39" t="n">
        <f aca="false">IF(T$11="","",SUMPRODUCT((Buchungen!$D$7:$D$86=T$11)*(Buchungen!$J$7:$J$86="Bestätigt")))</f>
        <v>0</v>
      </c>
      <c r="U28" s="39" t="n">
        <f aca="false">IF(U$11="","",SUMPRODUCT((Buchungen!$D$7:$D$86=U$11)*(Buchungen!$J$7:$J$86="Bestätigt")))</f>
        <v>4</v>
      </c>
      <c r="V28" s="39" t="n">
        <f aca="false">IF(V$11="","",SUMPRODUCT((Buchungen!$D$7:$D$86=V$11)*(Buchungen!$J$7:$J$86="Bestätigt")))</f>
        <v>2</v>
      </c>
      <c r="W28" s="39" t="n">
        <f aca="false">IF(W$11="","",SUMPRODUCT((Buchungen!$D$7:$D$86=W$11)*(Buchungen!$J$7:$J$86="Bestätigt")))</f>
        <v>1</v>
      </c>
      <c r="X28" s="39" t="n">
        <f aca="false">IF(X$11="","",SUMPRODUCT((Buchungen!$D$7:$D$86=X$11)*(Buchungen!$J$7:$J$86="Bestätigt")))</f>
        <v>2</v>
      </c>
      <c r="Y28" s="39" t="n">
        <f aca="false">IF(Y$11="","",SUMPRODUCT((Buchungen!$D$7:$D$86=Y$11)*(Buchungen!$J$7:$J$86="Bestätigt")))</f>
        <v>3</v>
      </c>
      <c r="Z28" s="39" t="n">
        <f aca="false">IF(Z$11="","",SUMPRODUCT((Buchungen!$D$7:$D$86=Z$11)*(Buchungen!$J$7:$J$86="Bestätigt")))</f>
        <v>3</v>
      </c>
      <c r="AA28" s="39" t="n">
        <f aca="false">IF(AA$11="","",SUMPRODUCT((Buchungen!$D$7:$D$86=AA$11)*(Buchungen!$J$7:$J$86="Bestätigt")))</f>
        <v>1</v>
      </c>
      <c r="AB28" s="39" t="n">
        <f aca="false">IF(AB$11="","",SUMPRODUCT((Buchungen!$D$7:$D$86=AB$11)*(Buchungen!$J$7:$J$86="Bestätigt")))</f>
        <v>1</v>
      </c>
      <c r="AC28" s="39" t="n">
        <f aca="false">IF(AC$11="","",SUMPRODUCT((Buchungen!$D$7:$D$86=AC$11)*(Buchungen!$J$7:$J$86="Bestätigt")))</f>
        <v>3</v>
      </c>
      <c r="AD28" s="39" t="n">
        <f aca="false">IF(AD$11="","",SUMPRODUCT((Buchungen!$D$7:$D$86=AD$11)*(Buchungen!$J$7:$J$86="Bestätigt")))</f>
        <v>2</v>
      </c>
      <c r="AE28" s="39" t="n">
        <f aca="false">IF(AE$11="","",SUMPRODUCT((Buchungen!$D$7:$D$86=AE$11)*(Buchungen!$J$7:$J$86="Bestätigt")))</f>
        <v>1</v>
      </c>
      <c r="AF28" s="39" t="n">
        <f aca="false">IF(AF$11="","",SUMPRODUCT((Buchungen!$D$7:$D$86=AF$11)*(Buchungen!$J$7:$J$86="Bestätigt")))</f>
        <v>0</v>
      </c>
      <c r="AG28" s="39" t="n">
        <f aca="false">IF(AG$11="","",SUMPRODUCT((Buchungen!$D$7:$D$86=AG$11)*(Buchungen!$J$7:$J$86="Bestätigt")))</f>
        <v>2</v>
      </c>
      <c r="AH28" s="36" t="n">
        <f aca="false">SUM(C28:AG28)</f>
        <v>55</v>
      </c>
      <c r="AI28" s="37"/>
      <c r="AJ28" s="37"/>
    </row>
    <row r="29" customFormat="false" ht="15" hidden="false" customHeight="true" outlineLevel="0" collapsed="false">
      <c r="A29" s="38" t="s">
        <v>27</v>
      </c>
      <c r="B29" s="38"/>
      <c r="C29" s="39" t="n">
        <f aca="false">IF(C$11="","",SUMPRODUCT((Buchungen!$E$7:$E$86=C$11)*(Buchungen!$J$7:$J$86="Bestätigt")))</f>
        <v>0</v>
      </c>
      <c r="D29" s="39" t="n">
        <f aca="false">IF(D$11="","",SUMPRODUCT((Buchungen!$E$7:$E$86=D$11)*(Buchungen!$J$7:$J$86="Bestätigt")))</f>
        <v>2</v>
      </c>
      <c r="E29" s="39" t="n">
        <f aca="false">IF(E$11="","",SUMPRODUCT((Buchungen!$E$7:$E$86=E$11)*(Buchungen!$J$7:$J$86="Bestätigt")))</f>
        <v>2</v>
      </c>
      <c r="F29" s="39" t="n">
        <f aca="false">IF(F$11="","",SUMPRODUCT((Buchungen!$E$7:$E$86=F$11)*(Buchungen!$J$7:$J$86="Bestätigt")))</f>
        <v>4</v>
      </c>
      <c r="G29" s="39" t="n">
        <f aca="false">IF(G$11="","",SUMPRODUCT((Buchungen!$E$7:$E$86=G$11)*(Buchungen!$J$7:$J$86="Bestätigt")))</f>
        <v>1</v>
      </c>
      <c r="H29" s="39" t="n">
        <f aca="false">IF(H$11="","",SUMPRODUCT((Buchungen!$E$7:$E$86=H$11)*(Buchungen!$J$7:$J$86="Bestätigt")))</f>
        <v>2</v>
      </c>
      <c r="I29" s="39" t="n">
        <f aca="false">IF(I$11="","",SUMPRODUCT((Buchungen!$E$7:$E$86=I$11)*(Buchungen!$J$7:$J$86="Bestätigt")))</f>
        <v>0</v>
      </c>
      <c r="J29" s="39" t="n">
        <f aca="false">IF(J$11="","",SUMPRODUCT((Buchungen!$E$7:$E$86=J$11)*(Buchungen!$J$7:$J$86="Bestätigt")))</f>
        <v>4</v>
      </c>
      <c r="K29" s="39" t="n">
        <f aca="false">IF(K$11="","",SUMPRODUCT((Buchungen!$E$7:$E$86=K$11)*(Buchungen!$J$7:$J$86="Bestätigt")))</f>
        <v>2</v>
      </c>
      <c r="L29" s="39" t="n">
        <f aca="false">IF(L$11="","",SUMPRODUCT((Buchungen!$E$7:$E$86=L$11)*(Buchungen!$J$7:$J$86="Bestätigt")))</f>
        <v>1</v>
      </c>
      <c r="M29" s="39" t="n">
        <f aca="false">IF(M$11="","",SUMPRODUCT((Buchungen!$E$7:$E$86=M$11)*(Buchungen!$J$7:$J$86="Bestätigt")))</f>
        <v>1</v>
      </c>
      <c r="N29" s="39" t="n">
        <f aca="false">IF(N$11="","",SUMPRODUCT((Buchungen!$E$7:$E$86=N$11)*(Buchungen!$J$7:$J$86="Bestätigt")))</f>
        <v>1</v>
      </c>
      <c r="O29" s="39" t="n">
        <f aca="false">IF(O$11="","",SUMPRODUCT((Buchungen!$E$7:$E$86=O$11)*(Buchungen!$J$7:$J$86="Bestätigt")))</f>
        <v>0</v>
      </c>
      <c r="P29" s="39" t="n">
        <f aca="false">IF(P$11="","",SUMPRODUCT((Buchungen!$E$7:$E$86=P$11)*(Buchungen!$J$7:$J$86="Bestätigt")))</f>
        <v>4</v>
      </c>
      <c r="Q29" s="39" t="n">
        <f aca="false">IF(Q$11="","",SUMPRODUCT((Buchungen!$E$7:$E$86=Q$11)*(Buchungen!$J$7:$J$86="Bestätigt")))</f>
        <v>2</v>
      </c>
      <c r="R29" s="39" t="n">
        <f aca="false">IF(R$11="","",SUMPRODUCT((Buchungen!$E$7:$E$86=R$11)*(Buchungen!$J$7:$J$86="Bestätigt")))</f>
        <v>2</v>
      </c>
      <c r="S29" s="39" t="n">
        <f aca="false">IF(S$11="","",SUMPRODUCT((Buchungen!$E$7:$E$86=S$11)*(Buchungen!$J$7:$J$86="Bestätigt")))</f>
        <v>1</v>
      </c>
      <c r="T29" s="39" t="n">
        <f aca="false">IF(T$11="","",SUMPRODUCT((Buchungen!$E$7:$E$86=T$11)*(Buchungen!$J$7:$J$86="Bestätigt")))</f>
        <v>2</v>
      </c>
      <c r="U29" s="39" t="n">
        <f aca="false">IF(U$11="","",SUMPRODUCT((Buchungen!$E$7:$E$86=U$11)*(Buchungen!$J$7:$J$86="Bestätigt")))</f>
        <v>4</v>
      </c>
      <c r="V29" s="39" t="n">
        <f aca="false">IF(V$11="","",SUMPRODUCT((Buchungen!$E$7:$E$86=V$11)*(Buchungen!$J$7:$J$86="Bestätigt")))</f>
        <v>1</v>
      </c>
      <c r="W29" s="39" t="n">
        <f aca="false">IF(W$11="","",SUMPRODUCT((Buchungen!$E$7:$E$86=W$11)*(Buchungen!$J$7:$J$86="Bestätigt")))</f>
        <v>2</v>
      </c>
      <c r="X29" s="39" t="n">
        <f aca="false">IF(X$11="","",SUMPRODUCT((Buchungen!$E$7:$E$86=X$11)*(Buchungen!$J$7:$J$86="Bestätigt")))</f>
        <v>4</v>
      </c>
      <c r="Y29" s="39" t="n">
        <f aca="false">IF(Y$11="","",SUMPRODUCT((Buchungen!$E$7:$E$86=Y$11)*(Buchungen!$J$7:$J$86="Bestätigt")))</f>
        <v>3</v>
      </c>
      <c r="Z29" s="39" t="n">
        <f aca="false">IF(Z$11="","",SUMPRODUCT((Buchungen!$E$7:$E$86=Z$11)*(Buchungen!$J$7:$J$86="Bestätigt")))</f>
        <v>0</v>
      </c>
      <c r="AA29" s="39" t="n">
        <f aca="false">IF(AA$11="","",SUMPRODUCT((Buchungen!$E$7:$E$86=AA$11)*(Buchungen!$J$7:$J$86="Bestätigt")))</f>
        <v>2</v>
      </c>
      <c r="AB29" s="39" t="n">
        <f aca="false">IF(AB$11="","",SUMPRODUCT((Buchungen!$E$7:$E$86=AB$11)*(Buchungen!$J$7:$J$86="Bestätigt")))</f>
        <v>3</v>
      </c>
      <c r="AC29" s="39" t="n">
        <f aca="false">IF(AC$11="","",SUMPRODUCT((Buchungen!$E$7:$E$86=AC$11)*(Buchungen!$J$7:$J$86="Bestätigt")))</f>
        <v>2</v>
      </c>
      <c r="AD29" s="39" t="n">
        <f aca="false">IF(AD$11="","",SUMPRODUCT((Buchungen!$E$7:$E$86=AD$11)*(Buchungen!$J$7:$J$86="Bestätigt")))</f>
        <v>1</v>
      </c>
      <c r="AE29" s="39" t="n">
        <f aca="false">IF(AE$11="","",SUMPRODUCT((Buchungen!$E$7:$E$86=AE$11)*(Buchungen!$J$7:$J$86="Bestätigt")))</f>
        <v>1</v>
      </c>
      <c r="AF29" s="39" t="n">
        <f aca="false">IF(AF$11="","",SUMPRODUCT((Buchungen!$E$7:$E$86=AF$11)*(Buchungen!$J$7:$J$86="Bestätigt")))</f>
        <v>2</v>
      </c>
      <c r="AG29" s="39" t="n">
        <f aca="false">IF(AG$11="","",SUMPRODUCT((Buchungen!$E$7:$E$86=AG$11)*(Buchungen!$J$7:$J$86="Bestätigt")))</f>
        <v>2</v>
      </c>
      <c r="AH29" s="36" t="n">
        <f aca="false">SUM(C29:AG29)</f>
        <v>58</v>
      </c>
      <c r="AI29" s="37"/>
      <c r="AJ29" s="37"/>
    </row>
    <row r="30" customFormat="false" ht="9.75" hidden="false" customHeight="true" outlineLevel="0" collapsed="false"/>
    <row r="31" customFormat="false" ht="18" hidden="false" customHeight="true" outlineLevel="0" collapsed="false">
      <c r="A31" s="43" t="s">
        <v>28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</row>
    <row r="32" customFormat="false" ht="15" hidden="false" customHeight="true" outlineLevel="0" collapsed="false">
      <c r="A32" s="44" t="s">
        <v>29</v>
      </c>
      <c r="B32" s="45" t="s">
        <v>30</v>
      </c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P32" s="46" t="s">
        <v>31</v>
      </c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</row>
    <row r="33" customFormat="false" ht="15" hidden="false" customHeight="true" outlineLevel="0" collapsed="false">
      <c r="A33" s="47" t="s">
        <v>32</v>
      </c>
      <c r="B33" s="45" t="s">
        <v>33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P33" s="46" t="s">
        <v>34</v>
      </c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</row>
    <row r="34" customFormat="false" ht="15" hidden="false" customHeight="true" outlineLevel="0" collapsed="false">
      <c r="A34" s="48" t="s">
        <v>35</v>
      </c>
      <c r="B34" s="45" t="s">
        <v>36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P34" s="46" t="s">
        <v>37</v>
      </c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</row>
    <row r="35" customFormat="false" ht="15" hidden="false" customHeight="true" outlineLevel="0" collapsed="false">
      <c r="A35" s="49" t="s">
        <v>38</v>
      </c>
      <c r="B35" s="45" t="s">
        <v>39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P35" s="46" t="s">
        <v>40</v>
      </c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</row>
    <row r="36" customFormat="false" ht="15" hidden="false" customHeight="true" outlineLevel="0" collapsed="false">
      <c r="A36" s="50"/>
      <c r="B36" s="45" t="s">
        <v>41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P36" s="46" t="s">
        <v>42</v>
      </c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</row>
    <row r="38" customFormat="false" ht="15" hidden="false" customHeight="false" outlineLevel="0" collapsed="false">
      <c r="A38" s="51" t="s">
        <v>43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</row>
  </sheetData>
  <mergeCells count="41">
    <mergeCell ref="A2:P2"/>
    <mergeCell ref="AA2:AJ3"/>
    <mergeCell ref="A3:P3"/>
    <mergeCell ref="C6:F6"/>
    <mergeCell ref="G6:J6"/>
    <mergeCell ref="K6:N6"/>
    <mergeCell ref="O6:R6"/>
    <mergeCell ref="S6:V6"/>
    <mergeCell ref="W6:Z6"/>
    <mergeCell ref="AA6:AD6"/>
    <mergeCell ref="AE6:AH6"/>
    <mergeCell ref="AI6:AJ6"/>
    <mergeCell ref="C7:F7"/>
    <mergeCell ref="G7:J7"/>
    <mergeCell ref="K7:N7"/>
    <mergeCell ref="O7:R7"/>
    <mergeCell ref="S7:V7"/>
    <mergeCell ref="W7:Z7"/>
    <mergeCell ref="AA7:AD7"/>
    <mergeCell ref="AE7:AH7"/>
    <mergeCell ref="AI7:AJ7"/>
    <mergeCell ref="B8:J8"/>
    <mergeCell ref="A10:B10"/>
    <mergeCell ref="AH10:AJ10"/>
    <mergeCell ref="A25:B25"/>
    <mergeCell ref="A26:B26"/>
    <mergeCell ref="A27:B27"/>
    <mergeCell ref="A28:B28"/>
    <mergeCell ref="A29:B29"/>
    <mergeCell ref="A31:AJ31"/>
    <mergeCell ref="B32:N32"/>
    <mergeCell ref="P32:AJ32"/>
    <mergeCell ref="B33:N33"/>
    <mergeCell ref="P33:AJ33"/>
    <mergeCell ref="B34:N34"/>
    <mergeCell ref="P34:AJ34"/>
    <mergeCell ref="B35:N35"/>
    <mergeCell ref="P35:AJ35"/>
    <mergeCell ref="B36:N36"/>
    <mergeCell ref="P36:AJ36"/>
    <mergeCell ref="A38:AJ38"/>
  </mergeCells>
  <conditionalFormatting sqref="C12:AG23">
    <cfRule type="cellIs" priority="2" operator="equal" aboveAverage="0" equalAverage="0" bottom="0" percent="0" rank="0" text="" dxfId="0">
      <formula>"!"</formula>
    </cfRule>
    <cfRule type="cellIs" priority="3" operator="equal" aboveAverage="0" equalAverage="0" bottom="0" percent="0" rank="0" text="" dxfId="1">
      <formula>"B"</formula>
    </cfRule>
    <cfRule type="cellIs" priority="4" operator="equal" aboveAverage="0" equalAverage="0" bottom="0" percent="0" rank="0" text="" dxfId="2">
      <formula>"O"</formula>
    </cfRule>
    <cfRule type="cellIs" priority="5" operator="equal" aboveAverage="0" equalAverage="0" bottom="0" percent="0" rank="0" text="" dxfId="3">
      <formula>"W"</formula>
    </cfRule>
    <cfRule type="expression" priority="6" aboveAverage="0" equalAverage="0" bottom="0" percent="0" rank="0" text="" dxfId="4">
      <formula>C$11=""</formula>
    </cfRule>
    <cfRule type="expression" priority="7" aboveAverage="0" equalAverage="0" bottom="0" percent="0" rank="0" text="" dxfId="5">
      <formula>AND(C$11&lt;&gt;"",WEEKDAY(C$11,2)&gt;5)</formula>
    </cfRule>
  </conditionalFormatting>
  <conditionalFormatting sqref="C10:AG10">
    <cfRule type="expression" priority="8" aboveAverage="0" equalAverage="0" bottom="0" percent="0" rank="0" text="" dxfId="4">
      <formula>C$11=""</formula>
    </cfRule>
    <cfRule type="expression" priority="9" aboveAverage="0" equalAverage="0" bottom="0" percent="0" rank="0" text="" dxfId="6">
      <formula>AND(C$11&lt;&gt;"",WEEKDAY(C$11,2)&gt;5)</formula>
    </cfRule>
  </conditionalFormatting>
  <conditionalFormatting sqref="C25:AG29">
    <cfRule type="expression" priority="10" aboveAverage="0" equalAverage="0" bottom="0" percent="0" rank="0" text="" dxfId="4">
      <formula>C$11=""</formula>
    </cfRule>
    <cfRule type="expression" priority="11" aboveAverage="0" equalAverage="0" bottom="0" percent="0" rank="0" text="" dxfId="6">
      <formula>AND(C$11&lt;&gt;"",WEEKDAY(C$11,2)&gt;5)</formula>
    </cfRule>
  </conditionalFormatting>
  <conditionalFormatting sqref="C11:AG11">
    <cfRule type="expression" priority="12" aboveAverage="0" equalAverage="0" bottom="0" percent="0" rank="0" text="" dxfId="7">
      <formula>AND(C$11&lt;&gt;"",WEEKDAY(C$11,2)&gt;5)</formula>
    </cfRule>
  </conditionalFormatting>
  <conditionalFormatting sqref="C27:AG27">
    <cfRule type="cellIs" priority="13" operator="greaterThanOrEqual" aboveAverage="0" equalAverage="0" bottom="0" percent="0" rank="0" text="" dxfId="8">
      <formula>0.9</formula>
    </cfRule>
  </conditionalFormatting>
  <dataValidations count="1">
    <dataValidation allowBlank="false" errorStyle="stop" operator="between" showDropDown="false" showErrorMessage="false" showInputMessage="false" sqref="B6" type="list">
      <formula1>Stammdaten!$N$7:$N$18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F8354"/>
    <pageSetUpPr fitToPage="true"/>
  </sheetPr>
  <dimension ref="A1:R88"/>
  <sheetViews>
    <sheetView showFormulas="false" showGridLines="false" showRowColHeaders="true" showZeros="true" rightToLeft="false" tabSelected="false" showOutlineSymbols="true" defaultGridColor="true" view="normal" topLeftCell="A1" colorId="64" zoomScale="95" zoomScaleNormal="95" zoomScalePageLayoutView="100" workbookViewId="0">
      <pane xSplit="3" ySplit="6" topLeftCell="D7" activePane="bottomRight" state="frozen"/>
      <selection pane="topLeft" activeCell="A1" activeCellId="0" sqref="A1"/>
      <selection pane="topRight" activeCell="D1" activeCellId="0" sqref="D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9"/>
    <col collapsed="false" customWidth="true" hidden="false" outlineLevel="0" max="3" min="3" style="0" width="26"/>
    <col collapsed="false" customWidth="true" hidden="false" outlineLevel="0" max="5" min="4" style="0" width="12"/>
    <col collapsed="false" customWidth="true" hidden="false" outlineLevel="0" max="6" min="6" style="0" width="8"/>
    <col collapsed="false" customWidth="true" hidden="false" outlineLevel="0" max="7" min="7" style="0" width="9.51"/>
    <col collapsed="false" customWidth="true" hidden="false" outlineLevel="0" max="8" min="8" style="0" width="12"/>
    <col collapsed="false" customWidth="true" hidden="false" outlineLevel="0" max="9" min="9" style="0" width="13"/>
    <col collapsed="false" customWidth="true" hidden="false" outlineLevel="0" max="10" min="10" style="0" width="17"/>
    <col collapsed="false" customWidth="true" hidden="false" outlineLevel="0" max="11" min="11" style="0" width="6.51"/>
    <col collapsed="false" customWidth="true" hidden="false" outlineLevel="0" max="12" min="12" style="0" width="17"/>
    <col collapsed="false" customWidth="true" hidden="false" outlineLevel="0" max="13" min="13" style="0" width="12"/>
    <col collapsed="false" customWidth="true" hidden="false" outlineLevel="0" max="14" min="14" style="0" width="14"/>
    <col collapsed="false" customWidth="true" hidden="false" outlineLevel="0" max="15" min="15" style="0" width="9.51"/>
    <col collapsed="false" customWidth="true" hidden="false" outlineLevel="0" max="16" min="16" style="0" width="14"/>
    <col collapsed="false" customWidth="true" hidden="false" outlineLevel="0" max="17" min="17" style="0" width="16"/>
    <col collapsed="false" customWidth="true" hidden="false" outlineLevel="0" max="18" min="18" style="0" width="30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customFormat="false" ht="27.75" hidden="false" customHeight="true" outlineLevel="0" collapsed="false">
      <c r="A2" s="52" t="s">
        <v>44</v>
      </c>
      <c r="B2" s="52"/>
      <c r="C2" s="52"/>
      <c r="D2" s="52"/>
      <c r="E2" s="52"/>
      <c r="F2" s="52"/>
      <c r="G2" s="52"/>
      <c r="H2" s="52"/>
      <c r="I2" s="3"/>
      <c r="J2" s="3"/>
      <c r="K2" s="3"/>
      <c r="L2" s="3"/>
      <c r="M2" s="3"/>
      <c r="N2" s="3"/>
      <c r="O2" s="3"/>
      <c r="P2" s="3"/>
      <c r="Q2" s="3"/>
      <c r="R2" s="3"/>
    </row>
    <row r="3" customFormat="false" ht="15.75" hidden="false" customHeight="true" outlineLevel="0" collapsed="false">
      <c r="A3" s="53" t="s">
        <v>45</v>
      </c>
      <c r="B3" s="53"/>
      <c r="C3" s="53"/>
      <c r="D3" s="53"/>
      <c r="E3" s="53"/>
      <c r="F3" s="53"/>
      <c r="G3" s="53"/>
      <c r="H3" s="53"/>
      <c r="I3" s="3"/>
      <c r="J3" s="3"/>
      <c r="K3" s="3"/>
      <c r="L3" s="3"/>
      <c r="M3" s="3"/>
      <c r="N3" s="3"/>
      <c r="O3" s="3"/>
      <c r="P3" s="3"/>
      <c r="Q3" s="3"/>
      <c r="R3" s="3"/>
    </row>
    <row r="4" customFormat="false" ht="7.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customFormat="false" ht="21.75" hidden="false" customHeight="true" outlineLevel="0" collapsed="false">
      <c r="A5" s="54" t="s">
        <v>46</v>
      </c>
      <c r="B5" s="54"/>
      <c r="C5" s="55" t="n">
        <f aca="false">COUNTA($A$7:$A$86)</f>
        <v>80</v>
      </c>
      <c r="D5" s="54" t="s">
        <v>47</v>
      </c>
      <c r="E5" s="54"/>
      <c r="F5" s="56" t="n">
        <f aca="false">SUMIF($J$7:$J$86,"Bestätigt",$F$7:$F$86)</f>
        <v>296</v>
      </c>
      <c r="G5" s="54" t="s">
        <v>48</v>
      </c>
      <c r="H5" s="54"/>
      <c r="I5" s="57" t="n">
        <f aca="false">SUMIF($J$7:$J$86,"Bestätigt",$I$7:$I$86)</f>
        <v>41436</v>
      </c>
      <c r="J5" s="54" t="s">
        <v>49</v>
      </c>
      <c r="K5" s="54"/>
      <c r="L5" s="57" t="n">
        <f aca="false">SUM($N$7:$N$86)</f>
        <v>32682.2</v>
      </c>
      <c r="M5" s="54" t="s">
        <v>50</v>
      </c>
      <c r="N5" s="54"/>
      <c r="O5" s="58" t="n">
        <f aca="false">IFERROR(SUMIF($J$7:$J$86,"Bestätigt",$F$7:$F$86)/COUNTIF($J$7:$J$86,"Bestätigt"),0)</f>
        <v>4.35294117647059</v>
      </c>
      <c r="Q5" s="59" t="s">
        <v>51</v>
      </c>
      <c r="R5" s="55" t="n">
        <f aca="false">COUNTIF($Q$7:$Q$86,"Überschneidung")+COUNTIF($Q$7:$Q$86,"Datum prüfen")+COUNTIF($Q$7:$Q$86,"Kapazität prüfen")</f>
        <v>0</v>
      </c>
    </row>
    <row r="6" customFormat="false" ht="25.5" hidden="false" customHeight="true" outlineLevel="0" collapsed="false">
      <c r="A6" s="60" t="s">
        <v>52</v>
      </c>
      <c r="B6" s="60" t="s">
        <v>19</v>
      </c>
      <c r="C6" s="60" t="s">
        <v>53</v>
      </c>
      <c r="D6" s="60" t="s">
        <v>54</v>
      </c>
      <c r="E6" s="60" t="s">
        <v>55</v>
      </c>
      <c r="F6" s="60" t="s">
        <v>21</v>
      </c>
      <c r="G6" s="60" t="s">
        <v>56</v>
      </c>
      <c r="H6" s="60" t="s">
        <v>57</v>
      </c>
      <c r="I6" s="60" t="s">
        <v>58</v>
      </c>
      <c r="J6" s="60" t="s">
        <v>59</v>
      </c>
      <c r="K6" s="60" t="s">
        <v>60</v>
      </c>
      <c r="L6" s="60" t="s">
        <v>61</v>
      </c>
      <c r="M6" s="60" t="s">
        <v>62</v>
      </c>
      <c r="N6" s="60" t="s">
        <v>63</v>
      </c>
      <c r="O6" s="60" t="s">
        <v>64</v>
      </c>
      <c r="P6" s="60" t="s">
        <v>65</v>
      </c>
      <c r="Q6" s="60" t="s">
        <v>66</v>
      </c>
      <c r="R6" s="60" t="s">
        <v>67</v>
      </c>
    </row>
    <row r="7" customFormat="false" ht="15" hidden="false" customHeight="true" outlineLevel="0" collapsed="false">
      <c r="A7" s="61" t="s">
        <v>68</v>
      </c>
      <c r="B7" s="62" t="s">
        <v>69</v>
      </c>
      <c r="C7" s="63" t="s">
        <v>70</v>
      </c>
      <c r="D7" s="64" t="n">
        <v>46199</v>
      </c>
      <c r="E7" s="64" t="n">
        <v>46206</v>
      </c>
      <c r="F7" s="65" t="n">
        <f aca="false">IF(OR($D7="",$E7=""),"",$E7-$D7)</f>
        <v>7</v>
      </c>
      <c r="G7" s="62" t="n">
        <v>2</v>
      </c>
      <c r="H7" s="66" t="n">
        <f aca="false">IF($B7="","",IF($J7="Wartung/Sperrung",0,IFERROR(INDEX(Stammdaten!$F$7:$F$18,MATCH($B7,Stammdaten!$A$7:$A$18,0)),0)))</f>
        <v>109</v>
      </c>
      <c r="I7" s="66" t="n">
        <f aca="false">IF($B7="","",IF($J7="Storniert",0,$F7*$H7))</f>
        <v>763</v>
      </c>
      <c r="J7" s="67" t="s">
        <v>71</v>
      </c>
      <c r="K7" s="68" t="str">
        <f aca="false">IFERROR(INDEX(Stammdaten!$J$7:$J$10,MATCH($J7,Stammdaten!$I$7:$I$10,0)),"")</f>
        <v>B</v>
      </c>
      <c r="L7" s="67" t="s">
        <v>72</v>
      </c>
      <c r="M7" s="69" t="n">
        <v>0</v>
      </c>
      <c r="N7" s="66" t="n">
        <f aca="false">IF($B7="","",$I7-$M7)</f>
        <v>763</v>
      </c>
      <c r="O7" s="70" t="n">
        <f aca="false">IF($B7="","",IF($J7&lt;&gt;"Bestätigt",0,MAX(0,MIN($E7,Zimmerbelegungsplan!$B$7+Zimmerbelegungsplan!$C$7)-MAX($D7,Zimmerbelegungsplan!$B$7))))</f>
        <v>2</v>
      </c>
      <c r="P7" s="71" t="n">
        <f aca="false">IF($B7="","",$O7*$H7)</f>
        <v>218</v>
      </c>
      <c r="Q7" s="72" t="str">
        <f aca="false">IF($B7="","",IF(OR($D7="",$E7=""),"Datum fehlt",IF($E7&lt;=$D7,"Datum prüfen",IF($J7="Storniert","–",IF(SUMPRODUCT(($B$7:$B$86=$B7)*($B$7:$B$86&lt;&gt;"")*($J$7:$J$86&lt;&gt;"Storniert")*($D$7:$D$86&lt;$E7)*($E$7:$E$86&gt;$D7))&gt;1,"Überschneidung",IF($G7&gt;IFERROR(INDEX(Stammdaten!$D$7:$D$18,MATCH($B7,Stammdaten!$A$7:$A$18,0)),99),"Kapazität prüfen","OK"))))))</f>
        <v>OK</v>
      </c>
      <c r="R7" s="73" t="s">
        <v>73</v>
      </c>
    </row>
    <row r="8" customFormat="false" ht="15" hidden="false" customHeight="true" outlineLevel="0" collapsed="false">
      <c r="A8" s="61" t="s">
        <v>74</v>
      </c>
      <c r="B8" s="62" t="s">
        <v>75</v>
      </c>
      <c r="C8" s="63" t="s">
        <v>76</v>
      </c>
      <c r="D8" s="64" t="n">
        <v>46199</v>
      </c>
      <c r="E8" s="64" t="n">
        <v>46202</v>
      </c>
      <c r="F8" s="74" t="n">
        <f aca="false">IF(OR($D8="",$E8=""),"",$E8-$D8)</f>
        <v>3</v>
      </c>
      <c r="G8" s="62" t="n">
        <v>2</v>
      </c>
      <c r="H8" s="75" t="n">
        <f aca="false">IF($B8="","",IF($J8="Wartung/Sperrung",0,IFERROR(INDEX(Stammdaten!$F$7:$F$18,MATCH($B8,Stammdaten!$A$7:$A$18,0)),0)))</f>
        <v>129</v>
      </c>
      <c r="I8" s="75" t="n">
        <f aca="false">IF($B8="","",IF($J8="Storniert",0,$F8*$H8))</f>
        <v>387</v>
      </c>
      <c r="J8" s="67" t="s">
        <v>71</v>
      </c>
      <c r="K8" s="76" t="str">
        <f aca="false">IFERROR(INDEX(Stammdaten!$J$7:$J$10,MATCH($J8,Stammdaten!$I$7:$I$10,0)),"")</f>
        <v>B</v>
      </c>
      <c r="L8" s="67" t="s">
        <v>77</v>
      </c>
      <c r="M8" s="69" t="n">
        <v>387</v>
      </c>
      <c r="N8" s="75" t="n">
        <f aca="false">IF($B8="","",$I8-$M8)</f>
        <v>0</v>
      </c>
      <c r="O8" s="77" t="n">
        <f aca="false">IF($B8="","",IF($J8&lt;&gt;"Bestätigt",0,MAX(0,MIN($E8,Zimmerbelegungsplan!$B$7+Zimmerbelegungsplan!$C$7)-MAX($D8,Zimmerbelegungsplan!$B$7))))</f>
        <v>0</v>
      </c>
      <c r="P8" s="78" t="n">
        <f aca="false">IF($B8="","",$O8*$H8)</f>
        <v>0</v>
      </c>
      <c r="Q8" s="79" t="str">
        <f aca="false">IF($B8="","",IF(OR($D8="",$E8=""),"Datum fehlt",IF($E8&lt;=$D8,"Datum prüfen",IF($J8="Storniert","–",IF(SUMPRODUCT(($B$7:$B$86=$B8)*($B$7:$B$86&lt;&gt;"")*($J$7:$J$86&lt;&gt;"Storniert")*($D$7:$D$86&lt;$E8)*($E$7:$E$86&gt;$D8))&gt;1,"Überschneidung",IF($G8&gt;IFERROR(INDEX(Stammdaten!$D$7:$D$18,MATCH($B8,Stammdaten!$A$7:$A$18,0)),99),"Kapazität prüfen","OK"))))))</f>
        <v>OK</v>
      </c>
      <c r="R8" s="73"/>
    </row>
    <row r="9" customFormat="false" ht="15" hidden="false" customHeight="true" outlineLevel="0" collapsed="false">
      <c r="A9" s="61" t="s">
        <v>78</v>
      </c>
      <c r="B9" s="62" t="s">
        <v>79</v>
      </c>
      <c r="C9" s="63" t="s">
        <v>80</v>
      </c>
      <c r="D9" s="64" t="n">
        <v>46200</v>
      </c>
      <c r="E9" s="64" t="n">
        <v>46207</v>
      </c>
      <c r="F9" s="65" t="n">
        <f aca="false">IF(OR($D9="",$E9=""),"",$E9-$D9)</f>
        <v>7</v>
      </c>
      <c r="G9" s="62" t="n">
        <v>2</v>
      </c>
      <c r="H9" s="66" t="n">
        <f aca="false">IF($B9="","",IF($J9="Wartung/Sperrung",0,IFERROR(INDEX(Stammdaten!$F$7:$F$18,MATCH($B9,Stammdaten!$A$7:$A$18,0)),0)))</f>
        <v>109</v>
      </c>
      <c r="I9" s="66" t="n">
        <f aca="false">IF($B9="","",IF($J9="Storniert",0,$F9*$H9))</f>
        <v>763</v>
      </c>
      <c r="J9" s="67" t="s">
        <v>71</v>
      </c>
      <c r="K9" s="68" t="str">
        <f aca="false">IFERROR(INDEX(Stammdaten!$J$7:$J$10,MATCH($J9,Stammdaten!$I$7:$I$10,0)),"")</f>
        <v>B</v>
      </c>
      <c r="L9" s="67" t="s">
        <v>81</v>
      </c>
      <c r="M9" s="69" t="n">
        <v>152.6</v>
      </c>
      <c r="N9" s="66" t="n">
        <f aca="false">IF($B9="","",$I9-$M9)</f>
        <v>610.4</v>
      </c>
      <c r="O9" s="70" t="n">
        <f aca="false">IF($B9="","",IF($J9&lt;&gt;"Bestätigt",0,MAX(0,MIN($E9,Zimmerbelegungsplan!$B$7+Zimmerbelegungsplan!$C$7)-MAX($D9,Zimmerbelegungsplan!$B$7))))</f>
        <v>3</v>
      </c>
      <c r="P9" s="71" t="n">
        <f aca="false">IF($B9="","",$O9*$H9)</f>
        <v>327</v>
      </c>
      <c r="Q9" s="72" t="str">
        <f aca="false">IF($B9="","",IF(OR($D9="",$E9=""),"Datum fehlt",IF($E9&lt;=$D9,"Datum prüfen",IF($J9="Storniert","–",IF(SUMPRODUCT(($B$7:$B$86=$B9)*($B$7:$B$86&lt;&gt;"")*($J$7:$J$86&lt;&gt;"Storniert")*($D$7:$D$86&lt;$E9)*($E$7:$E$86&gt;$D9))&gt;1,"Überschneidung",IF($G9&gt;IFERROR(INDEX(Stammdaten!$D$7:$D$18,MATCH($B9,Stammdaten!$A$7:$A$18,0)),99),"Kapazität prüfen","OK"))))))</f>
        <v>OK</v>
      </c>
      <c r="R9" s="73"/>
    </row>
    <row r="10" customFormat="false" ht="15" hidden="false" customHeight="true" outlineLevel="0" collapsed="false">
      <c r="A10" s="61" t="s">
        <v>82</v>
      </c>
      <c r="B10" s="62" t="s">
        <v>83</v>
      </c>
      <c r="C10" s="63" t="s">
        <v>84</v>
      </c>
      <c r="D10" s="64" t="n">
        <v>46200</v>
      </c>
      <c r="E10" s="64" t="n">
        <v>46205</v>
      </c>
      <c r="F10" s="74" t="n">
        <f aca="false">IF(OR($D10="",$E10=""),"",$E10-$D10)</f>
        <v>5</v>
      </c>
      <c r="G10" s="62" t="n">
        <v>2</v>
      </c>
      <c r="H10" s="75" t="n">
        <f aca="false">IF($B10="","",IF($J10="Wartung/Sperrung",0,IFERROR(INDEX(Stammdaten!$F$7:$F$18,MATCH($B10,Stammdaten!$A$7:$A$18,0)),0)))</f>
        <v>129</v>
      </c>
      <c r="I10" s="75" t="n">
        <f aca="false">IF($B10="","",IF($J10="Storniert",0,$F10*$H10))</f>
        <v>645</v>
      </c>
      <c r="J10" s="67" t="s">
        <v>71</v>
      </c>
      <c r="K10" s="76" t="str">
        <f aca="false">IFERROR(INDEX(Stammdaten!$J$7:$J$10,MATCH($J10,Stammdaten!$I$7:$I$10,0)),"")</f>
        <v>B</v>
      </c>
      <c r="L10" s="67" t="s">
        <v>72</v>
      </c>
      <c r="M10" s="69" t="n">
        <v>645</v>
      </c>
      <c r="N10" s="75" t="n">
        <f aca="false">IF($B10="","",$I10-$M10)</f>
        <v>0</v>
      </c>
      <c r="O10" s="77" t="n">
        <f aca="false">IF($B10="","",IF($J10&lt;&gt;"Bestätigt",0,MAX(0,MIN($E10,Zimmerbelegungsplan!$B$7+Zimmerbelegungsplan!$C$7)-MAX($D10,Zimmerbelegungsplan!$B$7))))</f>
        <v>1</v>
      </c>
      <c r="P10" s="78" t="n">
        <f aca="false">IF($B10="","",$O10*$H10)</f>
        <v>129</v>
      </c>
      <c r="Q10" s="79" t="str">
        <f aca="false">IF($B10="","",IF(OR($D10="",$E10=""),"Datum fehlt",IF($E10&lt;=$D10,"Datum prüfen",IF($J10="Storniert","–",IF(SUMPRODUCT(($B$7:$B$86=$B10)*($B$7:$B$86&lt;&gt;"")*($J$7:$J$86&lt;&gt;"Storniert")*($D$7:$D$86&lt;$E10)*($E$7:$E$86&gt;$D10))&gt;1,"Überschneidung",IF($G10&gt;IFERROR(INDEX(Stammdaten!$D$7:$D$18,MATCH($B10,Stammdaten!$A$7:$A$18,0)),99),"Kapazität prüfen","OK"))))))</f>
        <v>OK</v>
      </c>
      <c r="R10" s="73" t="s">
        <v>85</v>
      </c>
    </row>
    <row r="11" customFormat="false" ht="15" hidden="false" customHeight="true" outlineLevel="0" collapsed="false">
      <c r="A11" s="61" t="s">
        <v>86</v>
      </c>
      <c r="B11" s="62" t="s">
        <v>87</v>
      </c>
      <c r="C11" s="63" t="s">
        <v>88</v>
      </c>
      <c r="D11" s="64" t="n">
        <v>46200</v>
      </c>
      <c r="E11" s="64" t="n">
        <v>46206</v>
      </c>
      <c r="F11" s="65" t="n">
        <f aca="false">IF(OR($D11="",$E11=""),"",$E11-$D11)</f>
        <v>6</v>
      </c>
      <c r="G11" s="62" t="n">
        <v>2</v>
      </c>
      <c r="H11" s="66" t="n">
        <f aca="false">IF($B11="","",IF($J11="Wartung/Sperrung",0,IFERROR(INDEX(Stammdaten!$F$7:$F$18,MATCH($B11,Stammdaten!$A$7:$A$18,0)),0)))</f>
        <v>145</v>
      </c>
      <c r="I11" s="66" t="n">
        <f aca="false">IF($B11="","",IF($J11="Storniert",0,$F11*$H11))</f>
        <v>870</v>
      </c>
      <c r="J11" s="67" t="s">
        <v>71</v>
      </c>
      <c r="K11" s="68" t="str">
        <f aca="false">IFERROR(INDEX(Stammdaten!$J$7:$J$10,MATCH($J11,Stammdaten!$I$7:$I$10,0)),"")</f>
        <v>B</v>
      </c>
      <c r="L11" s="67" t="s">
        <v>89</v>
      </c>
      <c r="M11" s="69" t="n">
        <v>0</v>
      </c>
      <c r="N11" s="66" t="n">
        <f aca="false">IF($B11="","",$I11-$M11)</f>
        <v>870</v>
      </c>
      <c r="O11" s="70" t="n">
        <f aca="false">IF($B11="","",IF($J11&lt;&gt;"Bestätigt",0,MAX(0,MIN($E11,Zimmerbelegungsplan!$B$7+Zimmerbelegungsplan!$C$7)-MAX($D11,Zimmerbelegungsplan!$B$7))))</f>
        <v>2</v>
      </c>
      <c r="P11" s="71" t="n">
        <f aca="false">IF($B11="","",$O11*$H11)</f>
        <v>290</v>
      </c>
      <c r="Q11" s="72" t="str">
        <f aca="false">IF($B11="","",IF(OR($D11="",$E11=""),"Datum fehlt",IF($E11&lt;=$D11,"Datum prüfen",IF($J11="Storniert","–",IF(SUMPRODUCT(($B$7:$B$86=$B11)*($B$7:$B$86&lt;&gt;"")*($J$7:$J$86&lt;&gt;"Storniert")*($D$7:$D$86&lt;$E11)*($E$7:$E$86&gt;$D11))&gt;1,"Überschneidung",IF($G11&gt;IFERROR(INDEX(Stammdaten!$D$7:$D$18,MATCH($B11,Stammdaten!$A$7:$A$18,0)),99),"Kapazität prüfen","OK"))))))</f>
        <v>OK</v>
      </c>
      <c r="R11" s="73"/>
    </row>
    <row r="12" customFormat="false" ht="15" hidden="false" customHeight="true" outlineLevel="0" collapsed="false">
      <c r="A12" s="61" t="s">
        <v>90</v>
      </c>
      <c r="B12" s="62" t="s">
        <v>91</v>
      </c>
      <c r="C12" s="63" t="s">
        <v>92</v>
      </c>
      <c r="D12" s="64" t="n">
        <v>46201</v>
      </c>
      <c r="E12" s="64" t="n">
        <v>46203</v>
      </c>
      <c r="F12" s="74" t="n">
        <f aca="false">IF(OR($D12="",$E12=""),"",$E12-$D12)</f>
        <v>2</v>
      </c>
      <c r="G12" s="62" t="n">
        <v>1</v>
      </c>
      <c r="H12" s="75" t="n">
        <f aca="false">IF($B12="","",IF($J12="Wartung/Sperrung",0,IFERROR(INDEX(Stammdaten!$F$7:$F$18,MATCH($B12,Stammdaten!$A$7:$A$18,0)),0)))</f>
        <v>89</v>
      </c>
      <c r="I12" s="75" t="n">
        <f aca="false">IF($B12="","",IF($J12="Storniert",0,$F12*$H12))</f>
        <v>178</v>
      </c>
      <c r="J12" s="67" t="s">
        <v>71</v>
      </c>
      <c r="K12" s="76" t="str">
        <f aca="false">IFERROR(INDEX(Stammdaten!$J$7:$J$10,MATCH($J12,Stammdaten!$I$7:$I$10,0)),"")</f>
        <v>B</v>
      </c>
      <c r="L12" s="67" t="s">
        <v>81</v>
      </c>
      <c r="M12" s="69" t="n">
        <v>35.6</v>
      </c>
      <c r="N12" s="75" t="n">
        <f aca="false">IF($B12="","",$I12-$M12)</f>
        <v>142.4</v>
      </c>
      <c r="O12" s="77" t="n">
        <f aca="false">IF($B12="","",IF($J12&lt;&gt;"Bestätigt",0,MAX(0,MIN($E12,Zimmerbelegungsplan!$B$7+Zimmerbelegungsplan!$C$7)-MAX($D12,Zimmerbelegungsplan!$B$7))))</f>
        <v>0</v>
      </c>
      <c r="P12" s="78" t="n">
        <f aca="false">IF($B12="","",$O12*$H12)</f>
        <v>0</v>
      </c>
      <c r="Q12" s="79" t="str">
        <f aca="false">IF($B12="","",IF(OR($D12="",$E12=""),"Datum fehlt",IF($E12&lt;=$D12,"Datum prüfen",IF($J12="Storniert","–",IF(SUMPRODUCT(($B$7:$B$86=$B12)*($B$7:$B$86&lt;&gt;"")*($J$7:$J$86&lt;&gt;"Storniert")*($D$7:$D$86&lt;$E12)*($E$7:$E$86&gt;$D12))&gt;1,"Überschneidung",IF($G12&gt;IFERROR(INDEX(Stammdaten!$D$7:$D$18,MATCH($B12,Stammdaten!$A$7:$A$18,0)),99),"Kapazität prüfen","OK"))))))</f>
        <v>OK</v>
      </c>
      <c r="R12" s="73" t="s">
        <v>85</v>
      </c>
    </row>
    <row r="13" customFormat="false" ht="15" hidden="false" customHeight="true" outlineLevel="0" collapsed="false">
      <c r="A13" s="61" t="s">
        <v>93</v>
      </c>
      <c r="B13" s="62" t="s">
        <v>94</v>
      </c>
      <c r="C13" s="63" t="s">
        <v>95</v>
      </c>
      <c r="D13" s="64" t="n">
        <v>46202</v>
      </c>
      <c r="E13" s="64" t="n">
        <v>46209</v>
      </c>
      <c r="F13" s="65" t="n">
        <f aca="false">IF(OR($D13="",$E13=""),"",$E13-$D13)</f>
        <v>7</v>
      </c>
      <c r="G13" s="62" t="n">
        <v>3</v>
      </c>
      <c r="H13" s="66" t="n">
        <f aca="false">IF($B13="","",IF($J13="Wartung/Sperrung",0,IFERROR(INDEX(Stammdaten!$F$7:$F$18,MATCH($B13,Stammdaten!$A$7:$A$18,0)),0)))</f>
        <v>169</v>
      </c>
      <c r="I13" s="66" t="n">
        <f aca="false">IF($B13="","",IF($J13="Storniert",0,$F13*$H13))</f>
        <v>1183</v>
      </c>
      <c r="J13" s="67" t="s">
        <v>71</v>
      </c>
      <c r="K13" s="68" t="str">
        <f aca="false">IFERROR(INDEX(Stammdaten!$J$7:$J$10,MATCH($J13,Stammdaten!$I$7:$I$10,0)),"")</f>
        <v>B</v>
      </c>
      <c r="L13" s="67" t="s">
        <v>81</v>
      </c>
      <c r="M13" s="69" t="n">
        <v>591.5</v>
      </c>
      <c r="N13" s="66" t="n">
        <f aca="false">IF($B13="","",$I13-$M13)</f>
        <v>591.5</v>
      </c>
      <c r="O13" s="70" t="n">
        <f aca="false">IF($B13="","",IF($J13&lt;&gt;"Bestätigt",0,MAX(0,MIN($E13,Zimmerbelegungsplan!$B$7+Zimmerbelegungsplan!$C$7)-MAX($D13,Zimmerbelegungsplan!$B$7))))</f>
        <v>5</v>
      </c>
      <c r="P13" s="71" t="n">
        <f aca="false">IF($B13="","",$O13*$H13)</f>
        <v>845</v>
      </c>
      <c r="Q13" s="72" t="str">
        <f aca="false">IF($B13="","",IF(OR($D13="",$E13=""),"Datum fehlt",IF($E13&lt;=$D13,"Datum prüfen",IF($J13="Storniert","–",IF(SUMPRODUCT(($B$7:$B$86=$B13)*($B$7:$B$86&lt;&gt;"")*($J$7:$J$86&lt;&gt;"Storniert")*($D$7:$D$86&lt;$E13)*($E$7:$E$86&gt;$D13))&gt;1,"Überschneidung",IF($G13&gt;IFERROR(INDEX(Stammdaten!$D$7:$D$18,MATCH($B13,Stammdaten!$A$7:$A$18,0)),99),"Kapazität prüfen","OK"))))))</f>
        <v>OK</v>
      </c>
      <c r="R13" s="73" t="s">
        <v>96</v>
      </c>
    </row>
    <row r="14" customFormat="false" ht="15" hidden="false" customHeight="true" outlineLevel="0" collapsed="false">
      <c r="A14" s="61" t="s">
        <v>97</v>
      </c>
      <c r="B14" s="62" t="s">
        <v>98</v>
      </c>
      <c r="C14" s="63" t="s">
        <v>99</v>
      </c>
      <c r="D14" s="64" t="n">
        <v>46202</v>
      </c>
      <c r="E14" s="64" t="n">
        <v>46207</v>
      </c>
      <c r="F14" s="74" t="n">
        <f aca="false">IF(OR($D14="",$E14=""),"",$E14-$D14)</f>
        <v>5</v>
      </c>
      <c r="G14" s="62" t="n">
        <v>1</v>
      </c>
      <c r="H14" s="75" t="n">
        <f aca="false">IF($B14="","",IF($J14="Wartung/Sperrung",0,IFERROR(INDEX(Stammdaten!$F$7:$F$18,MATCH($B14,Stammdaten!$A$7:$A$18,0)),0)))</f>
        <v>189</v>
      </c>
      <c r="I14" s="75" t="n">
        <f aca="false">IF($B14="","",IF($J14="Storniert",0,$F14*$H14))</f>
        <v>945</v>
      </c>
      <c r="J14" s="67" t="s">
        <v>71</v>
      </c>
      <c r="K14" s="76" t="str">
        <f aca="false">IFERROR(INDEX(Stammdaten!$J$7:$J$10,MATCH($J14,Stammdaten!$I$7:$I$10,0)),"")</f>
        <v>B</v>
      </c>
      <c r="L14" s="67" t="s">
        <v>100</v>
      </c>
      <c r="M14" s="69" t="n">
        <v>0</v>
      </c>
      <c r="N14" s="75" t="n">
        <f aca="false">IF($B14="","",$I14-$M14)</f>
        <v>945</v>
      </c>
      <c r="O14" s="77" t="n">
        <f aca="false">IF($B14="","",IF($J14&lt;&gt;"Bestätigt",0,MAX(0,MIN($E14,Zimmerbelegungsplan!$B$7+Zimmerbelegungsplan!$C$7)-MAX($D14,Zimmerbelegungsplan!$B$7))))</f>
        <v>3</v>
      </c>
      <c r="P14" s="78" t="n">
        <f aca="false">IF($B14="","",$O14*$H14)</f>
        <v>567</v>
      </c>
      <c r="Q14" s="79" t="str">
        <f aca="false">IF($B14="","",IF(OR($D14="",$E14=""),"Datum fehlt",IF($E14&lt;=$D14,"Datum prüfen",IF($J14="Storniert","–",IF(SUMPRODUCT(($B$7:$B$86=$B14)*($B$7:$B$86&lt;&gt;"")*($J$7:$J$86&lt;&gt;"Storniert")*($D$7:$D$86&lt;$E14)*($E$7:$E$86&gt;$D14))&gt;1,"Überschneidung",IF($G14&gt;IFERROR(INDEX(Stammdaten!$D$7:$D$18,MATCH($B14,Stammdaten!$A$7:$A$18,0)),99),"Kapazität prüfen","OK"))))))</f>
        <v>OK</v>
      </c>
      <c r="R14" s="73"/>
    </row>
    <row r="15" customFormat="false" ht="15" hidden="false" customHeight="true" outlineLevel="0" collapsed="false">
      <c r="A15" s="61" t="s">
        <v>101</v>
      </c>
      <c r="B15" s="62" t="s">
        <v>102</v>
      </c>
      <c r="C15" s="63" t="s">
        <v>103</v>
      </c>
      <c r="D15" s="64" t="n">
        <v>46202</v>
      </c>
      <c r="E15" s="64" t="n">
        <v>46205</v>
      </c>
      <c r="F15" s="65" t="n">
        <f aca="false">IF(OR($D15="",$E15=""),"",$E15-$D15)</f>
        <v>3</v>
      </c>
      <c r="G15" s="62" t="n">
        <v>2</v>
      </c>
      <c r="H15" s="66" t="n">
        <f aca="false">IF($B15="","",IF($J15="Wartung/Sperrung",0,IFERROR(INDEX(Stammdaten!$F$7:$F$18,MATCH($B15,Stammdaten!$A$7:$A$18,0)),0)))</f>
        <v>119</v>
      </c>
      <c r="I15" s="66" t="n">
        <f aca="false">IF($B15="","",IF($J15="Storniert",0,$F15*$H15))</f>
        <v>357</v>
      </c>
      <c r="J15" s="67" t="s">
        <v>71</v>
      </c>
      <c r="K15" s="68" t="str">
        <f aca="false">IFERROR(INDEX(Stammdaten!$J$7:$J$10,MATCH($J15,Stammdaten!$I$7:$I$10,0)),"")</f>
        <v>B</v>
      </c>
      <c r="L15" s="67" t="s">
        <v>72</v>
      </c>
      <c r="M15" s="69" t="n">
        <v>0</v>
      </c>
      <c r="N15" s="66" t="n">
        <f aca="false">IF($B15="","",$I15-$M15)</f>
        <v>357</v>
      </c>
      <c r="O15" s="70" t="n">
        <f aca="false">IF($B15="","",IF($J15&lt;&gt;"Bestätigt",0,MAX(0,MIN($E15,Zimmerbelegungsplan!$B$7+Zimmerbelegungsplan!$C$7)-MAX($D15,Zimmerbelegungsplan!$B$7))))</f>
        <v>1</v>
      </c>
      <c r="P15" s="71" t="n">
        <f aca="false">IF($B15="","",$O15*$H15)</f>
        <v>119</v>
      </c>
      <c r="Q15" s="72" t="str">
        <f aca="false">IF($B15="","",IF(OR($D15="",$E15=""),"Datum fehlt",IF($E15&lt;=$D15,"Datum prüfen",IF($J15="Storniert","–",IF(SUMPRODUCT(($B$7:$B$86=$B15)*($B$7:$B$86&lt;&gt;"")*($J$7:$J$86&lt;&gt;"Storniert")*($D$7:$D$86&lt;$E15)*($E$7:$E$86&gt;$D15))&gt;1,"Überschneidung",IF($G15&gt;IFERROR(INDEX(Stammdaten!$D$7:$D$18,MATCH($B15,Stammdaten!$A$7:$A$18,0)),99),"Kapazität prüfen","OK"))))))</f>
        <v>OK</v>
      </c>
      <c r="R15" s="73" t="s">
        <v>104</v>
      </c>
    </row>
    <row r="16" customFormat="false" ht="15" hidden="false" customHeight="true" outlineLevel="0" collapsed="false">
      <c r="A16" s="61" t="s">
        <v>105</v>
      </c>
      <c r="B16" s="62" t="s">
        <v>106</v>
      </c>
      <c r="C16" s="63" t="s">
        <v>107</v>
      </c>
      <c r="D16" s="64" t="n">
        <v>46203</v>
      </c>
      <c r="E16" s="64" t="n">
        <v>46207</v>
      </c>
      <c r="F16" s="74" t="n">
        <f aca="false">IF(OR($D16="",$E16=""),"",$E16-$D16)</f>
        <v>4</v>
      </c>
      <c r="G16" s="62" t="n">
        <v>1</v>
      </c>
      <c r="H16" s="75" t="n">
        <f aca="false">IF($B16="","",IF($J16="Wartung/Sperrung",0,IFERROR(INDEX(Stammdaten!$F$7:$F$18,MATCH($B16,Stammdaten!$A$7:$A$18,0)),0)))</f>
        <v>79</v>
      </c>
      <c r="I16" s="75" t="n">
        <f aca="false">IF($B16="","",IF($J16="Storniert",0,$F16*$H16))</f>
        <v>316</v>
      </c>
      <c r="J16" s="67" t="s">
        <v>71</v>
      </c>
      <c r="K16" s="76" t="str">
        <f aca="false">IFERROR(INDEX(Stammdaten!$J$7:$J$10,MATCH($J16,Stammdaten!$I$7:$I$10,0)),"")</f>
        <v>B</v>
      </c>
      <c r="L16" s="67" t="s">
        <v>77</v>
      </c>
      <c r="M16" s="69" t="n">
        <v>316</v>
      </c>
      <c r="N16" s="75" t="n">
        <f aca="false">IF($B16="","",$I16-$M16)</f>
        <v>0</v>
      </c>
      <c r="O16" s="77" t="n">
        <f aca="false">IF($B16="","",IF($J16&lt;&gt;"Bestätigt",0,MAX(0,MIN($E16,Zimmerbelegungsplan!$B$7+Zimmerbelegungsplan!$C$7)-MAX($D16,Zimmerbelegungsplan!$B$7))))</f>
        <v>3</v>
      </c>
      <c r="P16" s="78" t="n">
        <f aca="false">IF($B16="","",$O16*$H16)</f>
        <v>237</v>
      </c>
      <c r="Q16" s="79" t="str">
        <f aca="false">IF($B16="","",IF(OR($D16="",$E16=""),"Datum fehlt",IF($E16&lt;=$D16,"Datum prüfen",IF($J16="Storniert","–",IF(SUMPRODUCT(($B$7:$B$86=$B16)*($B$7:$B$86&lt;&gt;"")*($J$7:$J$86&lt;&gt;"Storniert")*($D$7:$D$86&lt;$E16)*($E$7:$E$86&gt;$D16))&gt;1,"Überschneidung",IF($G16&gt;IFERROR(INDEX(Stammdaten!$D$7:$D$18,MATCH($B16,Stammdaten!$A$7:$A$18,0)),99),"Kapazität prüfen","OK"))))))</f>
        <v>OK</v>
      </c>
      <c r="R16" s="73" t="s">
        <v>108</v>
      </c>
    </row>
    <row r="17" customFormat="false" ht="15" hidden="false" customHeight="true" outlineLevel="0" collapsed="false">
      <c r="A17" s="61" t="s">
        <v>109</v>
      </c>
      <c r="B17" s="62" t="s">
        <v>91</v>
      </c>
      <c r="C17" s="63" t="s">
        <v>110</v>
      </c>
      <c r="D17" s="64" t="n">
        <v>46203</v>
      </c>
      <c r="E17" s="64" t="n">
        <v>46207</v>
      </c>
      <c r="F17" s="65" t="n">
        <f aca="false">IF(OR($D17="",$E17=""),"",$E17-$D17)</f>
        <v>4</v>
      </c>
      <c r="G17" s="62" t="n">
        <v>1</v>
      </c>
      <c r="H17" s="66" t="n">
        <f aca="false">IF($B17="","",IF($J17="Wartung/Sperrung",0,IFERROR(INDEX(Stammdaten!$F$7:$F$18,MATCH($B17,Stammdaten!$A$7:$A$18,0)),0)))</f>
        <v>89</v>
      </c>
      <c r="I17" s="66" t="n">
        <f aca="false">IF($B17="","",IF($J17="Storniert",0,$F17*$H17))</f>
        <v>356</v>
      </c>
      <c r="J17" s="67" t="s">
        <v>71</v>
      </c>
      <c r="K17" s="68" t="str">
        <f aca="false">IFERROR(INDEX(Stammdaten!$J$7:$J$10,MATCH($J17,Stammdaten!$I$7:$I$10,0)),"")</f>
        <v>B</v>
      </c>
      <c r="L17" s="67" t="s">
        <v>100</v>
      </c>
      <c r="M17" s="69" t="n">
        <v>0</v>
      </c>
      <c r="N17" s="66" t="n">
        <f aca="false">IF($B17="","",$I17-$M17)</f>
        <v>356</v>
      </c>
      <c r="O17" s="70" t="n">
        <f aca="false">IF($B17="","",IF($J17&lt;&gt;"Bestätigt",0,MAX(0,MIN($E17,Zimmerbelegungsplan!$B$7+Zimmerbelegungsplan!$C$7)-MAX($D17,Zimmerbelegungsplan!$B$7))))</f>
        <v>3</v>
      </c>
      <c r="P17" s="71" t="n">
        <f aca="false">IF($B17="","",$O17*$H17)</f>
        <v>267</v>
      </c>
      <c r="Q17" s="72" t="str">
        <f aca="false">IF($B17="","",IF(OR($D17="",$E17=""),"Datum fehlt",IF($E17&lt;=$D17,"Datum prüfen",IF($J17="Storniert","–",IF(SUMPRODUCT(($B$7:$B$86=$B17)*($B$7:$B$86&lt;&gt;"")*($J$7:$J$86&lt;&gt;"Storniert")*($D$7:$D$86&lt;$E17)*($E$7:$E$86&gt;$D17))&gt;1,"Überschneidung",IF($G17&gt;IFERROR(INDEX(Stammdaten!$D$7:$D$18,MATCH($B17,Stammdaten!$A$7:$A$18,0)),99),"Kapazität prüfen","OK"))))))</f>
        <v>OK</v>
      </c>
      <c r="R17" s="73" t="s">
        <v>108</v>
      </c>
    </row>
    <row r="18" customFormat="false" ht="15" hidden="false" customHeight="true" outlineLevel="0" collapsed="false">
      <c r="A18" s="61" t="s">
        <v>111</v>
      </c>
      <c r="B18" s="62" t="s">
        <v>112</v>
      </c>
      <c r="C18" s="63" t="s">
        <v>113</v>
      </c>
      <c r="D18" s="64" t="n">
        <v>46203</v>
      </c>
      <c r="E18" s="64" t="n">
        <v>46205</v>
      </c>
      <c r="F18" s="74" t="n">
        <f aca="false">IF(OR($D18="",$E18=""),"",$E18-$D18)</f>
        <v>2</v>
      </c>
      <c r="G18" s="62" t="n">
        <v>4</v>
      </c>
      <c r="H18" s="75" t="n">
        <f aca="false">IF($B18="","",IF($J18="Wartung/Sperrung",0,IFERROR(INDEX(Stammdaten!$F$7:$F$18,MATCH($B18,Stammdaten!$A$7:$A$18,0)),0)))</f>
        <v>169</v>
      </c>
      <c r="I18" s="75" t="n">
        <f aca="false">IF($B18="","",IF($J18="Storniert",0,$F18*$H18))</f>
        <v>338</v>
      </c>
      <c r="J18" s="67" t="s">
        <v>114</v>
      </c>
      <c r="K18" s="76" t="str">
        <f aca="false">IFERROR(INDEX(Stammdaten!$J$7:$J$10,MATCH($J18,Stammdaten!$I$7:$I$10,0)),"")</f>
        <v>O</v>
      </c>
      <c r="L18" s="67" t="s">
        <v>77</v>
      </c>
      <c r="M18" s="69" t="n">
        <v>0</v>
      </c>
      <c r="N18" s="75" t="n">
        <f aca="false">IF($B18="","",$I18-$M18)</f>
        <v>338</v>
      </c>
      <c r="O18" s="77" t="n">
        <f aca="false">IF($B18="","",IF($J18&lt;&gt;"Bestätigt",0,MAX(0,MIN($E18,Zimmerbelegungsplan!$B$7+Zimmerbelegungsplan!$C$7)-MAX($D18,Zimmerbelegungsplan!$B$7))))</f>
        <v>0</v>
      </c>
      <c r="P18" s="78" t="n">
        <f aca="false">IF($B18="","",$O18*$H18)</f>
        <v>0</v>
      </c>
      <c r="Q18" s="79" t="str">
        <f aca="false">IF($B18="","",IF(OR($D18="",$E18=""),"Datum fehlt",IF($E18&lt;=$D18,"Datum prüfen",IF($J18="Storniert","–",IF(SUMPRODUCT(($B$7:$B$86=$B18)*($B$7:$B$86&lt;&gt;"")*($J$7:$J$86&lt;&gt;"Storniert")*($D$7:$D$86&lt;$E18)*($E$7:$E$86&gt;$D18))&gt;1,"Überschneidung",IF($G18&gt;IFERROR(INDEX(Stammdaten!$D$7:$D$18,MATCH($B18,Stammdaten!$A$7:$A$18,0)),99),"Kapazität prüfen","OK"))))))</f>
        <v>OK</v>
      </c>
      <c r="R18" s="73" t="s">
        <v>115</v>
      </c>
    </row>
    <row r="19" customFormat="false" ht="15" hidden="false" customHeight="true" outlineLevel="0" collapsed="false">
      <c r="A19" s="61" t="s">
        <v>116</v>
      </c>
      <c r="B19" s="62" t="s">
        <v>117</v>
      </c>
      <c r="C19" s="63" t="s">
        <v>118</v>
      </c>
      <c r="D19" s="64" t="n">
        <v>46203</v>
      </c>
      <c r="E19" s="64" t="n">
        <v>46209</v>
      </c>
      <c r="F19" s="65" t="n">
        <f aca="false">IF(OR($D19="",$E19=""),"",$E19-$D19)</f>
        <v>6</v>
      </c>
      <c r="G19" s="62" t="n">
        <v>2</v>
      </c>
      <c r="H19" s="66" t="n">
        <f aca="false">IF($B19="","",IF($J19="Wartung/Sperrung",0,IFERROR(INDEX(Stammdaten!$F$7:$F$18,MATCH($B19,Stammdaten!$A$7:$A$18,0)),0)))</f>
        <v>209</v>
      </c>
      <c r="I19" s="66" t="n">
        <f aca="false">IF($B19="","",IF($J19="Storniert",0,$F19*$H19))</f>
        <v>1254</v>
      </c>
      <c r="J19" s="67" t="s">
        <v>71</v>
      </c>
      <c r="K19" s="68" t="str">
        <f aca="false">IFERROR(INDEX(Stammdaten!$J$7:$J$10,MATCH($J19,Stammdaten!$I$7:$I$10,0)),"")</f>
        <v>B</v>
      </c>
      <c r="L19" s="67" t="s">
        <v>77</v>
      </c>
      <c r="M19" s="69" t="n">
        <v>0</v>
      </c>
      <c r="N19" s="66" t="n">
        <f aca="false">IF($B19="","",$I19-$M19)</f>
        <v>1254</v>
      </c>
      <c r="O19" s="70" t="n">
        <f aca="false">IF($B19="","",IF($J19&lt;&gt;"Bestätigt",0,MAX(0,MIN($E19,Zimmerbelegungsplan!$B$7+Zimmerbelegungsplan!$C$7)-MAX($D19,Zimmerbelegungsplan!$B$7))))</f>
        <v>5</v>
      </c>
      <c r="P19" s="71" t="n">
        <f aca="false">IF($B19="","",$O19*$H19)</f>
        <v>1045</v>
      </c>
      <c r="Q19" s="72" t="str">
        <f aca="false">IF($B19="","",IF(OR($D19="",$E19=""),"Datum fehlt",IF($E19&lt;=$D19,"Datum prüfen",IF($J19="Storniert","–",IF(SUMPRODUCT(($B$7:$B$86=$B19)*($B$7:$B$86&lt;&gt;"")*($J$7:$J$86&lt;&gt;"Storniert")*($D$7:$D$86&lt;$E19)*($E$7:$E$86&gt;$D19))&gt;1,"Überschneidung",IF($G19&gt;IFERROR(INDEX(Stammdaten!$D$7:$D$18,MATCH($B19,Stammdaten!$A$7:$A$18,0)),99),"Kapazität prüfen","OK"))))))</f>
        <v>OK</v>
      </c>
      <c r="R19" s="73" t="s">
        <v>119</v>
      </c>
    </row>
    <row r="20" customFormat="false" ht="15" hidden="false" customHeight="true" outlineLevel="0" collapsed="false">
      <c r="A20" s="61" t="s">
        <v>120</v>
      </c>
      <c r="B20" s="62" t="s">
        <v>75</v>
      </c>
      <c r="C20" s="63" t="s">
        <v>121</v>
      </c>
      <c r="D20" s="64" t="n">
        <v>46204</v>
      </c>
      <c r="E20" s="64" t="n">
        <v>46208</v>
      </c>
      <c r="F20" s="74" t="n">
        <f aca="false">IF(OR($D20="",$E20=""),"",$E20-$D20)</f>
        <v>4</v>
      </c>
      <c r="G20" s="62" t="n">
        <v>2</v>
      </c>
      <c r="H20" s="75" t="n">
        <f aca="false">IF($B20="","",IF($J20="Wartung/Sperrung",0,IFERROR(INDEX(Stammdaten!$F$7:$F$18,MATCH($B20,Stammdaten!$A$7:$A$18,0)),0)))</f>
        <v>129</v>
      </c>
      <c r="I20" s="75" t="n">
        <f aca="false">IF($B20="","",IF($J20="Storniert",0,$F20*$H20))</f>
        <v>516</v>
      </c>
      <c r="J20" s="67" t="s">
        <v>71</v>
      </c>
      <c r="K20" s="76" t="str">
        <f aca="false">IFERROR(INDEX(Stammdaten!$J$7:$J$10,MATCH($J20,Stammdaten!$I$7:$I$10,0)),"")</f>
        <v>B</v>
      </c>
      <c r="L20" s="67" t="s">
        <v>89</v>
      </c>
      <c r="M20" s="69" t="n">
        <v>0</v>
      </c>
      <c r="N20" s="75" t="n">
        <f aca="false">IF($B20="","",$I20-$M20)</f>
        <v>516</v>
      </c>
      <c r="O20" s="77" t="n">
        <f aca="false">IF($B20="","",IF($J20&lt;&gt;"Bestätigt",0,MAX(0,MIN($E20,Zimmerbelegungsplan!$B$7+Zimmerbelegungsplan!$C$7)-MAX($D20,Zimmerbelegungsplan!$B$7))))</f>
        <v>4</v>
      </c>
      <c r="P20" s="78" t="n">
        <f aca="false">IF($B20="","",$O20*$H20)</f>
        <v>516</v>
      </c>
      <c r="Q20" s="79" t="str">
        <f aca="false">IF($B20="","",IF(OR($D20="",$E20=""),"Datum fehlt",IF($E20&lt;=$D20,"Datum prüfen",IF($J20="Storniert","–",IF(SUMPRODUCT(($B$7:$B$86=$B20)*($B$7:$B$86&lt;&gt;"")*($J$7:$J$86&lt;&gt;"Storniert")*($D$7:$D$86&lt;$E20)*($E$7:$E$86&gt;$D20))&gt;1,"Überschneidung",IF($G20&gt;IFERROR(INDEX(Stammdaten!$D$7:$D$18,MATCH($B20,Stammdaten!$A$7:$A$18,0)),99),"Kapazität prüfen","OK"))))))</f>
        <v>OK</v>
      </c>
      <c r="R20" s="73" t="s">
        <v>119</v>
      </c>
    </row>
    <row r="21" customFormat="false" ht="15" hidden="false" customHeight="true" outlineLevel="0" collapsed="false">
      <c r="A21" s="61" t="s">
        <v>122</v>
      </c>
      <c r="B21" s="62" t="s">
        <v>83</v>
      </c>
      <c r="C21" s="63" t="s">
        <v>123</v>
      </c>
      <c r="D21" s="64" t="n">
        <v>46205</v>
      </c>
      <c r="E21" s="64" t="n">
        <v>46211</v>
      </c>
      <c r="F21" s="65" t="n">
        <f aca="false">IF(OR($D21="",$E21=""),"",$E21-$D21)</f>
        <v>6</v>
      </c>
      <c r="G21" s="62" t="n">
        <v>2</v>
      </c>
      <c r="H21" s="66" t="n">
        <f aca="false">IF($B21="","",IF($J21="Wartung/Sperrung",0,IFERROR(INDEX(Stammdaten!$F$7:$F$18,MATCH($B21,Stammdaten!$A$7:$A$18,0)),0)))</f>
        <v>129</v>
      </c>
      <c r="I21" s="66" t="n">
        <f aca="false">IF($B21="","",IF($J21="Storniert",0,$F21*$H21))</f>
        <v>774</v>
      </c>
      <c r="J21" s="67" t="s">
        <v>71</v>
      </c>
      <c r="K21" s="68" t="str">
        <f aca="false">IFERROR(INDEX(Stammdaten!$J$7:$J$10,MATCH($J21,Stammdaten!$I$7:$I$10,0)),"")</f>
        <v>B</v>
      </c>
      <c r="L21" s="67" t="s">
        <v>89</v>
      </c>
      <c r="M21" s="69" t="n">
        <v>387</v>
      </c>
      <c r="N21" s="66" t="n">
        <f aca="false">IF($B21="","",$I21-$M21)</f>
        <v>387</v>
      </c>
      <c r="O21" s="70" t="n">
        <f aca="false">IF($B21="","",IF($J21&lt;&gt;"Bestätigt",0,MAX(0,MIN($E21,Zimmerbelegungsplan!$B$7+Zimmerbelegungsplan!$C$7)-MAX($D21,Zimmerbelegungsplan!$B$7))))</f>
        <v>6</v>
      </c>
      <c r="P21" s="71" t="n">
        <f aca="false">IF($B21="","",$O21*$H21)</f>
        <v>774</v>
      </c>
      <c r="Q21" s="72" t="str">
        <f aca="false">IF($B21="","",IF(OR($D21="",$E21=""),"Datum fehlt",IF($E21&lt;=$D21,"Datum prüfen",IF($J21="Storniert","–",IF(SUMPRODUCT(($B$7:$B$86=$B21)*($B$7:$B$86&lt;&gt;"")*($J$7:$J$86&lt;&gt;"Storniert")*($D$7:$D$86&lt;$E21)*($E$7:$E$86&gt;$D21))&gt;1,"Überschneidung",IF($G21&gt;IFERROR(INDEX(Stammdaten!$D$7:$D$18,MATCH($B21,Stammdaten!$A$7:$A$18,0)),99),"Kapazität prüfen","OK"))))))</f>
        <v>OK</v>
      </c>
      <c r="R21" s="73" t="s">
        <v>124</v>
      </c>
    </row>
    <row r="22" customFormat="false" ht="15" hidden="false" customHeight="true" outlineLevel="0" collapsed="false">
      <c r="A22" s="61" t="s">
        <v>125</v>
      </c>
      <c r="B22" s="62" t="s">
        <v>102</v>
      </c>
      <c r="C22" s="63" t="s">
        <v>126</v>
      </c>
      <c r="D22" s="64" t="n">
        <v>46206</v>
      </c>
      <c r="E22" s="64" t="n">
        <v>46210</v>
      </c>
      <c r="F22" s="74" t="n">
        <f aca="false">IF(OR($D22="",$E22=""),"",$E22-$D22)</f>
        <v>4</v>
      </c>
      <c r="G22" s="62" t="n">
        <v>2</v>
      </c>
      <c r="H22" s="75" t="n">
        <f aca="false">IF($B22="","",IF($J22="Wartung/Sperrung",0,IFERROR(INDEX(Stammdaten!$F$7:$F$18,MATCH($B22,Stammdaten!$A$7:$A$18,0)),0)))</f>
        <v>119</v>
      </c>
      <c r="I22" s="75" t="n">
        <f aca="false">IF($B22="","",IF($J22="Storniert",0,$F22*$H22))</f>
        <v>0</v>
      </c>
      <c r="J22" s="67" t="s">
        <v>127</v>
      </c>
      <c r="K22" s="76" t="n">
        <f aca="false">IFERROR(INDEX(Stammdaten!$J$7:$J$10,MATCH($J22,Stammdaten!$I$7:$I$10,0)),"")</f>
        <v>0</v>
      </c>
      <c r="L22" s="67" t="s">
        <v>81</v>
      </c>
      <c r="M22" s="69" t="n">
        <v>0</v>
      </c>
      <c r="N22" s="75" t="n">
        <f aca="false">IF($B22="","",$I22-$M22)</f>
        <v>0</v>
      </c>
      <c r="O22" s="77" t="n">
        <f aca="false">IF($B22="","",IF($J22&lt;&gt;"Bestätigt",0,MAX(0,MIN($E22,Zimmerbelegungsplan!$B$7+Zimmerbelegungsplan!$C$7)-MAX($D22,Zimmerbelegungsplan!$B$7))))</f>
        <v>0</v>
      </c>
      <c r="P22" s="78" t="n">
        <f aca="false">IF($B22="","",$O22*$H22)</f>
        <v>0</v>
      </c>
      <c r="Q22" s="79" t="str">
        <f aca="false">IF($B22="","",IF(OR($D22="",$E22=""),"Datum fehlt",IF($E22&lt;=$D22,"Datum prüfen",IF($J22="Storniert","–",IF(SUMPRODUCT(($B$7:$B$86=$B22)*($B$7:$B$86&lt;&gt;"")*($J$7:$J$86&lt;&gt;"Storniert")*($D$7:$D$86&lt;$E22)*($E$7:$E$86&gt;$D22))&gt;1,"Überschneidung",IF($G22&gt;IFERROR(INDEX(Stammdaten!$D$7:$D$18,MATCH($B22,Stammdaten!$A$7:$A$18,0)),99),"Kapazität prüfen","OK"))))))</f>
        <v>–</v>
      </c>
      <c r="R22" s="73" t="s">
        <v>128</v>
      </c>
    </row>
    <row r="23" customFormat="false" ht="15" hidden="false" customHeight="true" outlineLevel="0" collapsed="false">
      <c r="A23" s="61" t="s">
        <v>129</v>
      </c>
      <c r="B23" s="62" t="s">
        <v>69</v>
      </c>
      <c r="C23" s="63" t="s">
        <v>130</v>
      </c>
      <c r="D23" s="64" t="n">
        <v>46207</v>
      </c>
      <c r="E23" s="64" t="n">
        <v>46210</v>
      </c>
      <c r="F23" s="65" t="n">
        <f aca="false">IF(OR($D23="",$E23=""),"",$E23-$D23)</f>
        <v>3</v>
      </c>
      <c r="G23" s="62" t="n">
        <v>2</v>
      </c>
      <c r="H23" s="66" t="n">
        <f aca="false">IF($B23="","",IF($J23="Wartung/Sperrung",0,IFERROR(INDEX(Stammdaten!$F$7:$F$18,MATCH($B23,Stammdaten!$A$7:$A$18,0)),0)))</f>
        <v>109</v>
      </c>
      <c r="I23" s="66" t="n">
        <f aca="false">IF($B23="","",IF($J23="Storniert",0,$F23*$H23))</f>
        <v>327</v>
      </c>
      <c r="J23" s="67" t="s">
        <v>114</v>
      </c>
      <c r="K23" s="68" t="str">
        <f aca="false">IFERROR(INDEX(Stammdaten!$J$7:$J$10,MATCH($J23,Stammdaten!$I$7:$I$10,0)),"")</f>
        <v>O</v>
      </c>
      <c r="L23" s="67" t="s">
        <v>131</v>
      </c>
      <c r="M23" s="69" t="n">
        <v>163.5</v>
      </c>
      <c r="N23" s="66" t="n">
        <f aca="false">IF($B23="","",$I23-$M23)</f>
        <v>163.5</v>
      </c>
      <c r="O23" s="70" t="n">
        <f aca="false">IF($B23="","",IF($J23&lt;&gt;"Bestätigt",0,MAX(0,MIN($E23,Zimmerbelegungsplan!$B$7+Zimmerbelegungsplan!$C$7)-MAX($D23,Zimmerbelegungsplan!$B$7))))</f>
        <v>0</v>
      </c>
      <c r="P23" s="71" t="n">
        <f aca="false">IF($B23="","",$O23*$H23)</f>
        <v>0</v>
      </c>
      <c r="Q23" s="72" t="str">
        <f aca="false">IF($B23="","",IF(OR($D23="",$E23=""),"Datum fehlt",IF($E23&lt;=$D23,"Datum prüfen",IF($J23="Storniert","–",IF(SUMPRODUCT(($B$7:$B$86=$B23)*($B$7:$B$86&lt;&gt;"")*($J$7:$J$86&lt;&gt;"Storniert")*($D$7:$D$86&lt;$E23)*($E$7:$E$86&gt;$D23))&gt;1,"Überschneidung",IF($G23&gt;IFERROR(INDEX(Stammdaten!$D$7:$D$18,MATCH($B23,Stammdaten!$A$7:$A$18,0)),99),"Kapazität prüfen","OK"))))))</f>
        <v>OK</v>
      </c>
      <c r="R23" s="73" t="s">
        <v>115</v>
      </c>
    </row>
    <row r="24" customFormat="false" ht="15" hidden="false" customHeight="true" outlineLevel="0" collapsed="false">
      <c r="A24" s="61" t="s">
        <v>132</v>
      </c>
      <c r="B24" s="62" t="s">
        <v>87</v>
      </c>
      <c r="C24" s="63" t="s">
        <v>133</v>
      </c>
      <c r="D24" s="64" t="n">
        <v>46207</v>
      </c>
      <c r="E24" s="64" t="n">
        <v>46214</v>
      </c>
      <c r="F24" s="74" t="n">
        <f aca="false">IF(OR($D24="",$E24=""),"",$E24-$D24)</f>
        <v>7</v>
      </c>
      <c r="G24" s="62" t="n">
        <v>2</v>
      </c>
      <c r="H24" s="75" t="n">
        <f aca="false">IF($B24="","",IF($J24="Wartung/Sperrung",0,IFERROR(INDEX(Stammdaten!$F$7:$F$18,MATCH($B24,Stammdaten!$A$7:$A$18,0)),0)))</f>
        <v>145</v>
      </c>
      <c r="I24" s="75" t="n">
        <f aca="false">IF($B24="","",IF($J24="Storniert",0,$F24*$H24))</f>
        <v>1015</v>
      </c>
      <c r="J24" s="67" t="s">
        <v>71</v>
      </c>
      <c r="K24" s="76" t="str">
        <f aca="false">IFERROR(INDEX(Stammdaten!$J$7:$J$10,MATCH($J24,Stammdaten!$I$7:$I$10,0)),"")</f>
        <v>B</v>
      </c>
      <c r="L24" s="67" t="s">
        <v>77</v>
      </c>
      <c r="M24" s="69" t="n">
        <v>1015</v>
      </c>
      <c r="N24" s="75" t="n">
        <f aca="false">IF($B24="","",$I24-$M24)</f>
        <v>0</v>
      </c>
      <c r="O24" s="77" t="n">
        <f aca="false">IF($B24="","",IF($J24&lt;&gt;"Bestätigt",0,MAX(0,MIN($E24,Zimmerbelegungsplan!$B$7+Zimmerbelegungsplan!$C$7)-MAX($D24,Zimmerbelegungsplan!$B$7))))</f>
        <v>7</v>
      </c>
      <c r="P24" s="78" t="n">
        <f aca="false">IF($B24="","",$O24*$H24)</f>
        <v>1015</v>
      </c>
      <c r="Q24" s="79" t="str">
        <f aca="false">IF($B24="","",IF(OR($D24="",$E24=""),"Datum fehlt",IF($E24&lt;=$D24,"Datum prüfen",IF($J24="Storniert","–",IF(SUMPRODUCT(($B$7:$B$86=$B24)*($B$7:$B$86&lt;&gt;"")*($J$7:$J$86&lt;&gt;"Storniert")*($D$7:$D$86&lt;$E24)*($E$7:$E$86&gt;$D24))&gt;1,"Überschneidung",IF($G24&gt;IFERROR(INDEX(Stammdaten!$D$7:$D$18,MATCH($B24,Stammdaten!$A$7:$A$18,0)),99),"Kapazität prüfen","OK"))))))</f>
        <v>OK</v>
      </c>
      <c r="R24" s="73"/>
    </row>
    <row r="25" customFormat="false" ht="15" hidden="false" customHeight="true" outlineLevel="0" collapsed="false">
      <c r="A25" s="61" t="s">
        <v>134</v>
      </c>
      <c r="B25" s="62" t="s">
        <v>112</v>
      </c>
      <c r="C25" s="63" t="s">
        <v>107</v>
      </c>
      <c r="D25" s="64" t="n">
        <v>46207</v>
      </c>
      <c r="E25" s="64" t="n">
        <v>46212</v>
      </c>
      <c r="F25" s="65" t="n">
        <f aca="false">IF(OR($D25="",$E25=""),"",$E25-$D25)</f>
        <v>5</v>
      </c>
      <c r="G25" s="62" t="n">
        <v>4</v>
      </c>
      <c r="H25" s="66" t="n">
        <f aca="false">IF($B25="","",IF($J25="Wartung/Sperrung",0,IFERROR(INDEX(Stammdaten!$F$7:$F$18,MATCH($B25,Stammdaten!$A$7:$A$18,0)),0)))</f>
        <v>169</v>
      </c>
      <c r="I25" s="66" t="n">
        <f aca="false">IF($B25="","",IF($J25="Storniert",0,$F25*$H25))</f>
        <v>845</v>
      </c>
      <c r="J25" s="67" t="s">
        <v>71</v>
      </c>
      <c r="K25" s="68" t="str">
        <f aca="false">IFERROR(INDEX(Stammdaten!$J$7:$J$10,MATCH($J25,Stammdaten!$I$7:$I$10,0)),"")</f>
        <v>B</v>
      </c>
      <c r="L25" s="67" t="s">
        <v>135</v>
      </c>
      <c r="M25" s="69" t="n">
        <v>845</v>
      </c>
      <c r="N25" s="66" t="n">
        <f aca="false">IF($B25="","",$I25-$M25)</f>
        <v>0</v>
      </c>
      <c r="O25" s="70" t="n">
        <f aca="false">IF($B25="","",IF($J25&lt;&gt;"Bestätigt",0,MAX(0,MIN($E25,Zimmerbelegungsplan!$B$7+Zimmerbelegungsplan!$C$7)-MAX($D25,Zimmerbelegungsplan!$B$7))))</f>
        <v>5</v>
      </c>
      <c r="P25" s="71" t="n">
        <f aca="false">IF($B25="","",$O25*$H25)</f>
        <v>845</v>
      </c>
      <c r="Q25" s="72" t="str">
        <f aca="false">IF($B25="","",IF(OR($D25="",$E25=""),"Datum fehlt",IF($E25&lt;=$D25,"Datum prüfen",IF($J25="Storniert","–",IF(SUMPRODUCT(($B$7:$B$86=$B25)*($B$7:$B$86&lt;&gt;"")*($J$7:$J$86&lt;&gt;"Storniert")*($D$7:$D$86&lt;$E25)*($E$7:$E$86&gt;$D25))&gt;1,"Überschneidung",IF($G25&gt;IFERROR(INDEX(Stammdaten!$D$7:$D$18,MATCH($B25,Stammdaten!$A$7:$A$18,0)),99),"Kapazität prüfen","OK"))))))</f>
        <v>OK</v>
      </c>
      <c r="R25" s="73"/>
    </row>
    <row r="26" customFormat="false" ht="15" hidden="false" customHeight="true" outlineLevel="0" collapsed="false">
      <c r="A26" s="61" t="s">
        <v>136</v>
      </c>
      <c r="B26" s="62" t="s">
        <v>98</v>
      </c>
      <c r="C26" s="63" t="s">
        <v>137</v>
      </c>
      <c r="D26" s="64" t="n">
        <v>46207</v>
      </c>
      <c r="E26" s="64" t="n">
        <v>46212</v>
      </c>
      <c r="F26" s="74" t="n">
        <f aca="false">IF(OR($D26="",$E26=""),"",$E26-$D26)</f>
        <v>5</v>
      </c>
      <c r="G26" s="62" t="n">
        <v>2</v>
      </c>
      <c r="H26" s="75" t="n">
        <f aca="false">IF($B26="","",IF($J26="Wartung/Sperrung",0,IFERROR(INDEX(Stammdaten!$F$7:$F$18,MATCH($B26,Stammdaten!$A$7:$A$18,0)),0)))</f>
        <v>189</v>
      </c>
      <c r="I26" s="75" t="n">
        <f aca="false">IF($B26="","",IF($J26="Storniert",0,$F26*$H26))</f>
        <v>945</v>
      </c>
      <c r="J26" s="67" t="s">
        <v>71</v>
      </c>
      <c r="K26" s="76" t="str">
        <f aca="false">IFERROR(INDEX(Stammdaten!$J$7:$J$10,MATCH($J26,Stammdaten!$I$7:$I$10,0)),"")</f>
        <v>B</v>
      </c>
      <c r="L26" s="67" t="s">
        <v>100</v>
      </c>
      <c r="M26" s="69" t="n">
        <v>189</v>
      </c>
      <c r="N26" s="75" t="n">
        <f aca="false">IF($B26="","",$I26-$M26)</f>
        <v>756</v>
      </c>
      <c r="O26" s="77" t="n">
        <f aca="false">IF($B26="","",IF($J26&lt;&gt;"Bestätigt",0,MAX(0,MIN($E26,Zimmerbelegungsplan!$B$7+Zimmerbelegungsplan!$C$7)-MAX($D26,Zimmerbelegungsplan!$B$7))))</f>
        <v>5</v>
      </c>
      <c r="P26" s="78" t="n">
        <f aca="false">IF($B26="","",$O26*$H26)</f>
        <v>945</v>
      </c>
      <c r="Q26" s="79" t="str">
        <f aca="false">IF($B26="","",IF(OR($D26="",$E26=""),"Datum fehlt",IF($E26&lt;=$D26,"Datum prüfen",IF($J26="Storniert","–",IF(SUMPRODUCT(($B$7:$B$86=$B26)*($B$7:$B$86&lt;&gt;"")*($J$7:$J$86&lt;&gt;"Storniert")*($D$7:$D$86&lt;$E26)*($E$7:$E$86&gt;$D26))&gt;1,"Überschneidung",IF($G26&gt;IFERROR(INDEX(Stammdaten!$D$7:$D$18,MATCH($B26,Stammdaten!$A$7:$A$18,0)),99),"Kapazität prüfen","OK"))))))</f>
        <v>OK</v>
      </c>
      <c r="R26" s="73" t="s">
        <v>124</v>
      </c>
    </row>
    <row r="27" customFormat="false" ht="15" hidden="false" customHeight="true" outlineLevel="0" collapsed="false">
      <c r="A27" s="61" t="s">
        <v>138</v>
      </c>
      <c r="B27" s="62" t="s">
        <v>91</v>
      </c>
      <c r="C27" s="63" t="s">
        <v>139</v>
      </c>
      <c r="D27" s="64" t="n">
        <v>46208</v>
      </c>
      <c r="E27" s="64" t="n">
        <v>46215</v>
      </c>
      <c r="F27" s="65" t="n">
        <f aca="false">IF(OR($D27="",$E27=""),"",$E27-$D27)</f>
        <v>7</v>
      </c>
      <c r="G27" s="62" t="n">
        <v>1</v>
      </c>
      <c r="H27" s="66" t="n">
        <f aca="false">IF($B27="","",IF($J27="Wartung/Sperrung",0,IFERROR(INDEX(Stammdaten!$F$7:$F$18,MATCH($B27,Stammdaten!$A$7:$A$18,0)),0)))</f>
        <v>89</v>
      </c>
      <c r="I27" s="66" t="n">
        <f aca="false">IF($B27="","",IF($J27="Storniert",0,$F27*$H27))</f>
        <v>623</v>
      </c>
      <c r="J27" s="67" t="s">
        <v>114</v>
      </c>
      <c r="K27" s="68" t="str">
        <f aca="false">IFERROR(INDEX(Stammdaten!$J$7:$J$10,MATCH($J27,Stammdaten!$I$7:$I$10,0)),"")</f>
        <v>O</v>
      </c>
      <c r="L27" s="67" t="s">
        <v>100</v>
      </c>
      <c r="M27" s="69" t="n">
        <v>0</v>
      </c>
      <c r="N27" s="66" t="n">
        <f aca="false">IF($B27="","",$I27-$M27)</f>
        <v>623</v>
      </c>
      <c r="O27" s="70" t="n">
        <f aca="false">IF($B27="","",IF($J27&lt;&gt;"Bestätigt",0,MAX(0,MIN($E27,Zimmerbelegungsplan!$B$7+Zimmerbelegungsplan!$C$7)-MAX($D27,Zimmerbelegungsplan!$B$7))))</f>
        <v>0</v>
      </c>
      <c r="P27" s="71" t="n">
        <f aca="false">IF($B27="","",$O27*$H27)</f>
        <v>0</v>
      </c>
      <c r="Q27" s="72" t="str">
        <f aca="false">IF($B27="","",IF(OR($D27="",$E27=""),"Datum fehlt",IF($E27&lt;=$D27,"Datum prüfen",IF($J27="Storniert","–",IF(SUMPRODUCT(($B$7:$B$86=$B27)*($B$7:$B$86&lt;&gt;"")*($J$7:$J$86&lt;&gt;"Storniert")*($D$7:$D$86&lt;$E27)*($E$7:$E$86&gt;$D27))&gt;1,"Überschneidung",IF($G27&gt;IFERROR(INDEX(Stammdaten!$D$7:$D$18,MATCH($B27,Stammdaten!$A$7:$A$18,0)),99),"Kapazität prüfen","OK"))))))</f>
        <v>OK</v>
      </c>
      <c r="R27" s="73" t="s">
        <v>115</v>
      </c>
    </row>
    <row r="28" customFormat="false" ht="15" hidden="false" customHeight="true" outlineLevel="0" collapsed="false">
      <c r="A28" s="61" t="s">
        <v>140</v>
      </c>
      <c r="B28" s="62" t="s">
        <v>75</v>
      </c>
      <c r="C28" s="63" t="s">
        <v>141</v>
      </c>
      <c r="D28" s="64" t="n">
        <v>46208</v>
      </c>
      <c r="E28" s="64" t="n">
        <v>46211</v>
      </c>
      <c r="F28" s="74" t="n">
        <f aca="false">IF(OR($D28="",$E28=""),"",$E28-$D28)</f>
        <v>3</v>
      </c>
      <c r="G28" s="62" t="n">
        <v>2</v>
      </c>
      <c r="H28" s="75" t="n">
        <f aca="false">IF($B28="","",IF($J28="Wartung/Sperrung",0,IFERROR(INDEX(Stammdaten!$F$7:$F$18,MATCH($B28,Stammdaten!$A$7:$A$18,0)),0)))</f>
        <v>129</v>
      </c>
      <c r="I28" s="75" t="n">
        <f aca="false">IF($B28="","",IF($J28="Storniert",0,$F28*$H28))</f>
        <v>387</v>
      </c>
      <c r="J28" s="67" t="s">
        <v>71</v>
      </c>
      <c r="K28" s="76" t="str">
        <f aca="false">IFERROR(INDEX(Stammdaten!$J$7:$J$10,MATCH($J28,Stammdaten!$I$7:$I$10,0)),"")</f>
        <v>B</v>
      </c>
      <c r="L28" s="67" t="s">
        <v>77</v>
      </c>
      <c r="M28" s="69" t="n">
        <v>0</v>
      </c>
      <c r="N28" s="75" t="n">
        <f aca="false">IF($B28="","",$I28-$M28)</f>
        <v>387</v>
      </c>
      <c r="O28" s="77" t="n">
        <f aca="false">IF($B28="","",IF($J28&lt;&gt;"Bestätigt",0,MAX(0,MIN($E28,Zimmerbelegungsplan!$B$7+Zimmerbelegungsplan!$C$7)-MAX($D28,Zimmerbelegungsplan!$B$7))))</f>
        <v>3</v>
      </c>
      <c r="P28" s="78" t="n">
        <f aca="false">IF($B28="","",$O28*$H28)</f>
        <v>387</v>
      </c>
      <c r="Q28" s="79" t="str">
        <f aca="false">IF($B28="","",IF(OR($D28="",$E28=""),"Datum fehlt",IF($E28&lt;=$D28,"Datum prüfen",IF($J28="Storniert","–",IF(SUMPRODUCT(($B$7:$B$86=$B28)*($B$7:$B$86&lt;&gt;"")*($J$7:$J$86&lt;&gt;"Storniert")*($D$7:$D$86&lt;$E28)*($E$7:$E$86&gt;$D28))&gt;1,"Überschneidung",IF($G28&gt;IFERROR(INDEX(Stammdaten!$D$7:$D$18,MATCH($B28,Stammdaten!$A$7:$A$18,0)),99),"Kapazität prüfen","OK"))))))</f>
        <v>OK</v>
      </c>
      <c r="R28" s="73" t="s">
        <v>73</v>
      </c>
    </row>
    <row r="29" customFormat="false" ht="15" hidden="false" customHeight="true" outlineLevel="0" collapsed="false">
      <c r="A29" s="61" t="s">
        <v>142</v>
      </c>
      <c r="B29" s="62" t="s">
        <v>106</v>
      </c>
      <c r="C29" s="63" t="s">
        <v>143</v>
      </c>
      <c r="D29" s="64" t="n">
        <v>46209</v>
      </c>
      <c r="E29" s="64" t="n">
        <v>46211</v>
      </c>
      <c r="F29" s="65" t="n">
        <f aca="false">IF(OR($D29="",$E29=""),"",$E29-$D29)</f>
        <v>2</v>
      </c>
      <c r="G29" s="62" t="n">
        <v>1</v>
      </c>
      <c r="H29" s="66" t="n">
        <f aca="false">IF($B29="","",IF($J29="Wartung/Sperrung",0,IFERROR(INDEX(Stammdaten!$F$7:$F$18,MATCH($B29,Stammdaten!$A$7:$A$18,0)),0)))</f>
        <v>79</v>
      </c>
      <c r="I29" s="66" t="n">
        <f aca="false">IF($B29="","",IF($J29="Storniert",0,$F29*$H29))</f>
        <v>158</v>
      </c>
      <c r="J29" s="67" t="s">
        <v>71</v>
      </c>
      <c r="K29" s="68" t="str">
        <f aca="false">IFERROR(INDEX(Stammdaten!$J$7:$J$10,MATCH($J29,Stammdaten!$I$7:$I$10,0)),"")</f>
        <v>B</v>
      </c>
      <c r="L29" s="67" t="s">
        <v>100</v>
      </c>
      <c r="M29" s="69" t="n">
        <v>0</v>
      </c>
      <c r="N29" s="66" t="n">
        <f aca="false">IF($B29="","",$I29-$M29)</f>
        <v>158</v>
      </c>
      <c r="O29" s="70" t="n">
        <f aca="false">IF($B29="","",IF($J29&lt;&gt;"Bestätigt",0,MAX(0,MIN($E29,Zimmerbelegungsplan!$B$7+Zimmerbelegungsplan!$C$7)-MAX($D29,Zimmerbelegungsplan!$B$7))))</f>
        <v>2</v>
      </c>
      <c r="P29" s="71" t="n">
        <f aca="false">IF($B29="","",$O29*$H29)</f>
        <v>158</v>
      </c>
      <c r="Q29" s="72" t="str">
        <f aca="false">IF($B29="","",IF(OR($D29="",$E29=""),"Datum fehlt",IF($E29&lt;=$D29,"Datum prüfen",IF($J29="Storniert","–",IF(SUMPRODUCT(($B$7:$B$86=$B29)*($B$7:$B$86&lt;&gt;"")*($J$7:$J$86&lt;&gt;"Storniert")*($D$7:$D$86&lt;$E29)*($E$7:$E$86&gt;$D29))&gt;1,"Überschneidung",IF($G29&gt;IFERROR(INDEX(Stammdaten!$D$7:$D$18,MATCH($B29,Stammdaten!$A$7:$A$18,0)),99),"Kapazität prüfen","OK"))))))</f>
        <v>OK</v>
      </c>
      <c r="R29" s="73"/>
    </row>
    <row r="30" customFormat="false" ht="15" hidden="false" customHeight="true" outlineLevel="0" collapsed="false">
      <c r="A30" s="61" t="s">
        <v>144</v>
      </c>
      <c r="B30" s="62" t="s">
        <v>117</v>
      </c>
      <c r="C30" s="63" t="s">
        <v>145</v>
      </c>
      <c r="D30" s="64" t="n">
        <v>46209</v>
      </c>
      <c r="E30" s="64" t="n">
        <v>46211</v>
      </c>
      <c r="F30" s="74" t="n">
        <f aca="false">IF(OR($D30="",$E30=""),"",$E30-$D30)</f>
        <v>2</v>
      </c>
      <c r="G30" s="62" t="n">
        <v>2</v>
      </c>
      <c r="H30" s="75" t="n">
        <f aca="false">IF($B30="","",IF($J30="Wartung/Sperrung",0,IFERROR(INDEX(Stammdaten!$F$7:$F$18,MATCH($B30,Stammdaten!$A$7:$A$18,0)),0)))</f>
        <v>209</v>
      </c>
      <c r="I30" s="75" t="n">
        <f aca="false">IF($B30="","",IF($J30="Storniert",0,$F30*$H30))</f>
        <v>418</v>
      </c>
      <c r="J30" s="67" t="s">
        <v>71</v>
      </c>
      <c r="K30" s="76" t="str">
        <f aca="false">IFERROR(INDEX(Stammdaten!$J$7:$J$10,MATCH($J30,Stammdaten!$I$7:$I$10,0)),"")</f>
        <v>B</v>
      </c>
      <c r="L30" s="67" t="s">
        <v>89</v>
      </c>
      <c r="M30" s="69" t="n">
        <v>418</v>
      </c>
      <c r="N30" s="75" t="n">
        <f aca="false">IF($B30="","",$I30-$M30)</f>
        <v>0</v>
      </c>
      <c r="O30" s="77" t="n">
        <f aca="false">IF($B30="","",IF($J30&lt;&gt;"Bestätigt",0,MAX(0,MIN($E30,Zimmerbelegungsplan!$B$7+Zimmerbelegungsplan!$C$7)-MAX($D30,Zimmerbelegungsplan!$B$7))))</f>
        <v>2</v>
      </c>
      <c r="P30" s="78" t="n">
        <f aca="false">IF($B30="","",$O30*$H30)</f>
        <v>418</v>
      </c>
      <c r="Q30" s="79" t="str">
        <f aca="false">IF($B30="","",IF(OR($D30="",$E30=""),"Datum fehlt",IF($E30&lt;=$D30,"Datum prüfen",IF($J30="Storniert","–",IF(SUMPRODUCT(($B$7:$B$86=$B30)*($B$7:$B$86&lt;&gt;"")*($J$7:$J$86&lt;&gt;"Storniert")*($D$7:$D$86&lt;$E30)*($E$7:$E$86&gt;$D30))&gt;1,"Überschneidung",IF($G30&gt;IFERROR(INDEX(Stammdaten!$D$7:$D$18,MATCH($B30,Stammdaten!$A$7:$A$18,0)),99),"Kapazität prüfen","OK"))))))</f>
        <v>OK</v>
      </c>
      <c r="R30" s="73" t="s">
        <v>124</v>
      </c>
    </row>
    <row r="31" customFormat="false" ht="15" hidden="false" customHeight="true" outlineLevel="0" collapsed="false">
      <c r="A31" s="61" t="s">
        <v>146</v>
      </c>
      <c r="B31" s="62" t="s">
        <v>79</v>
      </c>
      <c r="C31" s="63" t="s">
        <v>147</v>
      </c>
      <c r="D31" s="64" t="n">
        <v>46210</v>
      </c>
      <c r="E31" s="64" t="n">
        <v>46213</v>
      </c>
      <c r="F31" s="65" t="n">
        <f aca="false">IF(OR($D31="",$E31=""),"",$E31-$D31)</f>
        <v>3</v>
      </c>
      <c r="G31" s="62" t="n">
        <v>1</v>
      </c>
      <c r="H31" s="66" t="n">
        <f aca="false">IF($B31="","",IF($J31="Wartung/Sperrung",0,IFERROR(INDEX(Stammdaten!$F$7:$F$18,MATCH($B31,Stammdaten!$A$7:$A$18,0)),0)))</f>
        <v>109</v>
      </c>
      <c r="I31" s="66" t="n">
        <f aca="false">IF($B31="","",IF($J31="Storniert",0,$F31*$H31))</f>
        <v>327</v>
      </c>
      <c r="J31" s="67" t="s">
        <v>71</v>
      </c>
      <c r="K31" s="68" t="str">
        <f aca="false">IFERROR(INDEX(Stammdaten!$J$7:$J$10,MATCH($J31,Stammdaten!$I$7:$I$10,0)),"")</f>
        <v>B</v>
      </c>
      <c r="L31" s="67" t="s">
        <v>77</v>
      </c>
      <c r="M31" s="69" t="n">
        <v>0</v>
      </c>
      <c r="N31" s="66" t="n">
        <f aca="false">IF($B31="","",$I31-$M31)</f>
        <v>327</v>
      </c>
      <c r="O31" s="70" t="n">
        <f aca="false">IF($B31="","",IF($J31&lt;&gt;"Bestätigt",0,MAX(0,MIN($E31,Zimmerbelegungsplan!$B$7+Zimmerbelegungsplan!$C$7)-MAX($D31,Zimmerbelegungsplan!$B$7))))</f>
        <v>3</v>
      </c>
      <c r="P31" s="71" t="n">
        <f aca="false">IF($B31="","",$O31*$H31)</f>
        <v>327</v>
      </c>
      <c r="Q31" s="72" t="str">
        <f aca="false">IF($B31="","",IF(OR($D31="",$E31=""),"Datum fehlt",IF($E31&lt;=$D31,"Datum prüfen",IF($J31="Storniert","–",IF(SUMPRODUCT(($B$7:$B$86=$B31)*($B$7:$B$86&lt;&gt;"")*($J$7:$J$86&lt;&gt;"Storniert")*($D$7:$D$86&lt;$E31)*($E$7:$E$86&gt;$D31))&gt;1,"Überschneidung",IF($G31&gt;IFERROR(INDEX(Stammdaten!$D$7:$D$18,MATCH($B31,Stammdaten!$A$7:$A$18,0)),99),"Kapazität prüfen","OK"))))))</f>
        <v>OK</v>
      </c>
      <c r="R31" s="73" t="s">
        <v>96</v>
      </c>
    </row>
    <row r="32" customFormat="false" ht="15" hidden="false" customHeight="true" outlineLevel="0" collapsed="false">
      <c r="A32" s="61" t="s">
        <v>148</v>
      </c>
      <c r="B32" s="62" t="s">
        <v>94</v>
      </c>
      <c r="C32" s="63" t="s">
        <v>92</v>
      </c>
      <c r="D32" s="64" t="n">
        <v>46210</v>
      </c>
      <c r="E32" s="64" t="n">
        <v>46217</v>
      </c>
      <c r="F32" s="74" t="n">
        <f aca="false">IF(OR($D32="",$E32=""),"",$E32-$D32)</f>
        <v>7</v>
      </c>
      <c r="G32" s="62" t="n">
        <v>1</v>
      </c>
      <c r="H32" s="75" t="n">
        <f aca="false">IF($B32="","",IF($J32="Wartung/Sperrung",0,IFERROR(INDEX(Stammdaten!$F$7:$F$18,MATCH($B32,Stammdaten!$A$7:$A$18,0)),0)))</f>
        <v>169</v>
      </c>
      <c r="I32" s="75" t="n">
        <f aca="false">IF($B32="","",IF($J32="Storniert",0,$F32*$H32))</f>
        <v>1183</v>
      </c>
      <c r="J32" s="67" t="s">
        <v>71</v>
      </c>
      <c r="K32" s="76" t="str">
        <f aca="false">IFERROR(INDEX(Stammdaten!$J$7:$J$10,MATCH($J32,Stammdaten!$I$7:$I$10,0)),"")</f>
        <v>B</v>
      </c>
      <c r="L32" s="67" t="s">
        <v>135</v>
      </c>
      <c r="M32" s="69" t="n">
        <v>0</v>
      </c>
      <c r="N32" s="75" t="n">
        <f aca="false">IF($B32="","",$I32-$M32)</f>
        <v>1183</v>
      </c>
      <c r="O32" s="77" t="n">
        <f aca="false">IF($B32="","",IF($J32&lt;&gt;"Bestätigt",0,MAX(0,MIN($E32,Zimmerbelegungsplan!$B$7+Zimmerbelegungsplan!$C$7)-MAX($D32,Zimmerbelegungsplan!$B$7))))</f>
        <v>7</v>
      </c>
      <c r="P32" s="78" t="n">
        <f aca="false">IF($B32="","",$O32*$H32)</f>
        <v>1183</v>
      </c>
      <c r="Q32" s="79" t="str">
        <f aca="false">IF($B32="","",IF(OR($D32="",$E32=""),"Datum fehlt",IF($E32&lt;=$D32,"Datum prüfen",IF($J32="Storniert","–",IF(SUMPRODUCT(($B$7:$B$86=$B32)*($B$7:$B$86&lt;&gt;"")*($J$7:$J$86&lt;&gt;"Storniert")*($D$7:$D$86&lt;$E32)*($E$7:$E$86&gt;$D32))&gt;1,"Überschneidung",IF($G32&gt;IFERROR(INDEX(Stammdaten!$D$7:$D$18,MATCH($B32,Stammdaten!$A$7:$A$18,0)),99),"Kapazität prüfen","OK"))))))</f>
        <v>OK</v>
      </c>
      <c r="R32" s="73" t="s">
        <v>119</v>
      </c>
    </row>
    <row r="33" customFormat="false" ht="15" hidden="false" customHeight="true" outlineLevel="0" collapsed="false">
      <c r="A33" s="61" t="s">
        <v>149</v>
      </c>
      <c r="B33" s="62" t="s">
        <v>69</v>
      </c>
      <c r="C33" s="63" t="s">
        <v>150</v>
      </c>
      <c r="D33" s="64" t="n">
        <v>46211</v>
      </c>
      <c r="E33" s="64" t="n">
        <v>46214</v>
      </c>
      <c r="F33" s="65" t="n">
        <f aca="false">IF(OR($D33="",$E33=""),"",$E33-$D33)</f>
        <v>3</v>
      </c>
      <c r="G33" s="62" t="n">
        <v>0</v>
      </c>
      <c r="H33" s="66" t="n">
        <f aca="false">IF($B33="","",IF($J33="Wartung/Sperrung",0,IFERROR(INDEX(Stammdaten!$F$7:$F$18,MATCH($B33,Stammdaten!$A$7:$A$18,0)),0)))</f>
        <v>0</v>
      </c>
      <c r="I33" s="66" t="n">
        <f aca="false">IF($B33="","",IF($J33="Storniert",0,$F33*$H33))</f>
        <v>0</v>
      </c>
      <c r="J33" s="67" t="s">
        <v>151</v>
      </c>
      <c r="K33" s="68" t="str">
        <f aca="false">IFERROR(INDEX(Stammdaten!$J$7:$J$10,MATCH($J33,Stammdaten!$I$7:$I$10,0)),"")</f>
        <v>W</v>
      </c>
      <c r="L33" s="67" t="s">
        <v>77</v>
      </c>
      <c r="M33" s="69" t="n">
        <v>0</v>
      </c>
      <c r="N33" s="66" t="n">
        <f aca="false">IF($B33="","",$I33-$M33)</f>
        <v>0</v>
      </c>
      <c r="O33" s="70" t="n">
        <f aca="false">IF($B33="","",IF($J33&lt;&gt;"Bestätigt",0,MAX(0,MIN($E33,Zimmerbelegungsplan!$B$7+Zimmerbelegungsplan!$C$7)-MAX($D33,Zimmerbelegungsplan!$B$7))))</f>
        <v>0</v>
      </c>
      <c r="P33" s="71" t="n">
        <f aca="false">IF($B33="","",$O33*$H33)</f>
        <v>0</v>
      </c>
      <c r="Q33" s="72" t="str">
        <f aca="false">IF($B33="","",IF(OR($D33="",$E33=""),"Datum fehlt",IF($E33&lt;=$D33,"Datum prüfen",IF($J33="Storniert","–",IF(SUMPRODUCT(($B$7:$B$86=$B33)*($B$7:$B$86&lt;&gt;"")*($J$7:$J$86&lt;&gt;"Storniert")*($D$7:$D$86&lt;$E33)*($E$7:$E$86&gt;$D33))&gt;1,"Überschneidung",IF($G33&gt;IFERROR(INDEX(Stammdaten!$D$7:$D$18,MATCH($B33,Stammdaten!$A$7:$A$18,0)),99),"Kapazität prüfen","OK"))))))</f>
        <v>OK</v>
      </c>
      <c r="R33" s="73" t="s">
        <v>152</v>
      </c>
    </row>
    <row r="34" customFormat="false" ht="15" hidden="false" customHeight="true" outlineLevel="0" collapsed="false">
      <c r="A34" s="61" t="s">
        <v>153</v>
      </c>
      <c r="B34" s="62" t="s">
        <v>102</v>
      </c>
      <c r="C34" s="63" t="s">
        <v>84</v>
      </c>
      <c r="D34" s="64" t="n">
        <v>46211</v>
      </c>
      <c r="E34" s="64" t="n">
        <v>46217</v>
      </c>
      <c r="F34" s="74" t="n">
        <f aca="false">IF(OR($D34="",$E34=""),"",$E34-$D34)</f>
        <v>6</v>
      </c>
      <c r="G34" s="62" t="n">
        <v>2</v>
      </c>
      <c r="H34" s="75" t="n">
        <f aca="false">IF($B34="","",IF($J34="Wartung/Sperrung",0,IFERROR(INDEX(Stammdaten!$F$7:$F$18,MATCH($B34,Stammdaten!$A$7:$A$18,0)),0)))</f>
        <v>119</v>
      </c>
      <c r="I34" s="75" t="n">
        <f aca="false">IF($B34="","",IF($J34="Storniert",0,$F34*$H34))</f>
        <v>714</v>
      </c>
      <c r="J34" s="67" t="s">
        <v>71</v>
      </c>
      <c r="K34" s="76" t="str">
        <f aca="false">IFERROR(INDEX(Stammdaten!$J$7:$J$10,MATCH($J34,Stammdaten!$I$7:$I$10,0)),"")</f>
        <v>B</v>
      </c>
      <c r="L34" s="67" t="s">
        <v>81</v>
      </c>
      <c r="M34" s="69" t="n">
        <v>714</v>
      </c>
      <c r="N34" s="75" t="n">
        <f aca="false">IF($B34="","",$I34-$M34)</f>
        <v>0</v>
      </c>
      <c r="O34" s="77" t="n">
        <f aca="false">IF($B34="","",IF($J34&lt;&gt;"Bestätigt",0,MAX(0,MIN($E34,Zimmerbelegungsplan!$B$7+Zimmerbelegungsplan!$C$7)-MAX($D34,Zimmerbelegungsplan!$B$7))))</f>
        <v>6</v>
      </c>
      <c r="P34" s="78" t="n">
        <f aca="false">IF($B34="","",$O34*$H34)</f>
        <v>714</v>
      </c>
      <c r="Q34" s="79" t="str">
        <f aca="false">IF($B34="","",IF(OR($D34="",$E34=""),"Datum fehlt",IF($E34&lt;=$D34,"Datum prüfen",IF($J34="Storniert","–",IF(SUMPRODUCT(($B$7:$B$86=$B34)*($B$7:$B$86&lt;&gt;"")*($J$7:$J$86&lt;&gt;"Storniert")*($D$7:$D$86&lt;$E34)*($E$7:$E$86&gt;$D34))&gt;1,"Überschneidung",IF($G34&gt;IFERROR(INDEX(Stammdaten!$D$7:$D$18,MATCH($B34,Stammdaten!$A$7:$A$18,0)),99),"Kapazität prüfen","OK"))))))</f>
        <v>OK</v>
      </c>
      <c r="R34" s="73"/>
    </row>
    <row r="35" customFormat="false" ht="15" hidden="false" customHeight="true" outlineLevel="0" collapsed="false">
      <c r="A35" s="61" t="s">
        <v>154</v>
      </c>
      <c r="B35" s="62" t="s">
        <v>106</v>
      </c>
      <c r="C35" s="63" t="s">
        <v>155</v>
      </c>
      <c r="D35" s="64" t="n">
        <v>46213</v>
      </c>
      <c r="E35" s="64" t="n">
        <v>46215</v>
      </c>
      <c r="F35" s="65" t="n">
        <f aca="false">IF(OR($D35="",$E35=""),"",$E35-$D35)</f>
        <v>2</v>
      </c>
      <c r="G35" s="62" t="n">
        <v>1</v>
      </c>
      <c r="H35" s="66" t="n">
        <f aca="false">IF($B35="","",IF($J35="Wartung/Sperrung",0,IFERROR(INDEX(Stammdaten!$F$7:$F$18,MATCH($B35,Stammdaten!$A$7:$A$18,0)),0)))</f>
        <v>79</v>
      </c>
      <c r="I35" s="66" t="n">
        <f aca="false">IF($B35="","",IF($J35="Storniert",0,$F35*$H35))</f>
        <v>158</v>
      </c>
      <c r="J35" s="67" t="s">
        <v>114</v>
      </c>
      <c r="K35" s="68" t="str">
        <f aca="false">IFERROR(INDEX(Stammdaten!$J$7:$J$10,MATCH($J35,Stammdaten!$I$7:$I$10,0)),"")</f>
        <v>O</v>
      </c>
      <c r="L35" s="67" t="s">
        <v>72</v>
      </c>
      <c r="M35" s="69" t="n">
        <v>31.6</v>
      </c>
      <c r="N35" s="66" t="n">
        <f aca="false">IF($B35="","",$I35-$M35)</f>
        <v>126.4</v>
      </c>
      <c r="O35" s="70" t="n">
        <f aca="false">IF($B35="","",IF($J35&lt;&gt;"Bestätigt",0,MAX(0,MIN($E35,Zimmerbelegungsplan!$B$7+Zimmerbelegungsplan!$C$7)-MAX($D35,Zimmerbelegungsplan!$B$7))))</f>
        <v>0</v>
      </c>
      <c r="P35" s="71" t="n">
        <f aca="false">IF($B35="","",$O35*$H35)</f>
        <v>0</v>
      </c>
      <c r="Q35" s="72" t="str">
        <f aca="false">IF($B35="","",IF(OR($D35="",$E35=""),"Datum fehlt",IF($E35&lt;=$D35,"Datum prüfen",IF($J35="Storniert","–",IF(SUMPRODUCT(($B$7:$B$86=$B35)*($B$7:$B$86&lt;&gt;"")*($J$7:$J$86&lt;&gt;"Storniert")*($D$7:$D$86&lt;$E35)*($E$7:$E$86&gt;$D35))&gt;1,"Überschneidung",IF($G35&gt;IFERROR(INDEX(Stammdaten!$D$7:$D$18,MATCH($B35,Stammdaten!$A$7:$A$18,0)),99),"Kapazität prüfen","OK"))))))</f>
        <v>OK</v>
      </c>
      <c r="R35" s="73" t="s">
        <v>115</v>
      </c>
    </row>
    <row r="36" customFormat="false" ht="15" hidden="false" customHeight="true" outlineLevel="0" collapsed="false">
      <c r="A36" s="61" t="s">
        <v>156</v>
      </c>
      <c r="B36" s="62" t="s">
        <v>75</v>
      </c>
      <c r="C36" s="63" t="s">
        <v>157</v>
      </c>
      <c r="D36" s="64" t="n">
        <v>46213</v>
      </c>
      <c r="E36" s="64" t="n">
        <v>46217</v>
      </c>
      <c r="F36" s="74" t="n">
        <f aca="false">IF(OR($D36="",$E36=""),"",$E36-$D36)</f>
        <v>4</v>
      </c>
      <c r="G36" s="62" t="n">
        <v>2</v>
      </c>
      <c r="H36" s="75" t="n">
        <f aca="false">IF($B36="","",IF($J36="Wartung/Sperrung",0,IFERROR(INDEX(Stammdaten!$F$7:$F$18,MATCH($B36,Stammdaten!$A$7:$A$18,0)),0)))</f>
        <v>129</v>
      </c>
      <c r="I36" s="75" t="n">
        <f aca="false">IF($B36="","",IF($J36="Storniert",0,$F36*$H36))</f>
        <v>516</v>
      </c>
      <c r="J36" s="67" t="s">
        <v>71</v>
      </c>
      <c r="K36" s="76" t="str">
        <f aca="false">IFERROR(INDEX(Stammdaten!$J$7:$J$10,MATCH($J36,Stammdaten!$I$7:$I$10,0)),"")</f>
        <v>B</v>
      </c>
      <c r="L36" s="67" t="s">
        <v>72</v>
      </c>
      <c r="M36" s="69" t="n">
        <v>154.8</v>
      </c>
      <c r="N36" s="75" t="n">
        <f aca="false">IF($B36="","",$I36-$M36)</f>
        <v>361.2</v>
      </c>
      <c r="O36" s="77" t="n">
        <f aca="false">IF($B36="","",IF($J36&lt;&gt;"Bestätigt",0,MAX(0,MIN($E36,Zimmerbelegungsplan!$B$7+Zimmerbelegungsplan!$C$7)-MAX($D36,Zimmerbelegungsplan!$B$7))))</f>
        <v>4</v>
      </c>
      <c r="P36" s="78" t="n">
        <f aca="false">IF($B36="","",$O36*$H36)</f>
        <v>516</v>
      </c>
      <c r="Q36" s="79" t="str">
        <f aca="false">IF($B36="","",IF(OR($D36="",$E36=""),"Datum fehlt",IF($E36&lt;=$D36,"Datum prüfen",IF($J36="Storniert","–",IF(SUMPRODUCT(($B$7:$B$86=$B36)*($B$7:$B$86&lt;&gt;"")*($J$7:$J$86&lt;&gt;"Storniert")*($D$7:$D$86&lt;$E36)*($E$7:$E$86&gt;$D36))&gt;1,"Überschneidung",IF($G36&gt;IFERROR(INDEX(Stammdaten!$D$7:$D$18,MATCH($B36,Stammdaten!$A$7:$A$18,0)),99),"Kapazität prüfen","OK"))))))</f>
        <v>OK</v>
      </c>
      <c r="R36" s="73"/>
    </row>
    <row r="37" customFormat="false" ht="15" hidden="false" customHeight="true" outlineLevel="0" collapsed="false">
      <c r="A37" s="61" t="s">
        <v>158</v>
      </c>
      <c r="B37" s="62" t="s">
        <v>98</v>
      </c>
      <c r="C37" s="63" t="s">
        <v>70</v>
      </c>
      <c r="D37" s="64" t="n">
        <v>46213</v>
      </c>
      <c r="E37" s="64" t="n">
        <v>46215</v>
      </c>
      <c r="F37" s="65" t="n">
        <f aca="false">IF(OR($D37="",$E37=""),"",$E37-$D37)</f>
        <v>2</v>
      </c>
      <c r="G37" s="62" t="n">
        <v>4</v>
      </c>
      <c r="H37" s="66" t="n">
        <f aca="false">IF($B37="","",IF($J37="Wartung/Sperrung",0,IFERROR(INDEX(Stammdaten!$F$7:$F$18,MATCH($B37,Stammdaten!$A$7:$A$18,0)),0)))</f>
        <v>189</v>
      </c>
      <c r="I37" s="66" t="n">
        <f aca="false">IF($B37="","",IF($J37="Storniert",0,$F37*$H37))</f>
        <v>378</v>
      </c>
      <c r="J37" s="67" t="s">
        <v>71</v>
      </c>
      <c r="K37" s="68" t="str">
        <f aca="false">IFERROR(INDEX(Stammdaten!$J$7:$J$10,MATCH($J37,Stammdaten!$I$7:$I$10,0)),"")</f>
        <v>B</v>
      </c>
      <c r="L37" s="67" t="s">
        <v>135</v>
      </c>
      <c r="M37" s="69" t="n">
        <v>0</v>
      </c>
      <c r="N37" s="66" t="n">
        <f aca="false">IF($B37="","",$I37-$M37)</f>
        <v>378</v>
      </c>
      <c r="O37" s="70" t="n">
        <f aca="false">IF($B37="","",IF($J37&lt;&gt;"Bestätigt",0,MAX(0,MIN($E37,Zimmerbelegungsplan!$B$7+Zimmerbelegungsplan!$C$7)-MAX($D37,Zimmerbelegungsplan!$B$7))))</f>
        <v>2</v>
      </c>
      <c r="P37" s="71" t="n">
        <f aca="false">IF($B37="","",$O37*$H37)</f>
        <v>378</v>
      </c>
      <c r="Q37" s="72" t="str">
        <f aca="false">IF($B37="","",IF(OR($D37="",$E37=""),"Datum fehlt",IF($E37&lt;=$D37,"Datum prüfen",IF($J37="Storniert","–",IF(SUMPRODUCT(($B$7:$B$86=$B37)*($B$7:$B$86&lt;&gt;"")*($J$7:$J$86&lt;&gt;"Storniert")*($D$7:$D$86&lt;$E37)*($E$7:$E$86&gt;$D37))&gt;1,"Überschneidung",IF($G37&gt;IFERROR(INDEX(Stammdaten!$D$7:$D$18,MATCH($B37,Stammdaten!$A$7:$A$18,0)),99),"Kapazität prüfen","OK"))))))</f>
        <v>OK</v>
      </c>
      <c r="R37" s="73" t="s">
        <v>96</v>
      </c>
    </row>
    <row r="38" customFormat="false" ht="15" hidden="false" customHeight="true" outlineLevel="0" collapsed="false">
      <c r="A38" s="61" t="s">
        <v>159</v>
      </c>
      <c r="B38" s="62" t="s">
        <v>83</v>
      </c>
      <c r="C38" s="63" t="s">
        <v>160</v>
      </c>
      <c r="D38" s="64" t="n">
        <v>46214</v>
      </c>
      <c r="E38" s="64" t="n">
        <v>46217</v>
      </c>
      <c r="F38" s="74" t="n">
        <f aca="false">IF(OR($D38="",$E38=""),"",$E38-$D38)</f>
        <v>3</v>
      </c>
      <c r="G38" s="62" t="n">
        <v>2</v>
      </c>
      <c r="H38" s="75" t="n">
        <f aca="false">IF($B38="","",IF($J38="Wartung/Sperrung",0,IFERROR(INDEX(Stammdaten!$F$7:$F$18,MATCH($B38,Stammdaten!$A$7:$A$18,0)),0)))</f>
        <v>129</v>
      </c>
      <c r="I38" s="75" t="n">
        <f aca="false">IF($B38="","",IF($J38="Storniert",0,$F38*$H38))</f>
        <v>387</v>
      </c>
      <c r="J38" s="67" t="s">
        <v>71</v>
      </c>
      <c r="K38" s="76" t="str">
        <f aca="false">IFERROR(INDEX(Stammdaten!$J$7:$J$10,MATCH($J38,Stammdaten!$I$7:$I$10,0)),"")</f>
        <v>B</v>
      </c>
      <c r="L38" s="67" t="s">
        <v>131</v>
      </c>
      <c r="M38" s="69" t="n">
        <v>0</v>
      </c>
      <c r="N38" s="75" t="n">
        <f aca="false">IF($B38="","",$I38-$M38)</f>
        <v>387</v>
      </c>
      <c r="O38" s="77" t="n">
        <f aca="false">IF($B38="","",IF($J38&lt;&gt;"Bestätigt",0,MAX(0,MIN($E38,Zimmerbelegungsplan!$B$7+Zimmerbelegungsplan!$C$7)-MAX($D38,Zimmerbelegungsplan!$B$7))))</f>
        <v>3</v>
      </c>
      <c r="P38" s="78" t="n">
        <f aca="false">IF($B38="","",$O38*$H38)</f>
        <v>387</v>
      </c>
      <c r="Q38" s="79" t="str">
        <f aca="false">IF($B38="","",IF(OR($D38="",$E38=""),"Datum fehlt",IF($E38&lt;=$D38,"Datum prüfen",IF($J38="Storniert","–",IF(SUMPRODUCT(($B$7:$B$86=$B38)*($B$7:$B$86&lt;&gt;"")*($J$7:$J$86&lt;&gt;"Storniert")*($D$7:$D$86&lt;$E38)*($E$7:$E$86&gt;$D38))&gt;1,"Überschneidung",IF($G38&gt;IFERROR(INDEX(Stammdaten!$D$7:$D$18,MATCH($B38,Stammdaten!$A$7:$A$18,0)),99),"Kapazität prüfen","OK"))))))</f>
        <v>OK</v>
      </c>
      <c r="R38" s="73"/>
    </row>
    <row r="39" customFormat="false" ht="15" hidden="false" customHeight="true" outlineLevel="0" collapsed="false">
      <c r="A39" s="61" t="s">
        <v>161</v>
      </c>
      <c r="B39" s="62" t="s">
        <v>112</v>
      </c>
      <c r="C39" s="63" t="s">
        <v>143</v>
      </c>
      <c r="D39" s="64" t="n">
        <v>46214</v>
      </c>
      <c r="E39" s="64" t="n">
        <v>46218</v>
      </c>
      <c r="F39" s="65" t="n">
        <f aca="false">IF(OR($D39="",$E39=""),"",$E39-$D39)</f>
        <v>4</v>
      </c>
      <c r="G39" s="62" t="n">
        <v>1</v>
      </c>
      <c r="H39" s="66" t="n">
        <f aca="false">IF($B39="","",IF($J39="Wartung/Sperrung",0,IFERROR(INDEX(Stammdaten!$F$7:$F$18,MATCH($B39,Stammdaten!$A$7:$A$18,0)),0)))</f>
        <v>169</v>
      </c>
      <c r="I39" s="66" t="n">
        <f aca="false">IF($B39="","",IF($J39="Storniert",0,$F39*$H39))</f>
        <v>676</v>
      </c>
      <c r="J39" s="67" t="s">
        <v>71</v>
      </c>
      <c r="K39" s="68" t="str">
        <f aca="false">IFERROR(INDEX(Stammdaten!$J$7:$J$10,MATCH($J39,Stammdaten!$I$7:$I$10,0)),"")</f>
        <v>B</v>
      </c>
      <c r="L39" s="67" t="s">
        <v>131</v>
      </c>
      <c r="M39" s="69" t="n">
        <v>676</v>
      </c>
      <c r="N39" s="66" t="n">
        <f aca="false">IF($B39="","",$I39-$M39)</f>
        <v>0</v>
      </c>
      <c r="O39" s="70" t="n">
        <f aca="false">IF($B39="","",IF($J39&lt;&gt;"Bestätigt",0,MAX(0,MIN($E39,Zimmerbelegungsplan!$B$7+Zimmerbelegungsplan!$C$7)-MAX($D39,Zimmerbelegungsplan!$B$7))))</f>
        <v>4</v>
      </c>
      <c r="P39" s="71" t="n">
        <f aca="false">IF($B39="","",$O39*$H39)</f>
        <v>676</v>
      </c>
      <c r="Q39" s="72" t="str">
        <f aca="false">IF($B39="","",IF(OR($D39="",$E39=""),"Datum fehlt",IF($E39&lt;=$D39,"Datum prüfen",IF($J39="Storniert","–",IF(SUMPRODUCT(($B$7:$B$86=$B39)*($B$7:$B$86&lt;&gt;"")*($J$7:$J$86&lt;&gt;"Storniert")*($D$7:$D$86&lt;$E39)*($E$7:$E$86&gt;$D39))&gt;1,"Überschneidung",IF($G39&gt;IFERROR(INDEX(Stammdaten!$D$7:$D$18,MATCH($B39,Stammdaten!$A$7:$A$18,0)),99),"Kapazität prüfen","OK"))))))</f>
        <v>OK</v>
      </c>
      <c r="R39" s="73"/>
    </row>
    <row r="40" customFormat="false" ht="15" hidden="false" customHeight="true" outlineLevel="0" collapsed="false">
      <c r="A40" s="61" t="s">
        <v>162</v>
      </c>
      <c r="B40" s="62" t="s">
        <v>117</v>
      </c>
      <c r="C40" s="63" t="s">
        <v>163</v>
      </c>
      <c r="D40" s="64" t="n">
        <v>46214</v>
      </c>
      <c r="E40" s="64" t="n">
        <v>46218</v>
      </c>
      <c r="F40" s="74" t="n">
        <f aca="false">IF(OR($D40="",$E40=""),"",$E40-$D40)</f>
        <v>4</v>
      </c>
      <c r="G40" s="62" t="n">
        <v>2</v>
      </c>
      <c r="H40" s="75" t="n">
        <f aca="false">IF($B40="","",IF($J40="Wartung/Sperrung",0,IFERROR(INDEX(Stammdaten!$F$7:$F$18,MATCH($B40,Stammdaten!$A$7:$A$18,0)),0)))</f>
        <v>209</v>
      </c>
      <c r="I40" s="75" t="n">
        <f aca="false">IF($B40="","",IF($J40="Storniert",0,$F40*$H40))</f>
        <v>836</v>
      </c>
      <c r="J40" s="67" t="s">
        <v>71</v>
      </c>
      <c r="K40" s="76" t="str">
        <f aca="false">IFERROR(INDEX(Stammdaten!$J$7:$J$10,MATCH($J40,Stammdaten!$I$7:$I$10,0)),"")</f>
        <v>B</v>
      </c>
      <c r="L40" s="67" t="s">
        <v>135</v>
      </c>
      <c r="M40" s="69" t="n">
        <v>167.2</v>
      </c>
      <c r="N40" s="75" t="n">
        <f aca="false">IF($B40="","",$I40-$M40)</f>
        <v>668.8</v>
      </c>
      <c r="O40" s="77" t="n">
        <f aca="false">IF($B40="","",IF($J40&lt;&gt;"Bestätigt",0,MAX(0,MIN($E40,Zimmerbelegungsplan!$B$7+Zimmerbelegungsplan!$C$7)-MAX($D40,Zimmerbelegungsplan!$B$7))))</f>
        <v>4</v>
      </c>
      <c r="P40" s="78" t="n">
        <f aca="false">IF($B40="","",$O40*$H40)</f>
        <v>836</v>
      </c>
      <c r="Q40" s="79" t="str">
        <f aca="false">IF($B40="","",IF(OR($D40="",$E40=""),"Datum fehlt",IF($E40&lt;=$D40,"Datum prüfen",IF($J40="Storniert","–",IF(SUMPRODUCT(($B$7:$B$86=$B40)*($B$7:$B$86&lt;&gt;"")*($J$7:$J$86&lt;&gt;"Storniert")*($D$7:$D$86&lt;$E40)*($E$7:$E$86&gt;$D40))&gt;1,"Überschneidung",IF($G40&gt;IFERROR(INDEX(Stammdaten!$D$7:$D$18,MATCH($B40,Stammdaten!$A$7:$A$18,0)),99),"Kapazität prüfen","OK"))))))</f>
        <v>OK</v>
      </c>
      <c r="R40" s="73" t="s">
        <v>73</v>
      </c>
    </row>
    <row r="41" customFormat="false" ht="15" hidden="false" customHeight="true" outlineLevel="0" collapsed="false">
      <c r="A41" s="61" t="s">
        <v>164</v>
      </c>
      <c r="B41" s="62" t="s">
        <v>79</v>
      </c>
      <c r="C41" s="63" t="s">
        <v>165</v>
      </c>
      <c r="D41" s="64" t="n">
        <v>46215</v>
      </c>
      <c r="E41" s="64" t="n">
        <v>46219</v>
      </c>
      <c r="F41" s="65" t="n">
        <f aca="false">IF(OR($D41="",$E41=""),"",$E41-$D41)</f>
        <v>4</v>
      </c>
      <c r="G41" s="62" t="n">
        <v>2</v>
      </c>
      <c r="H41" s="66" t="n">
        <f aca="false">IF($B41="","",IF($J41="Wartung/Sperrung",0,IFERROR(INDEX(Stammdaten!$F$7:$F$18,MATCH($B41,Stammdaten!$A$7:$A$18,0)),0)))</f>
        <v>109</v>
      </c>
      <c r="I41" s="66" t="n">
        <f aca="false">IF($B41="","",IF($J41="Storniert",0,$F41*$H41))</f>
        <v>436</v>
      </c>
      <c r="J41" s="67" t="s">
        <v>71</v>
      </c>
      <c r="K41" s="68" t="str">
        <f aca="false">IFERROR(INDEX(Stammdaten!$J$7:$J$10,MATCH($J41,Stammdaten!$I$7:$I$10,0)),"")</f>
        <v>B</v>
      </c>
      <c r="L41" s="67" t="s">
        <v>135</v>
      </c>
      <c r="M41" s="69" t="n">
        <v>87.2</v>
      </c>
      <c r="N41" s="66" t="n">
        <f aca="false">IF($B41="","",$I41-$M41)</f>
        <v>348.8</v>
      </c>
      <c r="O41" s="70" t="n">
        <f aca="false">IF($B41="","",IF($J41&lt;&gt;"Bestätigt",0,MAX(0,MIN($E41,Zimmerbelegungsplan!$B$7+Zimmerbelegungsplan!$C$7)-MAX($D41,Zimmerbelegungsplan!$B$7))))</f>
        <v>4</v>
      </c>
      <c r="P41" s="71" t="n">
        <f aca="false">IF($B41="","",$O41*$H41)</f>
        <v>436</v>
      </c>
      <c r="Q41" s="72" t="str">
        <f aca="false">IF($B41="","",IF(OR($D41="",$E41=""),"Datum fehlt",IF($E41&lt;=$D41,"Datum prüfen",IF($J41="Storniert","–",IF(SUMPRODUCT(($B$7:$B$86=$B41)*($B$7:$B$86&lt;&gt;"")*($J$7:$J$86&lt;&gt;"Storniert")*($D$7:$D$86&lt;$E41)*($E$7:$E$86&gt;$D41))&gt;1,"Überschneidung",IF($G41&gt;IFERROR(INDEX(Stammdaten!$D$7:$D$18,MATCH($B41,Stammdaten!$A$7:$A$18,0)),99),"Kapazität prüfen","OK"))))))</f>
        <v>OK</v>
      </c>
      <c r="R41" s="73" t="s">
        <v>73</v>
      </c>
    </row>
    <row r="42" customFormat="false" ht="15" hidden="false" customHeight="true" outlineLevel="0" collapsed="false">
      <c r="A42" s="61" t="s">
        <v>166</v>
      </c>
      <c r="B42" s="62" t="s">
        <v>91</v>
      </c>
      <c r="C42" s="63" t="s">
        <v>167</v>
      </c>
      <c r="D42" s="64" t="n">
        <v>46216</v>
      </c>
      <c r="E42" s="64" t="n">
        <v>46220</v>
      </c>
      <c r="F42" s="74" t="n">
        <f aca="false">IF(OR($D42="",$E42=""),"",$E42-$D42)</f>
        <v>4</v>
      </c>
      <c r="G42" s="62" t="n">
        <v>1</v>
      </c>
      <c r="H42" s="75" t="n">
        <f aca="false">IF($B42="","",IF($J42="Wartung/Sperrung",0,IFERROR(INDEX(Stammdaten!$F$7:$F$18,MATCH($B42,Stammdaten!$A$7:$A$18,0)),0)))</f>
        <v>89</v>
      </c>
      <c r="I42" s="75" t="n">
        <f aca="false">IF($B42="","",IF($J42="Storniert",0,$F42*$H42))</f>
        <v>356</v>
      </c>
      <c r="J42" s="67" t="s">
        <v>71</v>
      </c>
      <c r="K42" s="76" t="str">
        <f aca="false">IFERROR(INDEX(Stammdaten!$J$7:$J$10,MATCH($J42,Stammdaten!$I$7:$I$10,0)),"")</f>
        <v>B</v>
      </c>
      <c r="L42" s="67" t="s">
        <v>81</v>
      </c>
      <c r="M42" s="69" t="n">
        <v>178</v>
      </c>
      <c r="N42" s="75" t="n">
        <f aca="false">IF($B42="","",$I42-$M42)</f>
        <v>178</v>
      </c>
      <c r="O42" s="77" t="n">
        <f aca="false">IF($B42="","",IF($J42&lt;&gt;"Bestätigt",0,MAX(0,MIN($E42,Zimmerbelegungsplan!$B$7+Zimmerbelegungsplan!$C$7)-MAX($D42,Zimmerbelegungsplan!$B$7))))</f>
        <v>4</v>
      </c>
      <c r="P42" s="78" t="n">
        <f aca="false">IF($B42="","",$O42*$H42)</f>
        <v>356</v>
      </c>
      <c r="Q42" s="79" t="str">
        <f aca="false">IF($B42="","",IF(OR($D42="",$E42=""),"Datum fehlt",IF($E42&lt;=$D42,"Datum prüfen",IF($J42="Storniert","–",IF(SUMPRODUCT(($B$7:$B$86=$B42)*($B$7:$B$86&lt;&gt;"")*($J$7:$J$86&lt;&gt;"Storniert")*($D$7:$D$86&lt;$E42)*($E$7:$E$86&gt;$D42))&gt;1,"Überschneidung",IF($G42&gt;IFERROR(INDEX(Stammdaten!$D$7:$D$18,MATCH($B42,Stammdaten!$A$7:$A$18,0)),99),"Kapazität prüfen","OK"))))))</f>
        <v>OK</v>
      </c>
      <c r="R42" s="73"/>
    </row>
    <row r="43" customFormat="false" ht="15" hidden="false" customHeight="true" outlineLevel="0" collapsed="false">
      <c r="A43" s="61" t="s">
        <v>168</v>
      </c>
      <c r="B43" s="62" t="s">
        <v>87</v>
      </c>
      <c r="C43" s="63" t="s">
        <v>169</v>
      </c>
      <c r="D43" s="64" t="n">
        <v>46216</v>
      </c>
      <c r="E43" s="64" t="n">
        <v>46222</v>
      </c>
      <c r="F43" s="65" t="n">
        <f aca="false">IF(OR($D43="",$E43=""),"",$E43-$D43)</f>
        <v>6</v>
      </c>
      <c r="G43" s="62" t="n">
        <v>3</v>
      </c>
      <c r="H43" s="66" t="n">
        <f aca="false">IF($B43="","",IF($J43="Wartung/Sperrung",0,IFERROR(INDEX(Stammdaten!$F$7:$F$18,MATCH($B43,Stammdaten!$A$7:$A$18,0)),0)))</f>
        <v>145</v>
      </c>
      <c r="I43" s="66" t="n">
        <f aca="false">IF($B43="","",IF($J43="Storniert",0,$F43*$H43))</f>
        <v>870</v>
      </c>
      <c r="J43" s="67" t="s">
        <v>71</v>
      </c>
      <c r="K43" s="68" t="str">
        <f aca="false">IFERROR(INDEX(Stammdaten!$J$7:$J$10,MATCH($J43,Stammdaten!$I$7:$I$10,0)),"")</f>
        <v>B</v>
      </c>
      <c r="L43" s="67" t="s">
        <v>77</v>
      </c>
      <c r="M43" s="69" t="n">
        <v>870</v>
      </c>
      <c r="N43" s="66" t="n">
        <f aca="false">IF($B43="","",$I43-$M43)</f>
        <v>0</v>
      </c>
      <c r="O43" s="70" t="n">
        <f aca="false">IF($B43="","",IF($J43&lt;&gt;"Bestätigt",0,MAX(0,MIN($E43,Zimmerbelegungsplan!$B$7+Zimmerbelegungsplan!$C$7)-MAX($D43,Zimmerbelegungsplan!$B$7))))</f>
        <v>6</v>
      </c>
      <c r="P43" s="71" t="n">
        <f aca="false">IF($B43="","",$O43*$H43)</f>
        <v>870</v>
      </c>
      <c r="Q43" s="72" t="str">
        <f aca="false">IF($B43="","",IF(OR($D43="",$E43=""),"Datum fehlt",IF($E43&lt;=$D43,"Datum prüfen",IF($J43="Storniert","–",IF(SUMPRODUCT(($B$7:$B$86=$B43)*($B$7:$B$86&lt;&gt;"")*($J$7:$J$86&lt;&gt;"Storniert")*($D$7:$D$86&lt;$E43)*($E$7:$E$86&gt;$D43))&gt;1,"Überschneidung",IF($G43&gt;IFERROR(INDEX(Stammdaten!$D$7:$D$18,MATCH($B43,Stammdaten!$A$7:$A$18,0)),99),"Kapazität prüfen","OK"))))))</f>
        <v>OK</v>
      </c>
      <c r="R43" s="73" t="s">
        <v>85</v>
      </c>
    </row>
    <row r="44" customFormat="false" ht="15" hidden="false" customHeight="true" outlineLevel="0" collapsed="false">
      <c r="A44" s="61" t="s">
        <v>170</v>
      </c>
      <c r="B44" s="62" t="s">
        <v>98</v>
      </c>
      <c r="C44" s="63" t="s">
        <v>130</v>
      </c>
      <c r="D44" s="64" t="n">
        <v>46216</v>
      </c>
      <c r="E44" s="64" t="n">
        <v>46221</v>
      </c>
      <c r="F44" s="74" t="n">
        <f aca="false">IF(OR($D44="",$E44=""),"",$E44-$D44)</f>
        <v>5</v>
      </c>
      <c r="G44" s="62" t="n">
        <v>2</v>
      </c>
      <c r="H44" s="75" t="n">
        <f aca="false">IF($B44="","",IF($J44="Wartung/Sperrung",0,IFERROR(INDEX(Stammdaten!$F$7:$F$18,MATCH($B44,Stammdaten!$A$7:$A$18,0)),0)))</f>
        <v>189</v>
      </c>
      <c r="I44" s="75" t="n">
        <f aca="false">IF($B44="","",IF($J44="Storniert",0,$F44*$H44))</f>
        <v>945</v>
      </c>
      <c r="J44" s="67" t="s">
        <v>71</v>
      </c>
      <c r="K44" s="76" t="str">
        <f aca="false">IFERROR(INDEX(Stammdaten!$J$7:$J$10,MATCH($J44,Stammdaten!$I$7:$I$10,0)),"")</f>
        <v>B</v>
      </c>
      <c r="L44" s="67" t="s">
        <v>89</v>
      </c>
      <c r="M44" s="69" t="n">
        <v>283.5</v>
      </c>
      <c r="N44" s="75" t="n">
        <f aca="false">IF($B44="","",$I44-$M44)</f>
        <v>661.5</v>
      </c>
      <c r="O44" s="77" t="n">
        <f aca="false">IF($B44="","",IF($J44&lt;&gt;"Bestätigt",0,MAX(0,MIN($E44,Zimmerbelegungsplan!$B$7+Zimmerbelegungsplan!$C$7)-MAX($D44,Zimmerbelegungsplan!$B$7))))</f>
        <v>5</v>
      </c>
      <c r="P44" s="78" t="n">
        <f aca="false">IF($B44="","",$O44*$H44)</f>
        <v>945</v>
      </c>
      <c r="Q44" s="79" t="str">
        <f aca="false">IF($B44="","",IF(OR($D44="",$E44=""),"Datum fehlt",IF($E44&lt;=$D44,"Datum prüfen",IF($J44="Storniert","–",IF(SUMPRODUCT(($B$7:$B$86=$B44)*($B$7:$B$86&lt;&gt;"")*($J$7:$J$86&lt;&gt;"Storniert")*($D$7:$D$86&lt;$E44)*($E$7:$E$86&gt;$D44))&gt;1,"Überschneidung",IF($G44&gt;IFERROR(INDEX(Stammdaten!$D$7:$D$18,MATCH($B44,Stammdaten!$A$7:$A$18,0)),99),"Kapazität prüfen","OK"))))))</f>
        <v>OK</v>
      </c>
      <c r="R44" s="73"/>
    </row>
    <row r="45" customFormat="false" ht="15" hidden="false" customHeight="true" outlineLevel="0" collapsed="false">
      <c r="A45" s="61" t="s">
        <v>171</v>
      </c>
      <c r="B45" s="62" t="s">
        <v>69</v>
      </c>
      <c r="C45" s="63" t="s">
        <v>172</v>
      </c>
      <c r="D45" s="64" t="n">
        <v>46217</v>
      </c>
      <c r="E45" s="64" t="n">
        <v>46219</v>
      </c>
      <c r="F45" s="65" t="n">
        <f aca="false">IF(OR($D45="",$E45=""),"",$E45-$D45)</f>
        <v>2</v>
      </c>
      <c r="G45" s="62" t="n">
        <v>2</v>
      </c>
      <c r="H45" s="66" t="n">
        <f aca="false">IF($B45="","",IF($J45="Wartung/Sperrung",0,IFERROR(INDEX(Stammdaten!$F$7:$F$18,MATCH($B45,Stammdaten!$A$7:$A$18,0)),0)))</f>
        <v>109</v>
      </c>
      <c r="I45" s="66" t="n">
        <f aca="false">IF($B45="","",IF($J45="Storniert",0,$F45*$H45))</f>
        <v>218</v>
      </c>
      <c r="J45" s="67" t="s">
        <v>71</v>
      </c>
      <c r="K45" s="68" t="str">
        <f aca="false">IFERROR(INDEX(Stammdaten!$J$7:$J$10,MATCH($J45,Stammdaten!$I$7:$I$10,0)),"")</f>
        <v>B</v>
      </c>
      <c r="L45" s="67" t="s">
        <v>81</v>
      </c>
      <c r="M45" s="69" t="n">
        <v>218</v>
      </c>
      <c r="N45" s="66" t="n">
        <f aca="false">IF($B45="","",$I45-$M45)</f>
        <v>0</v>
      </c>
      <c r="O45" s="70" t="n">
        <f aca="false">IF($B45="","",IF($J45&lt;&gt;"Bestätigt",0,MAX(0,MIN($E45,Zimmerbelegungsplan!$B$7+Zimmerbelegungsplan!$C$7)-MAX($D45,Zimmerbelegungsplan!$B$7))))</f>
        <v>2</v>
      </c>
      <c r="P45" s="71" t="n">
        <f aca="false">IF($B45="","",$O45*$H45)</f>
        <v>218</v>
      </c>
      <c r="Q45" s="72" t="str">
        <f aca="false">IF($B45="","",IF(OR($D45="",$E45=""),"Datum fehlt",IF($E45&lt;=$D45,"Datum prüfen",IF($J45="Storniert","–",IF(SUMPRODUCT(($B$7:$B$86=$B45)*($B$7:$B$86&lt;&gt;"")*($J$7:$J$86&lt;&gt;"Storniert")*($D$7:$D$86&lt;$E45)*($E$7:$E$86&gt;$D45))&gt;1,"Überschneidung",IF($G45&gt;IFERROR(INDEX(Stammdaten!$D$7:$D$18,MATCH($B45,Stammdaten!$A$7:$A$18,0)),99),"Kapazität prüfen","OK"))))))</f>
        <v>OK</v>
      </c>
      <c r="R45" s="73" t="s">
        <v>108</v>
      </c>
    </row>
    <row r="46" customFormat="false" ht="15" hidden="false" customHeight="true" outlineLevel="0" collapsed="false">
      <c r="A46" s="61" t="s">
        <v>173</v>
      </c>
      <c r="B46" s="62" t="s">
        <v>102</v>
      </c>
      <c r="C46" s="63" t="s">
        <v>123</v>
      </c>
      <c r="D46" s="64" t="n">
        <v>46217</v>
      </c>
      <c r="E46" s="64" t="n">
        <v>46221</v>
      </c>
      <c r="F46" s="74" t="n">
        <f aca="false">IF(OR($D46="",$E46=""),"",$E46-$D46)</f>
        <v>4</v>
      </c>
      <c r="G46" s="62" t="n">
        <v>1</v>
      </c>
      <c r="H46" s="75" t="n">
        <f aca="false">IF($B46="","",IF($J46="Wartung/Sperrung",0,IFERROR(INDEX(Stammdaten!$F$7:$F$18,MATCH($B46,Stammdaten!$A$7:$A$18,0)),0)))</f>
        <v>119</v>
      </c>
      <c r="I46" s="75" t="n">
        <f aca="false">IF($B46="","",IF($J46="Storniert",0,$F46*$H46))</f>
        <v>476</v>
      </c>
      <c r="J46" s="67" t="s">
        <v>71</v>
      </c>
      <c r="K46" s="76" t="str">
        <f aca="false">IFERROR(INDEX(Stammdaten!$J$7:$J$10,MATCH($J46,Stammdaten!$I$7:$I$10,0)),"")</f>
        <v>B</v>
      </c>
      <c r="L46" s="67" t="s">
        <v>77</v>
      </c>
      <c r="M46" s="69" t="n">
        <v>0</v>
      </c>
      <c r="N46" s="75" t="n">
        <f aca="false">IF($B46="","",$I46-$M46)</f>
        <v>476</v>
      </c>
      <c r="O46" s="77" t="n">
        <f aca="false">IF($B46="","",IF($J46&lt;&gt;"Bestätigt",0,MAX(0,MIN($E46,Zimmerbelegungsplan!$B$7+Zimmerbelegungsplan!$C$7)-MAX($D46,Zimmerbelegungsplan!$B$7))))</f>
        <v>4</v>
      </c>
      <c r="P46" s="78" t="n">
        <f aca="false">IF($B46="","",$O46*$H46)</f>
        <v>476</v>
      </c>
      <c r="Q46" s="79" t="str">
        <f aca="false">IF($B46="","",IF(OR($D46="",$E46=""),"Datum fehlt",IF($E46&lt;=$D46,"Datum prüfen",IF($J46="Storniert","–",IF(SUMPRODUCT(($B$7:$B$86=$B46)*($B$7:$B$86&lt;&gt;"")*($J$7:$J$86&lt;&gt;"Storniert")*($D$7:$D$86&lt;$E46)*($E$7:$E$86&gt;$D46))&gt;1,"Überschneidung",IF($G46&gt;IFERROR(INDEX(Stammdaten!$D$7:$D$18,MATCH($B46,Stammdaten!$A$7:$A$18,0)),99),"Kapazität prüfen","OK"))))))</f>
        <v>OK</v>
      </c>
      <c r="R46" s="73" t="s">
        <v>108</v>
      </c>
    </row>
    <row r="47" customFormat="false" ht="15" hidden="false" customHeight="true" outlineLevel="0" collapsed="false">
      <c r="A47" s="61" t="s">
        <v>174</v>
      </c>
      <c r="B47" s="62" t="s">
        <v>106</v>
      </c>
      <c r="C47" s="63" t="s">
        <v>175</v>
      </c>
      <c r="D47" s="64" t="n">
        <v>46218</v>
      </c>
      <c r="E47" s="64" t="n">
        <v>46222</v>
      </c>
      <c r="F47" s="65" t="n">
        <f aca="false">IF(OR($D47="",$E47=""),"",$E47-$D47)</f>
        <v>4</v>
      </c>
      <c r="G47" s="62" t="n">
        <v>1</v>
      </c>
      <c r="H47" s="66" t="n">
        <f aca="false">IF($B47="","",IF($J47="Wartung/Sperrung",0,IFERROR(INDEX(Stammdaten!$F$7:$F$18,MATCH($B47,Stammdaten!$A$7:$A$18,0)),0)))</f>
        <v>79</v>
      </c>
      <c r="I47" s="66" t="n">
        <f aca="false">IF($B47="","",IF($J47="Storniert",0,$F47*$H47))</f>
        <v>316</v>
      </c>
      <c r="J47" s="67" t="s">
        <v>71</v>
      </c>
      <c r="K47" s="68" t="str">
        <f aca="false">IFERROR(INDEX(Stammdaten!$J$7:$J$10,MATCH($J47,Stammdaten!$I$7:$I$10,0)),"")</f>
        <v>B</v>
      </c>
      <c r="L47" s="67" t="s">
        <v>81</v>
      </c>
      <c r="M47" s="69" t="n">
        <v>0</v>
      </c>
      <c r="N47" s="66" t="n">
        <f aca="false">IF($B47="","",$I47-$M47)</f>
        <v>316</v>
      </c>
      <c r="O47" s="70" t="n">
        <f aca="false">IF($B47="","",IF($J47&lt;&gt;"Bestätigt",0,MAX(0,MIN($E47,Zimmerbelegungsplan!$B$7+Zimmerbelegungsplan!$C$7)-MAX($D47,Zimmerbelegungsplan!$B$7))))</f>
        <v>4</v>
      </c>
      <c r="P47" s="71" t="n">
        <f aca="false">IF($B47="","",$O47*$H47)</f>
        <v>316</v>
      </c>
      <c r="Q47" s="72" t="str">
        <f aca="false">IF($B47="","",IF(OR($D47="",$E47=""),"Datum fehlt",IF($E47&lt;=$D47,"Datum prüfen",IF($J47="Storniert","–",IF(SUMPRODUCT(($B$7:$B$86=$B47)*($B$7:$B$86&lt;&gt;"")*($J$7:$J$86&lt;&gt;"Storniert")*($D$7:$D$86&lt;$E47)*($E$7:$E$86&gt;$D47))&gt;1,"Überschneidung",IF($G47&gt;IFERROR(INDEX(Stammdaten!$D$7:$D$18,MATCH($B47,Stammdaten!$A$7:$A$18,0)),99),"Kapazität prüfen","OK"))))))</f>
        <v>OK</v>
      </c>
      <c r="R47" s="73" t="s">
        <v>124</v>
      </c>
    </row>
    <row r="48" customFormat="false" ht="15" hidden="false" customHeight="true" outlineLevel="0" collapsed="false">
      <c r="A48" s="61" t="s">
        <v>176</v>
      </c>
      <c r="B48" s="62" t="s">
        <v>117</v>
      </c>
      <c r="C48" s="63" t="s">
        <v>80</v>
      </c>
      <c r="D48" s="64" t="n">
        <v>46218</v>
      </c>
      <c r="E48" s="64" t="n">
        <v>46224</v>
      </c>
      <c r="F48" s="74" t="n">
        <f aca="false">IF(OR($D48="",$E48=""),"",$E48-$D48)</f>
        <v>6</v>
      </c>
      <c r="G48" s="62" t="n">
        <v>2</v>
      </c>
      <c r="H48" s="75" t="n">
        <f aca="false">IF($B48="","",IF($J48="Wartung/Sperrung",0,IFERROR(INDEX(Stammdaten!$F$7:$F$18,MATCH($B48,Stammdaten!$A$7:$A$18,0)),0)))</f>
        <v>209</v>
      </c>
      <c r="I48" s="75" t="n">
        <f aca="false">IF($B48="","",IF($J48="Storniert",0,$F48*$H48))</f>
        <v>1254</v>
      </c>
      <c r="J48" s="67" t="s">
        <v>71</v>
      </c>
      <c r="K48" s="76" t="str">
        <f aca="false">IFERROR(INDEX(Stammdaten!$J$7:$J$10,MATCH($J48,Stammdaten!$I$7:$I$10,0)),"")</f>
        <v>B</v>
      </c>
      <c r="L48" s="67" t="s">
        <v>77</v>
      </c>
      <c r="M48" s="69" t="n">
        <v>0</v>
      </c>
      <c r="N48" s="75" t="n">
        <f aca="false">IF($B48="","",$I48-$M48)</f>
        <v>1254</v>
      </c>
      <c r="O48" s="77" t="n">
        <f aca="false">IF($B48="","",IF($J48&lt;&gt;"Bestätigt",0,MAX(0,MIN($E48,Zimmerbelegungsplan!$B$7+Zimmerbelegungsplan!$C$7)-MAX($D48,Zimmerbelegungsplan!$B$7))))</f>
        <v>6</v>
      </c>
      <c r="P48" s="78" t="n">
        <f aca="false">IF($B48="","",$O48*$H48)</f>
        <v>1254</v>
      </c>
      <c r="Q48" s="79" t="str">
        <f aca="false">IF($B48="","",IF(OR($D48="",$E48=""),"Datum fehlt",IF($E48&lt;=$D48,"Datum prüfen",IF($J48="Storniert","–",IF(SUMPRODUCT(($B$7:$B$86=$B48)*($B$7:$B$86&lt;&gt;"")*($J$7:$J$86&lt;&gt;"Storniert")*($D$7:$D$86&lt;$E48)*($E$7:$E$86&gt;$D48))&gt;1,"Überschneidung",IF($G48&gt;IFERROR(INDEX(Stammdaten!$D$7:$D$18,MATCH($B48,Stammdaten!$A$7:$A$18,0)),99),"Kapazität prüfen","OK"))))))</f>
        <v>OK</v>
      </c>
      <c r="R48" s="73" t="s">
        <v>108</v>
      </c>
    </row>
    <row r="49" customFormat="false" ht="15" hidden="false" customHeight="true" outlineLevel="0" collapsed="false">
      <c r="A49" s="61" t="s">
        <v>177</v>
      </c>
      <c r="B49" s="62" t="s">
        <v>79</v>
      </c>
      <c r="C49" s="63" t="s">
        <v>178</v>
      </c>
      <c r="D49" s="64" t="n">
        <v>46219</v>
      </c>
      <c r="E49" s="64" t="n">
        <v>46222</v>
      </c>
      <c r="F49" s="65" t="n">
        <f aca="false">IF(OR($D49="",$E49=""),"",$E49-$D49)</f>
        <v>3</v>
      </c>
      <c r="G49" s="62" t="n">
        <v>2</v>
      </c>
      <c r="H49" s="66" t="n">
        <f aca="false">IF($B49="","",IF($J49="Wartung/Sperrung",0,IFERROR(INDEX(Stammdaten!$F$7:$F$18,MATCH($B49,Stammdaten!$A$7:$A$18,0)),0)))</f>
        <v>109</v>
      </c>
      <c r="I49" s="66" t="n">
        <f aca="false">IF($B49="","",IF($J49="Storniert",0,$F49*$H49))</f>
        <v>327</v>
      </c>
      <c r="J49" s="67" t="s">
        <v>71</v>
      </c>
      <c r="K49" s="68" t="str">
        <f aca="false">IFERROR(INDEX(Stammdaten!$J$7:$J$10,MATCH($J49,Stammdaten!$I$7:$I$10,0)),"")</f>
        <v>B</v>
      </c>
      <c r="L49" s="67" t="s">
        <v>135</v>
      </c>
      <c r="M49" s="69" t="n">
        <v>0</v>
      </c>
      <c r="N49" s="66" t="n">
        <f aca="false">IF($B49="","",$I49-$M49)</f>
        <v>327</v>
      </c>
      <c r="O49" s="70" t="n">
        <f aca="false">IF($B49="","",IF($J49&lt;&gt;"Bestätigt",0,MAX(0,MIN($E49,Zimmerbelegungsplan!$B$7+Zimmerbelegungsplan!$C$7)-MAX($D49,Zimmerbelegungsplan!$B$7))))</f>
        <v>3</v>
      </c>
      <c r="P49" s="71" t="n">
        <f aca="false">IF($B49="","",$O49*$H49)</f>
        <v>327</v>
      </c>
      <c r="Q49" s="72" t="str">
        <f aca="false">IF($B49="","",IF(OR($D49="",$E49=""),"Datum fehlt",IF($E49&lt;=$D49,"Datum prüfen",IF($J49="Storniert","–",IF(SUMPRODUCT(($B$7:$B$86=$B49)*($B$7:$B$86&lt;&gt;"")*($J$7:$J$86&lt;&gt;"Storniert")*($D$7:$D$86&lt;$E49)*($E$7:$E$86&gt;$D49))&gt;1,"Überschneidung",IF($G49&gt;IFERROR(INDEX(Stammdaten!$D$7:$D$18,MATCH($B49,Stammdaten!$A$7:$A$18,0)),99),"Kapazität prüfen","OK"))))))</f>
        <v>OK</v>
      </c>
      <c r="R49" s="73" t="s">
        <v>108</v>
      </c>
    </row>
    <row r="50" customFormat="false" ht="15" hidden="false" customHeight="true" outlineLevel="0" collapsed="false">
      <c r="A50" s="61" t="s">
        <v>179</v>
      </c>
      <c r="B50" s="62" t="s">
        <v>83</v>
      </c>
      <c r="C50" s="63" t="s">
        <v>180</v>
      </c>
      <c r="D50" s="64" t="n">
        <v>46219</v>
      </c>
      <c r="E50" s="64" t="n">
        <v>46225</v>
      </c>
      <c r="F50" s="74" t="n">
        <f aca="false">IF(OR($D50="",$E50=""),"",$E50-$D50)</f>
        <v>6</v>
      </c>
      <c r="G50" s="62" t="n">
        <v>2</v>
      </c>
      <c r="H50" s="75" t="n">
        <f aca="false">IF($B50="","",IF($J50="Wartung/Sperrung",0,IFERROR(INDEX(Stammdaten!$F$7:$F$18,MATCH($B50,Stammdaten!$A$7:$A$18,0)),0)))</f>
        <v>129</v>
      </c>
      <c r="I50" s="75" t="n">
        <f aca="false">IF($B50="","",IF($J50="Storniert",0,$F50*$H50))</f>
        <v>774</v>
      </c>
      <c r="J50" s="67" t="s">
        <v>71</v>
      </c>
      <c r="K50" s="76" t="str">
        <f aca="false">IFERROR(INDEX(Stammdaten!$J$7:$J$10,MATCH($J50,Stammdaten!$I$7:$I$10,0)),"")</f>
        <v>B</v>
      </c>
      <c r="L50" s="67" t="s">
        <v>89</v>
      </c>
      <c r="M50" s="69" t="n">
        <v>0</v>
      </c>
      <c r="N50" s="75" t="n">
        <f aca="false">IF($B50="","",$I50-$M50)</f>
        <v>774</v>
      </c>
      <c r="O50" s="77" t="n">
        <f aca="false">IF($B50="","",IF($J50&lt;&gt;"Bestätigt",0,MAX(0,MIN($E50,Zimmerbelegungsplan!$B$7+Zimmerbelegungsplan!$C$7)-MAX($D50,Zimmerbelegungsplan!$B$7))))</f>
        <v>6</v>
      </c>
      <c r="P50" s="78" t="n">
        <f aca="false">IF($B50="","",$O50*$H50)</f>
        <v>774</v>
      </c>
      <c r="Q50" s="79" t="str">
        <f aca="false">IF($B50="","",IF(OR($D50="",$E50=""),"Datum fehlt",IF($E50&lt;=$D50,"Datum prüfen",IF($J50="Storniert","–",IF(SUMPRODUCT(($B$7:$B$86=$B50)*($B$7:$B$86&lt;&gt;"")*($J$7:$J$86&lt;&gt;"Storniert")*($D$7:$D$86&lt;$E50)*($E$7:$E$86&gt;$D50))&gt;1,"Überschneidung",IF($G50&gt;IFERROR(INDEX(Stammdaten!$D$7:$D$18,MATCH($B50,Stammdaten!$A$7:$A$18,0)),99),"Kapazität prüfen","OK"))))))</f>
        <v>OK</v>
      </c>
      <c r="R50" s="73"/>
    </row>
    <row r="51" customFormat="false" ht="15" hidden="false" customHeight="true" outlineLevel="0" collapsed="false">
      <c r="A51" s="61" t="s">
        <v>181</v>
      </c>
      <c r="B51" s="62" t="s">
        <v>112</v>
      </c>
      <c r="C51" s="63" t="s">
        <v>155</v>
      </c>
      <c r="D51" s="64" t="n">
        <v>46219</v>
      </c>
      <c r="E51" s="64" t="n">
        <v>46225</v>
      </c>
      <c r="F51" s="65" t="n">
        <f aca="false">IF(OR($D51="",$E51=""),"",$E51-$D51)</f>
        <v>6</v>
      </c>
      <c r="G51" s="62" t="n">
        <v>3</v>
      </c>
      <c r="H51" s="66" t="n">
        <f aca="false">IF($B51="","",IF($J51="Wartung/Sperrung",0,IFERROR(INDEX(Stammdaten!$F$7:$F$18,MATCH($B51,Stammdaten!$A$7:$A$18,0)),0)))</f>
        <v>169</v>
      </c>
      <c r="I51" s="66" t="n">
        <f aca="false">IF($B51="","",IF($J51="Storniert",0,$F51*$H51))</f>
        <v>1014</v>
      </c>
      <c r="J51" s="67" t="s">
        <v>71</v>
      </c>
      <c r="K51" s="68" t="str">
        <f aca="false">IFERROR(INDEX(Stammdaten!$J$7:$J$10,MATCH($J51,Stammdaten!$I$7:$I$10,0)),"")</f>
        <v>B</v>
      </c>
      <c r="L51" s="67" t="s">
        <v>89</v>
      </c>
      <c r="M51" s="69" t="n">
        <v>0</v>
      </c>
      <c r="N51" s="66" t="n">
        <f aca="false">IF($B51="","",$I51-$M51)</f>
        <v>1014</v>
      </c>
      <c r="O51" s="70" t="n">
        <f aca="false">IF($B51="","",IF($J51&lt;&gt;"Bestätigt",0,MAX(0,MIN($E51,Zimmerbelegungsplan!$B$7+Zimmerbelegungsplan!$C$7)-MAX($D51,Zimmerbelegungsplan!$B$7))))</f>
        <v>6</v>
      </c>
      <c r="P51" s="71" t="n">
        <f aca="false">IF($B51="","",$O51*$H51)</f>
        <v>1014</v>
      </c>
      <c r="Q51" s="72" t="str">
        <f aca="false">IF($B51="","",IF(OR($D51="",$E51=""),"Datum fehlt",IF($E51&lt;=$D51,"Datum prüfen",IF($J51="Storniert","–",IF(SUMPRODUCT(($B$7:$B$86=$B51)*($B$7:$B$86&lt;&gt;"")*($J$7:$J$86&lt;&gt;"Storniert")*($D$7:$D$86&lt;$E51)*($E$7:$E$86&gt;$D51))&gt;1,"Überschneidung",IF($G51&gt;IFERROR(INDEX(Stammdaten!$D$7:$D$18,MATCH($B51,Stammdaten!$A$7:$A$18,0)),99),"Kapazität prüfen","OK"))))))</f>
        <v>OK</v>
      </c>
      <c r="R51" s="73" t="s">
        <v>96</v>
      </c>
    </row>
    <row r="52" customFormat="false" ht="15" hidden="false" customHeight="true" outlineLevel="0" collapsed="false">
      <c r="A52" s="61" t="s">
        <v>182</v>
      </c>
      <c r="B52" s="62" t="s">
        <v>91</v>
      </c>
      <c r="C52" s="63" t="s">
        <v>183</v>
      </c>
      <c r="D52" s="64" t="n">
        <v>46220</v>
      </c>
      <c r="E52" s="64" t="n">
        <v>46223</v>
      </c>
      <c r="F52" s="74" t="n">
        <f aca="false">IF(OR($D52="",$E52=""),"",$E52-$D52)</f>
        <v>3</v>
      </c>
      <c r="G52" s="62" t="n">
        <v>1</v>
      </c>
      <c r="H52" s="75" t="n">
        <f aca="false">IF($B52="","",IF($J52="Wartung/Sperrung",0,IFERROR(INDEX(Stammdaten!$F$7:$F$18,MATCH($B52,Stammdaten!$A$7:$A$18,0)),0)))</f>
        <v>89</v>
      </c>
      <c r="I52" s="75" t="n">
        <f aca="false">IF($B52="","",IF($J52="Storniert",0,$F52*$H52))</f>
        <v>267</v>
      </c>
      <c r="J52" s="67" t="s">
        <v>114</v>
      </c>
      <c r="K52" s="76" t="str">
        <f aca="false">IFERROR(INDEX(Stammdaten!$J$7:$J$10,MATCH($J52,Stammdaten!$I$7:$I$10,0)),"")</f>
        <v>O</v>
      </c>
      <c r="L52" s="67" t="s">
        <v>81</v>
      </c>
      <c r="M52" s="69" t="n">
        <v>0</v>
      </c>
      <c r="N52" s="75" t="n">
        <f aca="false">IF($B52="","",$I52-$M52)</f>
        <v>267</v>
      </c>
      <c r="O52" s="77" t="n">
        <f aca="false">IF($B52="","",IF($J52&lt;&gt;"Bestätigt",0,MAX(0,MIN($E52,Zimmerbelegungsplan!$B$7+Zimmerbelegungsplan!$C$7)-MAX($D52,Zimmerbelegungsplan!$B$7))))</f>
        <v>0</v>
      </c>
      <c r="P52" s="78" t="n">
        <f aca="false">IF($B52="","",$O52*$H52)</f>
        <v>0</v>
      </c>
      <c r="Q52" s="79" t="str">
        <f aca="false">IF($B52="","",IF(OR($D52="",$E52=""),"Datum fehlt",IF($E52&lt;=$D52,"Datum prüfen",IF($J52="Storniert","–",IF(SUMPRODUCT(($B$7:$B$86=$B52)*($B$7:$B$86&lt;&gt;"")*($J$7:$J$86&lt;&gt;"Storniert")*($D$7:$D$86&lt;$E52)*($E$7:$E$86&gt;$D52))&gt;1,"Überschneidung",IF($G52&gt;IFERROR(INDEX(Stammdaten!$D$7:$D$18,MATCH($B52,Stammdaten!$A$7:$A$18,0)),99),"Kapazität prüfen","OK"))))))</f>
        <v>OK</v>
      </c>
      <c r="R52" s="73" t="s">
        <v>115</v>
      </c>
    </row>
    <row r="53" customFormat="false" ht="15" hidden="false" customHeight="true" outlineLevel="0" collapsed="false">
      <c r="A53" s="61" t="s">
        <v>184</v>
      </c>
      <c r="B53" s="62" t="s">
        <v>69</v>
      </c>
      <c r="C53" s="63" t="s">
        <v>185</v>
      </c>
      <c r="D53" s="64" t="n">
        <v>46220</v>
      </c>
      <c r="E53" s="64" t="n">
        <v>46223</v>
      </c>
      <c r="F53" s="65" t="n">
        <f aca="false">IF(OR($D53="",$E53=""),"",$E53-$D53)</f>
        <v>3</v>
      </c>
      <c r="G53" s="62" t="n">
        <v>2</v>
      </c>
      <c r="H53" s="66" t="n">
        <f aca="false">IF($B53="","",IF($J53="Wartung/Sperrung",0,IFERROR(INDEX(Stammdaten!$F$7:$F$18,MATCH($B53,Stammdaten!$A$7:$A$18,0)),0)))</f>
        <v>109</v>
      </c>
      <c r="I53" s="66" t="n">
        <f aca="false">IF($B53="","",IF($J53="Storniert",0,$F53*$H53))</f>
        <v>327</v>
      </c>
      <c r="J53" s="67" t="s">
        <v>71</v>
      </c>
      <c r="K53" s="68" t="str">
        <f aca="false">IFERROR(INDEX(Stammdaten!$J$7:$J$10,MATCH($J53,Stammdaten!$I$7:$I$10,0)),"")</f>
        <v>B</v>
      </c>
      <c r="L53" s="67" t="s">
        <v>100</v>
      </c>
      <c r="M53" s="69" t="n">
        <v>0</v>
      </c>
      <c r="N53" s="66" t="n">
        <f aca="false">IF($B53="","",$I53-$M53)</f>
        <v>327</v>
      </c>
      <c r="O53" s="70" t="n">
        <f aca="false">IF($B53="","",IF($J53&lt;&gt;"Bestätigt",0,MAX(0,MIN($E53,Zimmerbelegungsplan!$B$7+Zimmerbelegungsplan!$C$7)-MAX($D53,Zimmerbelegungsplan!$B$7))))</f>
        <v>3</v>
      </c>
      <c r="P53" s="71" t="n">
        <f aca="false">IF($B53="","",$O53*$H53)</f>
        <v>327</v>
      </c>
      <c r="Q53" s="72" t="str">
        <f aca="false">IF($B53="","",IF(OR($D53="",$E53=""),"Datum fehlt",IF($E53&lt;=$D53,"Datum prüfen",IF($J53="Storniert","–",IF(SUMPRODUCT(($B$7:$B$86=$B53)*($B$7:$B$86&lt;&gt;"")*($J$7:$J$86&lt;&gt;"Storniert")*($D$7:$D$86&lt;$E53)*($E$7:$E$86&gt;$D53))&gt;1,"Überschneidung",IF($G53&gt;IFERROR(INDEX(Stammdaten!$D$7:$D$18,MATCH($B53,Stammdaten!$A$7:$A$18,0)),99),"Kapazität prüfen","OK"))))))</f>
        <v>OK</v>
      </c>
      <c r="R53" s="73"/>
    </row>
    <row r="54" customFormat="false" ht="15" hidden="false" customHeight="true" outlineLevel="0" collapsed="false">
      <c r="A54" s="61" t="s">
        <v>186</v>
      </c>
      <c r="B54" s="62" t="s">
        <v>75</v>
      </c>
      <c r="C54" s="63" t="s">
        <v>187</v>
      </c>
      <c r="D54" s="64" t="n">
        <v>46220</v>
      </c>
      <c r="E54" s="64" t="n">
        <v>46222</v>
      </c>
      <c r="F54" s="74" t="n">
        <f aca="false">IF(OR($D54="",$E54=""),"",$E54-$D54)</f>
        <v>2</v>
      </c>
      <c r="G54" s="62" t="n">
        <v>1</v>
      </c>
      <c r="H54" s="75" t="n">
        <f aca="false">IF($B54="","",IF($J54="Wartung/Sperrung",0,IFERROR(INDEX(Stammdaten!$F$7:$F$18,MATCH($B54,Stammdaten!$A$7:$A$18,0)),0)))</f>
        <v>129</v>
      </c>
      <c r="I54" s="75" t="n">
        <f aca="false">IF($B54="","",IF($J54="Storniert",0,$F54*$H54))</f>
        <v>258</v>
      </c>
      <c r="J54" s="67" t="s">
        <v>71</v>
      </c>
      <c r="K54" s="76" t="str">
        <f aca="false">IFERROR(INDEX(Stammdaten!$J$7:$J$10,MATCH($J54,Stammdaten!$I$7:$I$10,0)),"")</f>
        <v>B</v>
      </c>
      <c r="L54" s="67" t="s">
        <v>131</v>
      </c>
      <c r="M54" s="69" t="n">
        <v>0</v>
      </c>
      <c r="N54" s="75" t="n">
        <f aca="false">IF($B54="","",$I54-$M54)</f>
        <v>258</v>
      </c>
      <c r="O54" s="77" t="n">
        <f aca="false">IF($B54="","",IF($J54&lt;&gt;"Bestätigt",0,MAX(0,MIN($E54,Zimmerbelegungsplan!$B$7+Zimmerbelegungsplan!$C$7)-MAX($D54,Zimmerbelegungsplan!$B$7))))</f>
        <v>2</v>
      </c>
      <c r="P54" s="78" t="n">
        <f aca="false">IF($B54="","",$O54*$H54)</f>
        <v>258</v>
      </c>
      <c r="Q54" s="79" t="str">
        <f aca="false">IF($B54="","",IF(OR($D54="",$E54=""),"Datum fehlt",IF($E54&lt;=$D54,"Datum prüfen",IF($J54="Storniert","–",IF(SUMPRODUCT(($B$7:$B$86=$B54)*($B$7:$B$86&lt;&gt;"")*($J$7:$J$86&lt;&gt;"Storniert")*($D$7:$D$86&lt;$E54)*($E$7:$E$86&gt;$D54))&gt;1,"Überschneidung",IF($G54&gt;IFERROR(INDEX(Stammdaten!$D$7:$D$18,MATCH($B54,Stammdaten!$A$7:$A$18,0)),99),"Kapazität prüfen","OK"))))))</f>
        <v>OK</v>
      </c>
      <c r="R54" s="73"/>
    </row>
    <row r="55" customFormat="false" ht="15" hidden="false" customHeight="true" outlineLevel="0" collapsed="false">
      <c r="A55" s="61" t="s">
        <v>188</v>
      </c>
      <c r="B55" s="62" t="s">
        <v>94</v>
      </c>
      <c r="C55" s="63" t="s">
        <v>110</v>
      </c>
      <c r="D55" s="64" t="n">
        <v>46220</v>
      </c>
      <c r="E55" s="64" t="n">
        <v>46224</v>
      </c>
      <c r="F55" s="65" t="n">
        <f aca="false">IF(OR($D55="",$E55=""),"",$E55-$D55)</f>
        <v>4</v>
      </c>
      <c r="G55" s="62" t="n">
        <v>2</v>
      </c>
      <c r="H55" s="66" t="n">
        <f aca="false">IF($B55="","",IF($J55="Wartung/Sperrung",0,IFERROR(INDEX(Stammdaten!$F$7:$F$18,MATCH($B55,Stammdaten!$A$7:$A$18,0)),0)))</f>
        <v>169</v>
      </c>
      <c r="I55" s="66" t="n">
        <f aca="false">IF($B55="","",IF($J55="Storniert",0,$F55*$H55))</f>
        <v>676</v>
      </c>
      <c r="J55" s="67" t="s">
        <v>71</v>
      </c>
      <c r="K55" s="68" t="str">
        <f aca="false">IFERROR(INDEX(Stammdaten!$J$7:$J$10,MATCH($J55,Stammdaten!$I$7:$I$10,0)),"")</f>
        <v>B</v>
      </c>
      <c r="L55" s="67" t="s">
        <v>131</v>
      </c>
      <c r="M55" s="69" t="n">
        <v>338</v>
      </c>
      <c r="N55" s="66" t="n">
        <f aca="false">IF($B55="","",$I55-$M55)</f>
        <v>338</v>
      </c>
      <c r="O55" s="70" t="n">
        <f aca="false">IF($B55="","",IF($J55&lt;&gt;"Bestätigt",0,MAX(0,MIN($E55,Zimmerbelegungsplan!$B$7+Zimmerbelegungsplan!$C$7)-MAX($D55,Zimmerbelegungsplan!$B$7))))</f>
        <v>4</v>
      </c>
      <c r="P55" s="71" t="n">
        <f aca="false">IF($B55="","",$O55*$H55)</f>
        <v>676</v>
      </c>
      <c r="Q55" s="72" t="str">
        <f aca="false">IF($B55="","",IF(OR($D55="",$E55=""),"Datum fehlt",IF($E55&lt;=$D55,"Datum prüfen",IF($J55="Storniert","–",IF(SUMPRODUCT(($B$7:$B$86=$B55)*($B$7:$B$86&lt;&gt;"")*($J$7:$J$86&lt;&gt;"Storniert")*($D$7:$D$86&lt;$E55)*($E$7:$E$86&gt;$D55))&gt;1,"Überschneidung",IF($G55&gt;IFERROR(INDEX(Stammdaten!$D$7:$D$18,MATCH($B55,Stammdaten!$A$7:$A$18,0)),99),"Kapazität prüfen","OK"))))))</f>
        <v>OK</v>
      </c>
      <c r="R55" s="73" t="s">
        <v>73</v>
      </c>
    </row>
    <row r="56" customFormat="false" ht="15" hidden="false" customHeight="true" outlineLevel="0" collapsed="false">
      <c r="A56" s="61" t="s">
        <v>189</v>
      </c>
      <c r="B56" s="62" t="s">
        <v>75</v>
      </c>
      <c r="C56" s="63" t="s">
        <v>190</v>
      </c>
      <c r="D56" s="64" t="n">
        <v>46222</v>
      </c>
      <c r="E56" s="64" t="n">
        <v>46225</v>
      </c>
      <c r="F56" s="74" t="n">
        <f aca="false">IF(OR($D56="",$E56=""),"",$E56-$D56)</f>
        <v>3</v>
      </c>
      <c r="G56" s="62" t="n">
        <v>2</v>
      </c>
      <c r="H56" s="75" t="n">
        <f aca="false">IF($B56="","",IF($J56="Wartung/Sperrung",0,IFERROR(INDEX(Stammdaten!$F$7:$F$18,MATCH($B56,Stammdaten!$A$7:$A$18,0)),0)))</f>
        <v>129</v>
      </c>
      <c r="I56" s="75" t="n">
        <f aca="false">IF($B56="","",IF($J56="Storniert",0,$F56*$H56))</f>
        <v>387</v>
      </c>
      <c r="J56" s="67" t="s">
        <v>71</v>
      </c>
      <c r="K56" s="76" t="str">
        <f aca="false">IFERROR(INDEX(Stammdaten!$J$7:$J$10,MATCH($J56,Stammdaten!$I$7:$I$10,0)),"")</f>
        <v>B</v>
      </c>
      <c r="L56" s="67" t="s">
        <v>81</v>
      </c>
      <c r="M56" s="69" t="n">
        <v>0</v>
      </c>
      <c r="N56" s="75" t="n">
        <f aca="false">IF($B56="","",$I56-$M56)</f>
        <v>387</v>
      </c>
      <c r="O56" s="77" t="n">
        <f aca="false">IF($B56="","",IF($J56&lt;&gt;"Bestätigt",0,MAX(0,MIN($E56,Zimmerbelegungsplan!$B$7+Zimmerbelegungsplan!$C$7)-MAX($D56,Zimmerbelegungsplan!$B$7))))</f>
        <v>3</v>
      </c>
      <c r="P56" s="78" t="n">
        <f aca="false">IF($B56="","",$O56*$H56)</f>
        <v>387</v>
      </c>
      <c r="Q56" s="79" t="str">
        <f aca="false">IF($B56="","",IF(OR($D56="",$E56=""),"Datum fehlt",IF($E56&lt;=$D56,"Datum prüfen",IF($J56="Storniert","–",IF(SUMPRODUCT(($B$7:$B$86=$B56)*($B$7:$B$86&lt;&gt;"")*($J$7:$J$86&lt;&gt;"Storniert")*($D$7:$D$86&lt;$E56)*($E$7:$E$86&gt;$D56))&gt;1,"Überschneidung",IF($G56&gt;IFERROR(INDEX(Stammdaten!$D$7:$D$18,MATCH($B56,Stammdaten!$A$7:$A$18,0)),99),"Kapazität prüfen","OK"))))))</f>
        <v>OK</v>
      </c>
      <c r="R56" s="73" t="s">
        <v>85</v>
      </c>
    </row>
    <row r="57" customFormat="false" ht="15" hidden="false" customHeight="true" outlineLevel="0" collapsed="false">
      <c r="A57" s="61" t="s">
        <v>191</v>
      </c>
      <c r="B57" s="62" t="s">
        <v>87</v>
      </c>
      <c r="C57" s="63" t="s">
        <v>192</v>
      </c>
      <c r="D57" s="64" t="n">
        <v>46222</v>
      </c>
      <c r="E57" s="64" t="n">
        <v>46225</v>
      </c>
      <c r="F57" s="65" t="n">
        <f aca="false">IF(OR($D57="",$E57=""),"",$E57-$D57)</f>
        <v>3</v>
      </c>
      <c r="G57" s="62" t="n">
        <v>1</v>
      </c>
      <c r="H57" s="66" t="n">
        <f aca="false">IF($B57="","",IF($J57="Wartung/Sperrung",0,IFERROR(INDEX(Stammdaten!$F$7:$F$18,MATCH($B57,Stammdaten!$A$7:$A$18,0)),0)))</f>
        <v>145</v>
      </c>
      <c r="I57" s="66" t="n">
        <f aca="false">IF($B57="","",IF($J57="Storniert",0,$F57*$H57))</f>
        <v>435</v>
      </c>
      <c r="J57" s="67" t="s">
        <v>71</v>
      </c>
      <c r="K57" s="68" t="str">
        <f aca="false">IFERROR(INDEX(Stammdaten!$J$7:$J$10,MATCH($J57,Stammdaten!$I$7:$I$10,0)),"")</f>
        <v>B</v>
      </c>
      <c r="L57" s="67" t="s">
        <v>135</v>
      </c>
      <c r="M57" s="69" t="n">
        <v>130.5</v>
      </c>
      <c r="N57" s="66" t="n">
        <f aca="false">IF($B57="","",$I57-$M57)</f>
        <v>304.5</v>
      </c>
      <c r="O57" s="70" t="n">
        <f aca="false">IF($B57="","",IF($J57&lt;&gt;"Bestätigt",0,MAX(0,MIN($E57,Zimmerbelegungsplan!$B$7+Zimmerbelegungsplan!$C$7)-MAX($D57,Zimmerbelegungsplan!$B$7))))</f>
        <v>3</v>
      </c>
      <c r="P57" s="71" t="n">
        <f aca="false">IF($B57="","",$O57*$H57)</f>
        <v>435</v>
      </c>
      <c r="Q57" s="72" t="str">
        <f aca="false">IF($B57="","",IF(OR($D57="",$E57=""),"Datum fehlt",IF($E57&lt;=$D57,"Datum prüfen",IF($J57="Storniert","–",IF(SUMPRODUCT(($B$7:$B$86=$B57)*($B$7:$B$86&lt;&gt;"")*($J$7:$J$86&lt;&gt;"Storniert")*($D$7:$D$86&lt;$E57)*($E$7:$E$86&gt;$D57))&gt;1,"Überschneidung",IF($G57&gt;IFERROR(INDEX(Stammdaten!$D$7:$D$18,MATCH($B57,Stammdaten!$A$7:$A$18,0)),99),"Kapazität prüfen","OK"))))))</f>
        <v>OK</v>
      </c>
      <c r="R57" s="73"/>
    </row>
    <row r="58" customFormat="false" ht="15" hidden="false" customHeight="true" outlineLevel="0" collapsed="false">
      <c r="A58" s="61" t="s">
        <v>193</v>
      </c>
      <c r="B58" s="62" t="s">
        <v>98</v>
      </c>
      <c r="C58" s="63" t="s">
        <v>172</v>
      </c>
      <c r="D58" s="64" t="n">
        <v>46222</v>
      </c>
      <c r="E58" s="64" t="n">
        <v>46228</v>
      </c>
      <c r="F58" s="74" t="n">
        <f aca="false">IF(OR($D58="",$E58=""),"",$E58-$D58)</f>
        <v>6</v>
      </c>
      <c r="G58" s="62" t="n">
        <v>2</v>
      </c>
      <c r="H58" s="75" t="n">
        <f aca="false">IF($B58="","",IF($J58="Wartung/Sperrung",0,IFERROR(INDEX(Stammdaten!$F$7:$F$18,MATCH($B58,Stammdaten!$A$7:$A$18,0)),0)))</f>
        <v>189</v>
      </c>
      <c r="I58" s="75" t="n">
        <f aca="false">IF($B58="","",IF($J58="Storniert",0,$F58*$H58))</f>
        <v>1134</v>
      </c>
      <c r="J58" s="67" t="s">
        <v>71</v>
      </c>
      <c r="K58" s="76" t="str">
        <f aca="false">IFERROR(INDEX(Stammdaten!$J$7:$J$10,MATCH($J58,Stammdaten!$I$7:$I$10,0)),"")</f>
        <v>B</v>
      </c>
      <c r="L58" s="67" t="s">
        <v>72</v>
      </c>
      <c r="M58" s="69" t="n">
        <v>0</v>
      </c>
      <c r="N58" s="75" t="n">
        <f aca="false">IF($B58="","",$I58-$M58)</f>
        <v>1134</v>
      </c>
      <c r="O58" s="77" t="n">
        <f aca="false">IF($B58="","",IF($J58&lt;&gt;"Bestätigt",0,MAX(0,MIN($E58,Zimmerbelegungsplan!$B$7+Zimmerbelegungsplan!$C$7)-MAX($D58,Zimmerbelegungsplan!$B$7))))</f>
        <v>6</v>
      </c>
      <c r="P58" s="78" t="n">
        <f aca="false">IF($B58="","",$O58*$H58)</f>
        <v>1134</v>
      </c>
      <c r="Q58" s="79" t="str">
        <f aca="false">IF($B58="","",IF(OR($D58="",$E58=""),"Datum fehlt",IF($E58&lt;=$D58,"Datum prüfen",IF($J58="Storniert","–",IF(SUMPRODUCT(($B$7:$B$86=$B58)*($B$7:$B$86&lt;&gt;"")*($J$7:$J$86&lt;&gt;"Storniert")*($D$7:$D$86&lt;$E58)*($E$7:$E$86&gt;$D58))&gt;1,"Überschneidung",IF($G58&gt;IFERROR(INDEX(Stammdaten!$D$7:$D$18,MATCH($B58,Stammdaten!$A$7:$A$18,0)),99),"Kapazität prüfen","OK"))))))</f>
        <v>OK</v>
      </c>
      <c r="R58" s="73" t="s">
        <v>96</v>
      </c>
    </row>
    <row r="59" customFormat="false" ht="15" hidden="false" customHeight="true" outlineLevel="0" collapsed="false">
      <c r="A59" s="61" t="s">
        <v>194</v>
      </c>
      <c r="B59" s="62" t="s">
        <v>102</v>
      </c>
      <c r="C59" s="63" t="s">
        <v>160</v>
      </c>
      <c r="D59" s="64" t="n">
        <v>46222</v>
      </c>
      <c r="E59" s="64" t="n">
        <v>46226</v>
      </c>
      <c r="F59" s="65" t="n">
        <f aca="false">IF(OR($D59="",$E59=""),"",$E59-$D59)</f>
        <v>4</v>
      </c>
      <c r="G59" s="62" t="n">
        <v>2</v>
      </c>
      <c r="H59" s="66" t="n">
        <f aca="false">IF($B59="","",IF($J59="Wartung/Sperrung",0,IFERROR(INDEX(Stammdaten!$F$7:$F$18,MATCH($B59,Stammdaten!$A$7:$A$18,0)),0)))</f>
        <v>119</v>
      </c>
      <c r="I59" s="66" t="n">
        <f aca="false">IF($B59="","",IF($J59="Storniert",0,$F59*$H59))</f>
        <v>476</v>
      </c>
      <c r="J59" s="67" t="s">
        <v>71</v>
      </c>
      <c r="K59" s="68" t="str">
        <f aca="false">IFERROR(INDEX(Stammdaten!$J$7:$J$10,MATCH($J59,Stammdaten!$I$7:$I$10,0)),"")</f>
        <v>B</v>
      </c>
      <c r="L59" s="67" t="s">
        <v>72</v>
      </c>
      <c r="M59" s="69" t="n">
        <v>95.2</v>
      </c>
      <c r="N59" s="66" t="n">
        <f aca="false">IF($B59="","",$I59-$M59)</f>
        <v>380.8</v>
      </c>
      <c r="O59" s="70" t="n">
        <f aca="false">IF($B59="","",IF($J59&lt;&gt;"Bestätigt",0,MAX(0,MIN($E59,Zimmerbelegungsplan!$B$7+Zimmerbelegungsplan!$C$7)-MAX($D59,Zimmerbelegungsplan!$B$7))))</f>
        <v>4</v>
      </c>
      <c r="P59" s="71" t="n">
        <f aca="false">IF($B59="","",$O59*$H59)</f>
        <v>476</v>
      </c>
      <c r="Q59" s="72" t="str">
        <f aca="false">IF($B59="","",IF(OR($D59="",$E59=""),"Datum fehlt",IF($E59&lt;=$D59,"Datum prüfen",IF($J59="Storniert","–",IF(SUMPRODUCT(($B$7:$B$86=$B59)*($B$7:$B$86&lt;&gt;"")*($J$7:$J$86&lt;&gt;"Storniert")*($D$7:$D$86&lt;$E59)*($E$7:$E$86&gt;$D59))&gt;1,"Überschneidung",IF($G59&gt;IFERROR(INDEX(Stammdaten!$D$7:$D$18,MATCH($B59,Stammdaten!$A$7:$A$18,0)),99),"Kapazität prüfen","OK"))))))</f>
        <v>OK</v>
      </c>
      <c r="R59" s="73"/>
    </row>
    <row r="60" customFormat="false" ht="15" hidden="false" customHeight="true" outlineLevel="0" collapsed="false">
      <c r="A60" s="61" t="s">
        <v>195</v>
      </c>
      <c r="B60" s="62" t="s">
        <v>91</v>
      </c>
      <c r="C60" s="63" t="s">
        <v>99</v>
      </c>
      <c r="D60" s="64" t="n">
        <v>46223</v>
      </c>
      <c r="E60" s="64" t="n">
        <v>46228</v>
      </c>
      <c r="F60" s="74" t="n">
        <f aca="false">IF(OR($D60="",$E60=""),"",$E60-$D60)</f>
        <v>5</v>
      </c>
      <c r="G60" s="62" t="n">
        <v>1</v>
      </c>
      <c r="H60" s="75" t="n">
        <f aca="false">IF($B60="","",IF($J60="Wartung/Sperrung",0,IFERROR(INDEX(Stammdaten!$F$7:$F$18,MATCH($B60,Stammdaten!$A$7:$A$18,0)),0)))</f>
        <v>89</v>
      </c>
      <c r="I60" s="75" t="n">
        <f aca="false">IF($B60="","",IF($J60="Storniert",0,$F60*$H60))</f>
        <v>445</v>
      </c>
      <c r="J60" s="67" t="s">
        <v>71</v>
      </c>
      <c r="K60" s="76" t="str">
        <f aca="false">IFERROR(INDEX(Stammdaten!$J$7:$J$10,MATCH($J60,Stammdaten!$I$7:$I$10,0)),"")</f>
        <v>B</v>
      </c>
      <c r="L60" s="67" t="s">
        <v>100</v>
      </c>
      <c r="M60" s="69" t="n">
        <v>133.5</v>
      </c>
      <c r="N60" s="75" t="n">
        <f aca="false">IF($B60="","",$I60-$M60)</f>
        <v>311.5</v>
      </c>
      <c r="O60" s="77" t="n">
        <f aca="false">IF($B60="","",IF($J60&lt;&gt;"Bestätigt",0,MAX(0,MIN($E60,Zimmerbelegungsplan!$B$7+Zimmerbelegungsplan!$C$7)-MAX($D60,Zimmerbelegungsplan!$B$7))))</f>
        <v>5</v>
      </c>
      <c r="P60" s="78" t="n">
        <f aca="false">IF($B60="","",$O60*$H60)</f>
        <v>445</v>
      </c>
      <c r="Q60" s="79" t="str">
        <f aca="false">IF($B60="","",IF(OR($D60="",$E60=""),"Datum fehlt",IF($E60&lt;=$D60,"Datum prüfen",IF($J60="Storniert","–",IF(SUMPRODUCT(($B$7:$B$86=$B60)*($B$7:$B$86&lt;&gt;"")*($J$7:$J$86&lt;&gt;"Storniert")*($D$7:$D$86&lt;$E60)*($E$7:$E$86&gt;$D60))&gt;1,"Überschneidung",IF($G60&gt;IFERROR(INDEX(Stammdaten!$D$7:$D$18,MATCH($B60,Stammdaten!$A$7:$A$18,0)),99),"Kapazität prüfen","OK"))))))</f>
        <v>OK</v>
      </c>
      <c r="R60" s="73" t="s">
        <v>108</v>
      </c>
    </row>
    <row r="61" customFormat="false" ht="15" hidden="false" customHeight="true" outlineLevel="0" collapsed="false">
      <c r="A61" s="61" t="s">
        <v>196</v>
      </c>
      <c r="B61" s="62" t="s">
        <v>69</v>
      </c>
      <c r="C61" s="63" t="s">
        <v>197</v>
      </c>
      <c r="D61" s="64" t="n">
        <v>46223</v>
      </c>
      <c r="E61" s="64" t="n">
        <v>46226</v>
      </c>
      <c r="F61" s="65" t="n">
        <f aca="false">IF(OR($D61="",$E61=""),"",$E61-$D61)</f>
        <v>3</v>
      </c>
      <c r="G61" s="62" t="n">
        <v>2</v>
      </c>
      <c r="H61" s="66" t="n">
        <f aca="false">IF($B61="","",IF($J61="Wartung/Sperrung",0,IFERROR(INDEX(Stammdaten!$F$7:$F$18,MATCH($B61,Stammdaten!$A$7:$A$18,0)),0)))</f>
        <v>109</v>
      </c>
      <c r="I61" s="66" t="n">
        <f aca="false">IF($B61="","",IF($J61="Storniert",0,$F61*$H61))</f>
        <v>327</v>
      </c>
      <c r="J61" s="67" t="s">
        <v>114</v>
      </c>
      <c r="K61" s="68" t="str">
        <f aca="false">IFERROR(INDEX(Stammdaten!$J$7:$J$10,MATCH($J61,Stammdaten!$I$7:$I$10,0)),"")</f>
        <v>O</v>
      </c>
      <c r="L61" s="67" t="s">
        <v>100</v>
      </c>
      <c r="M61" s="69" t="n">
        <v>0</v>
      </c>
      <c r="N61" s="66" t="n">
        <f aca="false">IF($B61="","",$I61-$M61)</f>
        <v>327</v>
      </c>
      <c r="O61" s="70" t="n">
        <f aca="false">IF($B61="","",IF($J61&lt;&gt;"Bestätigt",0,MAX(0,MIN($E61,Zimmerbelegungsplan!$B$7+Zimmerbelegungsplan!$C$7)-MAX($D61,Zimmerbelegungsplan!$B$7))))</f>
        <v>0</v>
      </c>
      <c r="P61" s="71" t="n">
        <f aca="false">IF($B61="","",$O61*$H61)</f>
        <v>0</v>
      </c>
      <c r="Q61" s="72" t="str">
        <f aca="false">IF($B61="","",IF(OR($D61="",$E61=""),"Datum fehlt",IF($E61&lt;=$D61,"Datum prüfen",IF($J61="Storniert","–",IF(SUMPRODUCT(($B$7:$B$86=$B61)*($B$7:$B$86&lt;&gt;"")*($J$7:$J$86&lt;&gt;"Storniert")*($D$7:$D$86&lt;$E61)*($E$7:$E$86&gt;$D61))&gt;1,"Überschneidung",IF($G61&gt;IFERROR(INDEX(Stammdaten!$D$7:$D$18,MATCH($B61,Stammdaten!$A$7:$A$18,0)),99),"Kapazität prüfen","OK"))))))</f>
        <v>OK</v>
      </c>
      <c r="R61" s="73" t="s">
        <v>115</v>
      </c>
    </row>
    <row r="62" customFormat="false" ht="15" hidden="false" customHeight="true" outlineLevel="0" collapsed="false">
      <c r="A62" s="61" t="s">
        <v>198</v>
      </c>
      <c r="B62" s="62" t="s">
        <v>79</v>
      </c>
      <c r="C62" s="63" t="s">
        <v>103</v>
      </c>
      <c r="D62" s="64" t="n">
        <v>46223</v>
      </c>
      <c r="E62" s="64" t="n">
        <v>46226</v>
      </c>
      <c r="F62" s="74" t="n">
        <f aca="false">IF(OR($D62="",$E62=""),"",$E62-$D62)</f>
        <v>3</v>
      </c>
      <c r="G62" s="62" t="n">
        <v>1</v>
      </c>
      <c r="H62" s="75" t="n">
        <f aca="false">IF($B62="","",IF($J62="Wartung/Sperrung",0,IFERROR(INDEX(Stammdaten!$F$7:$F$18,MATCH($B62,Stammdaten!$A$7:$A$18,0)),0)))</f>
        <v>109</v>
      </c>
      <c r="I62" s="75" t="n">
        <f aca="false">IF($B62="","",IF($J62="Storniert",0,$F62*$H62))</f>
        <v>327</v>
      </c>
      <c r="J62" s="67" t="s">
        <v>71</v>
      </c>
      <c r="K62" s="76" t="str">
        <f aca="false">IFERROR(INDEX(Stammdaten!$J$7:$J$10,MATCH($J62,Stammdaten!$I$7:$I$10,0)),"")</f>
        <v>B</v>
      </c>
      <c r="L62" s="67" t="s">
        <v>100</v>
      </c>
      <c r="M62" s="69" t="n">
        <v>0</v>
      </c>
      <c r="N62" s="75" t="n">
        <f aca="false">IF($B62="","",$I62-$M62)</f>
        <v>327</v>
      </c>
      <c r="O62" s="77" t="n">
        <f aca="false">IF($B62="","",IF($J62&lt;&gt;"Bestätigt",0,MAX(0,MIN($E62,Zimmerbelegungsplan!$B$7+Zimmerbelegungsplan!$C$7)-MAX($D62,Zimmerbelegungsplan!$B$7))))</f>
        <v>3</v>
      </c>
      <c r="P62" s="78" t="n">
        <f aca="false">IF($B62="","",$O62*$H62)</f>
        <v>327</v>
      </c>
      <c r="Q62" s="79" t="str">
        <f aca="false">IF($B62="","",IF(OR($D62="",$E62=""),"Datum fehlt",IF($E62&lt;=$D62,"Datum prüfen",IF($J62="Storniert","–",IF(SUMPRODUCT(($B$7:$B$86=$B62)*($B$7:$B$86&lt;&gt;"")*($J$7:$J$86&lt;&gt;"Storniert")*($D$7:$D$86&lt;$E62)*($E$7:$E$86&gt;$D62))&gt;1,"Überschneidung",IF($G62&gt;IFERROR(INDEX(Stammdaten!$D$7:$D$18,MATCH($B62,Stammdaten!$A$7:$A$18,0)),99),"Kapazität prüfen","OK"))))))</f>
        <v>OK</v>
      </c>
      <c r="R62" s="73" t="s">
        <v>85</v>
      </c>
    </row>
    <row r="63" customFormat="false" ht="15" hidden="false" customHeight="true" outlineLevel="0" collapsed="false">
      <c r="A63" s="61" t="s">
        <v>199</v>
      </c>
      <c r="B63" s="62" t="s">
        <v>94</v>
      </c>
      <c r="C63" s="63" t="s">
        <v>139</v>
      </c>
      <c r="D63" s="64" t="n">
        <v>46224</v>
      </c>
      <c r="E63" s="64" t="n">
        <v>46226</v>
      </c>
      <c r="F63" s="65" t="n">
        <f aca="false">IF(OR($D63="",$E63=""),"",$E63-$D63)</f>
        <v>2</v>
      </c>
      <c r="G63" s="62" t="n">
        <v>4</v>
      </c>
      <c r="H63" s="66" t="n">
        <f aca="false">IF($B63="","",IF($J63="Wartung/Sperrung",0,IFERROR(INDEX(Stammdaten!$F$7:$F$18,MATCH($B63,Stammdaten!$A$7:$A$18,0)),0)))</f>
        <v>169</v>
      </c>
      <c r="I63" s="66" t="n">
        <f aca="false">IF($B63="","",IF($J63="Storniert",0,$F63*$H63))</f>
        <v>338</v>
      </c>
      <c r="J63" s="67" t="s">
        <v>71</v>
      </c>
      <c r="K63" s="68" t="str">
        <f aca="false">IFERROR(INDEX(Stammdaten!$J$7:$J$10,MATCH($J63,Stammdaten!$I$7:$I$10,0)),"")</f>
        <v>B</v>
      </c>
      <c r="L63" s="67" t="s">
        <v>89</v>
      </c>
      <c r="M63" s="69" t="n">
        <v>67.6</v>
      </c>
      <c r="N63" s="66" t="n">
        <f aca="false">IF($B63="","",$I63-$M63)</f>
        <v>270.4</v>
      </c>
      <c r="O63" s="70" t="n">
        <f aca="false">IF($B63="","",IF($J63&lt;&gt;"Bestätigt",0,MAX(0,MIN($E63,Zimmerbelegungsplan!$B$7+Zimmerbelegungsplan!$C$7)-MAX($D63,Zimmerbelegungsplan!$B$7))))</f>
        <v>2</v>
      </c>
      <c r="P63" s="71" t="n">
        <f aca="false">IF($B63="","",$O63*$H63)</f>
        <v>338</v>
      </c>
      <c r="Q63" s="72" t="str">
        <f aca="false">IF($B63="","",IF(OR($D63="",$E63=""),"Datum fehlt",IF($E63&lt;=$D63,"Datum prüfen",IF($J63="Storniert","–",IF(SUMPRODUCT(($B$7:$B$86=$B63)*($B$7:$B$86&lt;&gt;"")*($J$7:$J$86&lt;&gt;"Storniert")*($D$7:$D$86&lt;$E63)*($E$7:$E$86&gt;$D63))&gt;1,"Überschneidung",IF($G63&gt;IFERROR(INDEX(Stammdaten!$D$7:$D$18,MATCH($B63,Stammdaten!$A$7:$A$18,0)),99),"Kapazität prüfen","OK"))))))</f>
        <v>OK</v>
      </c>
      <c r="R63" s="73" t="s">
        <v>85</v>
      </c>
    </row>
    <row r="64" customFormat="false" ht="15" hidden="false" customHeight="true" outlineLevel="0" collapsed="false">
      <c r="A64" s="61" t="s">
        <v>200</v>
      </c>
      <c r="B64" s="62" t="s">
        <v>106</v>
      </c>
      <c r="C64" s="63" t="s">
        <v>201</v>
      </c>
      <c r="D64" s="64" t="n">
        <v>46225</v>
      </c>
      <c r="E64" s="64" t="n">
        <v>46230</v>
      </c>
      <c r="F64" s="74" t="n">
        <f aca="false">IF(OR($D64="",$E64=""),"",$E64-$D64)</f>
        <v>5</v>
      </c>
      <c r="G64" s="62" t="n">
        <v>1</v>
      </c>
      <c r="H64" s="75" t="n">
        <f aca="false">IF($B64="","",IF($J64="Wartung/Sperrung",0,IFERROR(INDEX(Stammdaten!$F$7:$F$18,MATCH($B64,Stammdaten!$A$7:$A$18,0)),0)))</f>
        <v>79</v>
      </c>
      <c r="I64" s="75" t="n">
        <f aca="false">IF($B64="","",IF($J64="Storniert",0,$F64*$H64))</f>
        <v>395</v>
      </c>
      <c r="J64" s="67" t="s">
        <v>71</v>
      </c>
      <c r="K64" s="76" t="str">
        <f aca="false">IFERROR(INDEX(Stammdaten!$J$7:$J$10,MATCH($J64,Stammdaten!$I$7:$I$10,0)),"")</f>
        <v>B</v>
      </c>
      <c r="L64" s="67" t="s">
        <v>81</v>
      </c>
      <c r="M64" s="69" t="n">
        <v>0</v>
      </c>
      <c r="N64" s="75" t="n">
        <f aca="false">IF($B64="","",$I64-$M64)</f>
        <v>395</v>
      </c>
      <c r="O64" s="77" t="n">
        <f aca="false">IF($B64="","",IF($J64&lt;&gt;"Bestätigt",0,MAX(0,MIN($E64,Zimmerbelegungsplan!$B$7+Zimmerbelegungsplan!$C$7)-MAX($D64,Zimmerbelegungsplan!$B$7))))</f>
        <v>5</v>
      </c>
      <c r="P64" s="78" t="n">
        <f aca="false">IF($B64="","",$O64*$H64)</f>
        <v>395</v>
      </c>
      <c r="Q64" s="79" t="str">
        <f aca="false">IF($B64="","",IF(OR($D64="",$E64=""),"Datum fehlt",IF($E64&lt;=$D64,"Datum prüfen",IF($J64="Storniert","–",IF(SUMPRODUCT(($B$7:$B$86=$B64)*($B$7:$B$86&lt;&gt;"")*($J$7:$J$86&lt;&gt;"Storniert")*($D$7:$D$86&lt;$E64)*($E$7:$E$86&gt;$D64))&gt;1,"Überschneidung",IF($G64&gt;IFERROR(INDEX(Stammdaten!$D$7:$D$18,MATCH($B64,Stammdaten!$A$7:$A$18,0)),99),"Kapazität prüfen","OK"))))))</f>
        <v>OK</v>
      </c>
      <c r="R64" s="73"/>
    </row>
    <row r="65" customFormat="false" ht="15" hidden="false" customHeight="true" outlineLevel="0" collapsed="false">
      <c r="A65" s="61" t="s">
        <v>202</v>
      </c>
      <c r="B65" s="62" t="s">
        <v>75</v>
      </c>
      <c r="C65" s="63" t="s">
        <v>203</v>
      </c>
      <c r="D65" s="64" t="n">
        <v>46225</v>
      </c>
      <c r="E65" s="64" t="n">
        <v>46229</v>
      </c>
      <c r="F65" s="65" t="n">
        <f aca="false">IF(OR($D65="",$E65=""),"",$E65-$D65)</f>
        <v>4</v>
      </c>
      <c r="G65" s="62" t="n">
        <v>2</v>
      </c>
      <c r="H65" s="66" t="n">
        <f aca="false">IF($B65="","",IF($J65="Wartung/Sperrung",0,IFERROR(INDEX(Stammdaten!$F$7:$F$18,MATCH($B65,Stammdaten!$A$7:$A$18,0)),0)))</f>
        <v>129</v>
      </c>
      <c r="I65" s="66" t="n">
        <f aca="false">IF($B65="","",IF($J65="Storniert",0,$F65*$H65))</f>
        <v>516</v>
      </c>
      <c r="J65" s="67" t="s">
        <v>71</v>
      </c>
      <c r="K65" s="68" t="str">
        <f aca="false">IFERROR(INDEX(Stammdaten!$J$7:$J$10,MATCH($J65,Stammdaten!$I$7:$I$10,0)),"")</f>
        <v>B</v>
      </c>
      <c r="L65" s="67" t="s">
        <v>72</v>
      </c>
      <c r="M65" s="69" t="n">
        <v>0</v>
      </c>
      <c r="N65" s="66" t="n">
        <f aca="false">IF($B65="","",$I65-$M65)</f>
        <v>516</v>
      </c>
      <c r="O65" s="70" t="n">
        <f aca="false">IF($B65="","",IF($J65&lt;&gt;"Bestätigt",0,MAX(0,MIN($E65,Zimmerbelegungsplan!$B$7+Zimmerbelegungsplan!$C$7)-MAX($D65,Zimmerbelegungsplan!$B$7))))</f>
        <v>4</v>
      </c>
      <c r="P65" s="71" t="n">
        <f aca="false">IF($B65="","",$O65*$H65)</f>
        <v>516</v>
      </c>
      <c r="Q65" s="72" t="str">
        <f aca="false">IF($B65="","",IF(OR($D65="",$E65=""),"Datum fehlt",IF($E65&lt;=$D65,"Datum prüfen",IF($J65="Storniert","–",IF(SUMPRODUCT(($B$7:$B$86=$B65)*($B$7:$B$86&lt;&gt;"")*($J$7:$J$86&lt;&gt;"Storniert")*($D$7:$D$86&lt;$E65)*($E$7:$E$86&gt;$D65))&gt;1,"Überschneidung",IF($G65&gt;IFERROR(INDEX(Stammdaten!$D$7:$D$18,MATCH($B65,Stammdaten!$A$7:$A$18,0)),99),"Kapazität prüfen","OK"))))))</f>
        <v>OK</v>
      </c>
      <c r="R65" s="73" t="s">
        <v>96</v>
      </c>
    </row>
    <row r="66" customFormat="false" ht="15" hidden="false" customHeight="true" outlineLevel="0" collapsed="false">
      <c r="A66" s="61" t="s">
        <v>204</v>
      </c>
      <c r="B66" s="62" t="s">
        <v>69</v>
      </c>
      <c r="C66" s="63" t="s">
        <v>118</v>
      </c>
      <c r="D66" s="64" t="n">
        <v>46226</v>
      </c>
      <c r="E66" s="64" t="n">
        <v>46229</v>
      </c>
      <c r="F66" s="74" t="n">
        <f aca="false">IF(OR($D66="",$E66=""),"",$E66-$D66)</f>
        <v>3</v>
      </c>
      <c r="G66" s="62" t="n">
        <v>1</v>
      </c>
      <c r="H66" s="75" t="n">
        <f aca="false">IF($B66="","",IF($J66="Wartung/Sperrung",0,IFERROR(INDEX(Stammdaten!$F$7:$F$18,MATCH($B66,Stammdaten!$A$7:$A$18,0)),0)))</f>
        <v>109</v>
      </c>
      <c r="I66" s="75" t="n">
        <f aca="false">IF($B66="","",IF($J66="Storniert",0,$F66*$H66))</f>
        <v>327</v>
      </c>
      <c r="J66" s="67" t="s">
        <v>71</v>
      </c>
      <c r="K66" s="76" t="str">
        <f aca="false">IFERROR(INDEX(Stammdaten!$J$7:$J$10,MATCH($J66,Stammdaten!$I$7:$I$10,0)),"")</f>
        <v>B</v>
      </c>
      <c r="L66" s="67" t="s">
        <v>135</v>
      </c>
      <c r="M66" s="69" t="n">
        <v>65.4</v>
      </c>
      <c r="N66" s="75" t="n">
        <f aca="false">IF($B66="","",$I66-$M66)</f>
        <v>261.6</v>
      </c>
      <c r="O66" s="77" t="n">
        <f aca="false">IF($B66="","",IF($J66&lt;&gt;"Bestätigt",0,MAX(0,MIN($E66,Zimmerbelegungsplan!$B$7+Zimmerbelegungsplan!$C$7)-MAX($D66,Zimmerbelegungsplan!$B$7))))</f>
        <v>3</v>
      </c>
      <c r="P66" s="78" t="n">
        <f aca="false">IF($B66="","",$O66*$H66)</f>
        <v>327</v>
      </c>
      <c r="Q66" s="79" t="str">
        <f aca="false">IF($B66="","",IF(OR($D66="",$E66=""),"Datum fehlt",IF($E66&lt;=$D66,"Datum prüfen",IF($J66="Storniert","–",IF(SUMPRODUCT(($B$7:$B$86=$B66)*($B$7:$B$86&lt;&gt;"")*($J$7:$J$86&lt;&gt;"Storniert")*($D$7:$D$86&lt;$E66)*($E$7:$E$86&gt;$D66))&gt;1,"Überschneidung",IF($G66&gt;IFERROR(INDEX(Stammdaten!$D$7:$D$18,MATCH($B66,Stammdaten!$A$7:$A$18,0)),99),"Kapazität prüfen","OK"))))))</f>
        <v>OK</v>
      </c>
      <c r="R66" s="73" t="s">
        <v>85</v>
      </c>
    </row>
    <row r="67" customFormat="false" ht="15" hidden="false" customHeight="true" outlineLevel="0" collapsed="false">
      <c r="A67" s="61" t="s">
        <v>205</v>
      </c>
      <c r="B67" s="62" t="s">
        <v>112</v>
      </c>
      <c r="C67" s="63" t="s">
        <v>175</v>
      </c>
      <c r="D67" s="64" t="n">
        <v>46226</v>
      </c>
      <c r="E67" s="64" t="n">
        <v>46229</v>
      </c>
      <c r="F67" s="65" t="n">
        <f aca="false">IF(OR($D67="",$E67=""),"",$E67-$D67)</f>
        <v>3</v>
      </c>
      <c r="G67" s="62" t="n">
        <v>2</v>
      </c>
      <c r="H67" s="66" t="n">
        <f aca="false">IF($B67="","",IF($J67="Wartung/Sperrung",0,IFERROR(INDEX(Stammdaten!$F$7:$F$18,MATCH($B67,Stammdaten!$A$7:$A$18,0)),0)))</f>
        <v>169</v>
      </c>
      <c r="I67" s="66" t="n">
        <f aca="false">IF($B67="","",IF($J67="Storniert",0,$F67*$H67))</f>
        <v>507</v>
      </c>
      <c r="J67" s="67" t="s">
        <v>71</v>
      </c>
      <c r="K67" s="68" t="str">
        <f aca="false">IFERROR(INDEX(Stammdaten!$J$7:$J$10,MATCH($J67,Stammdaten!$I$7:$I$10,0)),"")</f>
        <v>B</v>
      </c>
      <c r="L67" s="67" t="s">
        <v>81</v>
      </c>
      <c r="M67" s="69" t="n">
        <v>0</v>
      </c>
      <c r="N67" s="66" t="n">
        <f aca="false">IF($B67="","",$I67-$M67)</f>
        <v>507</v>
      </c>
      <c r="O67" s="70" t="n">
        <f aca="false">IF($B67="","",IF($J67&lt;&gt;"Bestätigt",0,MAX(0,MIN($E67,Zimmerbelegungsplan!$B$7+Zimmerbelegungsplan!$C$7)-MAX($D67,Zimmerbelegungsplan!$B$7))))</f>
        <v>3</v>
      </c>
      <c r="P67" s="71" t="n">
        <f aca="false">IF($B67="","",$O67*$H67)</f>
        <v>507</v>
      </c>
      <c r="Q67" s="72" t="str">
        <f aca="false">IF($B67="","",IF(OR($D67="",$E67=""),"Datum fehlt",IF($E67&lt;=$D67,"Datum prüfen",IF($J67="Storniert","–",IF(SUMPRODUCT(($B$7:$B$86=$B67)*($B$7:$B$86&lt;&gt;"")*($J$7:$J$86&lt;&gt;"Storniert")*($D$7:$D$86&lt;$E67)*($E$7:$E$86&gt;$D67))&gt;1,"Überschneidung",IF($G67&gt;IFERROR(INDEX(Stammdaten!$D$7:$D$18,MATCH($B67,Stammdaten!$A$7:$A$18,0)),99),"Kapazität prüfen","OK"))))))</f>
        <v>OK</v>
      </c>
      <c r="R67" s="73"/>
    </row>
    <row r="68" customFormat="false" ht="15" hidden="false" customHeight="true" outlineLevel="0" collapsed="false">
      <c r="A68" s="61" t="s">
        <v>206</v>
      </c>
      <c r="B68" s="62" t="s">
        <v>117</v>
      </c>
      <c r="C68" s="63" t="s">
        <v>147</v>
      </c>
      <c r="D68" s="64" t="n">
        <v>46226</v>
      </c>
      <c r="E68" s="64" t="n">
        <v>46232</v>
      </c>
      <c r="F68" s="74" t="n">
        <f aca="false">IF(OR($D68="",$E68=""),"",$E68-$D68)</f>
        <v>6</v>
      </c>
      <c r="G68" s="62" t="n">
        <v>2</v>
      </c>
      <c r="H68" s="75" t="n">
        <f aca="false">IF($B68="","",IF($J68="Wartung/Sperrung",0,IFERROR(INDEX(Stammdaten!$F$7:$F$18,MATCH($B68,Stammdaten!$A$7:$A$18,0)),0)))</f>
        <v>209</v>
      </c>
      <c r="I68" s="75" t="n">
        <f aca="false">IF($B68="","",IF($J68="Storniert",0,$F68*$H68))</f>
        <v>1254</v>
      </c>
      <c r="J68" s="67" t="s">
        <v>71</v>
      </c>
      <c r="K68" s="76" t="str">
        <f aca="false">IFERROR(INDEX(Stammdaten!$J$7:$J$10,MATCH($J68,Stammdaten!$I$7:$I$10,0)),"")</f>
        <v>B</v>
      </c>
      <c r="L68" s="67" t="s">
        <v>72</v>
      </c>
      <c r="M68" s="69" t="n">
        <v>0</v>
      </c>
      <c r="N68" s="75" t="n">
        <f aca="false">IF($B68="","",$I68-$M68)</f>
        <v>1254</v>
      </c>
      <c r="O68" s="77" t="n">
        <f aca="false">IF($B68="","",IF($J68&lt;&gt;"Bestätigt",0,MAX(0,MIN($E68,Zimmerbelegungsplan!$B$7+Zimmerbelegungsplan!$C$7)-MAX($D68,Zimmerbelegungsplan!$B$7))))</f>
        <v>6</v>
      </c>
      <c r="P68" s="78" t="n">
        <f aca="false">IF($B68="","",$O68*$H68)</f>
        <v>1254</v>
      </c>
      <c r="Q68" s="79" t="str">
        <f aca="false">IF($B68="","",IF(OR($D68="",$E68=""),"Datum fehlt",IF($E68&lt;=$D68,"Datum prüfen",IF($J68="Storniert","–",IF(SUMPRODUCT(($B$7:$B$86=$B68)*($B$7:$B$86&lt;&gt;"")*($J$7:$J$86&lt;&gt;"Storniert")*($D$7:$D$86&lt;$E68)*($E$7:$E$86&gt;$D68))&gt;1,"Überschneidung",IF($G68&gt;IFERROR(INDEX(Stammdaten!$D$7:$D$18,MATCH($B68,Stammdaten!$A$7:$A$18,0)),99),"Kapazität prüfen","OK"))))))</f>
        <v>OK</v>
      </c>
      <c r="R68" s="73" t="s">
        <v>119</v>
      </c>
    </row>
    <row r="69" customFormat="false" ht="15" hidden="false" customHeight="true" outlineLevel="0" collapsed="false">
      <c r="A69" s="61" t="s">
        <v>207</v>
      </c>
      <c r="B69" s="62" t="s">
        <v>79</v>
      </c>
      <c r="C69" s="63" t="s">
        <v>126</v>
      </c>
      <c r="D69" s="64" t="n">
        <v>46227</v>
      </c>
      <c r="E69" s="64" t="n">
        <v>46234</v>
      </c>
      <c r="F69" s="65" t="n">
        <f aca="false">IF(OR($D69="",$E69=""),"",$E69-$D69)</f>
        <v>7</v>
      </c>
      <c r="G69" s="62" t="n">
        <v>2</v>
      </c>
      <c r="H69" s="66" t="n">
        <f aca="false">IF($B69="","",IF($J69="Wartung/Sperrung",0,IFERROR(INDEX(Stammdaten!$F$7:$F$18,MATCH($B69,Stammdaten!$A$7:$A$18,0)),0)))</f>
        <v>109</v>
      </c>
      <c r="I69" s="66" t="n">
        <f aca="false">IF($B69="","",IF($J69="Storniert",0,$F69*$H69))</f>
        <v>763</v>
      </c>
      <c r="J69" s="67" t="s">
        <v>71</v>
      </c>
      <c r="K69" s="68" t="str">
        <f aca="false">IFERROR(INDEX(Stammdaten!$J$7:$J$10,MATCH($J69,Stammdaten!$I$7:$I$10,0)),"")</f>
        <v>B</v>
      </c>
      <c r="L69" s="67" t="s">
        <v>135</v>
      </c>
      <c r="M69" s="69" t="n">
        <v>763</v>
      </c>
      <c r="N69" s="66" t="n">
        <f aca="false">IF($B69="","",$I69-$M69)</f>
        <v>0</v>
      </c>
      <c r="O69" s="70" t="n">
        <f aca="false">IF($B69="","",IF($J69&lt;&gt;"Bestätigt",0,MAX(0,MIN($E69,Zimmerbelegungsplan!$B$7+Zimmerbelegungsplan!$C$7)-MAX($D69,Zimmerbelegungsplan!$B$7))))</f>
        <v>7</v>
      </c>
      <c r="P69" s="71" t="n">
        <f aca="false">IF($B69="","",$O69*$H69)</f>
        <v>763</v>
      </c>
      <c r="Q69" s="72" t="str">
        <f aca="false">IF($B69="","",IF(OR($D69="",$E69=""),"Datum fehlt",IF($E69&lt;=$D69,"Datum prüfen",IF($J69="Storniert","–",IF(SUMPRODUCT(($B$7:$B$86=$B69)*($B$7:$B$86&lt;&gt;"")*($J$7:$J$86&lt;&gt;"Storniert")*($D$7:$D$86&lt;$E69)*($E$7:$E$86&gt;$D69))&gt;1,"Überschneidung",IF($G69&gt;IFERROR(INDEX(Stammdaten!$D$7:$D$18,MATCH($B69,Stammdaten!$A$7:$A$18,0)),99),"Kapazität prüfen","OK"))))))</f>
        <v>OK</v>
      </c>
      <c r="R69" s="73"/>
    </row>
    <row r="70" customFormat="false" ht="15" hidden="false" customHeight="true" outlineLevel="0" collapsed="false">
      <c r="A70" s="61" t="s">
        <v>208</v>
      </c>
      <c r="B70" s="62" t="s">
        <v>83</v>
      </c>
      <c r="C70" s="63" t="s">
        <v>209</v>
      </c>
      <c r="D70" s="64" t="n">
        <v>46227</v>
      </c>
      <c r="E70" s="64" t="n">
        <v>46230</v>
      </c>
      <c r="F70" s="74" t="n">
        <f aca="false">IF(OR($D70="",$E70=""),"",$E70-$D70)</f>
        <v>3</v>
      </c>
      <c r="G70" s="62" t="n">
        <v>2</v>
      </c>
      <c r="H70" s="75" t="n">
        <f aca="false">IF($B70="","",IF($J70="Wartung/Sperrung",0,IFERROR(INDEX(Stammdaten!$F$7:$F$18,MATCH($B70,Stammdaten!$A$7:$A$18,0)),0)))</f>
        <v>129</v>
      </c>
      <c r="I70" s="75" t="n">
        <f aca="false">IF($B70="","",IF($J70="Storniert",0,$F70*$H70))</f>
        <v>387</v>
      </c>
      <c r="J70" s="67" t="s">
        <v>71</v>
      </c>
      <c r="K70" s="76" t="str">
        <f aca="false">IFERROR(INDEX(Stammdaten!$J$7:$J$10,MATCH($J70,Stammdaten!$I$7:$I$10,0)),"")</f>
        <v>B</v>
      </c>
      <c r="L70" s="67" t="s">
        <v>72</v>
      </c>
      <c r="M70" s="69" t="n">
        <v>387</v>
      </c>
      <c r="N70" s="75" t="n">
        <f aca="false">IF($B70="","",$I70-$M70)</f>
        <v>0</v>
      </c>
      <c r="O70" s="77" t="n">
        <f aca="false">IF($B70="","",IF($J70&lt;&gt;"Bestätigt",0,MAX(0,MIN($E70,Zimmerbelegungsplan!$B$7+Zimmerbelegungsplan!$C$7)-MAX($D70,Zimmerbelegungsplan!$B$7))))</f>
        <v>3</v>
      </c>
      <c r="P70" s="78" t="n">
        <f aca="false">IF($B70="","",$O70*$H70)</f>
        <v>387</v>
      </c>
      <c r="Q70" s="79" t="str">
        <f aca="false">IF($B70="","",IF(OR($D70="",$E70=""),"Datum fehlt",IF($E70&lt;=$D70,"Datum prüfen",IF($J70="Storniert","–",IF(SUMPRODUCT(($B$7:$B$86=$B70)*($B$7:$B$86&lt;&gt;"")*($J$7:$J$86&lt;&gt;"Storniert")*($D$7:$D$86&lt;$E70)*($E$7:$E$86&gt;$D70))&gt;1,"Überschneidung",IF($G70&gt;IFERROR(INDEX(Stammdaten!$D$7:$D$18,MATCH($B70,Stammdaten!$A$7:$A$18,0)),99),"Kapazität prüfen","OK"))))))</f>
        <v>OK</v>
      </c>
      <c r="R70" s="73"/>
    </row>
    <row r="71" customFormat="false" ht="15" hidden="false" customHeight="true" outlineLevel="0" collapsed="false">
      <c r="A71" s="61" t="s">
        <v>210</v>
      </c>
      <c r="B71" s="62" t="s">
        <v>87</v>
      </c>
      <c r="C71" s="63" t="s">
        <v>211</v>
      </c>
      <c r="D71" s="64" t="n">
        <v>46227</v>
      </c>
      <c r="E71" s="64" t="n">
        <v>46234</v>
      </c>
      <c r="F71" s="65" t="n">
        <f aca="false">IF(OR($D71="",$E71=""),"",$E71-$D71)</f>
        <v>7</v>
      </c>
      <c r="G71" s="62" t="n">
        <v>2</v>
      </c>
      <c r="H71" s="66" t="n">
        <f aca="false">IF($B71="","",IF($J71="Wartung/Sperrung",0,IFERROR(INDEX(Stammdaten!$F$7:$F$18,MATCH($B71,Stammdaten!$A$7:$A$18,0)),0)))</f>
        <v>145</v>
      </c>
      <c r="I71" s="66" t="n">
        <f aca="false">IF($B71="","",IF($J71="Storniert",0,$F71*$H71))</f>
        <v>0</v>
      </c>
      <c r="J71" s="67" t="s">
        <v>127</v>
      </c>
      <c r="K71" s="68" t="n">
        <f aca="false">IFERROR(INDEX(Stammdaten!$J$7:$J$10,MATCH($J71,Stammdaten!$I$7:$I$10,0)),"")</f>
        <v>0</v>
      </c>
      <c r="L71" s="67" t="s">
        <v>135</v>
      </c>
      <c r="M71" s="69" t="n">
        <v>0</v>
      </c>
      <c r="N71" s="66" t="n">
        <f aca="false">IF($B71="","",$I71-$M71)</f>
        <v>0</v>
      </c>
      <c r="O71" s="70" t="n">
        <f aca="false">IF($B71="","",IF($J71&lt;&gt;"Bestätigt",0,MAX(0,MIN($E71,Zimmerbelegungsplan!$B$7+Zimmerbelegungsplan!$C$7)-MAX($D71,Zimmerbelegungsplan!$B$7))))</f>
        <v>0</v>
      </c>
      <c r="P71" s="71" t="n">
        <f aca="false">IF($B71="","",$O71*$H71)</f>
        <v>0</v>
      </c>
      <c r="Q71" s="72" t="str">
        <f aca="false">IF($B71="","",IF(OR($D71="",$E71=""),"Datum fehlt",IF($E71&lt;=$D71,"Datum prüfen",IF($J71="Storniert","–",IF(SUMPRODUCT(($B$7:$B$86=$B71)*($B$7:$B$86&lt;&gt;"")*($J$7:$J$86&lt;&gt;"Storniert")*($D$7:$D$86&lt;$E71)*($E$7:$E$86&gt;$D71))&gt;1,"Überschneidung",IF($G71&gt;IFERROR(INDEX(Stammdaten!$D$7:$D$18,MATCH($B71,Stammdaten!$A$7:$A$18,0)),99),"Kapazität prüfen","OK"))))))</f>
        <v>–</v>
      </c>
      <c r="R71" s="73" t="s">
        <v>128</v>
      </c>
    </row>
    <row r="72" customFormat="false" ht="15" hidden="false" customHeight="true" outlineLevel="0" collapsed="false">
      <c r="A72" s="61" t="s">
        <v>212</v>
      </c>
      <c r="B72" s="62" t="s">
        <v>94</v>
      </c>
      <c r="C72" s="63" t="s">
        <v>167</v>
      </c>
      <c r="D72" s="64" t="n">
        <v>46227</v>
      </c>
      <c r="E72" s="64" t="n">
        <v>46231</v>
      </c>
      <c r="F72" s="74" t="n">
        <f aca="false">IF(OR($D72="",$E72=""),"",$E72-$D72)</f>
        <v>4</v>
      </c>
      <c r="G72" s="62" t="n">
        <v>3</v>
      </c>
      <c r="H72" s="75" t="n">
        <f aca="false">IF($B72="","",IF($J72="Wartung/Sperrung",0,IFERROR(INDEX(Stammdaten!$F$7:$F$18,MATCH($B72,Stammdaten!$A$7:$A$18,0)),0)))</f>
        <v>169</v>
      </c>
      <c r="I72" s="75" t="n">
        <f aca="false">IF($B72="","",IF($J72="Storniert",0,$F72*$H72))</f>
        <v>676</v>
      </c>
      <c r="J72" s="67" t="s">
        <v>71</v>
      </c>
      <c r="K72" s="76" t="str">
        <f aca="false">IFERROR(INDEX(Stammdaten!$J$7:$J$10,MATCH($J72,Stammdaten!$I$7:$I$10,0)),"")</f>
        <v>B</v>
      </c>
      <c r="L72" s="67" t="s">
        <v>135</v>
      </c>
      <c r="M72" s="69" t="n">
        <v>0</v>
      </c>
      <c r="N72" s="75" t="n">
        <f aca="false">IF($B72="","",$I72-$M72)</f>
        <v>676</v>
      </c>
      <c r="O72" s="77" t="n">
        <f aca="false">IF($B72="","",IF($J72&lt;&gt;"Bestätigt",0,MAX(0,MIN($E72,Zimmerbelegungsplan!$B$7+Zimmerbelegungsplan!$C$7)-MAX($D72,Zimmerbelegungsplan!$B$7))))</f>
        <v>4</v>
      </c>
      <c r="P72" s="78" t="n">
        <f aca="false">IF($B72="","",$O72*$H72)</f>
        <v>676</v>
      </c>
      <c r="Q72" s="79" t="str">
        <f aca="false">IF($B72="","",IF(OR($D72="",$E72=""),"Datum fehlt",IF($E72&lt;=$D72,"Datum prüfen",IF($J72="Storniert","–",IF(SUMPRODUCT(($B$7:$B$86=$B72)*($B$7:$B$86&lt;&gt;"")*($J$7:$J$86&lt;&gt;"Storniert")*($D$7:$D$86&lt;$E72)*($E$7:$E$86&gt;$D72))&gt;1,"Überschneidung",IF($G72&gt;IFERROR(INDEX(Stammdaten!$D$7:$D$18,MATCH($B72,Stammdaten!$A$7:$A$18,0)),99),"Kapazität prüfen","OK"))))))</f>
        <v>OK</v>
      </c>
      <c r="R72" s="73" t="s">
        <v>104</v>
      </c>
    </row>
    <row r="73" customFormat="false" ht="15" hidden="false" customHeight="true" outlineLevel="0" collapsed="false">
      <c r="A73" s="61" t="s">
        <v>213</v>
      </c>
      <c r="B73" s="62" t="s">
        <v>98</v>
      </c>
      <c r="C73" s="63" t="s">
        <v>185</v>
      </c>
      <c r="D73" s="64" t="n">
        <v>46228</v>
      </c>
      <c r="E73" s="64" t="n">
        <v>46232</v>
      </c>
      <c r="F73" s="65" t="n">
        <f aca="false">IF(OR($D73="",$E73=""),"",$E73-$D73)</f>
        <v>4</v>
      </c>
      <c r="G73" s="62" t="n">
        <v>4</v>
      </c>
      <c r="H73" s="66" t="n">
        <f aca="false">IF($B73="","",IF($J73="Wartung/Sperrung",0,IFERROR(INDEX(Stammdaten!$F$7:$F$18,MATCH($B73,Stammdaten!$A$7:$A$18,0)),0)))</f>
        <v>189</v>
      </c>
      <c r="I73" s="66" t="n">
        <f aca="false">IF($B73="","",IF($J73="Storniert",0,$F73*$H73))</f>
        <v>0</v>
      </c>
      <c r="J73" s="67" t="s">
        <v>127</v>
      </c>
      <c r="K73" s="68" t="n">
        <f aca="false">IFERROR(INDEX(Stammdaten!$J$7:$J$10,MATCH($J73,Stammdaten!$I$7:$I$10,0)),"")</f>
        <v>0</v>
      </c>
      <c r="L73" s="67" t="s">
        <v>72</v>
      </c>
      <c r="M73" s="69" t="n">
        <v>0</v>
      </c>
      <c r="N73" s="66" t="n">
        <f aca="false">IF($B73="","",$I73-$M73)</f>
        <v>0</v>
      </c>
      <c r="O73" s="70" t="n">
        <f aca="false">IF($B73="","",IF($J73&lt;&gt;"Bestätigt",0,MAX(0,MIN($E73,Zimmerbelegungsplan!$B$7+Zimmerbelegungsplan!$C$7)-MAX($D73,Zimmerbelegungsplan!$B$7))))</f>
        <v>0</v>
      </c>
      <c r="P73" s="71" t="n">
        <f aca="false">IF($B73="","",$O73*$H73)</f>
        <v>0</v>
      </c>
      <c r="Q73" s="72" t="str">
        <f aca="false">IF($B73="","",IF(OR($D73="",$E73=""),"Datum fehlt",IF($E73&lt;=$D73,"Datum prüfen",IF($J73="Storniert","–",IF(SUMPRODUCT(($B$7:$B$86=$B73)*($B$7:$B$86&lt;&gt;"")*($J$7:$J$86&lt;&gt;"Storniert")*($D$7:$D$86&lt;$E73)*($E$7:$E$86&gt;$D73))&gt;1,"Überschneidung",IF($G73&gt;IFERROR(INDEX(Stammdaten!$D$7:$D$18,MATCH($B73,Stammdaten!$A$7:$A$18,0)),99),"Kapazität prüfen","OK"))))))</f>
        <v>–</v>
      </c>
      <c r="R73" s="73" t="s">
        <v>128</v>
      </c>
    </row>
    <row r="74" customFormat="false" ht="15" hidden="false" customHeight="true" outlineLevel="0" collapsed="false">
      <c r="A74" s="61" t="s">
        <v>214</v>
      </c>
      <c r="B74" s="62" t="s">
        <v>102</v>
      </c>
      <c r="C74" s="63" t="s">
        <v>180</v>
      </c>
      <c r="D74" s="64" t="n">
        <v>46228</v>
      </c>
      <c r="E74" s="64" t="n">
        <v>46235</v>
      </c>
      <c r="F74" s="74" t="n">
        <f aca="false">IF(OR($D74="",$E74=""),"",$E74-$D74)</f>
        <v>7</v>
      </c>
      <c r="G74" s="62" t="n">
        <v>2</v>
      </c>
      <c r="H74" s="75" t="n">
        <f aca="false">IF($B74="","",IF($J74="Wartung/Sperrung",0,IFERROR(INDEX(Stammdaten!$F$7:$F$18,MATCH($B74,Stammdaten!$A$7:$A$18,0)),0)))</f>
        <v>119</v>
      </c>
      <c r="I74" s="75" t="n">
        <f aca="false">IF($B74="","",IF($J74="Storniert",0,$F74*$H74))</f>
        <v>833</v>
      </c>
      <c r="J74" s="67" t="s">
        <v>71</v>
      </c>
      <c r="K74" s="76" t="str">
        <f aca="false">IFERROR(INDEX(Stammdaten!$J$7:$J$10,MATCH($J74,Stammdaten!$I$7:$I$10,0)),"")</f>
        <v>B</v>
      </c>
      <c r="L74" s="67" t="s">
        <v>72</v>
      </c>
      <c r="M74" s="69" t="n">
        <v>0</v>
      </c>
      <c r="N74" s="75" t="n">
        <f aca="false">IF($B74="","",$I74-$M74)</f>
        <v>833</v>
      </c>
      <c r="O74" s="77" t="n">
        <f aca="false">IF($B74="","",IF($J74&lt;&gt;"Bestätigt",0,MAX(0,MIN($E74,Zimmerbelegungsplan!$B$7+Zimmerbelegungsplan!$C$7)-MAX($D74,Zimmerbelegungsplan!$B$7))))</f>
        <v>7</v>
      </c>
      <c r="P74" s="78" t="n">
        <f aca="false">IF($B74="","",$O74*$H74)</f>
        <v>833</v>
      </c>
      <c r="Q74" s="79" t="str">
        <f aca="false">IF($B74="","",IF(OR($D74="",$E74=""),"Datum fehlt",IF($E74&lt;=$D74,"Datum prüfen",IF($J74="Storniert","–",IF(SUMPRODUCT(($B$7:$B$86=$B74)*($B$7:$B$86&lt;&gt;"")*($J$7:$J$86&lt;&gt;"Storniert")*($D$7:$D$86&lt;$E74)*($E$7:$E$86&gt;$D74))&gt;1,"Überschneidung",IF($G74&gt;IFERROR(INDEX(Stammdaten!$D$7:$D$18,MATCH($B74,Stammdaten!$A$7:$A$18,0)),99),"Kapazität prüfen","OK"))))))</f>
        <v>OK</v>
      </c>
      <c r="R74" s="73" t="s">
        <v>108</v>
      </c>
    </row>
    <row r="75" customFormat="false" ht="15" hidden="false" customHeight="true" outlineLevel="0" collapsed="false">
      <c r="A75" s="61" t="s">
        <v>215</v>
      </c>
      <c r="B75" s="62" t="s">
        <v>75</v>
      </c>
      <c r="C75" s="63" t="s">
        <v>216</v>
      </c>
      <c r="D75" s="64" t="n">
        <v>46229</v>
      </c>
      <c r="E75" s="64" t="n">
        <v>46233</v>
      </c>
      <c r="F75" s="65" t="n">
        <f aca="false">IF(OR($D75="",$E75=""),"",$E75-$D75)</f>
        <v>4</v>
      </c>
      <c r="G75" s="62" t="n">
        <v>2</v>
      </c>
      <c r="H75" s="66" t="n">
        <f aca="false">IF($B75="","",IF($J75="Wartung/Sperrung",0,IFERROR(INDEX(Stammdaten!$F$7:$F$18,MATCH($B75,Stammdaten!$A$7:$A$18,0)),0)))</f>
        <v>129</v>
      </c>
      <c r="I75" s="66" t="n">
        <f aca="false">IF($B75="","",IF($J75="Storniert",0,$F75*$H75))</f>
        <v>516</v>
      </c>
      <c r="J75" s="67" t="s">
        <v>71</v>
      </c>
      <c r="K75" s="68" t="str">
        <f aca="false">IFERROR(INDEX(Stammdaten!$J$7:$J$10,MATCH($J75,Stammdaten!$I$7:$I$10,0)),"")</f>
        <v>B</v>
      </c>
      <c r="L75" s="67" t="s">
        <v>135</v>
      </c>
      <c r="M75" s="69" t="n">
        <v>0</v>
      </c>
      <c r="N75" s="66" t="n">
        <f aca="false">IF($B75="","",$I75-$M75)</f>
        <v>516</v>
      </c>
      <c r="O75" s="70" t="n">
        <f aca="false">IF($B75="","",IF($J75&lt;&gt;"Bestätigt",0,MAX(0,MIN($E75,Zimmerbelegungsplan!$B$7+Zimmerbelegungsplan!$C$7)-MAX($D75,Zimmerbelegungsplan!$B$7))))</f>
        <v>4</v>
      </c>
      <c r="P75" s="71" t="n">
        <f aca="false">IF($B75="","",$O75*$H75)</f>
        <v>516</v>
      </c>
      <c r="Q75" s="72" t="str">
        <f aca="false">IF($B75="","",IF(OR($D75="",$E75=""),"Datum fehlt",IF($E75&lt;=$D75,"Datum prüfen",IF($J75="Storniert","–",IF(SUMPRODUCT(($B$7:$B$86=$B75)*($B$7:$B$86&lt;&gt;"")*($J$7:$J$86&lt;&gt;"Storniert")*($D$7:$D$86&lt;$E75)*($E$7:$E$86&gt;$D75))&gt;1,"Überschneidung",IF($G75&gt;IFERROR(INDEX(Stammdaten!$D$7:$D$18,MATCH($B75,Stammdaten!$A$7:$A$18,0)),99),"Kapazität prüfen","OK"))))))</f>
        <v>OK</v>
      </c>
      <c r="R75" s="73"/>
    </row>
    <row r="76" customFormat="false" ht="15" hidden="false" customHeight="true" outlineLevel="0" collapsed="false">
      <c r="A76" s="61" t="s">
        <v>217</v>
      </c>
      <c r="B76" s="62" t="s">
        <v>106</v>
      </c>
      <c r="C76" s="63" t="s">
        <v>218</v>
      </c>
      <c r="D76" s="64" t="n">
        <v>46230</v>
      </c>
      <c r="E76" s="64" t="n">
        <v>46233</v>
      </c>
      <c r="F76" s="74" t="n">
        <f aca="false">IF(OR($D76="",$E76=""),"",$E76-$D76)</f>
        <v>3</v>
      </c>
      <c r="G76" s="62" t="n">
        <v>1</v>
      </c>
      <c r="H76" s="75" t="n">
        <f aca="false">IF($B76="","",IF($J76="Wartung/Sperrung",0,IFERROR(INDEX(Stammdaten!$F$7:$F$18,MATCH($B76,Stammdaten!$A$7:$A$18,0)),0)))</f>
        <v>79</v>
      </c>
      <c r="I76" s="75" t="n">
        <f aca="false">IF($B76="","",IF($J76="Storniert",0,$F76*$H76))</f>
        <v>237</v>
      </c>
      <c r="J76" s="67" t="s">
        <v>71</v>
      </c>
      <c r="K76" s="76" t="str">
        <f aca="false">IFERROR(INDEX(Stammdaten!$J$7:$J$10,MATCH($J76,Stammdaten!$I$7:$I$10,0)),"")</f>
        <v>B</v>
      </c>
      <c r="L76" s="67" t="s">
        <v>81</v>
      </c>
      <c r="M76" s="69" t="n">
        <v>237</v>
      </c>
      <c r="N76" s="75" t="n">
        <f aca="false">IF($B76="","",$I76-$M76)</f>
        <v>0</v>
      </c>
      <c r="O76" s="77" t="n">
        <f aca="false">IF($B76="","",IF($J76&lt;&gt;"Bestätigt",0,MAX(0,MIN($E76,Zimmerbelegungsplan!$B$7+Zimmerbelegungsplan!$C$7)-MAX($D76,Zimmerbelegungsplan!$B$7))))</f>
        <v>3</v>
      </c>
      <c r="P76" s="78" t="n">
        <f aca="false">IF($B76="","",$O76*$H76)</f>
        <v>237</v>
      </c>
      <c r="Q76" s="79" t="str">
        <f aca="false">IF($B76="","",IF(OR($D76="",$E76=""),"Datum fehlt",IF($E76&lt;=$D76,"Datum prüfen",IF($J76="Storniert","–",IF(SUMPRODUCT(($B$7:$B$86=$B76)*($B$7:$B$86&lt;&gt;"")*($J$7:$J$86&lt;&gt;"Storniert")*($D$7:$D$86&lt;$E76)*($E$7:$E$86&gt;$D76))&gt;1,"Überschneidung",IF($G76&gt;IFERROR(INDEX(Stammdaten!$D$7:$D$18,MATCH($B76,Stammdaten!$A$7:$A$18,0)),99),"Kapazität prüfen","OK"))))))</f>
        <v>OK</v>
      </c>
      <c r="R76" s="73" t="s">
        <v>73</v>
      </c>
    </row>
    <row r="77" customFormat="false" ht="15" hidden="false" customHeight="true" outlineLevel="0" collapsed="false">
      <c r="A77" s="61" t="s">
        <v>219</v>
      </c>
      <c r="B77" s="62" t="s">
        <v>69</v>
      </c>
      <c r="C77" s="63" t="s">
        <v>145</v>
      </c>
      <c r="D77" s="64" t="n">
        <v>46230</v>
      </c>
      <c r="E77" s="64" t="n">
        <v>46235</v>
      </c>
      <c r="F77" s="65" t="n">
        <f aca="false">IF(OR($D77="",$E77=""),"",$E77-$D77)</f>
        <v>5</v>
      </c>
      <c r="G77" s="62" t="n">
        <v>2</v>
      </c>
      <c r="H77" s="66" t="n">
        <f aca="false">IF($B77="","",IF($J77="Wartung/Sperrung",0,IFERROR(INDEX(Stammdaten!$F$7:$F$18,MATCH($B77,Stammdaten!$A$7:$A$18,0)),0)))</f>
        <v>109</v>
      </c>
      <c r="I77" s="66" t="n">
        <f aca="false">IF($B77="","",IF($J77="Storniert",0,$F77*$H77))</f>
        <v>545</v>
      </c>
      <c r="J77" s="67" t="s">
        <v>71</v>
      </c>
      <c r="K77" s="68" t="str">
        <f aca="false">IFERROR(INDEX(Stammdaten!$J$7:$J$10,MATCH($J77,Stammdaten!$I$7:$I$10,0)),"")</f>
        <v>B</v>
      </c>
      <c r="L77" s="67" t="s">
        <v>89</v>
      </c>
      <c r="M77" s="69" t="n">
        <v>0</v>
      </c>
      <c r="N77" s="66" t="n">
        <f aca="false">IF($B77="","",$I77-$M77)</f>
        <v>545</v>
      </c>
      <c r="O77" s="70" t="n">
        <f aca="false">IF($B77="","",IF($J77&lt;&gt;"Bestätigt",0,MAX(0,MIN($E77,Zimmerbelegungsplan!$B$7+Zimmerbelegungsplan!$C$7)-MAX($D77,Zimmerbelegungsplan!$B$7))))</f>
        <v>5</v>
      </c>
      <c r="P77" s="71" t="n">
        <f aca="false">IF($B77="","",$O77*$H77)</f>
        <v>545</v>
      </c>
      <c r="Q77" s="72" t="str">
        <f aca="false">IF($B77="","",IF(OR($D77="",$E77=""),"Datum fehlt",IF($E77&lt;=$D77,"Datum prüfen",IF($J77="Storniert","–",IF(SUMPRODUCT(($B$7:$B$86=$B77)*($B$7:$B$86&lt;&gt;"")*($J$7:$J$86&lt;&gt;"Storniert")*($D$7:$D$86&lt;$E77)*($E$7:$E$86&gt;$D77))&gt;1,"Überschneidung",IF($G77&gt;IFERROR(INDEX(Stammdaten!$D$7:$D$18,MATCH($B77,Stammdaten!$A$7:$A$18,0)),99),"Kapazität prüfen","OK"))))))</f>
        <v>OK</v>
      </c>
      <c r="R77" s="73" t="s">
        <v>104</v>
      </c>
    </row>
    <row r="78" customFormat="false" ht="15" hidden="false" customHeight="true" outlineLevel="0" collapsed="false">
      <c r="A78" s="61" t="s">
        <v>220</v>
      </c>
      <c r="B78" s="62" t="s">
        <v>112</v>
      </c>
      <c r="C78" s="63" t="s">
        <v>201</v>
      </c>
      <c r="D78" s="64" t="n">
        <v>46230</v>
      </c>
      <c r="E78" s="64" t="n">
        <v>46235</v>
      </c>
      <c r="F78" s="74" t="n">
        <f aca="false">IF(OR($D78="",$E78=""),"",$E78-$D78)</f>
        <v>5</v>
      </c>
      <c r="G78" s="62" t="n">
        <v>1</v>
      </c>
      <c r="H78" s="75" t="n">
        <f aca="false">IF($B78="","",IF($J78="Wartung/Sperrung",0,IFERROR(INDEX(Stammdaten!$F$7:$F$18,MATCH($B78,Stammdaten!$A$7:$A$18,0)),0)))</f>
        <v>169</v>
      </c>
      <c r="I78" s="75" t="n">
        <f aca="false">IF($B78="","",IF($J78="Storniert",0,$F78*$H78))</f>
        <v>845</v>
      </c>
      <c r="J78" s="67" t="s">
        <v>71</v>
      </c>
      <c r="K78" s="76" t="str">
        <f aca="false">IFERROR(INDEX(Stammdaten!$J$7:$J$10,MATCH($J78,Stammdaten!$I$7:$I$10,0)),"")</f>
        <v>B</v>
      </c>
      <c r="L78" s="67" t="s">
        <v>135</v>
      </c>
      <c r="M78" s="69" t="n">
        <v>169</v>
      </c>
      <c r="N78" s="75" t="n">
        <f aca="false">IF($B78="","",$I78-$M78)</f>
        <v>676</v>
      </c>
      <c r="O78" s="77" t="n">
        <f aca="false">IF($B78="","",IF($J78&lt;&gt;"Bestätigt",0,MAX(0,MIN($E78,Zimmerbelegungsplan!$B$7+Zimmerbelegungsplan!$C$7)-MAX($D78,Zimmerbelegungsplan!$B$7))))</f>
        <v>5</v>
      </c>
      <c r="P78" s="78" t="n">
        <f aca="false">IF($B78="","",$O78*$H78)</f>
        <v>845</v>
      </c>
      <c r="Q78" s="79" t="str">
        <f aca="false">IF($B78="","",IF(OR($D78="",$E78=""),"Datum fehlt",IF($E78&lt;=$D78,"Datum prüfen",IF($J78="Storniert","–",IF(SUMPRODUCT(($B$7:$B$86=$B78)*($B$7:$B$86&lt;&gt;"")*($J$7:$J$86&lt;&gt;"Storniert")*($D$7:$D$86&lt;$E78)*($E$7:$E$86&gt;$D78))&gt;1,"Überschneidung",IF($G78&gt;IFERROR(INDEX(Stammdaten!$D$7:$D$18,MATCH($B78,Stammdaten!$A$7:$A$18,0)),99),"Kapazität prüfen","OK"))))))</f>
        <v>OK</v>
      </c>
      <c r="R78" s="73" t="s">
        <v>119</v>
      </c>
    </row>
    <row r="79" customFormat="false" ht="15" hidden="false" customHeight="true" outlineLevel="0" collapsed="false">
      <c r="A79" s="61" t="s">
        <v>221</v>
      </c>
      <c r="B79" s="62" t="s">
        <v>91</v>
      </c>
      <c r="C79" s="63" t="s">
        <v>137</v>
      </c>
      <c r="D79" s="64" t="n">
        <v>46231</v>
      </c>
      <c r="E79" s="64" t="n">
        <v>46238</v>
      </c>
      <c r="F79" s="65" t="n">
        <f aca="false">IF(OR($D79="",$E79=""),"",$E79-$D79)</f>
        <v>7</v>
      </c>
      <c r="G79" s="62" t="n">
        <v>1</v>
      </c>
      <c r="H79" s="66" t="n">
        <f aca="false">IF($B79="","",IF($J79="Wartung/Sperrung",0,IFERROR(INDEX(Stammdaten!$F$7:$F$18,MATCH($B79,Stammdaten!$A$7:$A$18,0)),0)))</f>
        <v>89</v>
      </c>
      <c r="I79" s="66" t="n">
        <f aca="false">IF($B79="","",IF($J79="Storniert",0,$F79*$H79))</f>
        <v>623</v>
      </c>
      <c r="J79" s="67" t="s">
        <v>71</v>
      </c>
      <c r="K79" s="68" t="str">
        <f aca="false">IFERROR(INDEX(Stammdaten!$J$7:$J$10,MATCH($J79,Stammdaten!$I$7:$I$10,0)),"")</f>
        <v>B</v>
      </c>
      <c r="L79" s="67" t="s">
        <v>131</v>
      </c>
      <c r="M79" s="69" t="n">
        <v>124.6</v>
      </c>
      <c r="N79" s="66" t="n">
        <f aca="false">IF($B79="","",$I79-$M79)</f>
        <v>498.4</v>
      </c>
      <c r="O79" s="70" t="n">
        <f aca="false">IF($B79="","",IF($J79&lt;&gt;"Bestätigt",0,MAX(0,MIN($E79,Zimmerbelegungsplan!$B$7+Zimmerbelegungsplan!$C$7)-MAX($D79,Zimmerbelegungsplan!$B$7))))</f>
        <v>4</v>
      </c>
      <c r="P79" s="71" t="n">
        <f aca="false">IF($B79="","",$O79*$H79)</f>
        <v>356</v>
      </c>
      <c r="Q79" s="72" t="str">
        <f aca="false">IF($B79="","",IF(OR($D79="",$E79=""),"Datum fehlt",IF($E79&lt;=$D79,"Datum prüfen",IF($J79="Storniert","–",IF(SUMPRODUCT(($B$7:$B$86=$B79)*($B$7:$B$86&lt;&gt;"")*($J$7:$J$86&lt;&gt;"Storniert")*($D$7:$D$86&lt;$E79)*($E$7:$E$86&gt;$D79))&gt;1,"Überschneidung",IF($G79&gt;IFERROR(INDEX(Stammdaten!$D$7:$D$18,MATCH($B79,Stammdaten!$A$7:$A$18,0)),99),"Kapazität prüfen","OK"))))))</f>
        <v>OK</v>
      </c>
      <c r="R79" s="73" t="s">
        <v>124</v>
      </c>
    </row>
    <row r="80" customFormat="false" ht="15" hidden="false" customHeight="true" outlineLevel="0" collapsed="false">
      <c r="A80" s="61" t="s">
        <v>222</v>
      </c>
      <c r="B80" s="62" t="s">
        <v>83</v>
      </c>
      <c r="C80" s="63" t="s">
        <v>223</v>
      </c>
      <c r="D80" s="64" t="n">
        <v>46231</v>
      </c>
      <c r="E80" s="64" t="n">
        <v>46234</v>
      </c>
      <c r="F80" s="74" t="n">
        <f aca="false">IF(OR($D80="",$E80=""),"",$E80-$D80)</f>
        <v>3</v>
      </c>
      <c r="G80" s="62" t="n">
        <v>2</v>
      </c>
      <c r="H80" s="75" t="n">
        <f aca="false">IF($B80="","",IF($J80="Wartung/Sperrung",0,IFERROR(INDEX(Stammdaten!$F$7:$F$18,MATCH($B80,Stammdaten!$A$7:$A$18,0)),0)))</f>
        <v>129</v>
      </c>
      <c r="I80" s="75" t="n">
        <f aca="false">IF($B80="","",IF($J80="Storniert",0,$F80*$H80))</f>
        <v>387</v>
      </c>
      <c r="J80" s="67" t="s">
        <v>71</v>
      </c>
      <c r="K80" s="76" t="str">
        <f aca="false">IFERROR(INDEX(Stammdaten!$J$7:$J$10,MATCH($J80,Stammdaten!$I$7:$I$10,0)),"")</f>
        <v>B</v>
      </c>
      <c r="L80" s="67" t="s">
        <v>81</v>
      </c>
      <c r="M80" s="69" t="n">
        <v>193.5</v>
      </c>
      <c r="N80" s="75" t="n">
        <f aca="false">IF($B80="","",$I80-$M80)</f>
        <v>193.5</v>
      </c>
      <c r="O80" s="77" t="n">
        <f aca="false">IF($B80="","",IF($J80&lt;&gt;"Bestätigt",0,MAX(0,MIN($E80,Zimmerbelegungsplan!$B$7+Zimmerbelegungsplan!$C$7)-MAX($D80,Zimmerbelegungsplan!$B$7))))</f>
        <v>3</v>
      </c>
      <c r="P80" s="78" t="n">
        <f aca="false">IF($B80="","",$O80*$H80)</f>
        <v>387</v>
      </c>
      <c r="Q80" s="79" t="str">
        <f aca="false">IF($B80="","",IF(OR($D80="",$E80=""),"Datum fehlt",IF($E80&lt;=$D80,"Datum prüfen",IF($J80="Storniert","–",IF(SUMPRODUCT(($B$7:$B$86=$B80)*($B$7:$B$86&lt;&gt;"")*($J$7:$J$86&lt;&gt;"Storniert")*($D$7:$D$86&lt;$E80)*($E$7:$E$86&gt;$D80))&gt;1,"Überschneidung",IF($G80&gt;IFERROR(INDEX(Stammdaten!$D$7:$D$18,MATCH($B80,Stammdaten!$A$7:$A$18,0)),99),"Kapazität prüfen","OK"))))))</f>
        <v>OK</v>
      </c>
      <c r="R80" s="73"/>
    </row>
    <row r="81" customFormat="false" ht="15" hidden="false" customHeight="true" outlineLevel="0" collapsed="false">
      <c r="A81" s="61" t="s">
        <v>224</v>
      </c>
      <c r="B81" s="62" t="s">
        <v>98</v>
      </c>
      <c r="C81" s="63" t="s">
        <v>197</v>
      </c>
      <c r="D81" s="64" t="n">
        <v>46232</v>
      </c>
      <c r="E81" s="64" t="n">
        <v>46239</v>
      </c>
      <c r="F81" s="65" t="n">
        <f aca="false">IF(OR($D81="",$E81=""),"",$E81-$D81)</f>
        <v>7</v>
      </c>
      <c r="G81" s="62" t="n">
        <v>2</v>
      </c>
      <c r="H81" s="66" t="n">
        <f aca="false">IF($B81="","",IF($J81="Wartung/Sperrung",0,IFERROR(INDEX(Stammdaten!$F$7:$F$18,MATCH($B81,Stammdaten!$A$7:$A$18,0)),0)))</f>
        <v>189</v>
      </c>
      <c r="I81" s="66" t="n">
        <f aca="false">IF($B81="","",IF($J81="Storniert",0,$F81*$H81))</f>
        <v>1323</v>
      </c>
      <c r="J81" s="67" t="s">
        <v>71</v>
      </c>
      <c r="K81" s="68" t="str">
        <f aca="false">IFERROR(INDEX(Stammdaten!$J$7:$J$10,MATCH($J81,Stammdaten!$I$7:$I$10,0)),"")</f>
        <v>B</v>
      </c>
      <c r="L81" s="67" t="s">
        <v>77</v>
      </c>
      <c r="M81" s="69" t="n">
        <v>0</v>
      </c>
      <c r="N81" s="66" t="n">
        <f aca="false">IF($B81="","",$I81-$M81)</f>
        <v>1323</v>
      </c>
      <c r="O81" s="70" t="n">
        <f aca="false">IF($B81="","",IF($J81&lt;&gt;"Bestätigt",0,MAX(0,MIN($E81,Zimmerbelegungsplan!$B$7+Zimmerbelegungsplan!$C$7)-MAX($D81,Zimmerbelegungsplan!$B$7))))</f>
        <v>3</v>
      </c>
      <c r="P81" s="71" t="n">
        <f aca="false">IF($B81="","",$O81*$H81)</f>
        <v>567</v>
      </c>
      <c r="Q81" s="72" t="str">
        <f aca="false">IF($B81="","",IF(OR($D81="",$E81=""),"Datum fehlt",IF($E81&lt;=$D81,"Datum prüfen",IF($J81="Storniert","–",IF(SUMPRODUCT(($B$7:$B$86=$B81)*($B$7:$B$86&lt;&gt;"")*($J$7:$J$86&lt;&gt;"Storniert")*($D$7:$D$86&lt;$E81)*($E$7:$E$86&gt;$D81))&gt;1,"Überschneidung",IF($G81&gt;IFERROR(INDEX(Stammdaten!$D$7:$D$18,MATCH($B81,Stammdaten!$A$7:$A$18,0)),99),"Kapazität prüfen","OK"))))))</f>
        <v>OK</v>
      </c>
      <c r="R81" s="73"/>
    </row>
    <row r="82" customFormat="false" ht="15" hidden="false" customHeight="true" outlineLevel="0" collapsed="false">
      <c r="A82" s="61" t="s">
        <v>225</v>
      </c>
      <c r="B82" s="62" t="s">
        <v>117</v>
      </c>
      <c r="C82" s="63" t="s">
        <v>150</v>
      </c>
      <c r="D82" s="64" t="n">
        <v>46232</v>
      </c>
      <c r="E82" s="64" t="n">
        <v>46234</v>
      </c>
      <c r="F82" s="74" t="n">
        <f aca="false">IF(OR($D82="",$E82=""),"",$E82-$D82)</f>
        <v>2</v>
      </c>
      <c r="G82" s="62" t="n">
        <v>0</v>
      </c>
      <c r="H82" s="75" t="n">
        <f aca="false">IF($B82="","",IF($J82="Wartung/Sperrung",0,IFERROR(INDEX(Stammdaten!$F$7:$F$18,MATCH($B82,Stammdaten!$A$7:$A$18,0)),0)))</f>
        <v>0</v>
      </c>
      <c r="I82" s="75" t="n">
        <f aca="false">IF($B82="","",IF($J82="Storniert",0,$F82*$H82))</f>
        <v>0</v>
      </c>
      <c r="J82" s="67" t="s">
        <v>151</v>
      </c>
      <c r="K82" s="76" t="str">
        <f aca="false">IFERROR(INDEX(Stammdaten!$J$7:$J$10,MATCH($J82,Stammdaten!$I$7:$I$10,0)),"")</f>
        <v>W</v>
      </c>
      <c r="L82" s="67" t="s">
        <v>77</v>
      </c>
      <c r="M82" s="69" t="n">
        <v>0</v>
      </c>
      <c r="N82" s="75" t="n">
        <f aca="false">IF($B82="","",$I82-$M82)</f>
        <v>0</v>
      </c>
      <c r="O82" s="77" t="n">
        <f aca="false">IF($B82="","",IF($J82&lt;&gt;"Bestätigt",0,MAX(0,MIN($E82,Zimmerbelegungsplan!$B$7+Zimmerbelegungsplan!$C$7)-MAX($D82,Zimmerbelegungsplan!$B$7))))</f>
        <v>0</v>
      </c>
      <c r="P82" s="78" t="n">
        <f aca="false">IF($B82="","",$O82*$H82)</f>
        <v>0</v>
      </c>
      <c r="Q82" s="79" t="str">
        <f aca="false">IF($B82="","",IF(OR($D82="",$E82=""),"Datum fehlt",IF($E82&lt;=$D82,"Datum prüfen",IF($J82="Storniert","–",IF(SUMPRODUCT(($B$7:$B$86=$B82)*($B$7:$B$86&lt;&gt;"")*($J$7:$J$86&lt;&gt;"Storniert")*($D$7:$D$86&lt;$E82)*($E$7:$E$86&gt;$D82))&gt;1,"Überschneidung",IF($G82&gt;IFERROR(INDEX(Stammdaten!$D$7:$D$18,MATCH($B82,Stammdaten!$A$7:$A$18,0)),99),"Kapazität prüfen","OK"))))))</f>
        <v>OK</v>
      </c>
      <c r="R82" s="73" t="s">
        <v>152</v>
      </c>
    </row>
    <row r="83" customFormat="false" ht="15" hidden="false" customHeight="true" outlineLevel="0" collapsed="false">
      <c r="A83" s="61" t="s">
        <v>226</v>
      </c>
      <c r="B83" s="62" t="s">
        <v>94</v>
      </c>
      <c r="C83" s="63" t="s">
        <v>183</v>
      </c>
      <c r="D83" s="64" t="n">
        <v>46234</v>
      </c>
      <c r="E83" s="64" t="n">
        <v>46238</v>
      </c>
      <c r="F83" s="65" t="n">
        <f aca="false">IF(OR($D83="",$E83=""),"",$E83-$D83)</f>
        <v>4</v>
      </c>
      <c r="G83" s="62" t="n">
        <v>2</v>
      </c>
      <c r="H83" s="66" t="n">
        <f aca="false">IF($B83="","",IF($J83="Wartung/Sperrung",0,IFERROR(INDEX(Stammdaten!$F$7:$F$18,MATCH($B83,Stammdaten!$A$7:$A$18,0)),0)))</f>
        <v>169</v>
      </c>
      <c r="I83" s="66" t="n">
        <f aca="false">IF($B83="","",IF($J83="Storniert",0,$F83*$H83))</f>
        <v>676</v>
      </c>
      <c r="J83" s="67" t="s">
        <v>71</v>
      </c>
      <c r="K83" s="68" t="str">
        <f aca="false">IFERROR(INDEX(Stammdaten!$J$7:$J$10,MATCH($J83,Stammdaten!$I$7:$I$10,0)),"")</f>
        <v>B</v>
      </c>
      <c r="L83" s="67" t="s">
        <v>81</v>
      </c>
      <c r="M83" s="69" t="n">
        <v>0</v>
      </c>
      <c r="N83" s="66" t="n">
        <f aca="false">IF($B83="","",$I83-$M83)</f>
        <v>676</v>
      </c>
      <c r="O83" s="70" t="n">
        <f aca="false">IF($B83="","",IF($J83&lt;&gt;"Bestätigt",0,MAX(0,MIN($E83,Zimmerbelegungsplan!$B$7+Zimmerbelegungsplan!$C$7)-MAX($D83,Zimmerbelegungsplan!$B$7))))</f>
        <v>1</v>
      </c>
      <c r="P83" s="71" t="n">
        <f aca="false">IF($B83="","",$O83*$H83)</f>
        <v>169</v>
      </c>
      <c r="Q83" s="72" t="str">
        <f aca="false">IF($B83="","",IF(OR($D83="",$E83=""),"Datum fehlt",IF($E83&lt;=$D83,"Datum prüfen",IF($J83="Storniert","–",IF(SUMPRODUCT(($B$7:$B$86=$B83)*($B$7:$B$86&lt;&gt;"")*($J$7:$J$86&lt;&gt;"Storniert")*($D$7:$D$86&lt;$E83)*($E$7:$E$86&gt;$D83))&gt;1,"Überschneidung",IF($G83&gt;IFERROR(INDEX(Stammdaten!$D$7:$D$18,MATCH($B83,Stammdaten!$A$7:$A$18,0)),99),"Kapazität prüfen","OK"))))))</f>
        <v>OK</v>
      </c>
      <c r="R83" s="73" t="s">
        <v>73</v>
      </c>
    </row>
    <row r="84" customFormat="false" ht="15" hidden="false" customHeight="true" outlineLevel="0" collapsed="false">
      <c r="A84" s="61" t="s">
        <v>227</v>
      </c>
      <c r="B84" s="62" t="s">
        <v>117</v>
      </c>
      <c r="C84" s="63" t="s">
        <v>165</v>
      </c>
      <c r="D84" s="64" t="n">
        <v>46234</v>
      </c>
      <c r="E84" s="64" t="n">
        <v>46236</v>
      </c>
      <c r="F84" s="74" t="n">
        <f aca="false">IF(OR($D84="",$E84=""),"",$E84-$D84)</f>
        <v>2</v>
      </c>
      <c r="G84" s="62" t="n">
        <v>1</v>
      </c>
      <c r="H84" s="75" t="n">
        <f aca="false">IF($B84="","",IF($J84="Wartung/Sperrung",0,IFERROR(INDEX(Stammdaten!$F$7:$F$18,MATCH($B84,Stammdaten!$A$7:$A$18,0)),0)))</f>
        <v>209</v>
      </c>
      <c r="I84" s="75" t="n">
        <f aca="false">IF($B84="","",IF($J84="Storniert",0,$F84*$H84))</f>
        <v>418</v>
      </c>
      <c r="J84" s="67" t="s">
        <v>71</v>
      </c>
      <c r="K84" s="76" t="str">
        <f aca="false">IFERROR(INDEX(Stammdaten!$J$7:$J$10,MATCH($J84,Stammdaten!$I$7:$I$10,0)),"")</f>
        <v>B</v>
      </c>
      <c r="L84" s="67" t="s">
        <v>135</v>
      </c>
      <c r="M84" s="69" t="n">
        <v>209</v>
      </c>
      <c r="N84" s="75" t="n">
        <f aca="false">IF($B84="","",$I84-$M84)</f>
        <v>209</v>
      </c>
      <c r="O84" s="77" t="n">
        <f aca="false">IF($B84="","",IF($J84&lt;&gt;"Bestätigt",0,MAX(0,MIN($E84,Zimmerbelegungsplan!$B$7+Zimmerbelegungsplan!$C$7)-MAX($D84,Zimmerbelegungsplan!$B$7))))</f>
        <v>1</v>
      </c>
      <c r="P84" s="78" t="n">
        <f aca="false">IF($B84="","",$O84*$H84)</f>
        <v>209</v>
      </c>
      <c r="Q84" s="79" t="str">
        <f aca="false">IF($B84="","",IF(OR($D84="",$E84=""),"Datum fehlt",IF($E84&lt;=$D84,"Datum prüfen",IF($J84="Storniert","–",IF(SUMPRODUCT(($B$7:$B$86=$B84)*($B$7:$B$86&lt;&gt;"")*($J$7:$J$86&lt;&gt;"Storniert")*($D$7:$D$86&lt;$E84)*($E$7:$E$86&gt;$D84))&gt;1,"Überschneidung",IF($G84&gt;IFERROR(INDEX(Stammdaten!$D$7:$D$18,MATCH($B84,Stammdaten!$A$7:$A$18,0)),99),"Kapazität prüfen","OK"))))))</f>
        <v>OK</v>
      </c>
      <c r="R84" s="73"/>
    </row>
    <row r="85" customFormat="false" ht="15" hidden="false" customHeight="true" outlineLevel="0" collapsed="false">
      <c r="A85" s="61" t="s">
        <v>228</v>
      </c>
      <c r="B85" s="62" t="s">
        <v>69</v>
      </c>
      <c r="C85" s="63" t="s">
        <v>163</v>
      </c>
      <c r="D85" s="64" t="n">
        <v>46235</v>
      </c>
      <c r="E85" s="64" t="n">
        <v>46238</v>
      </c>
      <c r="F85" s="65" t="n">
        <f aca="false">IF(OR($D85="",$E85=""),"",$E85-$D85)</f>
        <v>3</v>
      </c>
      <c r="G85" s="62" t="n">
        <v>1</v>
      </c>
      <c r="H85" s="66" t="n">
        <f aca="false">IF($B85="","",IF($J85="Wartung/Sperrung",0,IFERROR(INDEX(Stammdaten!$F$7:$F$18,MATCH($B85,Stammdaten!$A$7:$A$18,0)),0)))</f>
        <v>109</v>
      </c>
      <c r="I85" s="66" t="n">
        <f aca="false">IF($B85="","",IF($J85="Storniert",0,$F85*$H85))</f>
        <v>327</v>
      </c>
      <c r="J85" s="67" t="s">
        <v>71</v>
      </c>
      <c r="K85" s="68" t="str">
        <f aca="false">IFERROR(INDEX(Stammdaten!$J$7:$J$10,MATCH($J85,Stammdaten!$I$7:$I$10,0)),"")</f>
        <v>B</v>
      </c>
      <c r="L85" s="67" t="s">
        <v>100</v>
      </c>
      <c r="M85" s="69" t="n">
        <v>0</v>
      </c>
      <c r="N85" s="66" t="n">
        <f aca="false">IF($B85="","",$I85-$M85)</f>
        <v>327</v>
      </c>
      <c r="O85" s="70" t="n">
        <f aca="false">IF($B85="","",IF($J85&lt;&gt;"Bestätigt",0,MAX(0,MIN($E85,Zimmerbelegungsplan!$B$7+Zimmerbelegungsplan!$C$7)-MAX($D85,Zimmerbelegungsplan!$B$7))))</f>
        <v>0</v>
      </c>
      <c r="P85" s="71" t="n">
        <f aca="false">IF($B85="","",$O85*$H85)</f>
        <v>0</v>
      </c>
      <c r="Q85" s="72" t="str">
        <f aca="false">IF($B85="","",IF(OR($D85="",$E85=""),"Datum fehlt",IF($E85&lt;=$D85,"Datum prüfen",IF($J85="Storniert","–",IF(SUMPRODUCT(($B$7:$B$86=$B85)*($B$7:$B$86&lt;&gt;"")*($J$7:$J$86&lt;&gt;"Storniert")*($D$7:$D$86&lt;$E85)*($E$7:$E$86&gt;$D85))&gt;1,"Überschneidung",IF($G85&gt;IFERROR(INDEX(Stammdaten!$D$7:$D$18,MATCH($B85,Stammdaten!$A$7:$A$18,0)),99),"Kapazität prüfen","OK"))))))</f>
        <v>OK</v>
      </c>
      <c r="R85" s="73"/>
    </row>
    <row r="86" customFormat="false" ht="15" hidden="false" customHeight="true" outlineLevel="0" collapsed="false">
      <c r="A86" s="61" t="s">
        <v>229</v>
      </c>
      <c r="B86" s="62" t="s">
        <v>83</v>
      </c>
      <c r="C86" s="63" t="s">
        <v>230</v>
      </c>
      <c r="D86" s="64" t="n">
        <v>46235</v>
      </c>
      <c r="E86" s="64" t="n">
        <v>46240</v>
      </c>
      <c r="F86" s="74" t="n">
        <f aca="false">IF(OR($D86="",$E86=""),"",$E86-$D86)</f>
        <v>5</v>
      </c>
      <c r="G86" s="62" t="n">
        <v>2</v>
      </c>
      <c r="H86" s="75" t="n">
        <f aca="false">IF($B86="","",IF($J86="Wartung/Sperrung",0,IFERROR(INDEX(Stammdaten!$F$7:$F$18,MATCH($B86,Stammdaten!$A$7:$A$18,0)),0)))</f>
        <v>129</v>
      </c>
      <c r="I86" s="75" t="n">
        <f aca="false">IF($B86="","",IF($J86="Storniert",0,$F86*$H86))</f>
        <v>645</v>
      </c>
      <c r="J86" s="67" t="s">
        <v>114</v>
      </c>
      <c r="K86" s="76" t="str">
        <f aca="false">IFERROR(INDEX(Stammdaten!$J$7:$J$10,MATCH($J86,Stammdaten!$I$7:$I$10,0)),"")</f>
        <v>O</v>
      </c>
      <c r="L86" s="67" t="s">
        <v>77</v>
      </c>
      <c r="M86" s="69" t="n">
        <v>0</v>
      </c>
      <c r="N86" s="75" t="n">
        <f aca="false">IF($B86="","",$I86-$M86)</f>
        <v>645</v>
      </c>
      <c r="O86" s="77" t="n">
        <f aca="false">IF($B86="","",IF($J86&lt;&gt;"Bestätigt",0,MAX(0,MIN($E86,Zimmerbelegungsplan!$B$7+Zimmerbelegungsplan!$C$7)-MAX($D86,Zimmerbelegungsplan!$B$7))))</f>
        <v>0</v>
      </c>
      <c r="P86" s="78" t="n">
        <f aca="false">IF($B86="","",$O86*$H86)</f>
        <v>0</v>
      </c>
      <c r="Q86" s="79" t="str">
        <f aca="false">IF($B86="","",IF(OR($D86="",$E86=""),"Datum fehlt",IF($E86&lt;=$D86,"Datum prüfen",IF($J86="Storniert","–",IF(SUMPRODUCT(($B$7:$B$86=$B86)*($B$7:$B$86&lt;&gt;"")*($J$7:$J$86&lt;&gt;"Storniert")*($D$7:$D$86&lt;$E86)*($E$7:$E$86&gt;$D86))&gt;1,"Überschneidung",IF($G86&gt;IFERROR(INDEX(Stammdaten!$D$7:$D$18,MATCH($B86,Stammdaten!$A$7:$A$18,0)),99),"Kapazität prüfen","OK"))))))</f>
        <v>OK</v>
      </c>
      <c r="R86" s="73" t="s">
        <v>115</v>
      </c>
    </row>
    <row r="88" customFormat="false" ht="15" hidden="false" customHeight="false" outlineLevel="0" collapsed="false">
      <c r="A88" s="51" t="s">
        <v>231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</row>
  </sheetData>
  <autoFilter ref="A6:R86"/>
  <mergeCells count="8">
    <mergeCell ref="A2:H2"/>
    <mergeCell ref="A3:H3"/>
    <mergeCell ref="A5:B5"/>
    <mergeCell ref="D5:E5"/>
    <mergeCell ref="G5:H5"/>
    <mergeCell ref="J5:K5"/>
    <mergeCell ref="M5:N5"/>
    <mergeCell ref="A88:R88"/>
  </mergeCells>
  <conditionalFormatting sqref="R5">
    <cfRule type="cellIs" priority="2" operator="greaterThan" aboveAverage="0" equalAverage="0" bottom="0" percent="0" rank="0" text="" dxfId="19">
      <formula>0</formula>
    </cfRule>
  </conditionalFormatting>
  <conditionalFormatting sqref="Q7:Q86">
    <cfRule type="cellIs" priority="3" operator="equal" aboveAverage="0" equalAverage="0" bottom="0" percent="0" rank="0" text="" dxfId="20">
      <formula>"OK"</formula>
    </cfRule>
    <cfRule type="cellIs" priority="4" operator="equal" aboveAverage="0" equalAverage="0" bottom="0" percent="0" rank="0" text="" dxfId="21">
      <formula>"Überschneidung"</formula>
    </cfRule>
    <cfRule type="cellIs" priority="5" operator="equal" aboveAverage="0" equalAverage="0" bottom="0" percent="0" rank="0" text="" dxfId="21">
      <formula>"Datum prüfen"</formula>
    </cfRule>
    <cfRule type="cellIs" priority="6" operator="equal" aboveAverage="0" equalAverage="0" bottom="0" percent="0" rank="0" text="" dxfId="21">
      <formula>"Kapazität prüfen"</formula>
    </cfRule>
    <cfRule type="cellIs" priority="7" operator="equal" aboveAverage="0" equalAverage="0" bottom="0" percent="0" rank="0" text="" dxfId="21">
      <formula>"Datum fehlt"</formula>
    </cfRule>
  </conditionalFormatting>
  <conditionalFormatting sqref="A7:R86">
    <cfRule type="expression" priority="8" aboveAverage="0" equalAverage="0" bottom="0" percent="0" rank="0" text="" dxfId="22">
      <formula>$J7="Storniert"</formula>
    </cfRule>
    <cfRule type="expression" priority="9" aboveAverage="0" equalAverage="0" bottom="0" percent="0" rank="0" text="" dxfId="23">
      <formula>$J7="Wartung/Sperrung"</formula>
    </cfRule>
    <cfRule type="expression" priority="10" aboveAverage="0" equalAverage="0" bottom="0" percent="0" rank="0" text="" dxfId="24">
      <formula>$J7="Option"</formula>
    </cfRule>
  </conditionalFormatting>
  <dataValidations count="4">
    <dataValidation allowBlank="true" errorStyle="stop" operator="between" showDropDown="false" showErrorMessage="false" showInputMessage="false" sqref="B7:B86" type="list">
      <formula1>Stammdaten!$A$7:$A$18</formula1>
      <formula2>0</formula2>
    </dataValidation>
    <dataValidation allowBlank="true" errorStyle="stop" operator="between" showDropDown="false" showErrorMessage="false" showInputMessage="false" sqref="J7:J86" type="list">
      <formula1>Stammdaten!$I$7:$I$10</formula1>
      <formula2>0</formula2>
    </dataValidation>
    <dataValidation allowBlank="true" errorStyle="stop" operator="between" showDropDown="false" showErrorMessage="false" showInputMessage="false" sqref="L7:L86" type="list">
      <formula1>Stammdaten!$L$7:$L$13</formula1>
      <formula2>0</formula2>
    </dataValidation>
    <dataValidation allowBlank="true" errorStyle="stop" operator="between" showDropDown="false" showErrorMessage="false" showInputMessage="false" sqref="G7:G86" type="whole">
      <formula1>0</formula1>
      <formula2>12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F4160"/>
    <pageSetUpPr fitToPage="false"/>
  </sheetPr>
  <dimension ref="A1:N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26"/>
    <col collapsed="false" customWidth="true" hidden="false" outlineLevel="0" max="3" min="3" style="0" width="9"/>
    <col collapsed="false" customWidth="true" hidden="false" outlineLevel="0" max="4" min="4" style="0" width="10"/>
    <col collapsed="false" customWidth="true" hidden="false" outlineLevel="0" max="5" min="5" style="0" width="28"/>
    <col collapsed="false" customWidth="true" hidden="false" outlineLevel="0" max="6" min="6" style="0" width="14"/>
    <col collapsed="false" customWidth="true" hidden="false" outlineLevel="0" max="7" min="7" style="0" width="8"/>
    <col collapsed="false" customWidth="true" hidden="false" outlineLevel="0" max="8" min="8" style="0" width="3"/>
    <col collapsed="false" customWidth="true" hidden="false" outlineLevel="0" max="9" min="9" style="0" width="19"/>
    <col collapsed="false" customWidth="true" hidden="false" outlineLevel="0" max="10" min="10" style="0" width="8"/>
    <col collapsed="false" customWidth="true" hidden="false" outlineLevel="0" max="11" min="11" style="0" width="3"/>
    <col collapsed="false" customWidth="true" hidden="false" outlineLevel="0" max="12" min="12" style="0" width="20"/>
    <col collapsed="false" customWidth="true" hidden="false" outlineLevel="0" max="13" min="13" style="0" width="3"/>
    <col collapsed="false" customWidth="true" hidden="false" outlineLevel="0" max="14" min="14" style="0" width="14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27.75" hidden="false" customHeight="true" outlineLevel="0" collapsed="false">
      <c r="A2" s="52" t="s">
        <v>232</v>
      </c>
      <c r="B2" s="52"/>
      <c r="C2" s="52"/>
      <c r="D2" s="52"/>
      <c r="E2" s="52"/>
      <c r="F2" s="52"/>
      <c r="G2" s="52"/>
      <c r="H2" s="3"/>
      <c r="I2" s="3"/>
      <c r="J2" s="3"/>
      <c r="K2" s="3"/>
      <c r="L2" s="3"/>
      <c r="M2" s="3"/>
      <c r="N2" s="3"/>
    </row>
    <row r="3" customFormat="false" ht="15.75" hidden="false" customHeight="true" outlineLevel="0" collapsed="false">
      <c r="A3" s="53" t="s">
        <v>233</v>
      </c>
      <c r="B3" s="53"/>
      <c r="C3" s="53"/>
      <c r="D3" s="53"/>
      <c r="E3" s="53"/>
      <c r="F3" s="53"/>
      <c r="G3" s="53"/>
      <c r="H3" s="3"/>
      <c r="I3" s="3"/>
      <c r="J3" s="3"/>
      <c r="K3" s="3"/>
      <c r="L3" s="3"/>
      <c r="M3" s="3"/>
      <c r="N3" s="3"/>
    </row>
    <row r="4" customFormat="false" ht="7.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6" customFormat="false" ht="27.75" hidden="false" customHeight="true" outlineLevel="0" collapsed="false">
      <c r="A6" s="60" t="s">
        <v>234</v>
      </c>
      <c r="B6" s="60" t="s">
        <v>235</v>
      </c>
      <c r="C6" s="60" t="s">
        <v>236</v>
      </c>
      <c r="D6" s="60" t="s">
        <v>237</v>
      </c>
      <c r="E6" s="60" t="s">
        <v>238</v>
      </c>
      <c r="F6" s="60" t="s">
        <v>239</v>
      </c>
      <c r="G6" s="60" t="s">
        <v>240</v>
      </c>
      <c r="I6" s="80" t="s">
        <v>59</v>
      </c>
      <c r="J6" s="80" t="s">
        <v>60</v>
      </c>
      <c r="L6" s="80" t="s">
        <v>61</v>
      </c>
      <c r="N6" s="80" t="s">
        <v>241</v>
      </c>
    </row>
    <row r="7" customFormat="false" ht="15.75" hidden="false" customHeight="true" outlineLevel="0" collapsed="false">
      <c r="A7" s="81" t="s">
        <v>106</v>
      </c>
      <c r="B7" s="63" t="s">
        <v>242</v>
      </c>
      <c r="C7" s="62" t="s">
        <v>243</v>
      </c>
      <c r="D7" s="62" t="n">
        <v>1</v>
      </c>
      <c r="E7" s="63" t="s">
        <v>244</v>
      </c>
      <c r="F7" s="69" t="n">
        <v>79</v>
      </c>
      <c r="G7" s="62" t="s">
        <v>245</v>
      </c>
      <c r="I7" s="82" t="s">
        <v>71</v>
      </c>
      <c r="J7" s="83" t="s">
        <v>29</v>
      </c>
      <c r="L7" s="82" t="s">
        <v>77</v>
      </c>
      <c r="N7" s="82" t="s">
        <v>246</v>
      </c>
    </row>
    <row r="8" customFormat="false" ht="15.75" hidden="false" customHeight="true" outlineLevel="0" collapsed="false">
      <c r="A8" s="81" t="s">
        <v>91</v>
      </c>
      <c r="B8" s="63" t="s">
        <v>247</v>
      </c>
      <c r="C8" s="62" t="s">
        <v>243</v>
      </c>
      <c r="D8" s="62" t="n">
        <v>1</v>
      </c>
      <c r="E8" s="63" t="s">
        <v>248</v>
      </c>
      <c r="F8" s="69" t="n">
        <v>89</v>
      </c>
      <c r="G8" s="62" t="s">
        <v>245</v>
      </c>
      <c r="I8" s="84" t="s">
        <v>114</v>
      </c>
      <c r="J8" s="85" t="s">
        <v>32</v>
      </c>
      <c r="L8" s="84" t="s">
        <v>131</v>
      </c>
      <c r="N8" s="84" t="s">
        <v>249</v>
      </c>
    </row>
    <row r="9" customFormat="false" ht="15.75" hidden="false" customHeight="true" outlineLevel="0" collapsed="false">
      <c r="A9" s="81" t="s">
        <v>69</v>
      </c>
      <c r="B9" s="63" t="s">
        <v>250</v>
      </c>
      <c r="C9" s="62" t="s">
        <v>243</v>
      </c>
      <c r="D9" s="62" t="n">
        <v>2</v>
      </c>
      <c r="E9" s="63" t="s">
        <v>244</v>
      </c>
      <c r="F9" s="69" t="n">
        <v>109</v>
      </c>
      <c r="G9" s="62" t="s">
        <v>245</v>
      </c>
      <c r="I9" s="82" t="s">
        <v>151</v>
      </c>
      <c r="J9" s="83" t="s">
        <v>35</v>
      </c>
      <c r="L9" s="82" t="s">
        <v>81</v>
      </c>
      <c r="N9" s="82" t="s">
        <v>251</v>
      </c>
    </row>
    <row r="10" customFormat="false" ht="15.75" hidden="false" customHeight="true" outlineLevel="0" collapsed="false">
      <c r="A10" s="81" t="s">
        <v>79</v>
      </c>
      <c r="B10" s="63" t="s">
        <v>250</v>
      </c>
      <c r="C10" s="62" t="s">
        <v>252</v>
      </c>
      <c r="D10" s="62" t="n">
        <v>2</v>
      </c>
      <c r="E10" s="63" t="s">
        <v>244</v>
      </c>
      <c r="F10" s="69" t="n">
        <v>109</v>
      </c>
      <c r="G10" s="62" t="s">
        <v>245</v>
      </c>
      <c r="I10" s="84" t="s">
        <v>127</v>
      </c>
      <c r="J10" s="85"/>
      <c r="L10" s="84" t="s">
        <v>100</v>
      </c>
      <c r="N10" s="84" t="s">
        <v>253</v>
      </c>
    </row>
    <row r="11" customFormat="false" ht="15.75" hidden="false" customHeight="true" outlineLevel="0" collapsed="false">
      <c r="A11" s="81" t="s">
        <v>83</v>
      </c>
      <c r="B11" s="63" t="s">
        <v>254</v>
      </c>
      <c r="C11" s="62" t="s">
        <v>252</v>
      </c>
      <c r="D11" s="62" t="n">
        <v>2</v>
      </c>
      <c r="E11" s="63" t="s">
        <v>255</v>
      </c>
      <c r="F11" s="69" t="n">
        <v>129</v>
      </c>
      <c r="G11" s="62" t="s">
        <v>245</v>
      </c>
      <c r="L11" s="82" t="s">
        <v>135</v>
      </c>
      <c r="N11" s="82" t="s">
        <v>256</v>
      </c>
    </row>
    <row r="12" customFormat="false" ht="15.75" hidden="false" customHeight="true" outlineLevel="0" collapsed="false">
      <c r="A12" s="81" t="s">
        <v>75</v>
      </c>
      <c r="B12" s="63" t="s">
        <v>254</v>
      </c>
      <c r="C12" s="62" t="s">
        <v>252</v>
      </c>
      <c r="D12" s="62" t="n">
        <v>2</v>
      </c>
      <c r="E12" s="63" t="s">
        <v>255</v>
      </c>
      <c r="F12" s="69" t="n">
        <v>129</v>
      </c>
      <c r="G12" s="62" t="s">
        <v>245</v>
      </c>
      <c r="L12" s="84" t="s">
        <v>72</v>
      </c>
      <c r="N12" s="84" t="s">
        <v>257</v>
      </c>
    </row>
    <row r="13" customFormat="false" ht="15.75" hidden="false" customHeight="true" outlineLevel="0" collapsed="false">
      <c r="A13" s="81" t="s">
        <v>87</v>
      </c>
      <c r="B13" s="63" t="s">
        <v>258</v>
      </c>
      <c r="C13" s="62" t="s">
        <v>252</v>
      </c>
      <c r="D13" s="62" t="n">
        <v>3</v>
      </c>
      <c r="E13" s="63" t="s">
        <v>259</v>
      </c>
      <c r="F13" s="69" t="n">
        <v>145</v>
      </c>
      <c r="G13" s="62" t="s">
        <v>245</v>
      </c>
      <c r="L13" s="82" t="s">
        <v>89</v>
      </c>
      <c r="N13" s="82" t="s">
        <v>4</v>
      </c>
    </row>
    <row r="14" customFormat="false" ht="15.75" hidden="false" customHeight="true" outlineLevel="0" collapsed="false">
      <c r="A14" s="81" t="s">
        <v>112</v>
      </c>
      <c r="B14" s="63" t="s">
        <v>260</v>
      </c>
      <c r="C14" s="62" t="s">
        <v>261</v>
      </c>
      <c r="D14" s="62" t="n">
        <v>4</v>
      </c>
      <c r="E14" s="63" t="s">
        <v>262</v>
      </c>
      <c r="F14" s="69" t="n">
        <v>169</v>
      </c>
      <c r="G14" s="62" t="s">
        <v>245</v>
      </c>
      <c r="N14" s="84" t="s">
        <v>263</v>
      </c>
    </row>
    <row r="15" customFormat="false" ht="15.75" hidden="false" customHeight="true" outlineLevel="0" collapsed="false">
      <c r="A15" s="81" t="s">
        <v>94</v>
      </c>
      <c r="B15" s="63" t="s">
        <v>260</v>
      </c>
      <c r="C15" s="62" t="s">
        <v>261</v>
      </c>
      <c r="D15" s="62" t="n">
        <v>4</v>
      </c>
      <c r="E15" s="63" t="s">
        <v>262</v>
      </c>
      <c r="F15" s="69" t="n">
        <v>169</v>
      </c>
      <c r="G15" s="62" t="s">
        <v>245</v>
      </c>
      <c r="N15" s="82" t="s">
        <v>264</v>
      </c>
    </row>
    <row r="16" customFormat="false" ht="15.75" hidden="false" customHeight="true" outlineLevel="0" collapsed="false">
      <c r="A16" s="81" t="s">
        <v>98</v>
      </c>
      <c r="B16" s="63" t="s">
        <v>265</v>
      </c>
      <c r="C16" s="62" t="s">
        <v>261</v>
      </c>
      <c r="D16" s="62" t="n">
        <v>4</v>
      </c>
      <c r="E16" s="63" t="s">
        <v>266</v>
      </c>
      <c r="F16" s="69" t="n">
        <v>189</v>
      </c>
      <c r="G16" s="62" t="s">
        <v>245</v>
      </c>
      <c r="N16" s="84" t="s">
        <v>267</v>
      </c>
    </row>
    <row r="17" customFormat="false" ht="15.75" hidden="false" customHeight="true" outlineLevel="0" collapsed="false">
      <c r="A17" s="81" t="s">
        <v>117</v>
      </c>
      <c r="B17" s="63" t="s">
        <v>268</v>
      </c>
      <c r="C17" s="62" t="s">
        <v>261</v>
      </c>
      <c r="D17" s="62" t="n">
        <v>2</v>
      </c>
      <c r="E17" s="63" t="s">
        <v>269</v>
      </c>
      <c r="F17" s="69" t="n">
        <v>209</v>
      </c>
      <c r="G17" s="62" t="s">
        <v>245</v>
      </c>
      <c r="N17" s="82" t="s">
        <v>270</v>
      </c>
    </row>
    <row r="18" customFormat="false" ht="15.75" hidden="false" customHeight="true" outlineLevel="0" collapsed="false">
      <c r="A18" s="81" t="s">
        <v>102</v>
      </c>
      <c r="B18" s="63" t="s">
        <v>271</v>
      </c>
      <c r="C18" s="62" t="s">
        <v>243</v>
      </c>
      <c r="D18" s="62" t="n">
        <v>2</v>
      </c>
      <c r="E18" s="63" t="s">
        <v>272</v>
      </c>
      <c r="F18" s="69" t="n">
        <v>119</v>
      </c>
      <c r="G18" s="62" t="s">
        <v>245</v>
      </c>
      <c r="N18" s="84" t="s">
        <v>273</v>
      </c>
    </row>
    <row r="20" customFormat="false" ht="15.75" hidden="false" customHeight="true" outlineLevel="0" collapsed="false">
      <c r="A20" s="86" t="s">
        <v>274</v>
      </c>
      <c r="B20" s="86"/>
      <c r="C20" s="86"/>
      <c r="D20" s="87" t="n">
        <f aca="false">SUM($D$7:$D$18)</f>
        <v>29</v>
      </c>
      <c r="E20" s="88" t="s">
        <v>275</v>
      </c>
    </row>
    <row r="22" customFormat="false" ht="18" hidden="false" customHeight="true" outlineLevel="0" collapsed="false">
      <c r="A22" s="43" t="s">
        <v>276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customFormat="false" ht="25.5" hidden="false" customHeight="true" outlineLevel="0" collapsed="false">
      <c r="A23" s="89" t="s">
        <v>277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</row>
    <row r="24" customFormat="false" ht="25.5" hidden="false" customHeight="true" outlineLevel="0" collapsed="false">
      <c r="A24" s="89" t="s">
        <v>278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</row>
    <row r="25" customFormat="false" ht="25.5" hidden="false" customHeight="true" outlineLevel="0" collapsed="false">
      <c r="A25" s="89" t="s">
        <v>279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  <row r="26" customFormat="false" ht="25.5" hidden="false" customHeight="true" outlineLevel="0" collapsed="false">
      <c r="A26" s="89" t="s">
        <v>280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</row>
  </sheetData>
  <mergeCells count="8">
    <mergeCell ref="A2:G2"/>
    <mergeCell ref="A3:G3"/>
    <mergeCell ref="A20:C20"/>
    <mergeCell ref="A22:N22"/>
    <mergeCell ref="A23:N23"/>
    <mergeCell ref="A24:N24"/>
    <mergeCell ref="A25:N25"/>
    <mergeCell ref="A26:N26"/>
  </mergeCells>
  <dataValidations count="1">
    <dataValidation allowBlank="true" errorStyle="stop" operator="between" showDropDown="false" showErrorMessage="false" showInputMessage="false" sqref="G7:G18" type="list">
      <formula1>"Ja,Nein"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2026-07-23T11:14:30Z</dcterms:created>
  <dc:creator>Vorlage</dc:creator>
  <dc:description/>
  <dc:language>en-US</dc:language>
  <cp:lastModifiedBy/>
  <dcterms:modified xsi:type="dcterms:W3CDTF">2026-07-23T11:14:30Z</dcterms:modified>
  <cp:revision>0</cp:revision>
  <dc:subject/>
  <dc:title>Zimmerbelegungsplan Vorlage 2026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