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Übersicht &amp; Eingaben" sheetId="1" state="visible" r:id="rId3"/>
    <sheet name="Tilgungsplan" sheetId="2" state="visible" r:id="rId4"/>
  </sheets>
  <definedNames>
    <definedName function="false" hidden="false" localSheetId="1" name="_xlnm.Print_Titles" vbProcedure="false">Tilgungsplan!$1:$9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<sst xmlns="http://schemas.openxmlformats.org/spreadsheetml/2006/main" count="42" uniqueCount="42">
  <si>
    <t xml:space="preserve">ANNUITÄTENDARLEHEN</t>
  </si>
  <si>
    <t xml:space="preserve">Tilgungsrechner &amp; Finanzierungsübersicht   ·   Kalkulationsjahr 2026</t>
  </si>
  <si>
    <t xml:space="preserve">1  DARLEHENSPARAMETER</t>
  </si>
  <si>
    <t xml:space="preserve">2  ERGEBNISSE AUF EINEN BLICK</t>
  </si>
  <si>
    <t xml:space="preserve">Darlehensbetrag</t>
  </si>
  <si>
    <t xml:space="preserve">Monatliche Annuität</t>
  </si>
  <si>
    <t xml:space="preserve">Sollzinssatz p. a.</t>
  </si>
  <si>
    <t xml:space="preserve">Zinsanteil erste Rate</t>
  </si>
  <si>
    <t xml:space="preserve">Anfängliche Tilgung p. a.</t>
  </si>
  <si>
    <t xml:space="preserve">Tilgungsanteil erste Rate</t>
  </si>
  <si>
    <t xml:space="preserve">Zinsbindung (Jahre)</t>
  </si>
  <si>
    <t xml:space="preserve">Restschuld nach Zinsbindung</t>
  </si>
  <si>
    <t xml:space="preserve">Laufzeit gesamt (Jahre, max.)</t>
  </si>
  <si>
    <t xml:space="preserve">Gezahlte Zinsen (Zinsbindung)</t>
  </si>
  <si>
    <t xml:space="preserve">Auszahlungsdatum</t>
  </si>
  <si>
    <t xml:space="preserve">Gezahlte Zinsen (Gesamtlaufzeit)</t>
  </si>
  <si>
    <t xml:space="preserve">Jährliche Sondertilgung</t>
  </si>
  <si>
    <t xml:space="preserve">Voraussichtliches Ende (Volltilgung)</t>
  </si>
  <si>
    <t xml:space="preserve">3  FINANZIERUNGSKENNZAHLEN</t>
  </si>
  <si>
    <t xml:space="preserve">Gesamtzahlung (Kapital + Zinsen)</t>
  </si>
  <si>
    <t xml:space="preserve">Zinsaufwand gesamt</t>
  </si>
  <si>
    <t xml:space="preserve">4  HINWEISE ZUR NUTZUNG</t>
  </si>
  <si>
    <t xml:space="preserve">•  Nur gelb hinterlegte Felder ausfüllen — Alle übrigen Werte berechnen sich automatisch aus Ihren Eingaben.</t>
  </si>
  <si>
    <t xml:space="preserve">•  Sollzinsbindung — Nach Ablauf ist die verbleibende Restschuld über eine Anschlussfinanzierung neu zu vereinbaren.</t>
  </si>
  <si>
    <t xml:space="preserve">•  Jährliche Sondertilgung — Wird jeweils im Dezember eines Jahres angerechnet, sofern eingetragen (0 = keine Sondertilgung).</t>
  </si>
  <si>
    <t xml:space="preserve">•  Laufzeit gesamt — Legt die maximale Länge des Tilgungsplans fest. Der Kredit wird ggf. früher vollständig getilgt.</t>
  </si>
  <si>
    <t xml:space="preserve">•  Rundung — Beträge werden auf zwei Nachkommastellen gerundet. Kleine Rundungsdifferenzen sind möglich.</t>
  </si>
  <si>
    <t xml:space="preserve">Farbcode</t>
  </si>
  <si>
    <t xml:space="preserve">Eingabefeld</t>
  </si>
  <si>
    <t xml:space="preserve">Berechnetes Ergebnis</t>
  </si>
  <si>
    <t xml:space="preserve">TILGUNGSPLAN</t>
  </si>
  <si>
    <t xml:space="preserve">Monatliche Fortschreibung von Rate, Zins, Tilgung und Restschuld</t>
  </si>
  <si>
    <t xml:space="preserve">Startkapital</t>
  </si>
  <si>
    <t xml:space="preserve">Monatliche Rate</t>
  </si>
  <si>
    <t xml:space="preserve">Nr.</t>
  </si>
  <si>
    <t xml:space="preserve">Fälligkeit</t>
  </si>
  <si>
    <t xml:space="preserve">Jahr</t>
  </si>
  <si>
    <t xml:space="preserve">Rate</t>
  </si>
  <si>
    <t xml:space="preserve">Zinsanteil</t>
  </si>
  <si>
    <t xml:space="preserve">Tilgungsanteil</t>
  </si>
  <si>
    <t xml:space="preserve">Sondertilgung</t>
  </si>
  <si>
    <t xml:space="preserve">Restschuld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</si>
</sst>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#,##0.00&quot; €&quot;"/>
    <numFmt numFmtId="166" formatCode="0.000%"/>
    <numFmt numFmtId="167" formatCode="0&quot; Jahre&quot;"/>
    <numFmt numFmtId="168" formatCode="dd\.mm\.yyyy"/>
    <numFmt numFmtId="169" formatCode="General"/>
    <numFmt numFmtId="170" formatCode="0"/>
    <numFmt numFmtId="171" formatCode="#,##0.00&quot; €&quot;;;\-"/>
  </numFmts>
  <fonts count="18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2"/>
      <color rgb="FFFFFFFF"/>
      <name val="Calibri"/>
      <family val="0"/>
      <charset val="1"/>
    </font>
    <font>
      <i val="true"/>
      <sz val="11"/>
      <color rgb="FFFFFFFF"/>
      <name val="Calibri"/>
      <family val="0"/>
      <charset val="1"/>
    </font>
    <font>
      <b val="true"/>
      <sz val="12"/>
      <color rgb="FFFFFFFF"/>
      <name val="Calibri"/>
      <family val="0"/>
      <charset val="1"/>
    </font>
    <font>
      <sz val="11"/>
      <color rgb="FF1C1C1C"/>
      <name val="Calibri"/>
      <family val="0"/>
      <charset val="1"/>
    </font>
    <font>
      <b val="true"/>
      <sz val="11"/>
      <color rgb="FF0033A0"/>
      <name val="Calibri"/>
      <family val="0"/>
      <charset val="1"/>
    </font>
    <font>
      <b val="true"/>
      <sz val="11"/>
      <color rgb="FF1C1C1C"/>
      <name val="Calibri"/>
      <family val="0"/>
      <charset val="1"/>
    </font>
    <font>
      <b val="true"/>
      <sz val="10"/>
      <color rgb="FF2E5A87"/>
      <name val="Calibri"/>
      <family val="0"/>
      <charset val="1"/>
    </font>
    <font>
      <b val="true"/>
      <sz val="18"/>
      <color rgb="FF1F3A5F"/>
      <name val="Calibri"/>
      <family val="0"/>
      <charset val="1"/>
    </font>
    <font>
      <sz val="10"/>
      <color rgb="FF1C1C1C"/>
      <name val="Calibri"/>
      <family val="0"/>
      <charset val="1"/>
    </font>
    <font>
      <b val="true"/>
      <sz val="10"/>
      <color rgb="FF0033A0"/>
      <name val="Calibri"/>
      <family val="0"/>
      <charset val="1"/>
    </font>
    <font>
      <b val="true"/>
      <sz val="10"/>
      <color rgb="FF1C1C1C"/>
      <name val="Calibri"/>
      <family val="0"/>
      <charset val="1"/>
    </font>
    <font>
      <b val="true"/>
      <sz val="20"/>
      <color rgb="FFFFFFFF"/>
      <name val="Calibri"/>
      <family val="0"/>
      <charset val="1"/>
    </font>
    <font>
      <b val="true"/>
      <sz val="11"/>
      <color rgb="FFFFFFFF"/>
      <name val="Calibri"/>
      <family val="0"/>
      <charset val="1"/>
    </font>
    <font>
      <sz val="10"/>
      <color rgb="FF005A2B"/>
      <name val="Calibri"/>
      <family val="0"/>
      <charset val="1"/>
    </font>
  </fonts>
  <fills count="8">
    <fill>
      <patternFill patternType="none"/>
    </fill>
    <fill>
      <patternFill patternType="gray125"/>
    </fill>
    <fill>
      <patternFill patternType="solid">
        <fgColor rgb="FF1F3A5F"/>
        <bgColor rgb="FF0033A0"/>
      </patternFill>
    </fill>
    <fill>
      <patternFill patternType="solid">
        <fgColor rgb="FF2E5A87"/>
        <bgColor rgb="FF1F3A5F"/>
      </patternFill>
    </fill>
    <fill>
      <patternFill patternType="solid">
        <fgColor rgb="FFF4F6F8"/>
        <bgColor rgb="FFFFFFFF"/>
      </patternFill>
    </fill>
    <fill>
      <patternFill patternType="solid">
        <fgColor rgb="FFFFF2CC"/>
        <bgColor rgb="FFF4F6F8"/>
      </patternFill>
    </fill>
    <fill>
      <patternFill patternType="solid">
        <fgColor rgb="FFD9E4F1"/>
        <bgColor rgb="FFF4F6F8"/>
      </patternFill>
    </fill>
    <fill>
      <patternFill patternType="solid">
        <fgColor rgb="FFFFFFFF"/>
        <bgColor rgb="FFF4F6F8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left" vertical="center" textRotation="0" wrapText="false" indent="2" shrinkToFit="false"/>
      <protection locked="true" hidden="false"/>
    </xf>
    <xf numFmtId="164" fontId="5" fillId="2" borderId="0" xfId="0" applyFont="true" applyBorder="true" applyAlignment="true" applyProtection="false">
      <alignment horizontal="left" vertical="center" textRotation="0" wrapText="false" indent="2" shrinkToFit="false"/>
      <protection locked="true" hidden="false"/>
    </xf>
    <xf numFmtId="164" fontId="6" fillId="3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7" fillId="4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5" fontId="8" fillId="5" borderId="1" xfId="0" applyFont="true" applyBorder="true" applyAlignment="true" applyProtection="false">
      <alignment horizontal="right" vertical="center" textRotation="0" wrapText="false" indent="1" shrinkToFit="false"/>
      <protection locked="true" hidden="false"/>
    </xf>
    <xf numFmtId="165" fontId="9" fillId="6" borderId="1" xfId="0" applyFont="true" applyBorder="true" applyAlignment="true" applyProtection="false">
      <alignment horizontal="right" vertical="center" textRotation="0" wrapText="false" indent="1" shrinkToFit="false"/>
      <protection locked="true" hidden="false"/>
    </xf>
    <xf numFmtId="166" fontId="8" fillId="5" borderId="1" xfId="0" applyFont="true" applyBorder="true" applyAlignment="true" applyProtection="false">
      <alignment horizontal="right" vertical="center" textRotation="0" wrapText="false" indent="1" shrinkToFit="false"/>
      <protection locked="true" hidden="false"/>
    </xf>
    <xf numFmtId="167" fontId="8" fillId="5" borderId="1" xfId="0" applyFont="true" applyBorder="true" applyAlignment="true" applyProtection="false">
      <alignment horizontal="right" vertical="center" textRotation="0" wrapText="false" indent="1" shrinkToFit="false"/>
      <protection locked="true" hidden="false"/>
    </xf>
    <xf numFmtId="168" fontId="8" fillId="5" borderId="1" xfId="0" applyFont="true" applyBorder="true" applyAlignment="true" applyProtection="false">
      <alignment horizontal="right" vertical="center" textRotation="0" wrapText="false" indent="1" shrinkToFit="false"/>
      <protection locked="true" hidden="false"/>
    </xf>
    <xf numFmtId="168" fontId="9" fillId="6" borderId="1" xfId="0" applyFont="true" applyBorder="true" applyAlignment="true" applyProtection="false">
      <alignment horizontal="right" vertical="center" textRotation="0" wrapText="false" indent="1" shrinkToFit="false"/>
      <protection locked="true" hidden="false"/>
    </xf>
    <xf numFmtId="164" fontId="10" fillId="6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5" fontId="11" fillId="7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2" fillId="4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2" fillId="7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center" textRotation="0" wrapText="false" indent="1" shrinkToFit="false"/>
      <protection locked="true" hidden="false"/>
    </xf>
    <xf numFmtId="164" fontId="13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2" borderId="0" xfId="0" applyFont="true" applyBorder="true" applyAlignment="true" applyProtection="false">
      <alignment horizontal="left" vertical="center" textRotation="0" wrapText="false" indent="2" shrinkToFit="false"/>
      <protection locked="true" hidden="false"/>
    </xf>
    <xf numFmtId="164" fontId="10" fillId="6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5" fontId="9" fillId="6" borderId="0" xfId="0" applyFont="true" applyBorder="true" applyAlignment="true" applyProtection="false">
      <alignment horizontal="right" vertical="center" textRotation="0" wrapText="false" indent="1" shrinkToFit="false"/>
      <protection locked="true" hidden="false"/>
    </xf>
    <xf numFmtId="165" fontId="9" fillId="6" borderId="0" xfId="0" applyFont="true" applyBorder="false" applyAlignment="true" applyProtection="false">
      <alignment horizontal="right" vertical="center" textRotation="0" wrapText="false" indent="1" shrinkToFit="false"/>
      <protection locked="true" hidden="false"/>
    </xf>
    <xf numFmtId="164" fontId="16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12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2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12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2" fillId="4" borderId="1" xfId="0" applyFont="true" applyBorder="true" applyAlignment="true" applyProtection="false">
      <alignment horizontal="right" vertical="center" textRotation="0" wrapText="false" indent="1" shrinkToFit="false"/>
      <protection locked="true" hidden="false"/>
    </xf>
    <xf numFmtId="171" fontId="17" fillId="4" borderId="1" xfId="0" applyFont="true" applyBorder="true" applyAlignment="true" applyProtection="false">
      <alignment horizontal="right" vertical="center" textRotation="0" wrapText="false" indent="1" shrinkToFit="false"/>
      <protection locked="true" hidden="false"/>
    </xf>
    <xf numFmtId="165" fontId="14" fillId="4" borderId="1" xfId="0" applyFont="true" applyBorder="true" applyAlignment="true" applyProtection="false">
      <alignment horizontal="right" vertical="center" textRotation="0" wrapText="false" indent="1" shrinkToFit="false"/>
      <protection locked="true" hidden="false"/>
    </xf>
    <xf numFmtId="169" fontId="12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2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12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2" fillId="7" borderId="1" xfId="0" applyFont="true" applyBorder="true" applyAlignment="true" applyProtection="false">
      <alignment horizontal="right" vertical="center" textRotation="0" wrapText="false" indent="1" shrinkToFit="false"/>
      <protection locked="true" hidden="false"/>
    </xf>
    <xf numFmtId="171" fontId="17" fillId="7" borderId="1" xfId="0" applyFont="true" applyBorder="true" applyAlignment="true" applyProtection="false">
      <alignment horizontal="right" vertical="center" textRotation="0" wrapText="false" indent="1" shrinkToFit="false"/>
      <protection locked="true" hidden="false"/>
    </xf>
    <xf numFmtId="165" fontId="14" fillId="7" borderId="1" xfId="0" applyFont="true" applyBorder="true" applyAlignment="true" applyProtection="false">
      <alignment horizontal="right" vertical="center" textRotation="0" wrapText="false" indent="1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5A2B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2CC"/>
      <rgbColor rgb="FFF4F6F8"/>
      <rgbColor rgb="FF660066"/>
      <rgbColor rgb="FFFF8080"/>
      <rgbColor rgb="FF0066CC"/>
      <rgbColor rgb="FFD9E4F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2E5A87"/>
      <rgbColor rgb="FF969696"/>
      <rgbColor rgb="FF1F3A5F"/>
      <rgbColor rgb="FF339966"/>
      <rgbColor rgb="FF003300"/>
      <rgbColor rgb="FF333300"/>
      <rgbColor rgb="FF993300"/>
      <rgbColor rgb="FF993366"/>
      <rgbColor rgb="FF0033A0"/>
      <rgbColor rgb="FF1C1C1C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F28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"/>
    <col collapsed="false" customWidth="true" hidden="false" outlineLevel="0" max="2" min="2" style="0" width="34"/>
    <col collapsed="false" customWidth="true" hidden="false" outlineLevel="0" max="3" min="3" style="0" width="22"/>
    <col collapsed="false" customWidth="true" hidden="false" outlineLevel="0" max="4" min="4" style="0" width="4"/>
    <col collapsed="false" customWidth="true" hidden="false" outlineLevel="0" max="5" min="5" style="0" width="34"/>
    <col collapsed="false" customWidth="true" hidden="false" outlineLevel="0" max="6" min="6" style="0" width="22"/>
    <col collapsed="false" customWidth="true" hidden="false" outlineLevel="0" max="7" min="7" style="0" width="2"/>
  </cols>
  <sheetData>
    <row r="1" customFormat="false" ht="7.5" hidden="false" customHeight="true" outlineLevel="0" collapsed="false"/>
    <row r="2" customFormat="false" ht="37.5" hidden="false" customHeight="true" outlineLevel="0" collapsed="false">
      <c r="B2" s="1" t="s">
        <v>0</v>
      </c>
      <c r="C2" s="1"/>
      <c r="D2" s="1"/>
      <c r="E2" s="1"/>
      <c r="F2" s="1"/>
    </row>
    <row r="3" customFormat="false" ht="21.75" hidden="false" customHeight="true" outlineLevel="0" collapsed="false">
      <c r="B3" s="2" t="s">
        <v>1</v>
      </c>
      <c r="C3" s="2"/>
      <c r="D3" s="2"/>
      <c r="E3" s="2"/>
      <c r="F3" s="2"/>
    </row>
    <row r="4" customFormat="false" ht="7.5" hidden="false" customHeight="true" outlineLevel="0" collapsed="false"/>
    <row r="5" customFormat="false" ht="24" hidden="false" customHeight="true" outlineLevel="0" collapsed="false">
      <c r="B5" s="3" t="s">
        <v>2</v>
      </c>
      <c r="C5" s="3"/>
      <c r="E5" s="3" t="s">
        <v>3</v>
      </c>
      <c r="F5" s="3"/>
    </row>
    <row r="7" customFormat="false" ht="21.75" hidden="false" customHeight="true" outlineLevel="0" collapsed="false">
      <c r="B7" s="4" t="s">
        <v>4</v>
      </c>
      <c r="C7" s="5" t="n">
        <v>250000</v>
      </c>
      <c r="E7" s="4" t="s">
        <v>5</v>
      </c>
      <c r="F7" s="6" t="n">
        <f aca="false">'Übersicht &amp; Eingaben'!$C$7*('Übersicht &amp; Eingaben'!$C$8+'Übersicht &amp; Eingaben'!$C$9)/12</f>
        <v>1312.5</v>
      </c>
    </row>
    <row r="8" customFormat="false" ht="21.75" hidden="false" customHeight="true" outlineLevel="0" collapsed="false">
      <c r="B8" s="4" t="s">
        <v>6</v>
      </c>
      <c r="C8" s="7" t="n">
        <v>0.038</v>
      </c>
      <c r="E8" s="4" t="s">
        <v>7</v>
      </c>
      <c r="F8" s="6" t="n">
        <f aca="false">'Übersicht &amp; Eingaben'!$C$7*'Übersicht &amp; Eingaben'!$C$8/12</f>
        <v>791.666666666667</v>
      </c>
    </row>
    <row r="9" customFormat="false" ht="21.75" hidden="false" customHeight="true" outlineLevel="0" collapsed="false">
      <c r="B9" s="4" t="s">
        <v>8</v>
      </c>
      <c r="C9" s="7" t="n">
        <v>0.025</v>
      </c>
      <c r="E9" s="4" t="s">
        <v>9</v>
      </c>
      <c r="F9" s="6" t="n">
        <f aca="false">'Übersicht &amp; Eingaben'!$C$7*'Übersicht &amp; Eingaben'!$C$9/12</f>
        <v>520.833333333333</v>
      </c>
    </row>
    <row r="10" customFormat="false" ht="21.75" hidden="false" customHeight="true" outlineLevel="0" collapsed="false">
      <c r="B10" s="4" t="s">
        <v>10</v>
      </c>
      <c r="C10" s="8" t="n">
        <v>10</v>
      </c>
      <c r="E10" s="4" t="s">
        <v>11</v>
      </c>
      <c r="F10" s="6" t="n">
        <f aca="false">IFERROR(INDEX(Tilgungsplan!$H$10:$H$369,'Übersicht &amp; Eingaben'!$C$10*12),0)</f>
        <v>174110.707562369</v>
      </c>
    </row>
    <row r="11" customFormat="false" ht="21.75" hidden="false" customHeight="true" outlineLevel="0" collapsed="false">
      <c r="B11" s="4" t="s">
        <v>12</v>
      </c>
      <c r="C11" s="8" t="n">
        <v>30</v>
      </c>
      <c r="E11" s="4" t="s">
        <v>13</v>
      </c>
      <c r="F11" s="6" t="n">
        <f aca="false">SUMPRODUCT((Tilgungsplan!$A$10:$A$369&lt;='Übersicht &amp; Eingaben'!$C$10*12)*Tilgungsplan!$E$10:$E$369)</f>
        <v>81610.7075623693</v>
      </c>
    </row>
    <row r="12" customFormat="false" ht="21.75" hidden="false" customHeight="true" outlineLevel="0" collapsed="false">
      <c r="B12" s="4" t="s">
        <v>14</v>
      </c>
      <c r="C12" s="9" t="n">
        <v>46023</v>
      </c>
      <c r="E12" s="4" t="s">
        <v>15</v>
      </c>
      <c r="F12" s="6" t="n">
        <f aca="false">SUM(Tilgungsplan!$E$10:$E$369)</f>
        <v>133687.678375652</v>
      </c>
    </row>
    <row r="13" customFormat="false" ht="21.75" hidden="false" customHeight="true" outlineLevel="0" collapsed="false">
      <c r="B13" s="4" t="s">
        <v>16</v>
      </c>
      <c r="C13" s="5" t="n">
        <v>0</v>
      </c>
      <c r="E13" s="4" t="s">
        <v>17</v>
      </c>
      <c r="F13" s="10" t="n">
        <f aca="false">IFERROR(INDEX(Tilgungsplan!$B$10:$B$369,MATCH(TRUE(),INDEX(Tilgungsplan!$H$10:$H$369&lt;=0,0),0)),"nach Laufzeit offen")</f>
        <v>54909</v>
      </c>
    </row>
    <row r="15" customFormat="false" ht="24" hidden="false" customHeight="true" outlineLevel="0" collapsed="false">
      <c r="B15" s="3" t="s">
        <v>18</v>
      </c>
      <c r="C15" s="3"/>
      <c r="D15" s="3"/>
      <c r="E15" s="3"/>
      <c r="F15" s="3"/>
    </row>
    <row r="16" customFormat="false" ht="7.5" hidden="false" customHeight="true" outlineLevel="0" collapsed="false"/>
    <row r="17" customFormat="false" ht="30" hidden="false" customHeight="true" outlineLevel="0" collapsed="false">
      <c r="B17" s="11" t="s">
        <v>19</v>
      </c>
      <c r="C17" s="11"/>
      <c r="E17" s="11" t="s">
        <v>20</v>
      </c>
      <c r="F17" s="11"/>
    </row>
    <row r="18" customFormat="false" ht="33.75" hidden="false" customHeight="true" outlineLevel="0" collapsed="false">
      <c r="B18" s="12" t="n">
        <f aca="false">SUM(Tilgungsplan!$D$10:$D$369)+SUM(Tilgungsplan!$G$10:$G$369)</f>
        <v>383687.678375653</v>
      </c>
      <c r="C18" s="12"/>
      <c r="E18" s="12" t="n">
        <f aca="false">SUM(Tilgungsplan!$E$10:$E$369)</f>
        <v>133687.678375652</v>
      </c>
      <c r="F18" s="12"/>
    </row>
    <row r="19" customFormat="false" ht="7.5" hidden="false" customHeight="true" outlineLevel="0" collapsed="false"/>
    <row r="20" customFormat="false" ht="24" hidden="false" customHeight="true" outlineLevel="0" collapsed="false">
      <c r="B20" s="3" t="s">
        <v>21</v>
      </c>
      <c r="C20" s="3"/>
      <c r="D20" s="3"/>
      <c r="E20" s="3"/>
      <c r="F20" s="3"/>
    </row>
    <row r="22" customFormat="false" ht="19.5" hidden="false" customHeight="true" outlineLevel="0" collapsed="false">
      <c r="B22" s="13" t="s">
        <v>22</v>
      </c>
      <c r="C22" s="13"/>
      <c r="D22" s="13"/>
      <c r="E22" s="13"/>
      <c r="F22" s="13"/>
    </row>
    <row r="23" customFormat="false" ht="19.5" hidden="false" customHeight="true" outlineLevel="0" collapsed="false">
      <c r="B23" s="14" t="s">
        <v>23</v>
      </c>
      <c r="C23" s="14"/>
      <c r="D23" s="14"/>
      <c r="E23" s="14"/>
      <c r="F23" s="14"/>
    </row>
    <row r="24" customFormat="false" ht="19.5" hidden="false" customHeight="true" outlineLevel="0" collapsed="false">
      <c r="B24" s="13" t="s">
        <v>24</v>
      </c>
      <c r="C24" s="13"/>
      <c r="D24" s="13"/>
      <c r="E24" s="13"/>
      <c r="F24" s="13"/>
    </row>
    <row r="25" customFormat="false" ht="19.5" hidden="false" customHeight="true" outlineLevel="0" collapsed="false">
      <c r="B25" s="14" t="s">
        <v>25</v>
      </c>
      <c r="C25" s="14"/>
      <c r="D25" s="14"/>
      <c r="E25" s="14"/>
      <c r="F25" s="14"/>
    </row>
    <row r="26" customFormat="false" ht="19.5" hidden="false" customHeight="true" outlineLevel="0" collapsed="false">
      <c r="B26" s="13" t="s">
        <v>26</v>
      </c>
      <c r="C26" s="13"/>
      <c r="D26" s="13"/>
      <c r="E26" s="13"/>
      <c r="F26" s="13"/>
    </row>
    <row r="28" customFormat="false" ht="21.75" hidden="false" customHeight="true" outlineLevel="0" collapsed="false">
      <c r="B28" s="15" t="s">
        <v>27</v>
      </c>
      <c r="C28" s="16" t="s">
        <v>28</v>
      </c>
      <c r="E28" s="17" t="s">
        <v>29</v>
      </c>
    </row>
  </sheetData>
  <mergeCells count="15">
    <mergeCell ref="B2:F2"/>
    <mergeCell ref="B3:F3"/>
    <mergeCell ref="B5:C5"/>
    <mergeCell ref="E5:F5"/>
    <mergeCell ref="B15:F15"/>
    <mergeCell ref="B17:C17"/>
    <mergeCell ref="E17:F17"/>
    <mergeCell ref="B18:C18"/>
    <mergeCell ref="E18:F18"/>
    <mergeCell ref="B20:F20"/>
    <mergeCell ref="B22:F22"/>
    <mergeCell ref="B23:F23"/>
    <mergeCell ref="B24:F24"/>
    <mergeCell ref="B25:F25"/>
    <mergeCell ref="B26:F26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6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9" topLeftCell="C10" activePane="bottomRight" state="frozen"/>
      <selection pane="topLeft" activeCell="A1" activeCellId="0" sqref="A1"/>
      <selection pane="topRight" activeCell="C1" activeCellId="0" sqref="C1"/>
      <selection pane="bottomLeft" activeCell="A10" activeCellId="0" sqref="A10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0"/>
    <col collapsed="false" customWidth="true" hidden="false" outlineLevel="0" max="3" min="2" style="0" width="14"/>
    <col collapsed="false" customWidth="true" hidden="false" outlineLevel="0" max="7" min="4" style="0" width="16"/>
    <col collapsed="false" customWidth="true" hidden="false" outlineLevel="0" max="8" min="8" style="0" width="18"/>
    <col collapsed="false" customWidth="true" hidden="false" outlineLevel="0" max="9" min="9" style="0" width="2"/>
  </cols>
  <sheetData>
    <row r="1" customFormat="false" ht="7.5" hidden="false" customHeight="true" outlineLevel="0" collapsed="false"/>
    <row r="2" customFormat="false" ht="33.75" hidden="false" customHeight="true" outlineLevel="0" collapsed="false">
      <c r="A2" s="18" t="s">
        <v>30</v>
      </c>
      <c r="B2" s="18"/>
      <c r="C2" s="18"/>
      <c r="D2" s="18"/>
      <c r="E2" s="18"/>
      <c r="F2" s="18"/>
      <c r="G2" s="18"/>
      <c r="H2" s="18"/>
    </row>
    <row r="3" customFormat="false" ht="19.5" hidden="false" customHeight="true" outlineLevel="0" collapsed="false">
      <c r="A3" s="2" t="s">
        <v>31</v>
      </c>
      <c r="B3" s="2"/>
      <c r="C3" s="2"/>
      <c r="D3" s="2"/>
      <c r="E3" s="2"/>
      <c r="F3" s="2"/>
      <c r="G3" s="2"/>
      <c r="H3" s="2"/>
    </row>
    <row r="4" customFormat="false" ht="7.5" hidden="false" customHeight="true" outlineLevel="0" collapsed="false"/>
    <row r="5" customFormat="false" ht="21.75" hidden="false" customHeight="true" outlineLevel="0" collapsed="false">
      <c r="A5" s="19" t="s">
        <v>32</v>
      </c>
      <c r="B5" s="19"/>
      <c r="C5" s="19"/>
      <c r="D5" s="20" t="n">
        <f aca="false">'Übersicht &amp; Eingaben'!$C$7</f>
        <v>250000</v>
      </c>
      <c r="E5" s="20"/>
      <c r="F5" s="19" t="s">
        <v>33</v>
      </c>
      <c r="G5" s="19"/>
      <c r="H5" s="21" t="n">
        <f aca="false">'Übersicht &amp; Eingaben'!$C$7*('Übersicht &amp; Eingaben'!$C$8+'Übersicht &amp; Eingaben'!$C$9)/12</f>
        <v>1312.5</v>
      </c>
    </row>
    <row r="9" customFormat="false" ht="30" hidden="false" customHeight="true" outlineLevel="0" collapsed="false">
      <c r="A9" s="22" t="s">
        <v>34</v>
      </c>
      <c r="B9" s="22" t="s">
        <v>35</v>
      </c>
      <c r="C9" s="22" t="s">
        <v>36</v>
      </c>
      <c r="D9" s="22" t="s">
        <v>37</v>
      </c>
      <c r="E9" s="22" t="s">
        <v>38</v>
      </c>
      <c r="F9" s="22" t="s">
        <v>39</v>
      </c>
      <c r="G9" s="22" t="s">
        <v>40</v>
      </c>
      <c r="H9" s="22" t="s">
        <v>41</v>
      </c>
    </row>
    <row r="10" customFormat="false" ht="18" hidden="false" customHeight="true" outlineLevel="0" collapsed="false">
      <c r="A10" s="23" t="n">
        <f aca="false">IF('Übersicht &amp; Eingaben'!$C$7&lt;=0,"",1)</f>
        <v>1</v>
      </c>
      <c r="B10" s="24" t="n">
        <f aca="false">IF('Übersicht &amp; Eingaben'!$C$7&lt;=0,"",EDATE('Übersicht &amp; Eingaben'!$C$12,0))</f>
        <v>46023</v>
      </c>
      <c r="C10" s="25" t="n">
        <f aca="false">IF('Übersicht &amp; Eingaben'!$C$7&lt;=0,"",YEAR(B10))</f>
        <v>2026</v>
      </c>
      <c r="D10" s="26" t="n">
        <f aca="false">IF('Übersicht &amp; Eingaben'!$C$7&lt;=0,0,MIN('Übersicht &amp; Eingaben'!$C$7+('Übersicht &amp; Eingaben'!$C$7*'Übersicht &amp; Eingaben'!$C$8/12),('Übersicht &amp; Eingaben'!$C$7*('Übersicht &amp; Eingaben'!$C$8+'Übersicht &amp; Eingaben'!$C$9)/12)))</f>
        <v>1312.5</v>
      </c>
      <c r="E10" s="26" t="n">
        <f aca="false">IF('Übersicht &amp; Eingaben'!$C$7&lt;=0,0,('Übersicht &amp; Eingaben'!$C$7*'Übersicht &amp; Eingaben'!$C$8/12))</f>
        <v>791.666666666667</v>
      </c>
      <c r="F10" s="26" t="n">
        <f aca="false">D10-E10</f>
        <v>520.833333333333</v>
      </c>
      <c r="G10" s="27" t="n">
        <f aca="false">IF('Übersicht &amp; Eingaben'!$C$7&lt;=0,0,IF(MONTH(B10)=12,MIN('Übersicht &amp; Eingaben'!$C$13,'Übersicht &amp; Eingaben'!$C$7-F10),0))</f>
        <v>0</v>
      </c>
      <c r="H10" s="28" t="n">
        <f aca="false">MAX('Übersicht &amp; Eingaben'!$C$7-F10-G10,0)</f>
        <v>249479.166666667</v>
      </c>
    </row>
    <row r="11" customFormat="false" ht="18" hidden="false" customHeight="true" outlineLevel="0" collapsed="false">
      <c r="A11" s="29" t="n">
        <f aca="false">IF($H$10&lt;=0,"",2)</f>
        <v>2</v>
      </c>
      <c r="B11" s="30" t="n">
        <f aca="false">IF($H$10&lt;=0,"",EDATE('Übersicht &amp; Eingaben'!$C$12,1))</f>
        <v>46054</v>
      </c>
      <c r="C11" s="31" t="n">
        <f aca="false">IF($H$10&lt;=0,"",YEAR(B11))</f>
        <v>2026</v>
      </c>
      <c r="D11" s="32" t="n">
        <f aca="false">IF($H$10&lt;=0,0,MIN($H$10+($H$10*'Übersicht &amp; Eingaben'!$C$8/12),('Übersicht &amp; Eingaben'!$C$7*('Übersicht &amp; Eingaben'!$C$8+'Übersicht &amp; Eingaben'!$C$9)/12)))</f>
        <v>1312.5</v>
      </c>
      <c r="E11" s="32" t="n">
        <f aca="false">IF($H$10&lt;=0,0,($H$10*'Übersicht &amp; Eingaben'!$C$8/12))</f>
        <v>790.017361111111</v>
      </c>
      <c r="F11" s="32" t="n">
        <f aca="false">D11-E11</f>
        <v>522.482638888889</v>
      </c>
      <c r="G11" s="33" t="n">
        <f aca="false">IF($H$10&lt;=0,0,IF(MONTH(B11)=12,MIN('Übersicht &amp; Eingaben'!$C$13,$H$10-F11),0))</f>
        <v>0</v>
      </c>
      <c r="H11" s="34" t="n">
        <f aca="false">MAX($H$10-F11-G11,0)</f>
        <v>248956.684027778</v>
      </c>
    </row>
    <row r="12" customFormat="false" ht="18" hidden="false" customHeight="true" outlineLevel="0" collapsed="false">
      <c r="A12" s="23" t="n">
        <f aca="false">IF($H$11&lt;=0,"",3)</f>
        <v>3</v>
      </c>
      <c r="B12" s="24" t="n">
        <f aca="false">IF($H$11&lt;=0,"",EDATE('Übersicht &amp; Eingaben'!$C$12,2))</f>
        <v>46082</v>
      </c>
      <c r="C12" s="25" t="n">
        <f aca="false">IF($H$11&lt;=0,"",YEAR(B12))</f>
        <v>2026</v>
      </c>
      <c r="D12" s="26" t="n">
        <f aca="false">IF($H$11&lt;=0,0,MIN($H$11+($H$11*'Übersicht &amp; Eingaben'!$C$8/12),('Übersicht &amp; Eingaben'!$C$7*('Übersicht &amp; Eingaben'!$C$8+'Übersicht &amp; Eingaben'!$C$9)/12)))</f>
        <v>1312.5</v>
      </c>
      <c r="E12" s="26" t="n">
        <f aca="false">IF($H$11&lt;=0,0,($H$11*'Übersicht &amp; Eingaben'!$C$8/12))</f>
        <v>788.36283275463</v>
      </c>
      <c r="F12" s="26" t="n">
        <f aca="false">D12-E12</f>
        <v>524.13716724537</v>
      </c>
      <c r="G12" s="27" t="n">
        <f aca="false">IF($H$11&lt;=0,0,IF(MONTH(B12)=12,MIN('Übersicht &amp; Eingaben'!$C$13,$H$11-F12),0))</f>
        <v>0</v>
      </c>
      <c r="H12" s="28" t="n">
        <f aca="false">MAX($H$11-F12-G12,0)</f>
        <v>248432.546860532</v>
      </c>
    </row>
    <row r="13" customFormat="false" ht="18" hidden="false" customHeight="true" outlineLevel="0" collapsed="false">
      <c r="A13" s="29" t="n">
        <f aca="false">IF($H$12&lt;=0,"",4)</f>
        <v>4</v>
      </c>
      <c r="B13" s="30" t="n">
        <f aca="false">IF($H$12&lt;=0,"",EDATE('Übersicht &amp; Eingaben'!$C$12,3))</f>
        <v>46113</v>
      </c>
      <c r="C13" s="31" t="n">
        <f aca="false">IF($H$12&lt;=0,"",YEAR(B13))</f>
        <v>2026</v>
      </c>
      <c r="D13" s="32" t="n">
        <f aca="false">IF($H$12&lt;=0,0,MIN($H$12+($H$12*'Übersicht &amp; Eingaben'!$C$8/12),('Übersicht &amp; Eingaben'!$C$7*('Übersicht &amp; Eingaben'!$C$8+'Übersicht &amp; Eingaben'!$C$9)/12)))</f>
        <v>1312.5</v>
      </c>
      <c r="E13" s="32" t="n">
        <f aca="false">IF($H$12&lt;=0,0,($H$12*'Übersicht &amp; Eingaben'!$C$8/12))</f>
        <v>786.703065058353</v>
      </c>
      <c r="F13" s="32" t="n">
        <f aca="false">D13-E13</f>
        <v>525.796934941648</v>
      </c>
      <c r="G13" s="33" t="n">
        <f aca="false">IF($H$12&lt;=0,0,IF(MONTH(B13)=12,MIN('Übersicht &amp; Eingaben'!$C$13,$H$12-F13),0))</f>
        <v>0</v>
      </c>
      <c r="H13" s="34" t="n">
        <f aca="false">MAX($H$12-F13-G13,0)</f>
        <v>247906.749925591</v>
      </c>
    </row>
    <row r="14" customFormat="false" ht="18" hidden="false" customHeight="true" outlineLevel="0" collapsed="false">
      <c r="A14" s="23" t="n">
        <f aca="false">IF($H$13&lt;=0,"",5)</f>
        <v>5</v>
      </c>
      <c r="B14" s="24" t="n">
        <f aca="false">IF($H$13&lt;=0,"",EDATE('Übersicht &amp; Eingaben'!$C$12,4))</f>
        <v>46143</v>
      </c>
      <c r="C14" s="25" t="n">
        <f aca="false">IF($H$13&lt;=0,"",YEAR(B14))</f>
        <v>2026</v>
      </c>
      <c r="D14" s="26" t="n">
        <f aca="false">IF($H$13&lt;=0,0,MIN($H$13+($H$13*'Übersicht &amp; Eingaben'!$C$8/12),('Übersicht &amp; Eingaben'!$C$7*('Übersicht &amp; Eingaben'!$C$8+'Übersicht &amp; Eingaben'!$C$9)/12)))</f>
        <v>1312.5</v>
      </c>
      <c r="E14" s="26" t="n">
        <f aca="false">IF($H$13&lt;=0,0,($H$13*'Übersicht &amp; Eingaben'!$C$8/12))</f>
        <v>785.038041431037</v>
      </c>
      <c r="F14" s="26" t="n">
        <f aca="false">D14-E14</f>
        <v>527.461958568963</v>
      </c>
      <c r="G14" s="27" t="n">
        <f aca="false">IF($H$13&lt;=0,0,IF(MONTH(B14)=12,MIN('Übersicht &amp; Eingaben'!$C$13,$H$13-F14),0))</f>
        <v>0</v>
      </c>
      <c r="H14" s="28" t="n">
        <f aca="false">MAX($H$13-F14-G14,0)</f>
        <v>247379.287967022</v>
      </c>
    </row>
    <row r="15" customFormat="false" ht="18" hidden="false" customHeight="true" outlineLevel="0" collapsed="false">
      <c r="A15" s="29" t="n">
        <f aca="false">IF($H$14&lt;=0,"",6)</f>
        <v>6</v>
      </c>
      <c r="B15" s="30" t="n">
        <f aca="false">IF($H$14&lt;=0,"",EDATE('Übersicht &amp; Eingaben'!$C$12,5))</f>
        <v>46174</v>
      </c>
      <c r="C15" s="31" t="n">
        <f aca="false">IF($H$14&lt;=0,"",YEAR(B15))</f>
        <v>2026</v>
      </c>
      <c r="D15" s="32" t="n">
        <f aca="false">IF($H$14&lt;=0,0,MIN($H$14+($H$14*'Übersicht &amp; Eingaben'!$C$8/12),('Übersicht &amp; Eingaben'!$C$7*('Übersicht &amp; Eingaben'!$C$8+'Übersicht &amp; Eingaben'!$C$9)/12)))</f>
        <v>1312.5</v>
      </c>
      <c r="E15" s="32" t="n">
        <f aca="false">IF($H$14&lt;=0,0,($H$14*'Übersicht &amp; Eingaben'!$C$8/12))</f>
        <v>783.367745228902</v>
      </c>
      <c r="F15" s="32" t="n">
        <f aca="false">D15-E15</f>
        <v>529.132254771098</v>
      </c>
      <c r="G15" s="33" t="n">
        <f aca="false">IF($H$14&lt;=0,0,IF(MONTH(B15)=12,MIN('Übersicht &amp; Eingaben'!$C$13,$H$14-F15),0))</f>
        <v>0</v>
      </c>
      <c r="H15" s="34" t="n">
        <f aca="false">MAX($H$14-F15-G15,0)</f>
        <v>246850.155712251</v>
      </c>
    </row>
    <row r="16" customFormat="false" ht="18" hidden="false" customHeight="true" outlineLevel="0" collapsed="false">
      <c r="A16" s="23" t="n">
        <f aca="false">IF($H$15&lt;=0,"",7)</f>
        <v>7</v>
      </c>
      <c r="B16" s="24" t="n">
        <f aca="false">IF($H$15&lt;=0,"",EDATE('Übersicht &amp; Eingaben'!$C$12,6))</f>
        <v>46204</v>
      </c>
      <c r="C16" s="25" t="n">
        <f aca="false">IF($H$15&lt;=0,"",YEAR(B16))</f>
        <v>2026</v>
      </c>
      <c r="D16" s="26" t="n">
        <f aca="false">IF($H$15&lt;=0,0,MIN($H$15+($H$15*'Übersicht &amp; Eingaben'!$C$8/12),('Übersicht &amp; Eingaben'!$C$7*('Übersicht &amp; Eingaben'!$C$8+'Übersicht &amp; Eingaben'!$C$9)/12)))</f>
        <v>1312.5</v>
      </c>
      <c r="E16" s="26" t="n">
        <f aca="false">IF($H$15&lt;=0,0,($H$15*'Übersicht &amp; Eingaben'!$C$8/12))</f>
        <v>781.692159755461</v>
      </c>
      <c r="F16" s="26" t="n">
        <f aca="false">D16-E16</f>
        <v>530.807840244539</v>
      </c>
      <c r="G16" s="27" t="n">
        <f aca="false">IF($H$15&lt;=0,0,IF(MONTH(B16)=12,MIN('Übersicht &amp; Eingaben'!$C$13,$H$15-F16),0))</f>
        <v>0</v>
      </c>
      <c r="H16" s="28" t="n">
        <f aca="false">MAX($H$15-F16-G16,0)</f>
        <v>246319.347872006</v>
      </c>
    </row>
    <row r="17" customFormat="false" ht="18" hidden="false" customHeight="true" outlineLevel="0" collapsed="false">
      <c r="A17" s="29" t="n">
        <f aca="false">IF($H$16&lt;=0,"",8)</f>
        <v>8</v>
      </c>
      <c r="B17" s="30" t="n">
        <f aca="false">IF($H$16&lt;=0,"",EDATE('Übersicht &amp; Eingaben'!$C$12,7))</f>
        <v>46235</v>
      </c>
      <c r="C17" s="31" t="n">
        <f aca="false">IF($H$16&lt;=0,"",YEAR(B17))</f>
        <v>2026</v>
      </c>
      <c r="D17" s="32" t="n">
        <f aca="false">IF($H$16&lt;=0,0,MIN($H$16+($H$16*'Übersicht &amp; Eingaben'!$C$8/12),('Übersicht &amp; Eingaben'!$C$7*('Übersicht &amp; Eingaben'!$C$8+'Übersicht &amp; Eingaben'!$C$9)/12)))</f>
        <v>1312.5</v>
      </c>
      <c r="E17" s="32" t="n">
        <f aca="false">IF($H$16&lt;=0,0,($H$16*'Übersicht &amp; Eingaben'!$C$8/12))</f>
        <v>780.011268261353</v>
      </c>
      <c r="F17" s="32" t="n">
        <f aca="false">D17-E17</f>
        <v>532.488731738647</v>
      </c>
      <c r="G17" s="33" t="n">
        <f aca="false">IF($H$16&lt;=0,0,IF(MONTH(B17)=12,MIN('Übersicht &amp; Eingaben'!$C$13,$H$16-F17),0))</f>
        <v>0</v>
      </c>
      <c r="H17" s="34" t="n">
        <f aca="false">MAX($H$16-F17-G17,0)</f>
        <v>245786.859140268</v>
      </c>
    </row>
    <row r="18" customFormat="false" ht="18" hidden="false" customHeight="true" outlineLevel="0" collapsed="false">
      <c r="A18" s="23" t="n">
        <f aca="false">IF($H$17&lt;=0,"",9)</f>
        <v>9</v>
      </c>
      <c r="B18" s="24" t="n">
        <f aca="false">IF($H$17&lt;=0,"",EDATE('Übersicht &amp; Eingaben'!$C$12,8))</f>
        <v>46266</v>
      </c>
      <c r="C18" s="25" t="n">
        <f aca="false">IF($H$17&lt;=0,"",YEAR(B18))</f>
        <v>2026</v>
      </c>
      <c r="D18" s="26" t="n">
        <f aca="false">IF($H$17&lt;=0,0,MIN($H$17+($H$17*'Übersicht &amp; Eingaben'!$C$8/12),('Übersicht &amp; Eingaben'!$C$7*('Übersicht &amp; Eingaben'!$C$8+'Übersicht &amp; Eingaben'!$C$9)/12)))</f>
        <v>1312.5</v>
      </c>
      <c r="E18" s="26" t="n">
        <f aca="false">IF($H$17&lt;=0,0,($H$17*'Übersicht &amp; Eingaben'!$C$8/12))</f>
        <v>778.325053944181</v>
      </c>
      <c r="F18" s="26" t="n">
        <f aca="false">D18-E18</f>
        <v>534.17494605582</v>
      </c>
      <c r="G18" s="27" t="n">
        <f aca="false">IF($H$17&lt;=0,0,IF(MONTH(B18)=12,MIN('Übersicht &amp; Eingaben'!$C$13,$H$17-F18),0))</f>
        <v>0</v>
      </c>
      <c r="H18" s="28" t="n">
        <f aca="false">MAX($H$17-F18-G18,0)</f>
        <v>245252.684194212</v>
      </c>
    </row>
    <row r="19" customFormat="false" ht="18" hidden="false" customHeight="true" outlineLevel="0" collapsed="false">
      <c r="A19" s="29" t="n">
        <f aca="false">IF($H$18&lt;=0,"",10)</f>
        <v>10</v>
      </c>
      <c r="B19" s="30" t="n">
        <f aca="false">IF($H$18&lt;=0,"",EDATE('Übersicht &amp; Eingaben'!$C$12,9))</f>
        <v>46296</v>
      </c>
      <c r="C19" s="31" t="n">
        <f aca="false">IF($H$18&lt;=0,"",YEAR(B19))</f>
        <v>2026</v>
      </c>
      <c r="D19" s="32" t="n">
        <f aca="false">IF($H$18&lt;=0,0,MIN($H$18+($H$18*'Übersicht &amp; Eingaben'!$C$8/12),('Übersicht &amp; Eingaben'!$C$7*('Übersicht &amp; Eingaben'!$C$8+'Übersicht &amp; Eingaben'!$C$9)/12)))</f>
        <v>1312.5</v>
      </c>
      <c r="E19" s="32" t="n">
        <f aca="false">IF($H$18&lt;=0,0,($H$18*'Übersicht &amp; Eingaben'!$C$8/12))</f>
        <v>776.633499948337</v>
      </c>
      <c r="F19" s="32" t="n">
        <f aca="false">D19-E19</f>
        <v>535.866500051663</v>
      </c>
      <c r="G19" s="33" t="n">
        <f aca="false">IF($H$18&lt;=0,0,IF(MONTH(B19)=12,MIN('Übersicht &amp; Eingaben'!$C$13,$H$18-F19),0))</f>
        <v>0</v>
      </c>
      <c r="H19" s="34" t="n">
        <f aca="false">MAX($H$18-F19-G19,0)</f>
        <v>244716.81769416</v>
      </c>
    </row>
    <row r="20" customFormat="false" ht="18" hidden="false" customHeight="true" outlineLevel="0" collapsed="false">
      <c r="A20" s="23" t="n">
        <f aca="false">IF($H$19&lt;=0,"",11)</f>
        <v>11</v>
      </c>
      <c r="B20" s="24" t="n">
        <f aca="false">IF($H$19&lt;=0,"",EDATE('Übersicht &amp; Eingaben'!$C$12,10))</f>
        <v>46327</v>
      </c>
      <c r="C20" s="25" t="n">
        <f aca="false">IF($H$19&lt;=0,"",YEAR(B20))</f>
        <v>2026</v>
      </c>
      <c r="D20" s="26" t="n">
        <f aca="false">IF($H$19&lt;=0,0,MIN($H$19+($H$19*'Übersicht &amp; Eingaben'!$C$8/12),('Übersicht &amp; Eingaben'!$C$7*('Übersicht &amp; Eingaben'!$C$8+'Übersicht &amp; Eingaben'!$C$9)/12)))</f>
        <v>1312.5</v>
      </c>
      <c r="E20" s="26" t="n">
        <f aca="false">IF($H$19&lt;=0,0,($H$19*'Übersicht &amp; Eingaben'!$C$8/12))</f>
        <v>774.93658936484</v>
      </c>
      <c r="F20" s="26" t="n">
        <f aca="false">D20-E20</f>
        <v>537.56341063516</v>
      </c>
      <c r="G20" s="27" t="n">
        <f aca="false">IF($H$19&lt;=0,0,IF(MONTH(B20)=12,MIN('Übersicht &amp; Eingaben'!$C$13,$H$19-F20),0))</f>
        <v>0</v>
      </c>
      <c r="H20" s="28" t="n">
        <f aca="false">MAX($H$19-F20-G20,0)</f>
        <v>244179.254283525</v>
      </c>
    </row>
    <row r="21" customFormat="false" ht="18" hidden="false" customHeight="true" outlineLevel="0" collapsed="false">
      <c r="A21" s="29" t="n">
        <f aca="false">IF($H$20&lt;=0,"",12)</f>
        <v>12</v>
      </c>
      <c r="B21" s="30" t="n">
        <f aca="false">IF($H$20&lt;=0,"",EDATE('Übersicht &amp; Eingaben'!$C$12,11))</f>
        <v>46357</v>
      </c>
      <c r="C21" s="31" t="n">
        <f aca="false">IF($H$20&lt;=0,"",YEAR(B21))</f>
        <v>2026</v>
      </c>
      <c r="D21" s="32" t="n">
        <f aca="false">IF($H$20&lt;=0,0,MIN($H$20+($H$20*'Übersicht &amp; Eingaben'!$C$8/12),('Übersicht &amp; Eingaben'!$C$7*('Übersicht &amp; Eingaben'!$C$8+'Übersicht &amp; Eingaben'!$C$9)/12)))</f>
        <v>1312.5</v>
      </c>
      <c r="E21" s="32" t="n">
        <f aca="false">IF($H$20&lt;=0,0,($H$20*'Übersicht &amp; Eingaben'!$C$8/12))</f>
        <v>773.234305231162</v>
      </c>
      <c r="F21" s="32" t="n">
        <f aca="false">D21-E21</f>
        <v>539.265694768838</v>
      </c>
      <c r="G21" s="33" t="n">
        <f aca="false">IF($H$20&lt;=0,0,IF(MONTH(B21)=12,MIN('Übersicht &amp; Eingaben'!$C$13,$H$20-F21),0))</f>
        <v>0</v>
      </c>
      <c r="H21" s="34" t="n">
        <f aca="false">MAX($H$20-F21-G21,0)</f>
        <v>243639.988588756</v>
      </c>
    </row>
    <row r="22" customFormat="false" ht="18" hidden="false" customHeight="true" outlineLevel="0" collapsed="false">
      <c r="A22" s="23" t="n">
        <f aca="false">IF($H$21&lt;=0,"",13)</f>
        <v>13</v>
      </c>
      <c r="B22" s="24" t="n">
        <f aca="false">IF($H$21&lt;=0,"",EDATE('Übersicht &amp; Eingaben'!$C$12,12))</f>
        <v>46388</v>
      </c>
      <c r="C22" s="25" t="n">
        <f aca="false">IF($H$21&lt;=0,"",YEAR(B22))</f>
        <v>2027</v>
      </c>
      <c r="D22" s="26" t="n">
        <f aca="false">IF($H$21&lt;=0,0,MIN($H$21+($H$21*'Übersicht &amp; Eingaben'!$C$8/12),('Übersicht &amp; Eingaben'!$C$7*('Übersicht &amp; Eingaben'!$C$8+'Übersicht &amp; Eingaben'!$C$9)/12)))</f>
        <v>1312.5</v>
      </c>
      <c r="E22" s="26" t="n">
        <f aca="false">IF($H$21&lt;=0,0,($H$21*'Übersicht &amp; Eingaben'!$C$8/12))</f>
        <v>771.526630531061</v>
      </c>
      <c r="F22" s="26" t="n">
        <f aca="false">D22-E22</f>
        <v>540.973369468939</v>
      </c>
      <c r="G22" s="27" t="n">
        <f aca="false">IF($H$21&lt;=0,0,IF(MONTH(B22)=12,MIN('Übersicht &amp; Eingaben'!$C$13,$H$21-F22),0))</f>
        <v>0</v>
      </c>
      <c r="H22" s="28" t="n">
        <f aca="false">MAX($H$21-F22-G22,0)</f>
        <v>243099.015219287</v>
      </c>
    </row>
    <row r="23" customFormat="false" ht="18" hidden="false" customHeight="true" outlineLevel="0" collapsed="false">
      <c r="A23" s="29" t="n">
        <f aca="false">IF($H$22&lt;=0,"",14)</f>
        <v>14</v>
      </c>
      <c r="B23" s="30" t="n">
        <f aca="false">IF($H$22&lt;=0,"",EDATE('Übersicht &amp; Eingaben'!$C$12,13))</f>
        <v>46419</v>
      </c>
      <c r="C23" s="31" t="n">
        <f aca="false">IF($H$22&lt;=0,"",YEAR(B23))</f>
        <v>2027</v>
      </c>
      <c r="D23" s="32" t="n">
        <f aca="false">IF($H$22&lt;=0,0,MIN($H$22+($H$22*'Übersicht &amp; Eingaben'!$C$8/12),('Übersicht &amp; Eingaben'!$C$7*('Übersicht &amp; Eingaben'!$C$8+'Übersicht &amp; Eingaben'!$C$9)/12)))</f>
        <v>1312.5</v>
      </c>
      <c r="E23" s="32" t="n">
        <f aca="false">IF($H$22&lt;=0,0,($H$22*'Übersicht &amp; Eingaben'!$C$8/12))</f>
        <v>769.813548194409</v>
      </c>
      <c r="F23" s="32" t="n">
        <f aca="false">D23-E23</f>
        <v>542.686451805591</v>
      </c>
      <c r="G23" s="33" t="n">
        <f aca="false">IF($H$22&lt;=0,0,IF(MONTH(B23)=12,MIN('Übersicht &amp; Eingaben'!$C$13,$H$22-F23),0))</f>
        <v>0</v>
      </c>
      <c r="H23" s="34" t="n">
        <f aca="false">MAX($H$22-F23-G23,0)</f>
        <v>242556.328767482</v>
      </c>
    </row>
    <row r="24" customFormat="false" ht="18" hidden="false" customHeight="true" outlineLevel="0" collapsed="false">
      <c r="A24" s="23" t="n">
        <f aca="false">IF($H$23&lt;=0,"",15)</f>
        <v>15</v>
      </c>
      <c r="B24" s="24" t="n">
        <f aca="false">IF($H$23&lt;=0,"",EDATE('Übersicht &amp; Eingaben'!$C$12,14))</f>
        <v>46447</v>
      </c>
      <c r="C24" s="25" t="n">
        <f aca="false">IF($H$23&lt;=0,"",YEAR(B24))</f>
        <v>2027</v>
      </c>
      <c r="D24" s="26" t="n">
        <f aca="false">IF($H$23&lt;=0,0,MIN($H$23+($H$23*'Übersicht &amp; Eingaben'!$C$8/12),('Übersicht &amp; Eingaben'!$C$7*('Übersicht &amp; Eingaben'!$C$8+'Übersicht &amp; Eingaben'!$C$9)/12)))</f>
        <v>1312.5</v>
      </c>
      <c r="E24" s="26" t="n">
        <f aca="false">IF($H$23&lt;=0,0,($H$23*'Übersicht &amp; Eingaben'!$C$8/12))</f>
        <v>768.095041097025</v>
      </c>
      <c r="F24" s="26" t="n">
        <f aca="false">D24-E24</f>
        <v>544.404958902975</v>
      </c>
      <c r="G24" s="27" t="n">
        <f aca="false">IF($H$23&lt;=0,0,IF(MONTH(B24)=12,MIN('Übersicht &amp; Eingaben'!$C$13,$H$23-F24),0))</f>
        <v>0</v>
      </c>
      <c r="H24" s="28" t="n">
        <f aca="false">MAX($H$23-F24-G24,0)</f>
        <v>242011.923808579</v>
      </c>
    </row>
    <row r="25" customFormat="false" ht="18" hidden="false" customHeight="true" outlineLevel="0" collapsed="false">
      <c r="A25" s="29" t="n">
        <f aca="false">IF($H$24&lt;=0,"",16)</f>
        <v>16</v>
      </c>
      <c r="B25" s="30" t="n">
        <f aca="false">IF($H$24&lt;=0,"",EDATE('Übersicht &amp; Eingaben'!$C$12,15))</f>
        <v>46478</v>
      </c>
      <c r="C25" s="31" t="n">
        <f aca="false">IF($H$24&lt;=0,"",YEAR(B25))</f>
        <v>2027</v>
      </c>
      <c r="D25" s="32" t="n">
        <f aca="false">IF($H$24&lt;=0,0,MIN($H$24+($H$24*'Übersicht &amp; Eingaben'!$C$8/12),('Übersicht &amp; Eingaben'!$C$7*('Übersicht &amp; Eingaben'!$C$8+'Übersicht &amp; Eingaben'!$C$9)/12)))</f>
        <v>1312.5</v>
      </c>
      <c r="E25" s="32" t="n">
        <f aca="false">IF($H$24&lt;=0,0,($H$24*'Übersicht &amp; Eingaben'!$C$8/12))</f>
        <v>766.371092060499</v>
      </c>
      <c r="F25" s="32" t="n">
        <f aca="false">D25-E25</f>
        <v>546.128907939501</v>
      </c>
      <c r="G25" s="33" t="n">
        <f aca="false">IF($H$24&lt;=0,0,IF(MONTH(B25)=12,MIN('Übersicht &amp; Eingaben'!$C$13,$H$24-F25),0))</f>
        <v>0</v>
      </c>
      <c r="H25" s="34" t="n">
        <f aca="false">MAX($H$24-F25-G25,0)</f>
        <v>241465.794900639</v>
      </c>
    </row>
    <row r="26" customFormat="false" ht="18" hidden="false" customHeight="true" outlineLevel="0" collapsed="false">
      <c r="A26" s="23" t="n">
        <f aca="false">IF($H$25&lt;=0,"",17)</f>
        <v>17</v>
      </c>
      <c r="B26" s="24" t="n">
        <f aca="false">IF($H$25&lt;=0,"",EDATE('Übersicht &amp; Eingaben'!$C$12,16))</f>
        <v>46508</v>
      </c>
      <c r="C26" s="25" t="n">
        <f aca="false">IF($H$25&lt;=0,"",YEAR(B26))</f>
        <v>2027</v>
      </c>
      <c r="D26" s="26" t="n">
        <f aca="false">IF($H$25&lt;=0,0,MIN($H$25+($H$25*'Übersicht &amp; Eingaben'!$C$8/12),('Übersicht &amp; Eingaben'!$C$7*('Übersicht &amp; Eingaben'!$C$8+'Übersicht &amp; Eingaben'!$C$9)/12)))</f>
        <v>1312.5</v>
      </c>
      <c r="E26" s="26" t="n">
        <f aca="false">IF($H$25&lt;=0,0,($H$25*'Übersicht &amp; Eingaben'!$C$8/12))</f>
        <v>764.641683852024</v>
      </c>
      <c r="F26" s="26" t="n">
        <f aca="false">D26-E26</f>
        <v>547.858316147976</v>
      </c>
      <c r="G26" s="27" t="n">
        <f aca="false">IF($H$25&lt;=0,0,IF(MONTH(B26)=12,MIN('Übersicht &amp; Eingaben'!$C$13,$H$25-F26),0))</f>
        <v>0</v>
      </c>
      <c r="H26" s="28" t="n">
        <f aca="false">MAX($H$25-F26-G26,0)</f>
        <v>240917.936584491</v>
      </c>
    </row>
    <row r="27" customFormat="false" ht="18" hidden="false" customHeight="true" outlineLevel="0" collapsed="false">
      <c r="A27" s="29" t="n">
        <f aca="false">IF($H$26&lt;=0,"",18)</f>
        <v>18</v>
      </c>
      <c r="B27" s="30" t="n">
        <f aca="false">IF($H$26&lt;=0,"",EDATE('Übersicht &amp; Eingaben'!$C$12,17))</f>
        <v>46539</v>
      </c>
      <c r="C27" s="31" t="n">
        <f aca="false">IF($H$26&lt;=0,"",YEAR(B27))</f>
        <v>2027</v>
      </c>
      <c r="D27" s="32" t="n">
        <f aca="false">IF($H$26&lt;=0,0,MIN($H$26+($H$26*'Übersicht &amp; Eingaben'!$C$8/12),('Übersicht &amp; Eingaben'!$C$7*('Übersicht &amp; Eingaben'!$C$8+'Übersicht &amp; Eingaben'!$C$9)/12)))</f>
        <v>1312.5</v>
      </c>
      <c r="E27" s="32" t="n">
        <f aca="false">IF($H$26&lt;=0,0,($H$26*'Übersicht &amp; Eingaben'!$C$8/12))</f>
        <v>762.906799184222</v>
      </c>
      <c r="F27" s="32" t="n">
        <f aca="false">D27-E27</f>
        <v>549.593200815778</v>
      </c>
      <c r="G27" s="33" t="n">
        <f aca="false">IF($H$26&lt;=0,0,IF(MONTH(B27)=12,MIN('Übersicht &amp; Eingaben'!$C$13,$H$26-F27),0))</f>
        <v>0</v>
      </c>
      <c r="H27" s="34" t="n">
        <f aca="false">MAX($H$26-F27-G27,0)</f>
        <v>240368.343383675</v>
      </c>
    </row>
    <row r="28" customFormat="false" ht="18" hidden="false" customHeight="true" outlineLevel="0" collapsed="false">
      <c r="A28" s="23" t="n">
        <f aca="false">IF($H$27&lt;=0,"",19)</f>
        <v>19</v>
      </c>
      <c r="B28" s="24" t="n">
        <f aca="false">IF($H$27&lt;=0,"",EDATE('Übersicht &amp; Eingaben'!$C$12,18))</f>
        <v>46569</v>
      </c>
      <c r="C28" s="25" t="n">
        <f aca="false">IF($H$27&lt;=0,"",YEAR(B28))</f>
        <v>2027</v>
      </c>
      <c r="D28" s="26" t="n">
        <f aca="false">IF($H$27&lt;=0,0,MIN($H$27+($H$27*'Übersicht &amp; Eingaben'!$C$8/12),('Übersicht &amp; Eingaben'!$C$7*('Übersicht &amp; Eingaben'!$C$8+'Übersicht &amp; Eingaben'!$C$9)/12)))</f>
        <v>1312.5</v>
      </c>
      <c r="E28" s="26" t="n">
        <f aca="false">IF($H$27&lt;=0,0,($H$27*'Übersicht &amp; Eingaben'!$C$8/12))</f>
        <v>761.166420714972</v>
      </c>
      <c r="F28" s="26" t="n">
        <f aca="false">D28-E28</f>
        <v>551.333579285028</v>
      </c>
      <c r="G28" s="27" t="n">
        <f aca="false">IF($H$27&lt;=0,0,IF(MONTH(B28)=12,MIN('Übersicht &amp; Eingaben'!$C$13,$H$27-F28),0))</f>
        <v>0</v>
      </c>
      <c r="H28" s="28" t="n">
        <f aca="false">MAX($H$27-F28-G28,0)</f>
        <v>239817.00980439</v>
      </c>
    </row>
    <row r="29" customFormat="false" ht="18" hidden="false" customHeight="true" outlineLevel="0" collapsed="false">
      <c r="A29" s="29" t="n">
        <f aca="false">IF($H$28&lt;=0,"",20)</f>
        <v>20</v>
      </c>
      <c r="B29" s="30" t="n">
        <f aca="false">IF($H$28&lt;=0,"",EDATE('Übersicht &amp; Eingaben'!$C$12,19))</f>
        <v>46600</v>
      </c>
      <c r="C29" s="31" t="n">
        <f aca="false">IF($H$28&lt;=0,"",YEAR(B29))</f>
        <v>2027</v>
      </c>
      <c r="D29" s="32" t="n">
        <f aca="false">IF($H$28&lt;=0,0,MIN($H$28+($H$28*'Übersicht &amp; Eingaben'!$C$8/12),('Übersicht &amp; Eingaben'!$C$7*('Übersicht &amp; Eingaben'!$C$8+'Übersicht &amp; Eingaben'!$C$9)/12)))</f>
        <v>1312.5</v>
      </c>
      <c r="E29" s="32" t="n">
        <f aca="false">IF($H$28&lt;=0,0,($H$28*'Übersicht &amp; Eingaben'!$C$8/12))</f>
        <v>759.420531047236</v>
      </c>
      <c r="F29" s="32" t="n">
        <f aca="false">D29-E29</f>
        <v>553.079468952764</v>
      </c>
      <c r="G29" s="33" t="n">
        <f aca="false">IF($H$28&lt;=0,0,IF(MONTH(B29)=12,MIN('Übersicht &amp; Eingaben'!$C$13,$H$28-F29),0))</f>
        <v>0</v>
      </c>
      <c r="H29" s="34" t="n">
        <f aca="false">MAX($H$28-F29-G29,0)</f>
        <v>239263.930335437</v>
      </c>
    </row>
    <row r="30" customFormat="false" ht="18" hidden="false" customHeight="true" outlineLevel="0" collapsed="false">
      <c r="A30" s="23" t="n">
        <f aca="false">IF($H$29&lt;=0,"",21)</f>
        <v>21</v>
      </c>
      <c r="B30" s="24" t="n">
        <f aca="false">IF($H$29&lt;=0,"",EDATE('Übersicht &amp; Eingaben'!$C$12,20))</f>
        <v>46631</v>
      </c>
      <c r="C30" s="25" t="n">
        <f aca="false">IF($H$29&lt;=0,"",YEAR(B30))</f>
        <v>2027</v>
      </c>
      <c r="D30" s="26" t="n">
        <f aca="false">IF($H$29&lt;=0,0,MIN($H$29+($H$29*'Übersicht &amp; Eingaben'!$C$8/12),('Übersicht &amp; Eingaben'!$C$7*('Übersicht &amp; Eingaben'!$C$8+'Übersicht &amp; Eingaben'!$C$9)/12)))</f>
        <v>1312.5</v>
      </c>
      <c r="E30" s="26" t="n">
        <f aca="false">IF($H$29&lt;=0,0,($H$29*'Übersicht &amp; Eingaben'!$C$8/12))</f>
        <v>757.669112728885</v>
      </c>
      <c r="F30" s="26" t="n">
        <f aca="false">D30-E30</f>
        <v>554.830887271115</v>
      </c>
      <c r="G30" s="27" t="n">
        <f aca="false">IF($H$29&lt;=0,0,IF(MONTH(B30)=12,MIN('Übersicht &amp; Eingaben'!$C$13,$H$29-F30),0))</f>
        <v>0</v>
      </c>
      <c r="H30" s="28" t="n">
        <f aca="false">MAX($H$29-F30-G30,0)</f>
        <v>238709.099448166</v>
      </c>
    </row>
    <row r="31" customFormat="false" ht="18" hidden="false" customHeight="true" outlineLevel="0" collapsed="false">
      <c r="A31" s="29" t="n">
        <f aca="false">IF($H$30&lt;=0,"",22)</f>
        <v>22</v>
      </c>
      <c r="B31" s="30" t="n">
        <f aca="false">IF($H$30&lt;=0,"",EDATE('Übersicht &amp; Eingaben'!$C$12,21))</f>
        <v>46661</v>
      </c>
      <c r="C31" s="31" t="n">
        <f aca="false">IF($H$30&lt;=0,"",YEAR(B31))</f>
        <v>2027</v>
      </c>
      <c r="D31" s="32" t="n">
        <f aca="false">IF($H$30&lt;=0,0,MIN($H$30+($H$30*'Übersicht &amp; Eingaben'!$C$8/12),('Übersicht &amp; Eingaben'!$C$7*('Übersicht &amp; Eingaben'!$C$8+'Übersicht &amp; Eingaben'!$C$9)/12)))</f>
        <v>1312.5</v>
      </c>
      <c r="E31" s="32" t="n">
        <f aca="false">IF($H$30&lt;=0,0,($H$30*'Übersicht &amp; Eingaben'!$C$8/12))</f>
        <v>755.912148252527</v>
      </c>
      <c r="F31" s="32" t="n">
        <f aca="false">D31-E31</f>
        <v>556.587851747473</v>
      </c>
      <c r="G31" s="33" t="n">
        <f aca="false">IF($H$30&lt;=0,0,IF(MONTH(B31)=12,MIN('Übersicht &amp; Eingaben'!$C$13,$H$30-F31),0))</f>
        <v>0</v>
      </c>
      <c r="H31" s="34" t="n">
        <f aca="false">MAX($H$30-F31-G31,0)</f>
        <v>238152.511596419</v>
      </c>
    </row>
    <row r="32" customFormat="false" ht="18" hidden="false" customHeight="true" outlineLevel="0" collapsed="false">
      <c r="A32" s="23" t="n">
        <f aca="false">IF($H$31&lt;=0,"",23)</f>
        <v>23</v>
      </c>
      <c r="B32" s="24" t="n">
        <f aca="false">IF($H$31&lt;=0,"",EDATE('Übersicht &amp; Eingaben'!$C$12,22))</f>
        <v>46692</v>
      </c>
      <c r="C32" s="25" t="n">
        <f aca="false">IF($H$31&lt;=0,"",YEAR(B32))</f>
        <v>2027</v>
      </c>
      <c r="D32" s="26" t="n">
        <f aca="false">IF($H$31&lt;=0,0,MIN($H$31+($H$31*'Übersicht &amp; Eingaben'!$C$8/12),('Übersicht &amp; Eingaben'!$C$7*('Übersicht &amp; Eingaben'!$C$8+'Übersicht &amp; Eingaben'!$C$9)/12)))</f>
        <v>1312.5</v>
      </c>
      <c r="E32" s="26" t="n">
        <f aca="false">IF($H$31&lt;=0,0,($H$31*'Übersicht &amp; Eingaben'!$C$8/12))</f>
        <v>754.149620055327</v>
      </c>
      <c r="F32" s="26" t="n">
        <f aca="false">D32-E32</f>
        <v>558.350379944674</v>
      </c>
      <c r="G32" s="27" t="n">
        <f aca="false">IF($H$31&lt;=0,0,IF(MONTH(B32)=12,MIN('Übersicht &amp; Eingaben'!$C$13,$H$31-F32),0))</f>
        <v>0</v>
      </c>
      <c r="H32" s="28" t="n">
        <f aca="false">MAX($H$31-F32-G32,0)</f>
        <v>237594.161216474</v>
      </c>
    </row>
    <row r="33" customFormat="false" ht="18" hidden="false" customHeight="true" outlineLevel="0" collapsed="false">
      <c r="A33" s="29" t="n">
        <f aca="false">IF($H$32&lt;=0,"",24)</f>
        <v>24</v>
      </c>
      <c r="B33" s="30" t="n">
        <f aca="false">IF($H$32&lt;=0,"",EDATE('Übersicht &amp; Eingaben'!$C$12,23))</f>
        <v>46722</v>
      </c>
      <c r="C33" s="31" t="n">
        <f aca="false">IF($H$32&lt;=0,"",YEAR(B33))</f>
        <v>2027</v>
      </c>
      <c r="D33" s="32" t="n">
        <f aca="false">IF($H$32&lt;=0,0,MIN($H$32+($H$32*'Übersicht &amp; Eingaben'!$C$8/12),('Übersicht &amp; Eingaben'!$C$7*('Übersicht &amp; Eingaben'!$C$8+'Übersicht &amp; Eingaben'!$C$9)/12)))</f>
        <v>1312.5</v>
      </c>
      <c r="E33" s="32" t="n">
        <f aca="false">IF($H$32&lt;=0,0,($H$32*'Übersicht &amp; Eingaben'!$C$8/12))</f>
        <v>752.381510518835</v>
      </c>
      <c r="F33" s="32" t="n">
        <f aca="false">D33-E33</f>
        <v>560.118489481165</v>
      </c>
      <c r="G33" s="33" t="n">
        <f aca="false">IF($H$32&lt;=0,0,IF(MONTH(B33)=12,MIN('Übersicht &amp; Eingaben'!$C$13,$H$32-F33),0))</f>
        <v>0</v>
      </c>
      <c r="H33" s="34" t="n">
        <f aca="false">MAX($H$32-F33-G33,0)</f>
        <v>237034.042726993</v>
      </c>
    </row>
    <row r="34" customFormat="false" ht="18" hidden="false" customHeight="true" outlineLevel="0" collapsed="false">
      <c r="A34" s="23" t="n">
        <f aca="false">IF($H$33&lt;=0,"",25)</f>
        <v>25</v>
      </c>
      <c r="B34" s="24" t="n">
        <f aca="false">IF($H$33&lt;=0,"",EDATE('Übersicht &amp; Eingaben'!$C$12,24))</f>
        <v>46753</v>
      </c>
      <c r="C34" s="25" t="n">
        <f aca="false">IF($H$33&lt;=0,"",YEAR(B34))</f>
        <v>2028</v>
      </c>
      <c r="D34" s="26" t="n">
        <f aca="false">IF($H$33&lt;=0,0,MIN($H$33+($H$33*'Übersicht &amp; Eingaben'!$C$8/12),('Übersicht &amp; Eingaben'!$C$7*('Übersicht &amp; Eingaben'!$C$8+'Übersicht &amp; Eingaben'!$C$9)/12)))</f>
        <v>1312.5</v>
      </c>
      <c r="E34" s="26" t="n">
        <f aca="false">IF($H$33&lt;=0,0,($H$33*'Übersicht &amp; Eingaben'!$C$8/12))</f>
        <v>750.607801968811</v>
      </c>
      <c r="F34" s="26" t="n">
        <f aca="false">D34-E34</f>
        <v>561.892198031189</v>
      </c>
      <c r="G34" s="27" t="n">
        <f aca="false">IF($H$33&lt;=0,0,IF(MONTH(B34)=12,MIN('Übersicht &amp; Eingaben'!$C$13,$H$33-F34),0))</f>
        <v>0</v>
      </c>
      <c r="H34" s="28" t="n">
        <f aca="false">MAX($H$33-F34-G34,0)</f>
        <v>236472.150528962</v>
      </c>
    </row>
    <row r="35" customFormat="false" ht="18" hidden="false" customHeight="true" outlineLevel="0" collapsed="false">
      <c r="A35" s="29" t="n">
        <f aca="false">IF($H$34&lt;=0,"",26)</f>
        <v>26</v>
      </c>
      <c r="B35" s="30" t="n">
        <f aca="false">IF($H$34&lt;=0,"",EDATE('Übersicht &amp; Eingaben'!$C$12,25))</f>
        <v>46784</v>
      </c>
      <c r="C35" s="31" t="n">
        <f aca="false">IF($H$34&lt;=0,"",YEAR(B35))</f>
        <v>2028</v>
      </c>
      <c r="D35" s="32" t="n">
        <f aca="false">IF($H$34&lt;=0,0,MIN($H$34+($H$34*'Übersicht &amp; Eingaben'!$C$8/12),('Übersicht &amp; Eingaben'!$C$7*('Übersicht &amp; Eingaben'!$C$8+'Übersicht &amp; Eingaben'!$C$9)/12)))</f>
        <v>1312.5</v>
      </c>
      <c r="E35" s="32" t="n">
        <f aca="false">IF($H$34&lt;=0,0,($H$34*'Übersicht &amp; Eingaben'!$C$8/12))</f>
        <v>748.828476675046</v>
      </c>
      <c r="F35" s="32" t="n">
        <f aca="false">D35-E35</f>
        <v>563.671523324954</v>
      </c>
      <c r="G35" s="33" t="n">
        <f aca="false">IF($H$34&lt;=0,0,IF(MONTH(B35)=12,MIN('Übersicht &amp; Eingaben'!$C$13,$H$34-F35),0))</f>
        <v>0</v>
      </c>
      <c r="H35" s="34" t="n">
        <f aca="false">MAX($H$34-F35-G35,0)</f>
        <v>235908.479005637</v>
      </c>
    </row>
    <row r="36" customFormat="false" ht="18" hidden="false" customHeight="true" outlineLevel="0" collapsed="false">
      <c r="A36" s="23" t="n">
        <f aca="false">IF($H$35&lt;=0,"",27)</f>
        <v>27</v>
      </c>
      <c r="B36" s="24" t="n">
        <f aca="false">IF($H$35&lt;=0,"",EDATE('Übersicht &amp; Eingaben'!$C$12,26))</f>
        <v>46813</v>
      </c>
      <c r="C36" s="25" t="n">
        <f aca="false">IF($H$35&lt;=0,"",YEAR(B36))</f>
        <v>2028</v>
      </c>
      <c r="D36" s="26" t="n">
        <f aca="false">IF($H$35&lt;=0,0,MIN($H$35+($H$35*'Übersicht &amp; Eingaben'!$C$8/12),('Übersicht &amp; Eingaben'!$C$7*('Übersicht &amp; Eingaben'!$C$8+'Übersicht &amp; Eingaben'!$C$9)/12)))</f>
        <v>1312.5</v>
      </c>
      <c r="E36" s="26" t="n">
        <f aca="false">IF($H$35&lt;=0,0,($H$35*'Übersicht &amp; Eingaben'!$C$8/12))</f>
        <v>747.043516851184</v>
      </c>
      <c r="F36" s="26" t="n">
        <f aca="false">D36-E36</f>
        <v>565.456483148816</v>
      </c>
      <c r="G36" s="27" t="n">
        <f aca="false">IF($H$35&lt;=0,0,IF(MONTH(B36)=12,MIN('Übersicht &amp; Eingaben'!$C$13,$H$35-F36),0))</f>
        <v>0</v>
      </c>
      <c r="H36" s="28" t="n">
        <f aca="false">MAX($H$35-F36-G36,0)</f>
        <v>235343.022522488</v>
      </c>
    </row>
    <row r="37" customFormat="false" ht="18" hidden="false" customHeight="true" outlineLevel="0" collapsed="false">
      <c r="A37" s="29" t="n">
        <f aca="false">IF($H$36&lt;=0,"",28)</f>
        <v>28</v>
      </c>
      <c r="B37" s="30" t="n">
        <f aca="false">IF($H$36&lt;=0,"",EDATE('Übersicht &amp; Eingaben'!$C$12,27))</f>
        <v>46844</v>
      </c>
      <c r="C37" s="31" t="n">
        <f aca="false">IF($H$36&lt;=0,"",YEAR(B37))</f>
        <v>2028</v>
      </c>
      <c r="D37" s="32" t="n">
        <f aca="false">IF($H$36&lt;=0,0,MIN($H$36+($H$36*'Übersicht &amp; Eingaben'!$C$8/12),('Übersicht &amp; Eingaben'!$C$7*('Übersicht &amp; Eingaben'!$C$8+'Übersicht &amp; Eingaben'!$C$9)/12)))</f>
        <v>1312.5</v>
      </c>
      <c r="E37" s="32" t="n">
        <f aca="false">IF($H$36&lt;=0,0,($H$36*'Übersicht &amp; Eingaben'!$C$8/12))</f>
        <v>745.252904654546</v>
      </c>
      <c r="F37" s="32" t="n">
        <f aca="false">D37-E37</f>
        <v>567.247095345454</v>
      </c>
      <c r="G37" s="33" t="n">
        <f aca="false">IF($H$36&lt;=0,0,IF(MONTH(B37)=12,MIN('Übersicht &amp; Eingaben'!$C$13,$H$36-F37),0))</f>
        <v>0</v>
      </c>
      <c r="H37" s="34" t="n">
        <f aca="false">MAX($H$36-F37-G37,0)</f>
        <v>234775.775427143</v>
      </c>
    </row>
    <row r="38" customFormat="false" ht="18" hidden="false" customHeight="true" outlineLevel="0" collapsed="false">
      <c r="A38" s="23" t="n">
        <f aca="false">IF($H$37&lt;=0,"",29)</f>
        <v>29</v>
      </c>
      <c r="B38" s="24" t="n">
        <f aca="false">IF($H$37&lt;=0,"",EDATE('Übersicht &amp; Eingaben'!$C$12,28))</f>
        <v>46874</v>
      </c>
      <c r="C38" s="25" t="n">
        <f aca="false">IF($H$37&lt;=0,"",YEAR(B38))</f>
        <v>2028</v>
      </c>
      <c r="D38" s="26" t="n">
        <f aca="false">IF($H$37&lt;=0,0,MIN($H$37+($H$37*'Übersicht &amp; Eingaben'!$C$8/12),('Übersicht &amp; Eingaben'!$C$7*('Übersicht &amp; Eingaben'!$C$8+'Übersicht &amp; Eingaben'!$C$9)/12)))</f>
        <v>1312.5</v>
      </c>
      <c r="E38" s="26" t="n">
        <f aca="false">IF($H$37&lt;=0,0,($H$37*'Übersicht &amp; Eingaben'!$C$8/12))</f>
        <v>743.456622185952</v>
      </c>
      <c r="F38" s="26" t="n">
        <f aca="false">D38-E38</f>
        <v>569.043377814048</v>
      </c>
      <c r="G38" s="27" t="n">
        <f aca="false">IF($H$37&lt;=0,0,IF(MONTH(B38)=12,MIN('Übersicht &amp; Eingaben'!$C$13,$H$37-F38),0))</f>
        <v>0</v>
      </c>
      <c r="H38" s="28" t="n">
        <f aca="false">MAX($H$37-F38-G38,0)</f>
        <v>234206.732049329</v>
      </c>
    </row>
    <row r="39" customFormat="false" ht="18" hidden="false" customHeight="true" outlineLevel="0" collapsed="false">
      <c r="A39" s="29" t="n">
        <f aca="false">IF($H$38&lt;=0,"",30)</f>
        <v>30</v>
      </c>
      <c r="B39" s="30" t="n">
        <f aca="false">IF($H$38&lt;=0,"",EDATE('Übersicht &amp; Eingaben'!$C$12,29))</f>
        <v>46905</v>
      </c>
      <c r="C39" s="31" t="n">
        <f aca="false">IF($H$38&lt;=0,"",YEAR(B39))</f>
        <v>2028</v>
      </c>
      <c r="D39" s="32" t="n">
        <f aca="false">IF($H$38&lt;=0,0,MIN($H$38+($H$38*'Übersicht &amp; Eingaben'!$C$8/12),('Übersicht &amp; Eingaben'!$C$7*('Übersicht &amp; Eingaben'!$C$8+'Übersicht &amp; Eingaben'!$C$9)/12)))</f>
        <v>1312.5</v>
      </c>
      <c r="E39" s="32" t="n">
        <f aca="false">IF($H$38&lt;=0,0,($H$38*'Übersicht &amp; Eingaben'!$C$8/12))</f>
        <v>741.654651489541</v>
      </c>
      <c r="F39" s="32" t="n">
        <f aca="false">D39-E39</f>
        <v>570.84534851046</v>
      </c>
      <c r="G39" s="33" t="n">
        <f aca="false">IF($H$38&lt;=0,0,IF(MONTH(B39)=12,MIN('Übersicht &amp; Eingaben'!$C$13,$H$38-F39),0))</f>
        <v>0</v>
      </c>
      <c r="H39" s="34" t="n">
        <f aca="false">MAX($H$38-F39-G39,0)</f>
        <v>233635.886700818</v>
      </c>
    </row>
    <row r="40" customFormat="false" ht="18" hidden="false" customHeight="true" outlineLevel="0" collapsed="false">
      <c r="A40" s="23" t="n">
        <f aca="false">IF($H$39&lt;=0,"",31)</f>
        <v>31</v>
      </c>
      <c r="B40" s="24" t="n">
        <f aca="false">IF($H$39&lt;=0,"",EDATE('Übersicht &amp; Eingaben'!$C$12,30))</f>
        <v>46935</v>
      </c>
      <c r="C40" s="25" t="n">
        <f aca="false">IF($H$39&lt;=0,"",YEAR(B40))</f>
        <v>2028</v>
      </c>
      <c r="D40" s="26" t="n">
        <f aca="false">IF($H$39&lt;=0,0,MIN($H$39+($H$39*'Übersicht &amp; Eingaben'!$C$8/12),('Übersicht &amp; Eingaben'!$C$7*('Übersicht &amp; Eingaben'!$C$8+'Übersicht &amp; Eingaben'!$C$9)/12)))</f>
        <v>1312.5</v>
      </c>
      <c r="E40" s="26" t="n">
        <f aca="false">IF($H$39&lt;=0,0,($H$39*'Übersicht &amp; Eingaben'!$C$8/12))</f>
        <v>739.846974552591</v>
      </c>
      <c r="F40" s="26" t="n">
        <f aca="false">D40-E40</f>
        <v>572.653025447409</v>
      </c>
      <c r="G40" s="27" t="n">
        <f aca="false">IF($H$39&lt;=0,0,IF(MONTH(B40)=12,MIN('Übersicht &amp; Eingaben'!$C$13,$H$39-F40),0))</f>
        <v>0</v>
      </c>
      <c r="H40" s="28" t="n">
        <f aca="false">MAX($H$39-F40-G40,0)</f>
        <v>233063.233675371</v>
      </c>
    </row>
    <row r="41" customFormat="false" ht="18" hidden="false" customHeight="true" outlineLevel="0" collapsed="false">
      <c r="A41" s="29" t="n">
        <f aca="false">IF($H$40&lt;=0,"",32)</f>
        <v>32</v>
      </c>
      <c r="B41" s="30" t="n">
        <f aca="false">IF($H$40&lt;=0,"",EDATE('Übersicht &amp; Eingaben'!$C$12,31))</f>
        <v>46966</v>
      </c>
      <c r="C41" s="31" t="n">
        <f aca="false">IF($H$40&lt;=0,"",YEAR(B41))</f>
        <v>2028</v>
      </c>
      <c r="D41" s="32" t="n">
        <f aca="false">IF($H$40&lt;=0,0,MIN($H$40+($H$40*'Übersicht &amp; Eingaben'!$C$8/12),('Übersicht &amp; Eingaben'!$C$7*('Übersicht &amp; Eingaben'!$C$8+'Übersicht &amp; Eingaben'!$C$9)/12)))</f>
        <v>1312.5</v>
      </c>
      <c r="E41" s="32" t="n">
        <f aca="false">IF($H$40&lt;=0,0,($H$40*'Übersicht &amp; Eingaben'!$C$8/12))</f>
        <v>738.033573305341</v>
      </c>
      <c r="F41" s="32" t="n">
        <f aca="false">D41-E41</f>
        <v>574.466426694659</v>
      </c>
      <c r="G41" s="33" t="n">
        <f aca="false">IF($H$40&lt;=0,0,IF(MONTH(B41)=12,MIN('Übersicht &amp; Eingaben'!$C$13,$H$40-F41),0))</f>
        <v>0</v>
      </c>
      <c r="H41" s="34" t="n">
        <f aca="false">MAX($H$40-F41-G41,0)</f>
        <v>232488.767248676</v>
      </c>
    </row>
    <row r="42" customFormat="false" ht="18" hidden="false" customHeight="true" outlineLevel="0" collapsed="false">
      <c r="A42" s="23" t="n">
        <f aca="false">IF($H$41&lt;=0,"",33)</f>
        <v>33</v>
      </c>
      <c r="B42" s="24" t="n">
        <f aca="false">IF($H$41&lt;=0,"",EDATE('Übersicht &amp; Eingaben'!$C$12,32))</f>
        <v>46997</v>
      </c>
      <c r="C42" s="25" t="n">
        <f aca="false">IF($H$41&lt;=0,"",YEAR(B42))</f>
        <v>2028</v>
      </c>
      <c r="D42" s="26" t="n">
        <f aca="false">IF($H$41&lt;=0,0,MIN($H$41+($H$41*'Übersicht &amp; Eingaben'!$C$8/12),('Übersicht &amp; Eingaben'!$C$7*('Übersicht &amp; Eingaben'!$C$8+'Übersicht &amp; Eingaben'!$C$9)/12)))</f>
        <v>1312.5</v>
      </c>
      <c r="E42" s="26" t="n">
        <f aca="false">IF($H$41&lt;=0,0,($H$41*'Übersicht &amp; Eingaben'!$C$8/12))</f>
        <v>736.214429620808</v>
      </c>
      <c r="F42" s="26" t="n">
        <f aca="false">D42-E42</f>
        <v>576.285570379192</v>
      </c>
      <c r="G42" s="27" t="n">
        <f aca="false">IF($H$41&lt;=0,0,IF(MONTH(B42)=12,MIN('Übersicht &amp; Eingaben'!$C$13,$H$41-F42),0))</f>
        <v>0</v>
      </c>
      <c r="H42" s="28" t="n">
        <f aca="false">MAX($H$41-F42-G42,0)</f>
        <v>231912.481678297</v>
      </c>
    </row>
    <row r="43" customFormat="false" ht="18" hidden="false" customHeight="true" outlineLevel="0" collapsed="false">
      <c r="A43" s="29" t="n">
        <f aca="false">IF($H$42&lt;=0,"",34)</f>
        <v>34</v>
      </c>
      <c r="B43" s="30" t="n">
        <f aca="false">IF($H$42&lt;=0,"",EDATE('Übersicht &amp; Eingaben'!$C$12,33))</f>
        <v>47027</v>
      </c>
      <c r="C43" s="31" t="n">
        <f aca="false">IF($H$42&lt;=0,"",YEAR(B43))</f>
        <v>2028</v>
      </c>
      <c r="D43" s="32" t="n">
        <f aca="false">IF($H$42&lt;=0,0,MIN($H$42+($H$42*'Übersicht &amp; Eingaben'!$C$8/12),('Übersicht &amp; Eingaben'!$C$7*('Übersicht &amp; Eingaben'!$C$8+'Übersicht &amp; Eingaben'!$C$9)/12)))</f>
        <v>1312.5</v>
      </c>
      <c r="E43" s="32" t="n">
        <f aca="false">IF($H$42&lt;=0,0,($H$42*'Übersicht &amp; Eingaben'!$C$8/12))</f>
        <v>734.389525314607</v>
      </c>
      <c r="F43" s="32" t="n">
        <f aca="false">D43-E43</f>
        <v>578.110474685393</v>
      </c>
      <c r="G43" s="33" t="n">
        <f aca="false">IF($H$42&lt;=0,0,IF(MONTH(B43)=12,MIN('Übersicht &amp; Eingaben'!$C$13,$H$42-F43),0))</f>
        <v>0</v>
      </c>
      <c r="H43" s="34" t="n">
        <f aca="false">MAX($H$42-F43-G43,0)</f>
        <v>231334.371203612</v>
      </c>
    </row>
    <row r="44" customFormat="false" ht="18" hidden="false" customHeight="true" outlineLevel="0" collapsed="false">
      <c r="A44" s="23" t="n">
        <f aca="false">IF($H$43&lt;=0,"",35)</f>
        <v>35</v>
      </c>
      <c r="B44" s="24" t="n">
        <f aca="false">IF($H$43&lt;=0,"",EDATE('Übersicht &amp; Eingaben'!$C$12,34))</f>
        <v>47058</v>
      </c>
      <c r="C44" s="25" t="n">
        <f aca="false">IF($H$43&lt;=0,"",YEAR(B44))</f>
        <v>2028</v>
      </c>
      <c r="D44" s="26" t="n">
        <f aca="false">IF($H$43&lt;=0,0,MIN($H$43+($H$43*'Übersicht &amp; Eingaben'!$C$8/12),('Übersicht &amp; Eingaben'!$C$7*('Übersicht &amp; Eingaben'!$C$8+'Übersicht &amp; Eingaben'!$C$9)/12)))</f>
        <v>1312.5</v>
      </c>
      <c r="E44" s="26" t="n">
        <f aca="false">IF($H$43&lt;=0,0,($H$43*'Übersicht &amp; Eingaben'!$C$8/12))</f>
        <v>732.55884214477</v>
      </c>
      <c r="F44" s="26" t="n">
        <f aca="false">D44-E44</f>
        <v>579.94115785523</v>
      </c>
      <c r="G44" s="27" t="n">
        <f aca="false">IF($H$43&lt;=0,0,IF(MONTH(B44)=12,MIN('Übersicht &amp; Eingaben'!$C$13,$H$43-F44),0))</f>
        <v>0</v>
      </c>
      <c r="H44" s="28" t="n">
        <f aca="false">MAX($H$43-F44-G44,0)</f>
        <v>230754.430045756</v>
      </c>
    </row>
    <row r="45" customFormat="false" ht="18" hidden="false" customHeight="true" outlineLevel="0" collapsed="false">
      <c r="A45" s="29" t="n">
        <f aca="false">IF($H$44&lt;=0,"",36)</f>
        <v>36</v>
      </c>
      <c r="B45" s="30" t="n">
        <f aca="false">IF($H$44&lt;=0,"",EDATE('Übersicht &amp; Eingaben'!$C$12,35))</f>
        <v>47088</v>
      </c>
      <c r="C45" s="31" t="n">
        <f aca="false">IF($H$44&lt;=0,"",YEAR(B45))</f>
        <v>2028</v>
      </c>
      <c r="D45" s="32" t="n">
        <f aca="false">IF($H$44&lt;=0,0,MIN($H$44+($H$44*'Übersicht &amp; Eingaben'!$C$8/12),('Übersicht &amp; Eingaben'!$C$7*('Übersicht &amp; Eingaben'!$C$8+'Übersicht &amp; Eingaben'!$C$9)/12)))</f>
        <v>1312.5</v>
      </c>
      <c r="E45" s="32" t="n">
        <f aca="false">IF($H$44&lt;=0,0,($H$44*'Übersicht &amp; Eingaben'!$C$8/12))</f>
        <v>730.722361811561</v>
      </c>
      <c r="F45" s="32" t="n">
        <f aca="false">D45-E45</f>
        <v>581.777638188439</v>
      </c>
      <c r="G45" s="33" t="n">
        <f aca="false">IF($H$44&lt;=0,0,IF(MONTH(B45)=12,MIN('Übersicht &amp; Eingaben'!$C$13,$H$44-F45),0))</f>
        <v>0</v>
      </c>
      <c r="H45" s="34" t="n">
        <f aca="false">MAX($H$44-F45-G45,0)</f>
        <v>230172.652407568</v>
      </c>
    </row>
    <row r="46" customFormat="false" ht="18" hidden="false" customHeight="true" outlineLevel="0" collapsed="false">
      <c r="A46" s="23" t="n">
        <f aca="false">IF($H$45&lt;=0,"",37)</f>
        <v>37</v>
      </c>
      <c r="B46" s="24" t="n">
        <f aca="false">IF($H$45&lt;=0,"",EDATE('Übersicht &amp; Eingaben'!$C$12,36))</f>
        <v>47119</v>
      </c>
      <c r="C46" s="25" t="n">
        <f aca="false">IF($H$45&lt;=0,"",YEAR(B46))</f>
        <v>2029</v>
      </c>
      <c r="D46" s="26" t="n">
        <f aca="false">IF($H$45&lt;=0,0,MIN($H$45+($H$45*'Übersicht &amp; Eingaben'!$C$8/12),('Übersicht &amp; Eingaben'!$C$7*('Übersicht &amp; Eingaben'!$C$8+'Übersicht &amp; Eingaben'!$C$9)/12)))</f>
        <v>1312.5</v>
      </c>
      <c r="E46" s="26" t="n">
        <f aca="false">IF($H$45&lt;=0,0,($H$45*'Übersicht &amp; Eingaben'!$C$8/12))</f>
        <v>728.880065957298</v>
      </c>
      <c r="F46" s="26" t="n">
        <f aca="false">D46-E46</f>
        <v>583.619934042702</v>
      </c>
      <c r="G46" s="27" t="n">
        <f aca="false">IF($H$45&lt;=0,0,IF(MONTH(B46)=12,MIN('Übersicht &amp; Eingaben'!$C$13,$H$45-F46),0))</f>
        <v>0</v>
      </c>
      <c r="H46" s="28" t="n">
        <f aca="false">MAX($H$45-F46-G46,0)</f>
        <v>229589.032473525</v>
      </c>
    </row>
    <row r="47" customFormat="false" ht="18" hidden="false" customHeight="true" outlineLevel="0" collapsed="false">
      <c r="A47" s="29" t="n">
        <f aca="false">IF($H$46&lt;=0,"",38)</f>
        <v>38</v>
      </c>
      <c r="B47" s="30" t="n">
        <f aca="false">IF($H$46&lt;=0,"",EDATE('Übersicht &amp; Eingaben'!$C$12,37))</f>
        <v>47150</v>
      </c>
      <c r="C47" s="31" t="n">
        <f aca="false">IF($H$46&lt;=0,"",YEAR(B47))</f>
        <v>2029</v>
      </c>
      <c r="D47" s="32" t="n">
        <f aca="false">IF($H$46&lt;=0,0,MIN($H$46+($H$46*'Übersicht &amp; Eingaben'!$C$8/12),('Übersicht &amp; Eingaben'!$C$7*('Übersicht &amp; Eingaben'!$C$8+'Übersicht &amp; Eingaben'!$C$9)/12)))</f>
        <v>1312.5</v>
      </c>
      <c r="E47" s="32" t="n">
        <f aca="false">IF($H$46&lt;=0,0,($H$46*'Übersicht &amp; Eingaben'!$C$8/12))</f>
        <v>727.031936166163</v>
      </c>
      <c r="F47" s="32" t="n">
        <f aca="false">D47-E47</f>
        <v>585.468063833837</v>
      </c>
      <c r="G47" s="33" t="n">
        <f aca="false">IF($H$46&lt;=0,0,IF(MONTH(B47)=12,MIN('Übersicht &amp; Eingaben'!$C$13,$H$46-F47),0))</f>
        <v>0</v>
      </c>
      <c r="H47" s="34" t="n">
        <f aca="false">MAX($H$46-F47-G47,0)</f>
        <v>229003.564409691</v>
      </c>
    </row>
    <row r="48" customFormat="false" ht="18" hidden="false" customHeight="true" outlineLevel="0" collapsed="false">
      <c r="A48" s="23" t="n">
        <f aca="false">IF($H$47&lt;=0,"",39)</f>
        <v>39</v>
      </c>
      <c r="B48" s="24" t="n">
        <f aca="false">IF($H$47&lt;=0,"",EDATE('Übersicht &amp; Eingaben'!$C$12,38))</f>
        <v>47178</v>
      </c>
      <c r="C48" s="25" t="n">
        <f aca="false">IF($H$47&lt;=0,"",YEAR(B48))</f>
        <v>2029</v>
      </c>
      <c r="D48" s="26" t="n">
        <f aca="false">IF($H$47&lt;=0,0,MIN($H$47+($H$47*'Übersicht &amp; Eingaben'!$C$8/12),('Übersicht &amp; Eingaben'!$C$7*('Übersicht &amp; Eingaben'!$C$8+'Übersicht &amp; Eingaben'!$C$9)/12)))</f>
        <v>1312.5</v>
      </c>
      <c r="E48" s="26" t="n">
        <f aca="false">IF($H$47&lt;=0,0,($H$47*'Übersicht &amp; Eingaben'!$C$8/12))</f>
        <v>725.177953964022</v>
      </c>
      <c r="F48" s="26" t="n">
        <f aca="false">D48-E48</f>
        <v>587.322046035978</v>
      </c>
      <c r="G48" s="27" t="n">
        <f aca="false">IF($H$47&lt;=0,0,IF(MONTH(B48)=12,MIN('Übersicht &amp; Eingaben'!$C$13,$H$47-F48),0))</f>
        <v>0</v>
      </c>
      <c r="H48" s="28" t="n">
        <f aca="false">MAX($H$47-F48-G48,0)</f>
        <v>228416.242363655</v>
      </c>
    </row>
    <row r="49" customFormat="false" ht="18" hidden="false" customHeight="true" outlineLevel="0" collapsed="false">
      <c r="A49" s="29" t="n">
        <f aca="false">IF($H$48&lt;=0,"",40)</f>
        <v>40</v>
      </c>
      <c r="B49" s="30" t="n">
        <f aca="false">IF($H$48&lt;=0,"",EDATE('Übersicht &amp; Eingaben'!$C$12,39))</f>
        <v>47209</v>
      </c>
      <c r="C49" s="31" t="n">
        <f aca="false">IF($H$48&lt;=0,"",YEAR(B49))</f>
        <v>2029</v>
      </c>
      <c r="D49" s="32" t="n">
        <f aca="false">IF($H$48&lt;=0,0,MIN($H$48+($H$48*'Übersicht &amp; Eingaben'!$C$8/12),('Übersicht &amp; Eingaben'!$C$7*('Übersicht &amp; Eingaben'!$C$8+'Übersicht &amp; Eingaben'!$C$9)/12)))</f>
        <v>1312.5</v>
      </c>
      <c r="E49" s="32" t="n">
        <f aca="false">IF($H$48&lt;=0,0,($H$48*'Übersicht &amp; Eingaben'!$C$8/12))</f>
        <v>723.318100818242</v>
      </c>
      <c r="F49" s="32" t="n">
        <f aca="false">D49-E49</f>
        <v>589.181899181758</v>
      </c>
      <c r="G49" s="33" t="n">
        <f aca="false">IF($H$48&lt;=0,0,IF(MONTH(B49)=12,MIN('Übersicht &amp; Eingaben'!$C$13,$H$48-F49),0))</f>
        <v>0</v>
      </c>
      <c r="H49" s="34" t="n">
        <f aca="false">MAX($H$48-F49-G49,0)</f>
        <v>227827.060464474</v>
      </c>
    </row>
    <row r="50" customFormat="false" ht="18" hidden="false" customHeight="true" outlineLevel="0" collapsed="false">
      <c r="A50" s="23" t="n">
        <f aca="false">IF($H$49&lt;=0,"",41)</f>
        <v>41</v>
      </c>
      <c r="B50" s="24" t="n">
        <f aca="false">IF($H$49&lt;=0,"",EDATE('Übersicht &amp; Eingaben'!$C$12,40))</f>
        <v>47239</v>
      </c>
      <c r="C50" s="25" t="n">
        <f aca="false">IF($H$49&lt;=0,"",YEAR(B50))</f>
        <v>2029</v>
      </c>
      <c r="D50" s="26" t="n">
        <f aca="false">IF($H$49&lt;=0,0,MIN($H$49+($H$49*'Übersicht &amp; Eingaben'!$C$8/12),('Übersicht &amp; Eingaben'!$C$7*('Übersicht &amp; Eingaben'!$C$8+'Übersicht &amp; Eingaben'!$C$9)/12)))</f>
        <v>1312.5</v>
      </c>
      <c r="E50" s="26" t="n">
        <f aca="false">IF($H$49&lt;=0,0,($H$49*'Übersicht &amp; Eingaben'!$C$8/12))</f>
        <v>721.452358137499</v>
      </c>
      <c r="F50" s="26" t="n">
        <f aca="false">D50-E50</f>
        <v>591.047641862501</v>
      </c>
      <c r="G50" s="27" t="n">
        <f aca="false">IF($H$49&lt;=0,0,IF(MONTH(B50)=12,MIN('Übersicht &amp; Eingaben'!$C$13,$H$49-F50),0))</f>
        <v>0</v>
      </c>
      <c r="H50" s="28" t="n">
        <f aca="false">MAX($H$49-F50-G50,0)</f>
        <v>227236.012822611</v>
      </c>
    </row>
    <row r="51" customFormat="false" ht="18" hidden="false" customHeight="true" outlineLevel="0" collapsed="false">
      <c r="A51" s="29" t="n">
        <f aca="false">IF($H$50&lt;=0,"",42)</f>
        <v>42</v>
      </c>
      <c r="B51" s="30" t="n">
        <f aca="false">IF($H$50&lt;=0,"",EDATE('Übersicht &amp; Eingaben'!$C$12,41))</f>
        <v>47270</v>
      </c>
      <c r="C51" s="31" t="n">
        <f aca="false">IF($H$50&lt;=0,"",YEAR(B51))</f>
        <v>2029</v>
      </c>
      <c r="D51" s="32" t="n">
        <f aca="false">IF($H$50&lt;=0,0,MIN($H$50+($H$50*'Übersicht &amp; Eingaben'!$C$8/12),('Übersicht &amp; Eingaben'!$C$7*('Übersicht &amp; Eingaben'!$C$8+'Übersicht &amp; Eingaben'!$C$9)/12)))</f>
        <v>1312.5</v>
      </c>
      <c r="E51" s="32" t="n">
        <f aca="false">IF($H$50&lt;=0,0,($H$50*'Übersicht &amp; Eingaben'!$C$8/12))</f>
        <v>719.580707271602</v>
      </c>
      <c r="F51" s="32" t="n">
        <f aca="false">D51-E51</f>
        <v>592.919292728399</v>
      </c>
      <c r="G51" s="33" t="n">
        <f aca="false">IF($H$50&lt;=0,0,IF(MONTH(B51)=12,MIN('Übersicht &amp; Eingaben'!$C$13,$H$50-F51),0))</f>
        <v>0</v>
      </c>
      <c r="H51" s="34" t="n">
        <f aca="false">MAX($H$50-F51-G51,0)</f>
        <v>226643.093529883</v>
      </c>
    </row>
    <row r="52" customFormat="false" ht="18" hidden="false" customHeight="true" outlineLevel="0" collapsed="false">
      <c r="A52" s="23" t="n">
        <f aca="false">IF($H$51&lt;=0,"",43)</f>
        <v>43</v>
      </c>
      <c r="B52" s="24" t="n">
        <f aca="false">IF($H$51&lt;=0,"",EDATE('Übersicht &amp; Eingaben'!$C$12,42))</f>
        <v>47300</v>
      </c>
      <c r="C52" s="25" t="n">
        <f aca="false">IF($H$51&lt;=0,"",YEAR(B52))</f>
        <v>2029</v>
      </c>
      <c r="D52" s="26" t="n">
        <f aca="false">IF($H$51&lt;=0,0,MIN($H$51+($H$51*'Übersicht &amp; Eingaben'!$C$8/12),('Übersicht &amp; Eingaben'!$C$7*('Übersicht &amp; Eingaben'!$C$8+'Übersicht &amp; Eingaben'!$C$9)/12)))</f>
        <v>1312.5</v>
      </c>
      <c r="E52" s="26" t="n">
        <f aca="false">IF($H$51&lt;=0,0,($H$51*'Übersicht &amp; Eingaben'!$C$8/12))</f>
        <v>717.703129511295</v>
      </c>
      <c r="F52" s="26" t="n">
        <f aca="false">D52-E52</f>
        <v>594.796870488705</v>
      </c>
      <c r="G52" s="27" t="n">
        <f aca="false">IF($H$51&lt;=0,0,IF(MONTH(B52)=12,MIN('Übersicht &amp; Eingaben'!$C$13,$H$51-F52),0))</f>
        <v>0</v>
      </c>
      <c r="H52" s="28" t="n">
        <f aca="false">MAX($H$51-F52-G52,0)</f>
        <v>226048.296659394</v>
      </c>
    </row>
    <row r="53" customFormat="false" ht="18" hidden="false" customHeight="true" outlineLevel="0" collapsed="false">
      <c r="A53" s="29" t="n">
        <f aca="false">IF($H$52&lt;=0,"",44)</f>
        <v>44</v>
      </c>
      <c r="B53" s="30" t="n">
        <f aca="false">IF($H$52&lt;=0,"",EDATE('Übersicht &amp; Eingaben'!$C$12,43))</f>
        <v>47331</v>
      </c>
      <c r="C53" s="31" t="n">
        <f aca="false">IF($H$52&lt;=0,"",YEAR(B53))</f>
        <v>2029</v>
      </c>
      <c r="D53" s="32" t="n">
        <f aca="false">IF($H$52&lt;=0,0,MIN($H$52+($H$52*'Übersicht &amp; Eingaben'!$C$8/12),('Übersicht &amp; Eingaben'!$C$7*('Übersicht &amp; Eingaben'!$C$8+'Übersicht &amp; Eingaben'!$C$9)/12)))</f>
        <v>1312.5</v>
      </c>
      <c r="E53" s="32" t="n">
        <f aca="false">IF($H$52&lt;=0,0,($H$52*'Übersicht &amp; Eingaben'!$C$8/12))</f>
        <v>715.819606088081</v>
      </c>
      <c r="F53" s="32" t="n">
        <f aca="false">D53-E53</f>
        <v>596.680393911919</v>
      </c>
      <c r="G53" s="33" t="n">
        <f aca="false">IF($H$52&lt;=0,0,IF(MONTH(B53)=12,MIN('Übersicht &amp; Eingaben'!$C$13,$H$52-F53),0))</f>
        <v>0</v>
      </c>
      <c r="H53" s="34" t="n">
        <f aca="false">MAX($H$52-F53-G53,0)</f>
        <v>225451.616265482</v>
      </c>
    </row>
    <row r="54" customFormat="false" ht="18" hidden="false" customHeight="true" outlineLevel="0" collapsed="false">
      <c r="A54" s="23" t="n">
        <f aca="false">IF($H$53&lt;=0,"",45)</f>
        <v>45</v>
      </c>
      <c r="B54" s="24" t="n">
        <f aca="false">IF($H$53&lt;=0,"",EDATE('Übersicht &amp; Eingaben'!$C$12,44))</f>
        <v>47362</v>
      </c>
      <c r="C54" s="25" t="n">
        <f aca="false">IF($H$53&lt;=0,"",YEAR(B54))</f>
        <v>2029</v>
      </c>
      <c r="D54" s="26" t="n">
        <f aca="false">IF($H$53&lt;=0,0,MIN($H$53+($H$53*'Übersicht &amp; Eingaben'!$C$8/12),('Übersicht &amp; Eingaben'!$C$7*('Übersicht &amp; Eingaben'!$C$8+'Übersicht &amp; Eingaben'!$C$9)/12)))</f>
        <v>1312.5</v>
      </c>
      <c r="E54" s="26" t="n">
        <f aca="false">IF($H$53&lt;=0,0,($H$53*'Übersicht &amp; Eingaben'!$C$8/12))</f>
        <v>713.930118174026</v>
      </c>
      <c r="F54" s="26" t="n">
        <f aca="false">D54-E54</f>
        <v>598.569881825974</v>
      </c>
      <c r="G54" s="27" t="n">
        <f aca="false">IF($H$53&lt;=0,0,IF(MONTH(B54)=12,MIN('Übersicht &amp; Eingaben'!$C$13,$H$53-F54),0))</f>
        <v>0</v>
      </c>
      <c r="H54" s="28" t="n">
        <f aca="false">MAX($H$53-F54-G54,0)</f>
        <v>224853.046383656</v>
      </c>
    </row>
    <row r="55" customFormat="false" ht="18" hidden="false" customHeight="true" outlineLevel="0" collapsed="false">
      <c r="A55" s="29" t="n">
        <f aca="false">IF($H$54&lt;=0,"",46)</f>
        <v>46</v>
      </c>
      <c r="B55" s="30" t="n">
        <f aca="false">IF($H$54&lt;=0,"",EDATE('Übersicht &amp; Eingaben'!$C$12,45))</f>
        <v>47392</v>
      </c>
      <c r="C55" s="31" t="n">
        <f aca="false">IF($H$54&lt;=0,"",YEAR(B55))</f>
        <v>2029</v>
      </c>
      <c r="D55" s="32" t="n">
        <f aca="false">IF($H$54&lt;=0,0,MIN($H$54+($H$54*'Übersicht &amp; Eingaben'!$C$8/12),('Übersicht &amp; Eingaben'!$C$7*('Übersicht &amp; Eingaben'!$C$8+'Übersicht &amp; Eingaben'!$C$9)/12)))</f>
        <v>1312.5</v>
      </c>
      <c r="E55" s="32" t="n">
        <f aca="false">IF($H$54&lt;=0,0,($H$54*'Übersicht &amp; Eingaben'!$C$8/12))</f>
        <v>712.034646881577</v>
      </c>
      <c r="F55" s="32" t="n">
        <f aca="false">D55-E55</f>
        <v>600.465353118423</v>
      </c>
      <c r="G55" s="33" t="n">
        <f aca="false">IF($H$54&lt;=0,0,IF(MONTH(B55)=12,MIN('Übersicht &amp; Eingaben'!$C$13,$H$54-F55),0))</f>
        <v>0</v>
      </c>
      <c r="H55" s="34" t="n">
        <f aca="false">MAX($H$54-F55-G55,0)</f>
        <v>224252.581030538</v>
      </c>
    </row>
    <row r="56" customFormat="false" ht="18" hidden="false" customHeight="true" outlineLevel="0" collapsed="false">
      <c r="A56" s="23" t="n">
        <f aca="false">IF($H$55&lt;=0,"",47)</f>
        <v>47</v>
      </c>
      <c r="B56" s="24" t="n">
        <f aca="false">IF($H$55&lt;=0,"",EDATE('Übersicht &amp; Eingaben'!$C$12,46))</f>
        <v>47423</v>
      </c>
      <c r="C56" s="25" t="n">
        <f aca="false">IF($H$55&lt;=0,"",YEAR(B56))</f>
        <v>2029</v>
      </c>
      <c r="D56" s="26" t="n">
        <f aca="false">IF($H$55&lt;=0,0,MIN($H$55+($H$55*'Übersicht &amp; Eingaben'!$C$8/12),('Übersicht &amp; Eingaben'!$C$7*('Übersicht &amp; Eingaben'!$C$8+'Übersicht &amp; Eingaben'!$C$9)/12)))</f>
        <v>1312.5</v>
      </c>
      <c r="E56" s="26" t="n">
        <f aca="false">IF($H$55&lt;=0,0,($H$55*'Übersicht &amp; Eingaben'!$C$8/12))</f>
        <v>710.133173263369</v>
      </c>
      <c r="F56" s="26" t="n">
        <f aca="false">D56-E56</f>
        <v>602.366826736631</v>
      </c>
      <c r="G56" s="27" t="n">
        <f aca="false">IF($H$55&lt;=0,0,IF(MONTH(B56)=12,MIN('Übersicht &amp; Eingaben'!$C$13,$H$55-F56),0))</f>
        <v>0</v>
      </c>
      <c r="H56" s="28" t="n">
        <f aca="false">MAX($H$55-F56-G56,0)</f>
        <v>223650.214203801</v>
      </c>
    </row>
    <row r="57" customFormat="false" ht="18" hidden="false" customHeight="true" outlineLevel="0" collapsed="false">
      <c r="A57" s="29" t="n">
        <f aca="false">IF($H$56&lt;=0,"",48)</f>
        <v>48</v>
      </c>
      <c r="B57" s="30" t="n">
        <f aca="false">IF($H$56&lt;=0,"",EDATE('Übersicht &amp; Eingaben'!$C$12,47))</f>
        <v>47453</v>
      </c>
      <c r="C57" s="31" t="n">
        <f aca="false">IF($H$56&lt;=0,"",YEAR(B57))</f>
        <v>2029</v>
      </c>
      <c r="D57" s="32" t="n">
        <f aca="false">IF($H$56&lt;=0,0,MIN($H$56+($H$56*'Übersicht &amp; Eingaben'!$C$8/12),('Übersicht &amp; Eingaben'!$C$7*('Übersicht &amp; Eingaben'!$C$8+'Übersicht &amp; Eingaben'!$C$9)/12)))</f>
        <v>1312.5</v>
      </c>
      <c r="E57" s="32" t="n">
        <f aca="false">IF($H$56&lt;=0,0,($H$56*'Übersicht &amp; Eingaben'!$C$8/12))</f>
        <v>708.225678312036</v>
      </c>
      <c r="F57" s="32" t="n">
        <f aca="false">D57-E57</f>
        <v>604.274321687964</v>
      </c>
      <c r="G57" s="33" t="n">
        <f aca="false">IF($H$56&lt;=0,0,IF(MONTH(B57)=12,MIN('Übersicht &amp; Eingaben'!$C$13,$H$56-F57),0))</f>
        <v>0</v>
      </c>
      <c r="H57" s="34" t="n">
        <f aca="false">MAX($H$56-F57-G57,0)</f>
        <v>223045.939882113</v>
      </c>
    </row>
    <row r="58" customFormat="false" ht="18" hidden="false" customHeight="true" outlineLevel="0" collapsed="false">
      <c r="A58" s="23" t="n">
        <f aca="false">IF($H$57&lt;=0,"",49)</f>
        <v>49</v>
      </c>
      <c r="B58" s="24" t="n">
        <f aca="false">IF($H$57&lt;=0,"",EDATE('Übersicht &amp; Eingaben'!$C$12,48))</f>
        <v>47484</v>
      </c>
      <c r="C58" s="25" t="n">
        <f aca="false">IF($H$57&lt;=0,"",YEAR(B58))</f>
        <v>2030</v>
      </c>
      <c r="D58" s="26" t="n">
        <f aca="false">IF($H$57&lt;=0,0,MIN($H$57+($H$57*'Übersicht &amp; Eingaben'!$C$8/12),('Übersicht &amp; Eingaben'!$C$7*('Übersicht &amp; Eingaben'!$C$8+'Übersicht &amp; Eingaben'!$C$9)/12)))</f>
        <v>1312.5</v>
      </c>
      <c r="E58" s="26" t="n">
        <f aca="false">IF($H$57&lt;=0,0,($H$57*'Übersicht &amp; Eingaben'!$C$8/12))</f>
        <v>706.312142960025</v>
      </c>
      <c r="F58" s="26" t="n">
        <f aca="false">D58-E58</f>
        <v>606.187857039976</v>
      </c>
      <c r="G58" s="27" t="n">
        <f aca="false">IF($H$57&lt;=0,0,IF(MONTH(B58)=12,MIN('Übersicht &amp; Eingaben'!$C$13,$H$57-F58),0))</f>
        <v>0</v>
      </c>
      <c r="H58" s="28" t="n">
        <f aca="false">MAX($H$57-F58-G58,0)</f>
        <v>222439.752025073</v>
      </c>
    </row>
    <row r="59" customFormat="false" ht="18" hidden="false" customHeight="true" outlineLevel="0" collapsed="false">
      <c r="A59" s="29" t="n">
        <f aca="false">IF($H$58&lt;=0,"",50)</f>
        <v>50</v>
      </c>
      <c r="B59" s="30" t="n">
        <f aca="false">IF($H$58&lt;=0,"",EDATE('Übersicht &amp; Eingaben'!$C$12,49))</f>
        <v>47515</v>
      </c>
      <c r="C59" s="31" t="n">
        <f aca="false">IF($H$58&lt;=0,"",YEAR(B59))</f>
        <v>2030</v>
      </c>
      <c r="D59" s="32" t="n">
        <f aca="false">IF($H$58&lt;=0,0,MIN($H$58+($H$58*'Übersicht &amp; Eingaben'!$C$8/12),('Übersicht &amp; Eingaben'!$C$7*('Übersicht &amp; Eingaben'!$C$8+'Übersicht &amp; Eingaben'!$C$9)/12)))</f>
        <v>1312.5</v>
      </c>
      <c r="E59" s="32" t="n">
        <f aca="false">IF($H$58&lt;=0,0,($H$58*'Übersicht &amp; Eingaben'!$C$8/12))</f>
        <v>704.392548079398</v>
      </c>
      <c r="F59" s="32" t="n">
        <f aca="false">D59-E59</f>
        <v>608.107451920602</v>
      </c>
      <c r="G59" s="33" t="n">
        <f aca="false">IF($H$58&lt;=0,0,IF(MONTH(B59)=12,MIN('Übersicht &amp; Eingaben'!$C$13,$H$58-F59),0))</f>
        <v>0</v>
      </c>
      <c r="H59" s="34" t="n">
        <f aca="false">MAX($H$58-F59-G59,0)</f>
        <v>221831.644573152</v>
      </c>
    </row>
    <row r="60" customFormat="false" ht="18" hidden="false" customHeight="true" outlineLevel="0" collapsed="false">
      <c r="A60" s="23" t="n">
        <f aca="false">IF($H$59&lt;=0,"",51)</f>
        <v>51</v>
      </c>
      <c r="B60" s="24" t="n">
        <f aca="false">IF($H$59&lt;=0,"",EDATE('Übersicht &amp; Eingaben'!$C$12,50))</f>
        <v>47543</v>
      </c>
      <c r="C60" s="25" t="n">
        <f aca="false">IF($H$59&lt;=0,"",YEAR(B60))</f>
        <v>2030</v>
      </c>
      <c r="D60" s="26" t="n">
        <f aca="false">IF($H$59&lt;=0,0,MIN($H$59+($H$59*'Übersicht &amp; Eingaben'!$C$8/12),('Übersicht &amp; Eingaben'!$C$7*('Übersicht &amp; Eingaben'!$C$8+'Übersicht &amp; Eingaben'!$C$9)/12)))</f>
        <v>1312.5</v>
      </c>
      <c r="E60" s="26" t="n">
        <f aca="false">IF($H$59&lt;=0,0,($H$59*'Übersicht &amp; Eingaben'!$C$8/12))</f>
        <v>702.466874481649</v>
      </c>
      <c r="F60" s="26" t="n">
        <f aca="false">D60-E60</f>
        <v>610.033125518351</v>
      </c>
      <c r="G60" s="27" t="n">
        <f aca="false">IF($H$59&lt;=0,0,IF(MONTH(B60)=12,MIN('Übersicht &amp; Eingaben'!$C$13,$H$59-F60),0))</f>
        <v>0</v>
      </c>
      <c r="H60" s="28" t="n">
        <f aca="false">MAX($H$59-F60-G60,0)</f>
        <v>221221.611447634</v>
      </c>
    </row>
    <row r="61" customFormat="false" ht="18" hidden="false" customHeight="true" outlineLevel="0" collapsed="false">
      <c r="A61" s="29" t="n">
        <f aca="false">IF($H$60&lt;=0,"",52)</f>
        <v>52</v>
      </c>
      <c r="B61" s="30" t="n">
        <f aca="false">IF($H$60&lt;=0,"",EDATE('Übersicht &amp; Eingaben'!$C$12,51))</f>
        <v>47574</v>
      </c>
      <c r="C61" s="31" t="n">
        <f aca="false">IF($H$60&lt;=0,"",YEAR(B61))</f>
        <v>2030</v>
      </c>
      <c r="D61" s="32" t="n">
        <f aca="false">IF($H$60&lt;=0,0,MIN($H$60+($H$60*'Übersicht &amp; Eingaben'!$C$8/12),('Übersicht &amp; Eingaben'!$C$7*('Übersicht &amp; Eingaben'!$C$8+'Übersicht &amp; Eingaben'!$C$9)/12)))</f>
        <v>1312.5</v>
      </c>
      <c r="E61" s="32" t="n">
        <f aca="false">IF($H$60&lt;=0,0,($H$60*'Übersicht &amp; Eingaben'!$C$8/12))</f>
        <v>700.535102917508</v>
      </c>
      <c r="F61" s="32" t="n">
        <f aca="false">D61-E61</f>
        <v>611.964897082492</v>
      </c>
      <c r="G61" s="33" t="n">
        <f aca="false">IF($H$60&lt;=0,0,IF(MONTH(B61)=12,MIN('Übersicht &amp; Eingaben'!$C$13,$H$60-F61),0))</f>
        <v>0</v>
      </c>
      <c r="H61" s="34" t="n">
        <f aca="false">MAX($H$60-F61-G61,0)</f>
        <v>220609.646550552</v>
      </c>
    </row>
    <row r="62" customFormat="false" ht="18" hidden="false" customHeight="true" outlineLevel="0" collapsed="false">
      <c r="A62" s="23" t="n">
        <f aca="false">IF($H$61&lt;=0,"",53)</f>
        <v>53</v>
      </c>
      <c r="B62" s="24" t="n">
        <f aca="false">IF($H$61&lt;=0,"",EDATE('Übersicht &amp; Eingaben'!$C$12,52))</f>
        <v>47604</v>
      </c>
      <c r="C62" s="25" t="n">
        <f aca="false">IF($H$61&lt;=0,"",YEAR(B62))</f>
        <v>2030</v>
      </c>
      <c r="D62" s="26" t="n">
        <f aca="false">IF($H$61&lt;=0,0,MIN($H$61+($H$61*'Übersicht &amp; Eingaben'!$C$8/12),('Übersicht &amp; Eingaben'!$C$7*('Übersicht &amp; Eingaben'!$C$8+'Übersicht &amp; Eingaben'!$C$9)/12)))</f>
        <v>1312.5</v>
      </c>
      <c r="E62" s="26" t="n">
        <f aca="false">IF($H$61&lt;=0,0,($H$61*'Übersicht &amp; Eingaben'!$C$8/12))</f>
        <v>698.597214076747</v>
      </c>
      <c r="F62" s="26" t="n">
        <f aca="false">D62-E62</f>
        <v>613.902785923253</v>
      </c>
      <c r="G62" s="27" t="n">
        <f aca="false">IF($H$61&lt;=0,0,IF(MONTH(B62)=12,MIN('Übersicht &amp; Eingaben'!$C$13,$H$61-F62),0))</f>
        <v>0</v>
      </c>
      <c r="H62" s="28" t="n">
        <f aca="false">MAX($H$61-F62-G62,0)</f>
        <v>219995.743764628</v>
      </c>
    </row>
    <row r="63" customFormat="false" ht="18" hidden="false" customHeight="true" outlineLevel="0" collapsed="false">
      <c r="A63" s="29" t="n">
        <f aca="false">IF($H$62&lt;=0,"",54)</f>
        <v>54</v>
      </c>
      <c r="B63" s="30" t="n">
        <f aca="false">IF($H$62&lt;=0,"",EDATE('Übersicht &amp; Eingaben'!$C$12,53))</f>
        <v>47635</v>
      </c>
      <c r="C63" s="31" t="n">
        <f aca="false">IF($H$62&lt;=0,"",YEAR(B63))</f>
        <v>2030</v>
      </c>
      <c r="D63" s="32" t="n">
        <f aca="false">IF($H$62&lt;=0,0,MIN($H$62+($H$62*'Übersicht &amp; Eingaben'!$C$8/12),('Übersicht &amp; Eingaben'!$C$7*('Übersicht &amp; Eingaben'!$C$8+'Übersicht &amp; Eingaben'!$C$9)/12)))</f>
        <v>1312.5</v>
      </c>
      <c r="E63" s="32" t="n">
        <f aca="false">IF($H$62&lt;=0,0,($H$62*'Übersicht &amp; Eingaben'!$C$8/12))</f>
        <v>696.65318858799</v>
      </c>
      <c r="F63" s="32" t="n">
        <f aca="false">D63-E63</f>
        <v>615.84681141201</v>
      </c>
      <c r="G63" s="33" t="n">
        <f aca="false">IF($H$62&lt;=0,0,IF(MONTH(B63)=12,MIN('Übersicht &amp; Eingaben'!$C$13,$H$62-F63),0))</f>
        <v>0</v>
      </c>
      <c r="H63" s="34" t="n">
        <f aca="false">MAX($H$62-F63-G63,0)</f>
        <v>219379.896953216</v>
      </c>
    </row>
    <row r="64" customFormat="false" ht="18" hidden="false" customHeight="true" outlineLevel="0" collapsed="false">
      <c r="A64" s="23" t="n">
        <f aca="false">IF($H$63&lt;=0,"",55)</f>
        <v>55</v>
      </c>
      <c r="B64" s="24" t="n">
        <f aca="false">IF($H$63&lt;=0,"",EDATE('Übersicht &amp; Eingaben'!$C$12,54))</f>
        <v>47665</v>
      </c>
      <c r="C64" s="25" t="n">
        <f aca="false">IF($H$63&lt;=0,"",YEAR(B64))</f>
        <v>2030</v>
      </c>
      <c r="D64" s="26" t="n">
        <f aca="false">IF($H$63&lt;=0,0,MIN($H$63+($H$63*'Übersicht &amp; Eingaben'!$C$8/12),('Übersicht &amp; Eingaben'!$C$7*('Übersicht &amp; Eingaben'!$C$8+'Übersicht &amp; Eingaben'!$C$9)/12)))</f>
        <v>1312.5</v>
      </c>
      <c r="E64" s="26" t="n">
        <f aca="false">IF($H$63&lt;=0,0,($H$63*'Übersicht &amp; Eingaben'!$C$8/12))</f>
        <v>694.703007018518</v>
      </c>
      <c r="F64" s="26" t="n">
        <f aca="false">D64-E64</f>
        <v>617.796992981482</v>
      </c>
      <c r="G64" s="27" t="n">
        <f aca="false">IF($H$63&lt;=0,0,IF(MONTH(B64)=12,MIN('Übersicht &amp; Eingaben'!$C$13,$H$63-F64),0))</f>
        <v>0</v>
      </c>
      <c r="H64" s="28" t="n">
        <f aca="false">MAX($H$63-F64-G64,0)</f>
        <v>218762.099960235</v>
      </c>
    </row>
    <row r="65" customFormat="false" ht="18" hidden="false" customHeight="true" outlineLevel="0" collapsed="false">
      <c r="A65" s="29" t="n">
        <f aca="false">IF($H$64&lt;=0,"",56)</f>
        <v>56</v>
      </c>
      <c r="B65" s="30" t="n">
        <f aca="false">IF($H$64&lt;=0,"",EDATE('Übersicht &amp; Eingaben'!$C$12,55))</f>
        <v>47696</v>
      </c>
      <c r="C65" s="31" t="n">
        <f aca="false">IF($H$64&lt;=0,"",YEAR(B65))</f>
        <v>2030</v>
      </c>
      <c r="D65" s="32" t="n">
        <f aca="false">IF($H$64&lt;=0,0,MIN($H$64+($H$64*'Übersicht &amp; Eingaben'!$C$8/12),('Übersicht &amp; Eingaben'!$C$7*('Übersicht &amp; Eingaben'!$C$8+'Übersicht &amp; Eingaben'!$C$9)/12)))</f>
        <v>1312.5</v>
      </c>
      <c r="E65" s="32" t="n">
        <f aca="false">IF($H$64&lt;=0,0,($H$64*'Übersicht &amp; Eingaben'!$C$8/12))</f>
        <v>692.746649874077</v>
      </c>
      <c r="F65" s="32" t="n">
        <f aca="false">D65-E65</f>
        <v>619.753350125923</v>
      </c>
      <c r="G65" s="33" t="n">
        <f aca="false">IF($H$64&lt;=0,0,IF(MONTH(B65)=12,MIN('Übersicht &amp; Eingaben'!$C$13,$H$64-F65),0))</f>
        <v>0</v>
      </c>
      <c r="H65" s="34" t="n">
        <f aca="false">MAX($H$64-F65-G65,0)</f>
        <v>218142.346610109</v>
      </c>
    </row>
    <row r="66" customFormat="false" ht="18" hidden="false" customHeight="true" outlineLevel="0" collapsed="false">
      <c r="A66" s="23" t="n">
        <f aca="false">IF($H$65&lt;=0,"",57)</f>
        <v>57</v>
      </c>
      <c r="B66" s="24" t="n">
        <f aca="false">IF($H$65&lt;=0,"",EDATE('Übersicht &amp; Eingaben'!$C$12,56))</f>
        <v>47727</v>
      </c>
      <c r="C66" s="25" t="n">
        <f aca="false">IF($H$65&lt;=0,"",YEAR(B66))</f>
        <v>2030</v>
      </c>
      <c r="D66" s="26" t="n">
        <f aca="false">IF($H$65&lt;=0,0,MIN($H$65+($H$65*'Übersicht &amp; Eingaben'!$C$8/12),('Übersicht &amp; Eingaben'!$C$7*('Übersicht &amp; Eingaben'!$C$8+'Übersicht &amp; Eingaben'!$C$9)/12)))</f>
        <v>1312.5</v>
      </c>
      <c r="E66" s="26" t="n">
        <f aca="false">IF($H$65&lt;=0,0,($H$65*'Übersicht &amp; Eingaben'!$C$8/12))</f>
        <v>690.784097598678</v>
      </c>
      <c r="F66" s="26" t="n">
        <f aca="false">D66-E66</f>
        <v>621.715902401322</v>
      </c>
      <c r="G66" s="27" t="n">
        <f aca="false">IF($H$65&lt;=0,0,IF(MONTH(B66)=12,MIN('Übersicht &amp; Eingaben'!$C$13,$H$65-F66),0))</f>
        <v>0</v>
      </c>
      <c r="H66" s="28" t="n">
        <f aca="false">MAX($H$65-F66-G66,0)</f>
        <v>217520.630707708</v>
      </c>
    </row>
    <row r="67" customFormat="false" ht="18" hidden="false" customHeight="true" outlineLevel="0" collapsed="false">
      <c r="A67" s="29" t="n">
        <f aca="false">IF($H$66&lt;=0,"",58)</f>
        <v>58</v>
      </c>
      <c r="B67" s="30" t="n">
        <f aca="false">IF($H$66&lt;=0,"",EDATE('Übersicht &amp; Eingaben'!$C$12,57))</f>
        <v>47757</v>
      </c>
      <c r="C67" s="31" t="n">
        <f aca="false">IF($H$66&lt;=0,"",YEAR(B67))</f>
        <v>2030</v>
      </c>
      <c r="D67" s="32" t="n">
        <f aca="false">IF($H$66&lt;=0,0,MIN($H$66+($H$66*'Übersicht &amp; Eingaben'!$C$8/12),('Übersicht &amp; Eingaben'!$C$7*('Übersicht &amp; Eingaben'!$C$8+'Übersicht &amp; Eingaben'!$C$9)/12)))</f>
        <v>1312.5</v>
      </c>
      <c r="E67" s="32" t="n">
        <f aca="false">IF($H$66&lt;=0,0,($H$66*'Übersicht &amp; Eingaben'!$C$8/12))</f>
        <v>688.815330574407</v>
      </c>
      <c r="F67" s="32" t="n">
        <f aca="false">D67-E67</f>
        <v>623.684669425593</v>
      </c>
      <c r="G67" s="33" t="n">
        <f aca="false">IF($H$66&lt;=0,0,IF(MONTH(B67)=12,MIN('Übersicht &amp; Eingaben'!$C$13,$H$66-F67),0))</f>
        <v>0</v>
      </c>
      <c r="H67" s="34" t="n">
        <f aca="false">MAX($H$66-F67-G67,0)</f>
        <v>216896.946038282</v>
      </c>
    </row>
    <row r="68" customFormat="false" ht="18" hidden="false" customHeight="true" outlineLevel="0" collapsed="false">
      <c r="A68" s="23" t="n">
        <f aca="false">IF($H$67&lt;=0,"",59)</f>
        <v>59</v>
      </c>
      <c r="B68" s="24" t="n">
        <f aca="false">IF($H$67&lt;=0,"",EDATE('Übersicht &amp; Eingaben'!$C$12,58))</f>
        <v>47788</v>
      </c>
      <c r="C68" s="25" t="n">
        <f aca="false">IF($H$67&lt;=0,"",YEAR(B68))</f>
        <v>2030</v>
      </c>
      <c r="D68" s="26" t="n">
        <f aca="false">IF($H$67&lt;=0,0,MIN($H$67+($H$67*'Übersicht &amp; Eingaben'!$C$8/12),('Übersicht &amp; Eingaben'!$C$7*('Übersicht &amp; Eingaben'!$C$8+'Übersicht &amp; Eingaben'!$C$9)/12)))</f>
        <v>1312.5</v>
      </c>
      <c r="E68" s="26" t="n">
        <f aca="false">IF($H$67&lt;=0,0,($H$67*'Übersicht &amp; Eingaben'!$C$8/12))</f>
        <v>686.840329121226</v>
      </c>
      <c r="F68" s="26" t="n">
        <f aca="false">D68-E68</f>
        <v>625.659670878774</v>
      </c>
      <c r="G68" s="27" t="n">
        <f aca="false">IF($H$67&lt;=0,0,IF(MONTH(B68)=12,MIN('Übersicht &amp; Eingaben'!$C$13,$H$67-F68),0))</f>
        <v>0</v>
      </c>
      <c r="H68" s="28" t="n">
        <f aca="false">MAX($H$67-F68-G68,0)</f>
        <v>216271.286367403</v>
      </c>
    </row>
    <row r="69" customFormat="false" ht="18" hidden="false" customHeight="true" outlineLevel="0" collapsed="false">
      <c r="A69" s="29" t="n">
        <f aca="false">IF($H$68&lt;=0,"",60)</f>
        <v>60</v>
      </c>
      <c r="B69" s="30" t="n">
        <f aca="false">IF($H$68&lt;=0,"",EDATE('Übersicht &amp; Eingaben'!$C$12,59))</f>
        <v>47818</v>
      </c>
      <c r="C69" s="31" t="n">
        <f aca="false">IF($H$68&lt;=0,"",YEAR(B69))</f>
        <v>2030</v>
      </c>
      <c r="D69" s="32" t="n">
        <f aca="false">IF($H$68&lt;=0,0,MIN($H$68+($H$68*'Übersicht &amp; Eingaben'!$C$8/12),('Übersicht &amp; Eingaben'!$C$7*('Übersicht &amp; Eingaben'!$C$8+'Übersicht &amp; Eingaben'!$C$9)/12)))</f>
        <v>1312.5</v>
      </c>
      <c r="E69" s="32" t="n">
        <f aca="false">IF($H$68&lt;=0,0,($H$68*'Übersicht &amp; Eingaben'!$C$8/12))</f>
        <v>684.859073496777</v>
      </c>
      <c r="F69" s="32" t="n">
        <f aca="false">D69-E69</f>
        <v>627.640926503223</v>
      </c>
      <c r="G69" s="33" t="n">
        <f aca="false">IF($H$68&lt;=0,0,IF(MONTH(B69)=12,MIN('Übersicht &amp; Eingaben'!$C$13,$H$68-F69),0))</f>
        <v>0</v>
      </c>
      <c r="H69" s="34" t="n">
        <f aca="false">MAX($H$68-F69-G69,0)</f>
        <v>215643.6454409</v>
      </c>
    </row>
    <row r="70" customFormat="false" ht="18" hidden="false" customHeight="true" outlineLevel="0" collapsed="false">
      <c r="A70" s="23" t="n">
        <f aca="false">IF($H$69&lt;=0,"",61)</f>
        <v>61</v>
      </c>
      <c r="B70" s="24" t="n">
        <f aca="false">IF($H$69&lt;=0,"",EDATE('Übersicht &amp; Eingaben'!$C$12,60))</f>
        <v>47849</v>
      </c>
      <c r="C70" s="25" t="n">
        <f aca="false">IF($H$69&lt;=0,"",YEAR(B70))</f>
        <v>2031</v>
      </c>
      <c r="D70" s="26" t="n">
        <f aca="false">IF($H$69&lt;=0,0,MIN($H$69+($H$69*'Übersicht &amp; Eingaben'!$C$8/12),('Übersicht &amp; Eingaben'!$C$7*('Übersicht &amp; Eingaben'!$C$8+'Übersicht &amp; Eingaben'!$C$9)/12)))</f>
        <v>1312.5</v>
      </c>
      <c r="E70" s="26" t="n">
        <f aca="false">IF($H$69&lt;=0,0,($H$69*'Übersicht &amp; Eingaben'!$C$8/12))</f>
        <v>682.871543896183</v>
      </c>
      <c r="F70" s="26" t="n">
        <f aca="false">D70-E70</f>
        <v>629.628456103817</v>
      </c>
      <c r="G70" s="27" t="n">
        <f aca="false">IF($H$69&lt;=0,0,IF(MONTH(B70)=12,MIN('Übersicht &amp; Eingaben'!$C$13,$H$69-F70),0))</f>
        <v>0</v>
      </c>
      <c r="H70" s="28" t="n">
        <f aca="false">MAX($H$69-F70-G70,0)</f>
        <v>215014.016984796</v>
      </c>
    </row>
    <row r="71" customFormat="false" ht="18" hidden="false" customHeight="true" outlineLevel="0" collapsed="false">
      <c r="A71" s="29" t="n">
        <f aca="false">IF($H$70&lt;=0,"",62)</f>
        <v>62</v>
      </c>
      <c r="B71" s="30" t="n">
        <f aca="false">IF($H$70&lt;=0,"",EDATE('Übersicht &amp; Eingaben'!$C$12,61))</f>
        <v>47880</v>
      </c>
      <c r="C71" s="31" t="n">
        <f aca="false">IF($H$70&lt;=0,"",YEAR(B71))</f>
        <v>2031</v>
      </c>
      <c r="D71" s="32" t="n">
        <f aca="false">IF($H$70&lt;=0,0,MIN($H$70+($H$70*'Übersicht &amp; Eingaben'!$C$8/12),('Übersicht &amp; Eingaben'!$C$7*('Übersicht &amp; Eingaben'!$C$8+'Übersicht &amp; Eingaben'!$C$9)/12)))</f>
        <v>1312.5</v>
      </c>
      <c r="E71" s="32" t="n">
        <f aca="false">IF($H$70&lt;=0,0,($H$70*'Übersicht &amp; Eingaben'!$C$8/12))</f>
        <v>680.877720451855</v>
      </c>
      <c r="F71" s="32" t="n">
        <f aca="false">D71-E71</f>
        <v>631.622279548146</v>
      </c>
      <c r="G71" s="33" t="n">
        <f aca="false">IF($H$70&lt;=0,0,IF(MONTH(B71)=12,MIN('Übersicht &amp; Eingaben'!$C$13,$H$70-F71),0))</f>
        <v>0</v>
      </c>
      <c r="H71" s="34" t="n">
        <f aca="false">MAX($H$70-F71-G71,0)</f>
        <v>214382.394705248</v>
      </c>
    </row>
    <row r="72" customFormat="false" ht="18" hidden="false" customHeight="true" outlineLevel="0" collapsed="false">
      <c r="A72" s="23" t="n">
        <f aca="false">IF($H$71&lt;=0,"",63)</f>
        <v>63</v>
      </c>
      <c r="B72" s="24" t="n">
        <f aca="false">IF($H$71&lt;=0,"",EDATE('Übersicht &amp; Eingaben'!$C$12,62))</f>
        <v>47908</v>
      </c>
      <c r="C72" s="25" t="n">
        <f aca="false">IF($H$71&lt;=0,"",YEAR(B72))</f>
        <v>2031</v>
      </c>
      <c r="D72" s="26" t="n">
        <f aca="false">IF($H$71&lt;=0,0,MIN($H$71+($H$71*'Übersicht &amp; Eingaben'!$C$8/12),('Übersicht &amp; Eingaben'!$C$7*('Übersicht &amp; Eingaben'!$C$8+'Übersicht &amp; Eingaben'!$C$9)/12)))</f>
        <v>1312.5</v>
      </c>
      <c r="E72" s="26" t="n">
        <f aca="false">IF($H$71&lt;=0,0,($H$71*'Übersicht &amp; Eingaben'!$C$8/12))</f>
        <v>678.877583233286</v>
      </c>
      <c r="F72" s="26" t="n">
        <f aca="false">D72-E72</f>
        <v>633.622416766715</v>
      </c>
      <c r="G72" s="27" t="n">
        <f aca="false">IF($H$71&lt;=0,0,IF(MONTH(B72)=12,MIN('Übersicht &amp; Eingaben'!$C$13,$H$71-F72),0))</f>
        <v>0</v>
      </c>
      <c r="H72" s="28" t="n">
        <f aca="false">MAX($H$71-F72-G72,0)</f>
        <v>213748.772288481</v>
      </c>
    </row>
    <row r="73" customFormat="false" ht="18" hidden="false" customHeight="true" outlineLevel="0" collapsed="false">
      <c r="A73" s="29" t="n">
        <f aca="false">IF($H$72&lt;=0,"",64)</f>
        <v>64</v>
      </c>
      <c r="B73" s="30" t="n">
        <f aca="false">IF($H$72&lt;=0,"",EDATE('Übersicht &amp; Eingaben'!$C$12,63))</f>
        <v>47939</v>
      </c>
      <c r="C73" s="31" t="n">
        <f aca="false">IF($H$72&lt;=0,"",YEAR(B73))</f>
        <v>2031</v>
      </c>
      <c r="D73" s="32" t="n">
        <f aca="false">IF($H$72&lt;=0,0,MIN($H$72+($H$72*'Übersicht &amp; Eingaben'!$C$8/12),('Übersicht &amp; Eingaben'!$C$7*('Übersicht &amp; Eingaben'!$C$8+'Übersicht &amp; Eingaben'!$C$9)/12)))</f>
        <v>1312.5</v>
      </c>
      <c r="E73" s="32" t="n">
        <f aca="false">IF($H$72&lt;=0,0,($H$72*'Übersicht &amp; Eingaben'!$C$8/12))</f>
        <v>676.871112246858</v>
      </c>
      <c r="F73" s="32" t="n">
        <f aca="false">D73-E73</f>
        <v>635.628887753143</v>
      </c>
      <c r="G73" s="33" t="n">
        <f aca="false">IF($H$72&lt;=0,0,IF(MONTH(B73)=12,MIN('Übersicht &amp; Eingaben'!$C$13,$H$72-F73),0))</f>
        <v>0</v>
      </c>
      <c r="H73" s="34" t="n">
        <f aca="false">MAX($H$72-F73-G73,0)</f>
        <v>213113.143400728</v>
      </c>
    </row>
    <row r="74" customFormat="false" ht="18" hidden="false" customHeight="true" outlineLevel="0" collapsed="false">
      <c r="A74" s="23" t="n">
        <f aca="false">IF($H$73&lt;=0,"",65)</f>
        <v>65</v>
      </c>
      <c r="B74" s="24" t="n">
        <f aca="false">IF($H$73&lt;=0,"",EDATE('Übersicht &amp; Eingaben'!$C$12,64))</f>
        <v>47969</v>
      </c>
      <c r="C74" s="25" t="n">
        <f aca="false">IF($H$73&lt;=0,"",YEAR(B74))</f>
        <v>2031</v>
      </c>
      <c r="D74" s="26" t="n">
        <f aca="false">IF($H$73&lt;=0,0,MIN($H$73+($H$73*'Übersicht &amp; Eingaben'!$C$8/12),('Übersicht &amp; Eingaben'!$C$7*('Übersicht &amp; Eingaben'!$C$8+'Übersicht &amp; Eingaben'!$C$9)/12)))</f>
        <v>1312.5</v>
      </c>
      <c r="E74" s="26" t="n">
        <f aca="false">IF($H$73&lt;=0,0,($H$73*'Übersicht &amp; Eingaben'!$C$8/12))</f>
        <v>674.858287435639</v>
      </c>
      <c r="F74" s="26" t="n">
        <f aca="false">D74-E74</f>
        <v>637.641712564361</v>
      </c>
      <c r="G74" s="27" t="n">
        <f aca="false">IF($H$73&lt;=0,0,IF(MONTH(B74)=12,MIN('Übersicht &amp; Eingaben'!$C$13,$H$73-F74),0))</f>
        <v>0</v>
      </c>
      <c r="H74" s="28" t="n">
        <f aca="false">MAX($H$73-F74-G74,0)</f>
        <v>212475.501688164</v>
      </c>
    </row>
    <row r="75" customFormat="false" ht="18" hidden="false" customHeight="true" outlineLevel="0" collapsed="false">
      <c r="A75" s="29" t="n">
        <f aca="false">IF($H$74&lt;=0,"",66)</f>
        <v>66</v>
      </c>
      <c r="B75" s="30" t="n">
        <f aca="false">IF($H$74&lt;=0,"",EDATE('Übersicht &amp; Eingaben'!$C$12,65))</f>
        <v>48000</v>
      </c>
      <c r="C75" s="31" t="n">
        <f aca="false">IF($H$74&lt;=0,"",YEAR(B75))</f>
        <v>2031</v>
      </c>
      <c r="D75" s="32" t="n">
        <f aca="false">IF($H$74&lt;=0,0,MIN($H$74+($H$74*'Übersicht &amp; Eingaben'!$C$8/12),('Übersicht &amp; Eingaben'!$C$7*('Übersicht &amp; Eingaben'!$C$8+'Übersicht &amp; Eingaben'!$C$9)/12)))</f>
        <v>1312.5</v>
      </c>
      <c r="E75" s="32" t="n">
        <f aca="false">IF($H$74&lt;=0,0,($H$74*'Übersicht &amp; Eingaben'!$C$8/12))</f>
        <v>672.839088679186</v>
      </c>
      <c r="F75" s="32" t="n">
        <f aca="false">D75-E75</f>
        <v>639.660911320815</v>
      </c>
      <c r="G75" s="33" t="n">
        <f aca="false">IF($H$74&lt;=0,0,IF(MONTH(B75)=12,MIN('Übersicht &amp; Eingaben'!$C$13,$H$74-F75),0))</f>
        <v>0</v>
      </c>
      <c r="H75" s="34" t="n">
        <f aca="false">MAX($H$74-F75-G75,0)</f>
        <v>211835.840776843</v>
      </c>
    </row>
    <row r="76" customFormat="false" ht="18" hidden="false" customHeight="true" outlineLevel="0" collapsed="false">
      <c r="A76" s="23" t="n">
        <f aca="false">IF($H$75&lt;=0,"",67)</f>
        <v>67</v>
      </c>
      <c r="B76" s="24" t="n">
        <f aca="false">IF($H$75&lt;=0,"",EDATE('Übersicht &amp; Eingaben'!$C$12,66))</f>
        <v>48030</v>
      </c>
      <c r="C76" s="25" t="n">
        <f aca="false">IF($H$75&lt;=0,"",YEAR(B76))</f>
        <v>2031</v>
      </c>
      <c r="D76" s="26" t="n">
        <f aca="false">IF($H$75&lt;=0,0,MIN($H$75+($H$75*'Übersicht &amp; Eingaben'!$C$8/12),('Übersicht &amp; Eingaben'!$C$7*('Übersicht &amp; Eingaben'!$C$8+'Übersicht &amp; Eingaben'!$C$9)/12)))</f>
        <v>1312.5</v>
      </c>
      <c r="E76" s="26" t="n">
        <f aca="false">IF($H$75&lt;=0,0,($H$75*'Übersicht &amp; Eingaben'!$C$8/12))</f>
        <v>670.813495793336</v>
      </c>
      <c r="F76" s="26" t="n">
        <f aca="false">D76-E76</f>
        <v>641.686504206664</v>
      </c>
      <c r="G76" s="27" t="n">
        <f aca="false">IF($H$75&lt;=0,0,IF(MONTH(B76)=12,MIN('Übersicht &amp; Eingaben'!$C$13,$H$75-F76),0))</f>
        <v>0</v>
      </c>
      <c r="H76" s="28" t="n">
        <f aca="false">MAX($H$75-F76-G76,0)</f>
        <v>211194.154272636</v>
      </c>
    </row>
    <row r="77" customFormat="false" ht="18" hidden="false" customHeight="true" outlineLevel="0" collapsed="false">
      <c r="A77" s="29" t="n">
        <f aca="false">IF($H$76&lt;=0,"",68)</f>
        <v>68</v>
      </c>
      <c r="B77" s="30" t="n">
        <f aca="false">IF($H$76&lt;=0,"",EDATE('Übersicht &amp; Eingaben'!$C$12,67))</f>
        <v>48061</v>
      </c>
      <c r="C77" s="31" t="n">
        <f aca="false">IF($H$76&lt;=0,"",YEAR(B77))</f>
        <v>2031</v>
      </c>
      <c r="D77" s="32" t="n">
        <f aca="false">IF($H$76&lt;=0,0,MIN($H$76+($H$76*'Übersicht &amp; Eingaben'!$C$8/12),('Übersicht &amp; Eingaben'!$C$7*('Übersicht &amp; Eingaben'!$C$8+'Übersicht &amp; Eingaben'!$C$9)/12)))</f>
        <v>1312.5</v>
      </c>
      <c r="E77" s="32" t="n">
        <f aca="false">IF($H$76&lt;=0,0,($H$76*'Übersicht &amp; Eingaben'!$C$8/12))</f>
        <v>668.781488530015</v>
      </c>
      <c r="F77" s="32" t="n">
        <f aca="false">D77-E77</f>
        <v>643.718511469985</v>
      </c>
      <c r="G77" s="33" t="n">
        <f aca="false">IF($H$76&lt;=0,0,IF(MONTH(B77)=12,MIN('Übersicht &amp; Eingaben'!$C$13,$H$76-F77),0))</f>
        <v>0</v>
      </c>
      <c r="H77" s="34" t="n">
        <f aca="false">MAX($H$76-F77-G77,0)</f>
        <v>210550.435761166</v>
      </c>
    </row>
    <row r="78" customFormat="false" ht="18" hidden="false" customHeight="true" outlineLevel="0" collapsed="false">
      <c r="A78" s="23" t="n">
        <f aca="false">IF($H$77&lt;=0,"",69)</f>
        <v>69</v>
      </c>
      <c r="B78" s="24" t="n">
        <f aca="false">IF($H$77&lt;=0,"",EDATE('Übersicht &amp; Eingaben'!$C$12,68))</f>
        <v>48092</v>
      </c>
      <c r="C78" s="25" t="n">
        <f aca="false">IF($H$77&lt;=0,"",YEAR(B78))</f>
        <v>2031</v>
      </c>
      <c r="D78" s="26" t="n">
        <f aca="false">IF($H$77&lt;=0,0,MIN($H$77+($H$77*'Übersicht &amp; Eingaben'!$C$8/12),('Übersicht &amp; Eingaben'!$C$7*('Übersicht &amp; Eingaben'!$C$8+'Übersicht &amp; Eingaben'!$C$9)/12)))</f>
        <v>1312.5</v>
      </c>
      <c r="E78" s="26" t="n">
        <f aca="false">IF($H$77&lt;=0,0,($H$77*'Übersicht &amp; Eingaben'!$C$8/12))</f>
        <v>666.743046577027</v>
      </c>
      <c r="F78" s="26" t="n">
        <f aca="false">D78-E78</f>
        <v>645.756953422973</v>
      </c>
      <c r="G78" s="27" t="n">
        <f aca="false">IF($H$77&lt;=0,0,IF(MONTH(B78)=12,MIN('Übersicht &amp; Eingaben'!$C$13,$H$77-F78),0))</f>
        <v>0</v>
      </c>
      <c r="H78" s="28" t="n">
        <f aca="false">MAX($H$77-F78-G78,0)</f>
        <v>209904.678807743</v>
      </c>
    </row>
    <row r="79" customFormat="false" ht="18" hidden="false" customHeight="true" outlineLevel="0" collapsed="false">
      <c r="A79" s="29" t="n">
        <f aca="false">IF($H$78&lt;=0,"",70)</f>
        <v>70</v>
      </c>
      <c r="B79" s="30" t="n">
        <f aca="false">IF($H$78&lt;=0,"",EDATE('Übersicht &amp; Eingaben'!$C$12,69))</f>
        <v>48122</v>
      </c>
      <c r="C79" s="31" t="n">
        <f aca="false">IF($H$78&lt;=0,"",YEAR(B79))</f>
        <v>2031</v>
      </c>
      <c r="D79" s="32" t="n">
        <f aca="false">IF($H$78&lt;=0,0,MIN($H$78+($H$78*'Übersicht &amp; Eingaben'!$C$8/12),('Übersicht &amp; Eingaben'!$C$7*('Übersicht &amp; Eingaben'!$C$8+'Übersicht &amp; Eingaben'!$C$9)/12)))</f>
        <v>1312.5</v>
      </c>
      <c r="E79" s="32" t="n">
        <f aca="false">IF($H$78&lt;=0,0,($H$78*'Übersicht &amp; Eingaben'!$C$8/12))</f>
        <v>664.698149557854</v>
      </c>
      <c r="F79" s="32" t="n">
        <f aca="false">D79-E79</f>
        <v>647.801850442146</v>
      </c>
      <c r="G79" s="33" t="n">
        <f aca="false">IF($H$78&lt;=0,0,IF(MONTH(B79)=12,MIN('Übersicht &amp; Eingaben'!$C$13,$H$78-F79),0))</f>
        <v>0</v>
      </c>
      <c r="H79" s="34" t="n">
        <f aca="false">MAX($H$78-F79-G79,0)</f>
        <v>209256.876957301</v>
      </c>
    </row>
    <row r="80" customFormat="false" ht="18" hidden="false" customHeight="true" outlineLevel="0" collapsed="false">
      <c r="A80" s="23" t="n">
        <f aca="false">IF($H$79&lt;=0,"",71)</f>
        <v>71</v>
      </c>
      <c r="B80" s="24" t="n">
        <f aca="false">IF($H$79&lt;=0,"",EDATE('Übersicht &amp; Eingaben'!$C$12,70))</f>
        <v>48153</v>
      </c>
      <c r="C80" s="25" t="n">
        <f aca="false">IF($H$79&lt;=0,"",YEAR(B80))</f>
        <v>2031</v>
      </c>
      <c r="D80" s="26" t="n">
        <f aca="false">IF($H$79&lt;=0,0,MIN($H$79+($H$79*'Übersicht &amp; Eingaben'!$C$8/12),('Übersicht &amp; Eingaben'!$C$7*('Übersicht &amp; Eingaben'!$C$8+'Übersicht &amp; Eingaben'!$C$9)/12)))</f>
        <v>1312.5</v>
      </c>
      <c r="E80" s="26" t="n">
        <f aca="false">IF($H$79&lt;=0,0,($H$79*'Übersicht &amp; Eingaben'!$C$8/12))</f>
        <v>662.646777031454</v>
      </c>
      <c r="F80" s="26" t="n">
        <f aca="false">D80-E80</f>
        <v>649.853222968546</v>
      </c>
      <c r="G80" s="27" t="n">
        <f aca="false">IF($H$79&lt;=0,0,IF(MONTH(B80)=12,MIN('Übersicht &amp; Eingaben'!$C$13,$H$79-F80),0))</f>
        <v>0</v>
      </c>
      <c r="H80" s="28" t="n">
        <f aca="false">MAX($H$79-F80-G80,0)</f>
        <v>208607.023734333</v>
      </c>
    </row>
    <row r="81" customFormat="false" ht="18" hidden="false" customHeight="true" outlineLevel="0" collapsed="false">
      <c r="A81" s="29" t="n">
        <f aca="false">IF($H$80&lt;=0,"",72)</f>
        <v>72</v>
      </c>
      <c r="B81" s="30" t="n">
        <f aca="false">IF($H$80&lt;=0,"",EDATE('Übersicht &amp; Eingaben'!$C$12,71))</f>
        <v>48183</v>
      </c>
      <c r="C81" s="31" t="n">
        <f aca="false">IF($H$80&lt;=0,"",YEAR(B81))</f>
        <v>2031</v>
      </c>
      <c r="D81" s="32" t="n">
        <f aca="false">IF($H$80&lt;=0,0,MIN($H$80+($H$80*'Übersicht &amp; Eingaben'!$C$8/12),('Übersicht &amp; Eingaben'!$C$7*('Übersicht &amp; Eingaben'!$C$8+'Übersicht &amp; Eingaben'!$C$9)/12)))</f>
        <v>1312.5</v>
      </c>
      <c r="E81" s="32" t="n">
        <f aca="false">IF($H$80&lt;=0,0,($H$80*'Übersicht &amp; Eingaben'!$C$8/12))</f>
        <v>660.588908492054</v>
      </c>
      <c r="F81" s="32" t="n">
        <f aca="false">D81-E81</f>
        <v>651.911091507947</v>
      </c>
      <c r="G81" s="33" t="n">
        <f aca="false">IF($H$80&lt;=0,0,IF(MONTH(B81)=12,MIN('Übersicht &amp; Eingaben'!$C$13,$H$80-F81),0))</f>
        <v>0</v>
      </c>
      <c r="H81" s="34" t="n">
        <f aca="false">MAX($H$80-F81-G81,0)</f>
        <v>207955.112642825</v>
      </c>
    </row>
    <row r="82" customFormat="false" ht="18" hidden="false" customHeight="true" outlineLevel="0" collapsed="false">
      <c r="A82" s="23" t="n">
        <f aca="false">IF($H$81&lt;=0,"",73)</f>
        <v>73</v>
      </c>
      <c r="B82" s="24" t="n">
        <f aca="false">IF($H$81&lt;=0,"",EDATE('Übersicht &amp; Eingaben'!$C$12,72))</f>
        <v>48214</v>
      </c>
      <c r="C82" s="25" t="n">
        <f aca="false">IF($H$81&lt;=0,"",YEAR(B82))</f>
        <v>2032</v>
      </c>
      <c r="D82" s="26" t="n">
        <f aca="false">IF($H$81&lt;=0,0,MIN($H$81+($H$81*'Übersicht &amp; Eingaben'!$C$8/12),('Übersicht &amp; Eingaben'!$C$7*('Übersicht &amp; Eingaben'!$C$8+'Übersicht &amp; Eingaben'!$C$9)/12)))</f>
        <v>1312.5</v>
      </c>
      <c r="E82" s="26" t="n">
        <f aca="false">IF($H$81&lt;=0,0,($H$81*'Übersicht &amp; Eingaben'!$C$8/12))</f>
        <v>658.524523368945</v>
      </c>
      <c r="F82" s="26" t="n">
        <f aca="false">D82-E82</f>
        <v>653.975476631055</v>
      </c>
      <c r="G82" s="27" t="n">
        <f aca="false">IF($H$81&lt;=0,0,IF(MONTH(B82)=12,MIN('Übersicht &amp; Eingaben'!$C$13,$H$81-F82),0))</f>
        <v>0</v>
      </c>
      <c r="H82" s="28" t="n">
        <f aca="false">MAX($H$81-F82-G82,0)</f>
        <v>207301.137166194</v>
      </c>
    </row>
    <row r="83" customFormat="false" ht="18" hidden="false" customHeight="true" outlineLevel="0" collapsed="false">
      <c r="A83" s="29" t="n">
        <f aca="false">IF($H$82&lt;=0,"",74)</f>
        <v>74</v>
      </c>
      <c r="B83" s="30" t="n">
        <f aca="false">IF($H$82&lt;=0,"",EDATE('Übersicht &amp; Eingaben'!$C$12,73))</f>
        <v>48245</v>
      </c>
      <c r="C83" s="31" t="n">
        <f aca="false">IF($H$82&lt;=0,"",YEAR(B83))</f>
        <v>2032</v>
      </c>
      <c r="D83" s="32" t="n">
        <f aca="false">IF($H$82&lt;=0,0,MIN($H$82+($H$82*'Übersicht &amp; Eingaben'!$C$8/12),('Übersicht &amp; Eingaben'!$C$7*('Übersicht &amp; Eingaben'!$C$8+'Übersicht &amp; Eingaben'!$C$9)/12)))</f>
        <v>1312.5</v>
      </c>
      <c r="E83" s="32" t="n">
        <f aca="false">IF($H$82&lt;=0,0,($H$82*'Übersicht &amp; Eingaben'!$C$8/12))</f>
        <v>656.45360102628</v>
      </c>
      <c r="F83" s="32" t="n">
        <f aca="false">D83-E83</f>
        <v>656.04639897372</v>
      </c>
      <c r="G83" s="33" t="n">
        <f aca="false">IF($H$82&lt;=0,0,IF(MONTH(B83)=12,MIN('Übersicht &amp; Eingaben'!$C$13,$H$82-F83),0))</f>
        <v>0</v>
      </c>
      <c r="H83" s="34" t="n">
        <f aca="false">MAX($H$82-F83-G83,0)</f>
        <v>206645.09076722</v>
      </c>
    </row>
    <row r="84" customFormat="false" ht="18" hidden="false" customHeight="true" outlineLevel="0" collapsed="false">
      <c r="A84" s="23" t="n">
        <f aca="false">IF($H$83&lt;=0,"",75)</f>
        <v>75</v>
      </c>
      <c r="B84" s="24" t="n">
        <f aca="false">IF($H$83&lt;=0,"",EDATE('Übersicht &amp; Eingaben'!$C$12,74))</f>
        <v>48274</v>
      </c>
      <c r="C84" s="25" t="n">
        <f aca="false">IF($H$83&lt;=0,"",YEAR(B84))</f>
        <v>2032</v>
      </c>
      <c r="D84" s="26" t="n">
        <f aca="false">IF($H$83&lt;=0,0,MIN($H$83+($H$83*'Übersicht &amp; Eingaben'!$C$8/12),('Übersicht &amp; Eingaben'!$C$7*('Übersicht &amp; Eingaben'!$C$8+'Übersicht &amp; Eingaben'!$C$9)/12)))</f>
        <v>1312.5</v>
      </c>
      <c r="E84" s="26" t="n">
        <f aca="false">IF($H$83&lt;=0,0,($H$83*'Übersicht &amp; Eingaben'!$C$8/12))</f>
        <v>654.376120762863</v>
      </c>
      <c r="F84" s="26" t="n">
        <f aca="false">D84-E84</f>
        <v>658.123879237137</v>
      </c>
      <c r="G84" s="27" t="n">
        <f aca="false">IF($H$83&lt;=0,0,IF(MONTH(B84)=12,MIN('Übersicht &amp; Eingaben'!$C$13,$H$83-F84),0))</f>
        <v>0</v>
      </c>
      <c r="H84" s="28" t="n">
        <f aca="false">MAX($H$83-F84-G84,0)</f>
        <v>205986.966887983</v>
      </c>
    </row>
    <row r="85" customFormat="false" ht="18" hidden="false" customHeight="true" outlineLevel="0" collapsed="false">
      <c r="A85" s="29" t="n">
        <f aca="false">IF($H$84&lt;=0,"",76)</f>
        <v>76</v>
      </c>
      <c r="B85" s="30" t="n">
        <f aca="false">IF($H$84&lt;=0,"",EDATE('Übersicht &amp; Eingaben'!$C$12,75))</f>
        <v>48305</v>
      </c>
      <c r="C85" s="31" t="n">
        <f aca="false">IF($H$84&lt;=0,"",YEAR(B85))</f>
        <v>2032</v>
      </c>
      <c r="D85" s="32" t="n">
        <f aca="false">IF($H$84&lt;=0,0,MIN($H$84+($H$84*'Übersicht &amp; Eingaben'!$C$8/12),('Übersicht &amp; Eingaben'!$C$7*('Übersicht &amp; Eingaben'!$C$8+'Übersicht &amp; Eingaben'!$C$9)/12)))</f>
        <v>1312.5</v>
      </c>
      <c r="E85" s="32" t="n">
        <f aca="false">IF($H$84&lt;=0,0,($H$84*'Übersicht &amp; Eingaben'!$C$8/12))</f>
        <v>652.292061811946</v>
      </c>
      <c r="F85" s="32" t="n">
        <f aca="false">D85-E85</f>
        <v>660.207938188054</v>
      </c>
      <c r="G85" s="33" t="n">
        <f aca="false">IF($H$84&lt;=0,0,IF(MONTH(B85)=12,MIN('Übersicht &amp; Eingaben'!$C$13,$H$84-F85),0))</f>
        <v>0</v>
      </c>
      <c r="H85" s="34" t="n">
        <f aca="false">MAX($H$84-F85-G85,0)</f>
        <v>205326.758949795</v>
      </c>
    </row>
    <row r="86" customFormat="false" ht="18" hidden="false" customHeight="true" outlineLevel="0" collapsed="false">
      <c r="A86" s="23" t="n">
        <f aca="false">IF($H$85&lt;=0,"",77)</f>
        <v>77</v>
      </c>
      <c r="B86" s="24" t="n">
        <f aca="false">IF($H$85&lt;=0,"",EDATE('Übersicht &amp; Eingaben'!$C$12,76))</f>
        <v>48335</v>
      </c>
      <c r="C86" s="25" t="n">
        <f aca="false">IF($H$85&lt;=0,"",YEAR(B86))</f>
        <v>2032</v>
      </c>
      <c r="D86" s="26" t="n">
        <f aca="false">IF($H$85&lt;=0,0,MIN($H$85+($H$85*'Übersicht &amp; Eingaben'!$C$8/12),('Übersicht &amp; Eingaben'!$C$7*('Übersicht &amp; Eingaben'!$C$8+'Übersicht &amp; Eingaben'!$C$9)/12)))</f>
        <v>1312.5</v>
      </c>
      <c r="E86" s="26" t="n">
        <f aca="false">IF($H$85&lt;=0,0,($H$85*'Übersicht &amp; Eingaben'!$C$8/12))</f>
        <v>650.201403341017</v>
      </c>
      <c r="F86" s="26" t="n">
        <f aca="false">D86-E86</f>
        <v>662.298596658983</v>
      </c>
      <c r="G86" s="27" t="n">
        <f aca="false">IF($H$85&lt;=0,0,IF(MONTH(B86)=12,MIN('Übersicht &amp; Eingaben'!$C$13,$H$85-F86),0))</f>
        <v>0</v>
      </c>
      <c r="H86" s="28" t="n">
        <f aca="false">MAX($H$85-F86-G86,0)</f>
        <v>204664.460353136</v>
      </c>
    </row>
    <row r="87" customFormat="false" ht="18" hidden="false" customHeight="true" outlineLevel="0" collapsed="false">
      <c r="A87" s="29" t="n">
        <f aca="false">IF($H$86&lt;=0,"",78)</f>
        <v>78</v>
      </c>
      <c r="B87" s="30" t="n">
        <f aca="false">IF($H$86&lt;=0,"",EDATE('Übersicht &amp; Eingaben'!$C$12,77))</f>
        <v>48366</v>
      </c>
      <c r="C87" s="31" t="n">
        <f aca="false">IF($H$86&lt;=0,"",YEAR(B87))</f>
        <v>2032</v>
      </c>
      <c r="D87" s="32" t="n">
        <f aca="false">IF($H$86&lt;=0,0,MIN($H$86+($H$86*'Übersicht &amp; Eingaben'!$C$8/12),('Übersicht &amp; Eingaben'!$C$7*('Übersicht &amp; Eingaben'!$C$8+'Übersicht &amp; Eingaben'!$C$9)/12)))</f>
        <v>1312.5</v>
      </c>
      <c r="E87" s="32" t="n">
        <f aca="false">IF($H$86&lt;=0,0,($H$86*'Übersicht &amp; Eingaben'!$C$8/12))</f>
        <v>648.104124451597</v>
      </c>
      <c r="F87" s="32" t="n">
        <f aca="false">D87-E87</f>
        <v>664.395875548403</v>
      </c>
      <c r="G87" s="33" t="n">
        <f aca="false">IF($H$86&lt;=0,0,IF(MONTH(B87)=12,MIN('Übersicht &amp; Eingaben'!$C$13,$H$86-F87),0))</f>
        <v>0</v>
      </c>
      <c r="H87" s="34" t="n">
        <f aca="false">MAX($H$86-F87-G87,0)</f>
        <v>204000.064477587</v>
      </c>
    </row>
    <row r="88" customFormat="false" ht="18" hidden="false" customHeight="true" outlineLevel="0" collapsed="false">
      <c r="A88" s="23" t="n">
        <f aca="false">IF($H$87&lt;=0,"",79)</f>
        <v>79</v>
      </c>
      <c r="B88" s="24" t="n">
        <f aca="false">IF($H$87&lt;=0,"",EDATE('Übersicht &amp; Eingaben'!$C$12,78))</f>
        <v>48396</v>
      </c>
      <c r="C88" s="25" t="n">
        <f aca="false">IF($H$87&lt;=0,"",YEAR(B88))</f>
        <v>2032</v>
      </c>
      <c r="D88" s="26" t="n">
        <f aca="false">IF($H$87&lt;=0,0,MIN($H$87+($H$87*'Übersicht &amp; Eingaben'!$C$8/12),('Übersicht &amp; Eingaben'!$C$7*('Übersicht &amp; Eingaben'!$C$8+'Übersicht &amp; Eingaben'!$C$9)/12)))</f>
        <v>1312.5</v>
      </c>
      <c r="E88" s="26" t="n">
        <f aca="false">IF($H$87&lt;=0,0,($H$87*'Übersicht &amp; Eingaben'!$C$8/12))</f>
        <v>646.000204179027</v>
      </c>
      <c r="F88" s="26" t="n">
        <f aca="false">D88-E88</f>
        <v>666.499795820973</v>
      </c>
      <c r="G88" s="27" t="n">
        <f aca="false">IF($H$87&lt;=0,0,IF(MONTH(B88)=12,MIN('Übersicht &amp; Eingaben'!$C$13,$H$87-F88),0))</f>
        <v>0</v>
      </c>
      <c r="H88" s="28" t="n">
        <f aca="false">MAX($H$87-F88-G88,0)</f>
        <v>203333.564681766</v>
      </c>
    </row>
    <row r="89" customFormat="false" ht="18" hidden="false" customHeight="true" outlineLevel="0" collapsed="false">
      <c r="A89" s="29" t="n">
        <f aca="false">IF($H$88&lt;=0,"",80)</f>
        <v>80</v>
      </c>
      <c r="B89" s="30" t="n">
        <f aca="false">IF($H$88&lt;=0,"",EDATE('Übersicht &amp; Eingaben'!$C$12,79))</f>
        <v>48427</v>
      </c>
      <c r="C89" s="31" t="n">
        <f aca="false">IF($H$88&lt;=0,"",YEAR(B89))</f>
        <v>2032</v>
      </c>
      <c r="D89" s="32" t="n">
        <f aca="false">IF($H$88&lt;=0,0,MIN($H$88+($H$88*'Übersicht &amp; Eingaben'!$C$8/12),('Übersicht &amp; Eingaben'!$C$7*('Übersicht &amp; Eingaben'!$C$8+'Übersicht &amp; Eingaben'!$C$9)/12)))</f>
        <v>1312.5</v>
      </c>
      <c r="E89" s="32" t="n">
        <f aca="false">IF($H$88&lt;=0,0,($H$88*'Übersicht &amp; Eingaben'!$C$8/12))</f>
        <v>643.88962149226</v>
      </c>
      <c r="F89" s="32" t="n">
        <f aca="false">D89-E89</f>
        <v>668.61037850774</v>
      </c>
      <c r="G89" s="33" t="n">
        <f aca="false">IF($H$88&lt;=0,0,IF(MONTH(B89)=12,MIN('Übersicht &amp; Eingaben'!$C$13,$H$88-F89),0))</f>
        <v>0</v>
      </c>
      <c r="H89" s="34" t="n">
        <f aca="false">MAX($H$88-F89-G89,0)</f>
        <v>202664.954303259</v>
      </c>
    </row>
    <row r="90" customFormat="false" ht="18" hidden="false" customHeight="true" outlineLevel="0" collapsed="false">
      <c r="A90" s="23" t="n">
        <f aca="false">IF($H$89&lt;=0,"",81)</f>
        <v>81</v>
      </c>
      <c r="B90" s="24" t="n">
        <f aca="false">IF($H$89&lt;=0,"",EDATE('Übersicht &amp; Eingaben'!$C$12,80))</f>
        <v>48458</v>
      </c>
      <c r="C90" s="25" t="n">
        <f aca="false">IF($H$89&lt;=0,"",YEAR(B90))</f>
        <v>2032</v>
      </c>
      <c r="D90" s="26" t="n">
        <f aca="false">IF($H$89&lt;=0,0,MIN($H$89+($H$89*'Übersicht &amp; Eingaben'!$C$8/12),('Übersicht &amp; Eingaben'!$C$7*('Übersicht &amp; Eingaben'!$C$8+'Übersicht &amp; Eingaben'!$C$9)/12)))</f>
        <v>1312.5</v>
      </c>
      <c r="E90" s="26" t="n">
        <f aca="false">IF($H$89&lt;=0,0,($H$89*'Übersicht &amp; Eingaben'!$C$8/12))</f>
        <v>641.772355293653</v>
      </c>
      <c r="F90" s="26" t="n">
        <f aca="false">D90-E90</f>
        <v>670.727644706347</v>
      </c>
      <c r="G90" s="27" t="n">
        <f aca="false">IF($H$89&lt;=0,0,IF(MONTH(B90)=12,MIN('Übersicht &amp; Eingaben'!$C$13,$H$89-F90),0))</f>
        <v>0</v>
      </c>
      <c r="H90" s="28" t="n">
        <f aca="false">MAX($H$89-F90-G90,0)</f>
        <v>201994.226658552</v>
      </c>
    </row>
    <row r="91" customFormat="false" ht="18" hidden="false" customHeight="true" outlineLevel="0" collapsed="false">
      <c r="A91" s="29" t="n">
        <f aca="false">IF($H$90&lt;=0,"",82)</f>
        <v>82</v>
      </c>
      <c r="B91" s="30" t="n">
        <f aca="false">IF($H$90&lt;=0,"",EDATE('Übersicht &amp; Eingaben'!$C$12,81))</f>
        <v>48488</v>
      </c>
      <c r="C91" s="31" t="n">
        <f aca="false">IF($H$90&lt;=0,"",YEAR(B91))</f>
        <v>2032</v>
      </c>
      <c r="D91" s="32" t="n">
        <f aca="false">IF($H$90&lt;=0,0,MIN($H$90+($H$90*'Übersicht &amp; Eingaben'!$C$8/12),('Übersicht &amp; Eingaben'!$C$7*('Übersicht &amp; Eingaben'!$C$8+'Übersicht &amp; Eingaben'!$C$9)/12)))</f>
        <v>1312.5</v>
      </c>
      <c r="E91" s="32" t="n">
        <f aca="false">IF($H$90&lt;=0,0,($H$90*'Übersicht &amp; Eingaben'!$C$8/12))</f>
        <v>639.648384418749</v>
      </c>
      <c r="F91" s="32" t="n">
        <f aca="false">D91-E91</f>
        <v>672.851615581251</v>
      </c>
      <c r="G91" s="33" t="n">
        <f aca="false">IF($H$90&lt;=0,0,IF(MONTH(B91)=12,MIN('Übersicht &amp; Eingaben'!$C$13,$H$90-F91),0))</f>
        <v>0</v>
      </c>
      <c r="H91" s="34" t="n">
        <f aca="false">MAX($H$90-F91-G91,0)</f>
        <v>201321.375042971</v>
      </c>
    </row>
    <row r="92" customFormat="false" ht="18" hidden="false" customHeight="true" outlineLevel="0" collapsed="false">
      <c r="A92" s="23" t="n">
        <f aca="false">IF($H$91&lt;=0,"",83)</f>
        <v>83</v>
      </c>
      <c r="B92" s="24" t="n">
        <f aca="false">IF($H$91&lt;=0,"",EDATE('Übersicht &amp; Eingaben'!$C$12,82))</f>
        <v>48519</v>
      </c>
      <c r="C92" s="25" t="n">
        <f aca="false">IF($H$91&lt;=0,"",YEAR(B92))</f>
        <v>2032</v>
      </c>
      <c r="D92" s="26" t="n">
        <f aca="false">IF($H$91&lt;=0,0,MIN($H$91+($H$91*'Übersicht &amp; Eingaben'!$C$8/12),('Übersicht &amp; Eingaben'!$C$7*('Übersicht &amp; Eingaben'!$C$8+'Übersicht &amp; Eingaben'!$C$9)/12)))</f>
        <v>1312.5</v>
      </c>
      <c r="E92" s="26" t="n">
        <f aca="false">IF($H$91&lt;=0,0,($H$91*'Übersicht &amp; Eingaben'!$C$8/12))</f>
        <v>637.517687636075</v>
      </c>
      <c r="F92" s="26" t="n">
        <f aca="false">D92-E92</f>
        <v>674.982312363925</v>
      </c>
      <c r="G92" s="27" t="n">
        <f aca="false">IF($H$91&lt;=0,0,IF(MONTH(B92)=12,MIN('Übersicht &amp; Eingaben'!$C$13,$H$91-F92),0))</f>
        <v>0</v>
      </c>
      <c r="H92" s="28" t="n">
        <f aca="false">MAX($H$91-F92-G92,0)</f>
        <v>200646.392730607</v>
      </c>
    </row>
    <row r="93" customFormat="false" ht="18" hidden="false" customHeight="true" outlineLevel="0" collapsed="false">
      <c r="A93" s="29" t="n">
        <f aca="false">IF($H$92&lt;=0,"",84)</f>
        <v>84</v>
      </c>
      <c r="B93" s="30" t="n">
        <f aca="false">IF($H$92&lt;=0,"",EDATE('Übersicht &amp; Eingaben'!$C$12,83))</f>
        <v>48549</v>
      </c>
      <c r="C93" s="31" t="n">
        <f aca="false">IF($H$92&lt;=0,"",YEAR(B93))</f>
        <v>2032</v>
      </c>
      <c r="D93" s="32" t="n">
        <f aca="false">IF($H$92&lt;=0,0,MIN($H$92+($H$92*'Übersicht &amp; Eingaben'!$C$8/12),('Übersicht &amp; Eingaben'!$C$7*('Übersicht &amp; Eingaben'!$C$8+'Übersicht &amp; Eingaben'!$C$9)/12)))</f>
        <v>1312.5</v>
      </c>
      <c r="E93" s="32" t="n">
        <f aca="false">IF($H$92&lt;=0,0,($H$92*'Übersicht &amp; Eingaben'!$C$8/12))</f>
        <v>635.380243646923</v>
      </c>
      <c r="F93" s="32" t="n">
        <f aca="false">D93-E93</f>
        <v>677.119756353077</v>
      </c>
      <c r="G93" s="33" t="n">
        <f aca="false">IF($H$92&lt;=0,0,IF(MONTH(B93)=12,MIN('Übersicht &amp; Eingaben'!$C$13,$H$92-F93),0))</f>
        <v>0</v>
      </c>
      <c r="H93" s="34" t="n">
        <f aca="false">MAX($H$92-F93-G93,0)</f>
        <v>199969.272974254</v>
      </c>
    </row>
    <row r="94" customFormat="false" ht="18" hidden="false" customHeight="true" outlineLevel="0" collapsed="false">
      <c r="A94" s="23" t="n">
        <f aca="false">IF($H$93&lt;=0,"",85)</f>
        <v>85</v>
      </c>
      <c r="B94" s="24" t="n">
        <f aca="false">IF($H$93&lt;=0,"",EDATE('Übersicht &amp; Eingaben'!$C$12,84))</f>
        <v>48580</v>
      </c>
      <c r="C94" s="25" t="n">
        <f aca="false">IF($H$93&lt;=0,"",YEAR(B94))</f>
        <v>2033</v>
      </c>
      <c r="D94" s="26" t="n">
        <f aca="false">IF($H$93&lt;=0,0,MIN($H$93+($H$93*'Übersicht &amp; Eingaben'!$C$8/12),('Übersicht &amp; Eingaben'!$C$7*('Übersicht &amp; Eingaben'!$C$8+'Übersicht &amp; Eingaben'!$C$9)/12)))</f>
        <v>1312.5</v>
      </c>
      <c r="E94" s="26" t="n">
        <f aca="false">IF($H$93&lt;=0,0,($H$93*'Übersicht &amp; Eingaben'!$C$8/12))</f>
        <v>633.236031085138</v>
      </c>
      <c r="F94" s="26" t="n">
        <f aca="false">D94-E94</f>
        <v>679.263968914862</v>
      </c>
      <c r="G94" s="27" t="n">
        <f aca="false">IF($H$93&lt;=0,0,IF(MONTH(B94)=12,MIN('Übersicht &amp; Eingaben'!$C$13,$H$93-F94),0))</f>
        <v>0</v>
      </c>
      <c r="H94" s="28" t="n">
        <f aca="false">MAX($H$93-F94-G94,0)</f>
        <v>199290.009005339</v>
      </c>
    </row>
    <row r="95" customFormat="false" ht="18" hidden="false" customHeight="true" outlineLevel="0" collapsed="false">
      <c r="A95" s="29" t="n">
        <f aca="false">IF($H$94&lt;=0,"",86)</f>
        <v>86</v>
      </c>
      <c r="B95" s="30" t="n">
        <f aca="false">IF($H$94&lt;=0,"",EDATE('Übersicht &amp; Eingaben'!$C$12,85))</f>
        <v>48611</v>
      </c>
      <c r="C95" s="31" t="n">
        <f aca="false">IF($H$94&lt;=0,"",YEAR(B95))</f>
        <v>2033</v>
      </c>
      <c r="D95" s="32" t="n">
        <f aca="false">IF($H$94&lt;=0,0,MIN($H$94+($H$94*'Übersicht &amp; Eingaben'!$C$8/12),('Übersicht &amp; Eingaben'!$C$7*('Übersicht &amp; Eingaben'!$C$8+'Übersicht &amp; Eingaben'!$C$9)/12)))</f>
        <v>1312.5</v>
      </c>
      <c r="E95" s="32" t="n">
        <f aca="false">IF($H$94&lt;=0,0,($H$94*'Übersicht &amp; Eingaben'!$C$8/12))</f>
        <v>631.085028516908</v>
      </c>
      <c r="F95" s="32" t="n">
        <f aca="false">D95-E95</f>
        <v>681.414971483093</v>
      </c>
      <c r="G95" s="33" t="n">
        <f aca="false">IF($H$94&lt;=0,0,IF(MONTH(B95)=12,MIN('Übersicht &amp; Eingaben'!$C$13,$H$94-F95),0))</f>
        <v>0</v>
      </c>
      <c r="H95" s="34" t="n">
        <f aca="false">MAX($H$94-F95-G95,0)</f>
        <v>198608.594033856</v>
      </c>
    </row>
    <row r="96" customFormat="false" ht="18" hidden="false" customHeight="true" outlineLevel="0" collapsed="false">
      <c r="A96" s="23" t="n">
        <f aca="false">IF($H$95&lt;=0,"",87)</f>
        <v>87</v>
      </c>
      <c r="B96" s="24" t="n">
        <f aca="false">IF($H$95&lt;=0,"",EDATE('Übersicht &amp; Eingaben'!$C$12,86))</f>
        <v>48639</v>
      </c>
      <c r="C96" s="25" t="n">
        <f aca="false">IF($H$95&lt;=0,"",YEAR(B96))</f>
        <v>2033</v>
      </c>
      <c r="D96" s="26" t="n">
        <f aca="false">IF($H$95&lt;=0,0,MIN($H$95+($H$95*'Übersicht &amp; Eingaben'!$C$8/12),('Übersicht &amp; Eingaben'!$C$7*('Übersicht &amp; Eingaben'!$C$8+'Übersicht &amp; Eingaben'!$C$9)/12)))</f>
        <v>1312.5</v>
      </c>
      <c r="E96" s="26" t="n">
        <f aca="false">IF($H$95&lt;=0,0,($H$95*'Übersicht &amp; Eingaben'!$C$8/12))</f>
        <v>628.927214440544</v>
      </c>
      <c r="F96" s="26" t="n">
        <f aca="false">D96-E96</f>
        <v>683.572785559456</v>
      </c>
      <c r="G96" s="27" t="n">
        <f aca="false">IF($H$95&lt;=0,0,IF(MONTH(B96)=12,MIN('Übersicht &amp; Eingaben'!$C$13,$H$95-F96),0))</f>
        <v>0</v>
      </c>
      <c r="H96" s="28" t="n">
        <f aca="false">MAX($H$95-F96-G96,0)</f>
        <v>197925.021248297</v>
      </c>
    </row>
    <row r="97" customFormat="false" ht="18" hidden="false" customHeight="true" outlineLevel="0" collapsed="false">
      <c r="A97" s="29" t="n">
        <f aca="false">IF($H$96&lt;=0,"",88)</f>
        <v>88</v>
      </c>
      <c r="B97" s="30" t="n">
        <f aca="false">IF($H$96&lt;=0,"",EDATE('Übersicht &amp; Eingaben'!$C$12,87))</f>
        <v>48670</v>
      </c>
      <c r="C97" s="31" t="n">
        <f aca="false">IF($H$96&lt;=0,"",YEAR(B97))</f>
        <v>2033</v>
      </c>
      <c r="D97" s="32" t="n">
        <f aca="false">IF($H$96&lt;=0,0,MIN($H$96+($H$96*'Übersicht &amp; Eingaben'!$C$8/12),('Übersicht &amp; Eingaben'!$C$7*('Übersicht &amp; Eingaben'!$C$8+'Übersicht &amp; Eingaben'!$C$9)/12)))</f>
        <v>1312.5</v>
      </c>
      <c r="E97" s="32" t="n">
        <f aca="false">IF($H$96&lt;=0,0,($H$96*'Übersicht &amp; Eingaben'!$C$8/12))</f>
        <v>626.762567286273</v>
      </c>
      <c r="F97" s="32" t="n">
        <f aca="false">D97-E97</f>
        <v>685.737432713727</v>
      </c>
      <c r="G97" s="33" t="n">
        <f aca="false">IF($H$96&lt;=0,0,IF(MONTH(B97)=12,MIN('Übersicht &amp; Eingaben'!$C$13,$H$96-F97),0))</f>
        <v>0</v>
      </c>
      <c r="H97" s="34" t="n">
        <f aca="false">MAX($H$96-F97-G97,0)</f>
        <v>197239.283815583</v>
      </c>
    </row>
    <row r="98" customFormat="false" ht="18" hidden="false" customHeight="true" outlineLevel="0" collapsed="false">
      <c r="A98" s="23" t="n">
        <f aca="false">IF($H$97&lt;=0,"",89)</f>
        <v>89</v>
      </c>
      <c r="B98" s="24" t="n">
        <f aca="false">IF($H$97&lt;=0,"",EDATE('Übersicht &amp; Eingaben'!$C$12,88))</f>
        <v>48700</v>
      </c>
      <c r="C98" s="25" t="n">
        <f aca="false">IF($H$97&lt;=0,"",YEAR(B98))</f>
        <v>2033</v>
      </c>
      <c r="D98" s="26" t="n">
        <f aca="false">IF($H$97&lt;=0,0,MIN($H$97+($H$97*'Übersicht &amp; Eingaben'!$C$8/12),('Übersicht &amp; Eingaben'!$C$7*('Übersicht &amp; Eingaben'!$C$8+'Übersicht &amp; Eingaben'!$C$9)/12)))</f>
        <v>1312.5</v>
      </c>
      <c r="E98" s="26" t="n">
        <f aca="false">IF($H$97&lt;=0,0,($H$97*'Übersicht &amp; Eingaben'!$C$8/12))</f>
        <v>624.591065416013</v>
      </c>
      <c r="F98" s="26" t="n">
        <f aca="false">D98-E98</f>
        <v>687.908934583987</v>
      </c>
      <c r="G98" s="27" t="n">
        <f aca="false">IF($H$97&lt;=0,0,IF(MONTH(B98)=12,MIN('Übersicht &amp; Eingaben'!$C$13,$H$97-F98),0))</f>
        <v>0</v>
      </c>
      <c r="H98" s="28" t="n">
        <f aca="false">MAX($H$97-F98-G98,0)</f>
        <v>196551.374880999</v>
      </c>
    </row>
    <row r="99" customFormat="false" ht="18" hidden="false" customHeight="true" outlineLevel="0" collapsed="false">
      <c r="A99" s="29" t="n">
        <f aca="false">IF($H$98&lt;=0,"",90)</f>
        <v>90</v>
      </c>
      <c r="B99" s="30" t="n">
        <f aca="false">IF($H$98&lt;=0,"",EDATE('Übersicht &amp; Eingaben'!$C$12,89))</f>
        <v>48731</v>
      </c>
      <c r="C99" s="31" t="n">
        <f aca="false">IF($H$98&lt;=0,"",YEAR(B99))</f>
        <v>2033</v>
      </c>
      <c r="D99" s="32" t="n">
        <f aca="false">IF($H$98&lt;=0,0,MIN($H$98+($H$98*'Übersicht &amp; Eingaben'!$C$8/12),('Übersicht &amp; Eingaben'!$C$7*('Übersicht &amp; Eingaben'!$C$8+'Übersicht &amp; Eingaben'!$C$9)/12)))</f>
        <v>1312.5</v>
      </c>
      <c r="E99" s="32" t="n">
        <f aca="false">IF($H$98&lt;=0,0,($H$98*'Übersicht &amp; Eingaben'!$C$8/12))</f>
        <v>622.412687123163</v>
      </c>
      <c r="F99" s="32" t="n">
        <f aca="false">D99-E99</f>
        <v>690.087312876837</v>
      </c>
      <c r="G99" s="33" t="n">
        <f aca="false">IF($H$98&lt;=0,0,IF(MONTH(B99)=12,MIN('Übersicht &amp; Eingaben'!$C$13,$H$98-F99),0))</f>
        <v>0</v>
      </c>
      <c r="H99" s="34" t="n">
        <f aca="false">MAX($H$98-F99-G99,0)</f>
        <v>195861.287568122</v>
      </c>
    </row>
    <row r="100" customFormat="false" ht="18" hidden="false" customHeight="true" outlineLevel="0" collapsed="false">
      <c r="A100" s="23" t="n">
        <f aca="false">IF($H$99&lt;=0,"",91)</f>
        <v>91</v>
      </c>
      <c r="B100" s="24" t="n">
        <f aca="false">IF($H$99&lt;=0,"",EDATE('Übersicht &amp; Eingaben'!$C$12,90))</f>
        <v>48761</v>
      </c>
      <c r="C100" s="25" t="n">
        <f aca="false">IF($H$99&lt;=0,"",YEAR(B100))</f>
        <v>2033</v>
      </c>
      <c r="D100" s="26" t="n">
        <f aca="false">IF($H$99&lt;=0,0,MIN($H$99+($H$99*'Übersicht &amp; Eingaben'!$C$8/12),('Übersicht &amp; Eingaben'!$C$7*('Übersicht &amp; Eingaben'!$C$8+'Übersicht &amp; Eingaben'!$C$9)/12)))</f>
        <v>1312.5</v>
      </c>
      <c r="E100" s="26" t="n">
        <f aca="false">IF($H$99&lt;=0,0,($H$99*'Übersicht &amp; Eingaben'!$C$8/12))</f>
        <v>620.227410632387</v>
      </c>
      <c r="F100" s="26" t="n">
        <f aca="false">D100-E100</f>
        <v>692.272589367613</v>
      </c>
      <c r="G100" s="27" t="n">
        <f aca="false">IF($H$99&lt;=0,0,IF(MONTH(B100)=12,MIN('Übersicht &amp; Eingaben'!$C$13,$H$99-F100),0))</f>
        <v>0</v>
      </c>
      <c r="H100" s="28" t="n">
        <f aca="false">MAX($H$99-F100-G100,0)</f>
        <v>195169.014978755</v>
      </c>
    </row>
    <row r="101" customFormat="false" ht="18" hidden="false" customHeight="true" outlineLevel="0" collapsed="false">
      <c r="A101" s="29" t="n">
        <f aca="false">IF($H$100&lt;=0,"",92)</f>
        <v>92</v>
      </c>
      <c r="B101" s="30" t="n">
        <f aca="false">IF($H$100&lt;=0,"",EDATE('Übersicht &amp; Eingaben'!$C$12,91))</f>
        <v>48792</v>
      </c>
      <c r="C101" s="31" t="n">
        <f aca="false">IF($H$100&lt;=0,"",YEAR(B101))</f>
        <v>2033</v>
      </c>
      <c r="D101" s="32" t="n">
        <f aca="false">IF($H$100&lt;=0,0,MIN($H$100+($H$100*'Übersicht &amp; Eingaben'!$C$8/12),('Übersicht &amp; Eingaben'!$C$7*('Übersicht &amp; Eingaben'!$C$8+'Übersicht &amp; Eingaben'!$C$9)/12)))</f>
        <v>1312.5</v>
      </c>
      <c r="E101" s="32" t="n">
        <f aca="false">IF($H$100&lt;=0,0,($H$100*'Übersicht &amp; Eingaben'!$C$8/12))</f>
        <v>618.035214099389</v>
      </c>
      <c r="F101" s="32" t="n">
        <f aca="false">D101-E101</f>
        <v>694.464785900611</v>
      </c>
      <c r="G101" s="33" t="n">
        <f aca="false">IF($H$100&lt;=0,0,IF(MONTH(B101)=12,MIN('Übersicht &amp; Eingaben'!$C$13,$H$100-F101),0))</f>
        <v>0</v>
      </c>
      <c r="H101" s="34" t="n">
        <f aca="false">MAX($H$100-F101-G101,0)</f>
        <v>194474.550192854</v>
      </c>
    </row>
    <row r="102" customFormat="false" ht="18" hidden="false" customHeight="true" outlineLevel="0" collapsed="false">
      <c r="A102" s="23" t="n">
        <f aca="false">IF($H$101&lt;=0,"",93)</f>
        <v>93</v>
      </c>
      <c r="B102" s="24" t="n">
        <f aca="false">IF($H$101&lt;=0,"",EDATE('Übersicht &amp; Eingaben'!$C$12,92))</f>
        <v>48823</v>
      </c>
      <c r="C102" s="25" t="n">
        <f aca="false">IF($H$101&lt;=0,"",YEAR(B102))</f>
        <v>2033</v>
      </c>
      <c r="D102" s="26" t="n">
        <f aca="false">IF($H$101&lt;=0,0,MIN($H$101+($H$101*'Übersicht &amp; Eingaben'!$C$8/12),('Übersicht &amp; Eingaben'!$C$7*('Übersicht &amp; Eingaben'!$C$8+'Übersicht &amp; Eingaben'!$C$9)/12)))</f>
        <v>1312.5</v>
      </c>
      <c r="E102" s="26" t="n">
        <f aca="false">IF($H$101&lt;=0,0,($H$101*'Übersicht &amp; Eingaben'!$C$8/12))</f>
        <v>615.836075610704</v>
      </c>
      <c r="F102" s="26" t="n">
        <f aca="false">D102-E102</f>
        <v>696.663924389296</v>
      </c>
      <c r="G102" s="27" t="n">
        <f aca="false">IF($H$101&lt;=0,0,IF(MONTH(B102)=12,MIN('Übersicht &amp; Eingaben'!$C$13,$H$101-F102),0))</f>
        <v>0</v>
      </c>
      <c r="H102" s="28" t="n">
        <f aca="false">MAX($H$101-F102-G102,0)</f>
        <v>193777.886268465</v>
      </c>
    </row>
    <row r="103" customFormat="false" ht="18" hidden="false" customHeight="true" outlineLevel="0" collapsed="false">
      <c r="A103" s="29" t="n">
        <f aca="false">IF($H$102&lt;=0,"",94)</f>
        <v>94</v>
      </c>
      <c r="B103" s="30" t="n">
        <f aca="false">IF($H$102&lt;=0,"",EDATE('Übersicht &amp; Eingaben'!$C$12,93))</f>
        <v>48853</v>
      </c>
      <c r="C103" s="31" t="n">
        <f aca="false">IF($H$102&lt;=0,"",YEAR(B103))</f>
        <v>2033</v>
      </c>
      <c r="D103" s="32" t="n">
        <f aca="false">IF($H$102&lt;=0,0,MIN($H$102+($H$102*'Übersicht &amp; Eingaben'!$C$8/12),('Übersicht &amp; Eingaben'!$C$7*('Übersicht &amp; Eingaben'!$C$8+'Übersicht &amp; Eingaben'!$C$9)/12)))</f>
        <v>1312.5</v>
      </c>
      <c r="E103" s="32" t="n">
        <f aca="false">IF($H$102&lt;=0,0,($H$102*'Übersicht &amp; Eingaben'!$C$8/12))</f>
        <v>613.629973183471</v>
      </c>
      <c r="F103" s="32" t="n">
        <f aca="false">D103-E103</f>
        <v>698.870026816529</v>
      </c>
      <c r="G103" s="33" t="n">
        <f aca="false">IF($H$102&lt;=0,0,IF(MONTH(B103)=12,MIN('Übersicht &amp; Eingaben'!$C$13,$H$102-F103),0))</f>
        <v>0</v>
      </c>
      <c r="H103" s="34" t="n">
        <f aca="false">MAX($H$102-F103-G103,0)</f>
        <v>193079.016241648</v>
      </c>
    </row>
    <row r="104" customFormat="false" ht="18" hidden="false" customHeight="true" outlineLevel="0" collapsed="false">
      <c r="A104" s="23" t="n">
        <f aca="false">IF($H$103&lt;=0,"",95)</f>
        <v>95</v>
      </c>
      <c r="B104" s="24" t="n">
        <f aca="false">IF($H$103&lt;=0,"",EDATE('Übersicht &amp; Eingaben'!$C$12,94))</f>
        <v>48884</v>
      </c>
      <c r="C104" s="25" t="n">
        <f aca="false">IF($H$103&lt;=0,"",YEAR(B104))</f>
        <v>2033</v>
      </c>
      <c r="D104" s="26" t="n">
        <f aca="false">IF($H$103&lt;=0,0,MIN($H$103+($H$103*'Übersicht &amp; Eingaben'!$C$8/12),('Übersicht &amp; Eingaben'!$C$7*('Übersicht &amp; Eingaben'!$C$8+'Übersicht &amp; Eingaben'!$C$9)/12)))</f>
        <v>1312.5</v>
      </c>
      <c r="E104" s="26" t="n">
        <f aca="false">IF($H$103&lt;=0,0,($H$103*'Übersicht &amp; Eingaben'!$C$8/12))</f>
        <v>611.416884765219</v>
      </c>
      <c r="F104" s="26" t="n">
        <f aca="false">D104-E104</f>
        <v>701.083115234781</v>
      </c>
      <c r="G104" s="27" t="n">
        <f aca="false">IF($H$103&lt;=0,0,IF(MONTH(B104)=12,MIN('Übersicht &amp; Eingaben'!$C$13,$H$103-F104),0))</f>
        <v>0</v>
      </c>
      <c r="H104" s="28" t="n">
        <f aca="false">MAX($H$103-F104-G104,0)</f>
        <v>192377.933126413</v>
      </c>
    </row>
    <row r="105" customFormat="false" ht="18" hidden="false" customHeight="true" outlineLevel="0" collapsed="false">
      <c r="A105" s="29" t="n">
        <f aca="false">IF($H$104&lt;=0,"",96)</f>
        <v>96</v>
      </c>
      <c r="B105" s="30" t="n">
        <f aca="false">IF($H$104&lt;=0,"",EDATE('Übersicht &amp; Eingaben'!$C$12,95))</f>
        <v>48914</v>
      </c>
      <c r="C105" s="31" t="n">
        <f aca="false">IF($H$104&lt;=0,"",YEAR(B105))</f>
        <v>2033</v>
      </c>
      <c r="D105" s="32" t="n">
        <f aca="false">IF($H$104&lt;=0,0,MIN($H$104+($H$104*'Übersicht &amp; Eingaben'!$C$8/12),('Übersicht &amp; Eingaben'!$C$7*('Übersicht &amp; Eingaben'!$C$8+'Übersicht &amp; Eingaben'!$C$9)/12)))</f>
        <v>1312.5</v>
      </c>
      <c r="E105" s="32" t="n">
        <f aca="false">IF($H$104&lt;=0,0,($H$104*'Übersicht &amp; Eingaben'!$C$8/12))</f>
        <v>609.196788233642</v>
      </c>
      <c r="F105" s="32" t="n">
        <f aca="false">D105-E105</f>
        <v>703.303211766358</v>
      </c>
      <c r="G105" s="33" t="n">
        <f aca="false">IF($H$104&lt;=0,0,IF(MONTH(B105)=12,MIN('Übersicht &amp; Eingaben'!$C$13,$H$104-F105),0))</f>
        <v>0</v>
      </c>
      <c r="H105" s="34" t="n">
        <f aca="false">MAX($H$104-F105-G105,0)</f>
        <v>191674.629914647</v>
      </c>
    </row>
    <row r="106" customFormat="false" ht="18" hidden="false" customHeight="true" outlineLevel="0" collapsed="false">
      <c r="A106" s="23" t="n">
        <f aca="false">IF($H$105&lt;=0,"",97)</f>
        <v>97</v>
      </c>
      <c r="B106" s="24" t="n">
        <f aca="false">IF($H$105&lt;=0,"",EDATE('Übersicht &amp; Eingaben'!$C$12,96))</f>
        <v>48945</v>
      </c>
      <c r="C106" s="25" t="n">
        <f aca="false">IF($H$105&lt;=0,"",YEAR(B106))</f>
        <v>2034</v>
      </c>
      <c r="D106" s="26" t="n">
        <f aca="false">IF($H$105&lt;=0,0,MIN($H$105+($H$105*'Übersicht &amp; Eingaben'!$C$8/12),('Übersicht &amp; Eingaben'!$C$7*('Übersicht &amp; Eingaben'!$C$8+'Übersicht &amp; Eingaben'!$C$9)/12)))</f>
        <v>1312.5</v>
      </c>
      <c r="E106" s="26" t="n">
        <f aca="false">IF($H$105&lt;=0,0,($H$105*'Übersicht &amp; Eingaben'!$C$8/12))</f>
        <v>606.969661396382</v>
      </c>
      <c r="F106" s="26" t="n">
        <f aca="false">D106-E106</f>
        <v>705.530338603618</v>
      </c>
      <c r="G106" s="27" t="n">
        <f aca="false">IF($H$105&lt;=0,0,IF(MONTH(B106)=12,MIN('Übersicht &amp; Eingaben'!$C$13,$H$105-F106),0))</f>
        <v>0</v>
      </c>
      <c r="H106" s="28" t="n">
        <f aca="false">MAX($H$105-F106-G106,0)</f>
        <v>190969.099576043</v>
      </c>
    </row>
    <row r="107" customFormat="false" ht="18" hidden="false" customHeight="true" outlineLevel="0" collapsed="false">
      <c r="A107" s="29" t="n">
        <f aca="false">IF($H$106&lt;=0,"",98)</f>
        <v>98</v>
      </c>
      <c r="B107" s="30" t="n">
        <f aca="false">IF($H$106&lt;=0,"",EDATE('Übersicht &amp; Eingaben'!$C$12,97))</f>
        <v>48976</v>
      </c>
      <c r="C107" s="31" t="n">
        <f aca="false">IF($H$106&lt;=0,"",YEAR(B107))</f>
        <v>2034</v>
      </c>
      <c r="D107" s="32" t="n">
        <f aca="false">IF($H$106&lt;=0,0,MIN($H$106+($H$106*'Übersicht &amp; Eingaben'!$C$8/12),('Übersicht &amp; Eingaben'!$C$7*('Übersicht &amp; Eingaben'!$C$8+'Übersicht &amp; Eingaben'!$C$9)/12)))</f>
        <v>1312.5</v>
      </c>
      <c r="E107" s="32" t="n">
        <f aca="false">IF($H$106&lt;=0,0,($H$106*'Übersicht &amp; Eingaben'!$C$8/12))</f>
        <v>604.735481990804</v>
      </c>
      <c r="F107" s="32" t="n">
        <f aca="false">D107-E107</f>
        <v>707.764518009196</v>
      </c>
      <c r="G107" s="33" t="n">
        <f aca="false">IF($H$106&lt;=0,0,IF(MONTH(B107)=12,MIN('Übersicht &amp; Eingaben'!$C$13,$H$106-F107),0))</f>
        <v>0</v>
      </c>
      <c r="H107" s="34" t="n">
        <f aca="false">MAX($H$106-F107-G107,0)</f>
        <v>190261.335058034</v>
      </c>
    </row>
    <row r="108" customFormat="false" ht="18" hidden="false" customHeight="true" outlineLevel="0" collapsed="false">
      <c r="A108" s="23" t="n">
        <f aca="false">IF($H$107&lt;=0,"",99)</f>
        <v>99</v>
      </c>
      <c r="B108" s="24" t="n">
        <f aca="false">IF($H$107&lt;=0,"",EDATE('Übersicht &amp; Eingaben'!$C$12,98))</f>
        <v>49004</v>
      </c>
      <c r="C108" s="25" t="n">
        <f aca="false">IF($H$107&lt;=0,"",YEAR(B108))</f>
        <v>2034</v>
      </c>
      <c r="D108" s="26" t="n">
        <f aca="false">IF($H$107&lt;=0,0,MIN($H$107+($H$107*'Übersicht &amp; Eingaben'!$C$8/12),('Übersicht &amp; Eingaben'!$C$7*('Übersicht &amp; Eingaben'!$C$8+'Übersicht &amp; Eingaben'!$C$9)/12)))</f>
        <v>1312.5</v>
      </c>
      <c r="E108" s="26" t="n">
        <f aca="false">IF($H$107&lt;=0,0,($H$107*'Übersicht &amp; Eingaben'!$C$8/12))</f>
        <v>602.494227683775</v>
      </c>
      <c r="F108" s="26" t="n">
        <f aca="false">D108-E108</f>
        <v>710.005772316225</v>
      </c>
      <c r="G108" s="27" t="n">
        <f aca="false">IF($H$107&lt;=0,0,IF(MONTH(B108)=12,MIN('Übersicht &amp; Eingaben'!$C$13,$H$107-F108),0))</f>
        <v>0</v>
      </c>
      <c r="H108" s="28" t="n">
        <f aca="false">MAX($H$107-F108-G108,0)</f>
        <v>189551.329285718</v>
      </c>
    </row>
    <row r="109" customFormat="false" ht="18" hidden="false" customHeight="true" outlineLevel="0" collapsed="false">
      <c r="A109" s="29" t="n">
        <f aca="false">IF($H$108&lt;=0,"",100)</f>
        <v>100</v>
      </c>
      <c r="B109" s="30" t="n">
        <f aca="false">IF($H$108&lt;=0,"",EDATE('Übersicht &amp; Eingaben'!$C$12,99))</f>
        <v>49035</v>
      </c>
      <c r="C109" s="31" t="n">
        <f aca="false">IF($H$108&lt;=0,"",YEAR(B109))</f>
        <v>2034</v>
      </c>
      <c r="D109" s="32" t="n">
        <f aca="false">IF($H$108&lt;=0,0,MIN($H$108+($H$108*'Übersicht &amp; Eingaben'!$C$8/12),('Übersicht &amp; Eingaben'!$C$7*('Übersicht &amp; Eingaben'!$C$8+'Übersicht &amp; Eingaben'!$C$9)/12)))</f>
        <v>1312.5</v>
      </c>
      <c r="E109" s="32" t="n">
        <f aca="false">IF($H$108&lt;=0,0,($H$108*'Übersicht &amp; Eingaben'!$C$8/12))</f>
        <v>600.24587607144</v>
      </c>
      <c r="F109" s="32" t="n">
        <f aca="false">D109-E109</f>
        <v>712.25412392856</v>
      </c>
      <c r="G109" s="33" t="n">
        <f aca="false">IF($H$108&lt;=0,0,IF(MONTH(B109)=12,MIN('Übersicht &amp; Eingaben'!$C$13,$H$108-F109),0))</f>
        <v>0</v>
      </c>
      <c r="H109" s="34" t="n">
        <f aca="false">MAX($H$108-F109-G109,0)</f>
        <v>188839.075161789</v>
      </c>
    </row>
    <row r="110" customFormat="false" ht="18" hidden="false" customHeight="true" outlineLevel="0" collapsed="false">
      <c r="A110" s="23" t="n">
        <f aca="false">IF($H$109&lt;=0,"",101)</f>
        <v>101</v>
      </c>
      <c r="B110" s="24" t="n">
        <f aca="false">IF($H$109&lt;=0,"",EDATE('Übersicht &amp; Eingaben'!$C$12,100))</f>
        <v>49065</v>
      </c>
      <c r="C110" s="25" t="n">
        <f aca="false">IF($H$109&lt;=0,"",YEAR(B110))</f>
        <v>2034</v>
      </c>
      <c r="D110" s="26" t="n">
        <f aca="false">IF($H$109&lt;=0,0,MIN($H$109+($H$109*'Übersicht &amp; Eingaben'!$C$8/12),('Übersicht &amp; Eingaben'!$C$7*('Übersicht &amp; Eingaben'!$C$8+'Übersicht &amp; Eingaben'!$C$9)/12)))</f>
        <v>1312.5</v>
      </c>
      <c r="E110" s="26" t="n">
        <f aca="false">IF($H$109&lt;=0,0,($H$109*'Übersicht &amp; Eingaben'!$C$8/12))</f>
        <v>597.990404679</v>
      </c>
      <c r="F110" s="26" t="n">
        <f aca="false">D110-E110</f>
        <v>714.509595321</v>
      </c>
      <c r="G110" s="27" t="n">
        <f aca="false">IF($H$109&lt;=0,0,IF(MONTH(B110)=12,MIN('Übersicht &amp; Eingaben'!$C$13,$H$109-F110),0))</f>
        <v>0</v>
      </c>
      <c r="H110" s="28" t="n">
        <f aca="false">MAX($H$109-F110-G110,0)</f>
        <v>188124.565566468</v>
      </c>
    </row>
    <row r="111" customFormat="false" ht="18" hidden="false" customHeight="true" outlineLevel="0" collapsed="false">
      <c r="A111" s="29" t="n">
        <f aca="false">IF($H$110&lt;=0,"",102)</f>
        <v>102</v>
      </c>
      <c r="B111" s="30" t="n">
        <f aca="false">IF($H$110&lt;=0,"",EDATE('Übersicht &amp; Eingaben'!$C$12,101))</f>
        <v>49096</v>
      </c>
      <c r="C111" s="31" t="n">
        <f aca="false">IF($H$110&lt;=0,"",YEAR(B111))</f>
        <v>2034</v>
      </c>
      <c r="D111" s="32" t="n">
        <f aca="false">IF($H$110&lt;=0,0,MIN($H$110+($H$110*'Übersicht &amp; Eingaben'!$C$8/12),('Übersicht &amp; Eingaben'!$C$7*('Übersicht &amp; Eingaben'!$C$8+'Übersicht &amp; Eingaben'!$C$9)/12)))</f>
        <v>1312.5</v>
      </c>
      <c r="E111" s="32" t="n">
        <f aca="false">IF($H$110&lt;=0,0,($H$110*'Übersicht &amp; Eingaben'!$C$8/12))</f>
        <v>595.727790960483</v>
      </c>
      <c r="F111" s="32" t="n">
        <f aca="false">D111-E111</f>
        <v>716.772209039517</v>
      </c>
      <c r="G111" s="33" t="n">
        <f aca="false">IF($H$110&lt;=0,0,IF(MONTH(B111)=12,MIN('Übersicht &amp; Eingaben'!$C$13,$H$110-F111),0))</f>
        <v>0</v>
      </c>
      <c r="H111" s="34" t="n">
        <f aca="false">MAX($H$110-F111-G111,0)</f>
        <v>187407.793357429</v>
      </c>
    </row>
    <row r="112" customFormat="false" ht="18" hidden="false" customHeight="true" outlineLevel="0" collapsed="false">
      <c r="A112" s="23" t="n">
        <f aca="false">IF($H$111&lt;=0,"",103)</f>
        <v>103</v>
      </c>
      <c r="B112" s="24" t="n">
        <f aca="false">IF($H$111&lt;=0,"",EDATE('Übersicht &amp; Eingaben'!$C$12,102))</f>
        <v>49126</v>
      </c>
      <c r="C112" s="25" t="n">
        <f aca="false">IF($H$111&lt;=0,"",YEAR(B112))</f>
        <v>2034</v>
      </c>
      <c r="D112" s="26" t="n">
        <f aca="false">IF($H$111&lt;=0,0,MIN($H$111+($H$111*'Übersicht &amp; Eingaben'!$C$8/12),('Übersicht &amp; Eingaben'!$C$7*('Übersicht &amp; Eingaben'!$C$8+'Übersicht &amp; Eingaben'!$C$9)/12)))</f>
        <v>1312.5</v>
      </c>
      <c r="E112" s="26" t="n">
        <f aca="false">IF($H$111&lt;=0,0,($H$111*'Übersicht &amp; Eingaben'!$C$8/12))</f>
        <v>593.458012298525</v>
      </c>
      <c r="F112" s="26" t="n">
        <f aca="false">D112-E112</f>
        <v>719.041987701475</v>
      </c>
      <c r="G112" s="27" t="n">
        <f aca="false">IF($H$111&lt;=0,0,IF(MONTH(B112)=12,MIN('Übersicht &amp; Eingaben'!$C$13,$H$111-F112),0))</f>
        <v>0</v>
      </c>
      <c r="H112" s="28" t="n">
        <f aca="false">MAX($H$111-F112-G112,0)</f>
        <v>186688.751369727</v>
      </c>
    </row>
    <row r="113" customFormat="false" ht="18" hidden="false" customHeight="true" outlineLevel="0" collapsed="false">
      <c r="A113" s="29" t="n">
        <f aca="false">IF($H$112&lt;=0,"",104)</f>
        <v>104</v>
      </c>
      <c r="B113" s="30" t="n">
        <f aca="false">IF($H$112&lt;=0,"",EDATE('Übersicht &amp; Eingaben'!$C$12,103))</f>
        <v>49157</v>
      </c>
      <c r="C113" s="31" t="n">
        <f aca="false">IF($H$112&lt;=0,"",YEAR(B113))</f>
        <v>2034</v>
      </c>
      <c r="D113" s="32" t="n">
        <f aca="false">IF($H$112&lt;=0,0,MIN($H$112+($H$112*'Übersicht &amp; Eingaben'!$C$8/12),('Übersicht &amp; Eingaben'!$C$7*('Übersicht &amp; Eingaben'!$C$8+'Übersicht &amp; Eingaben'!$C$9)/12)))</f>
        <v>1312.5</v>
      </c>
      <c r="E113" s="32" t="n">
        <f aca="false">IF($H$112&lt;=0,0,($H$112*'Übersicht &amp; Eingaben'!$C$8/12))</f>
        <v>591.181046004137</v>
      </c>
      <c r="F113" s="32" t="n">
        <f aca="false">D113-E113</f>
        <v>721.318953995863</v>
      </c>
      <c r="G113" s="33" t="n">
        <f aca="false">IF($H$112&lt;=0,0,IF(MONTH(B113)=12,MIN('Übersicht &amp; Eingaben'!$C$13,$H$112-F113),0))</f>
        <v>0</v>
      </c>
      <c r="H113" s="34" t="n">
        <f aca="false">MAX($H$112-F113-G113,0)</f>
        <v>185967.432415732</v>
      </c>
    </row>
    <row r="114" customFormat="false" ht="18" hidden="false" customHeight="true" outlineLevel="0" collapsed="false">
      <c r="A114" s="23" t="n">
        <f aca="false">IF($H$113&lt;=0,"",105)</f>
        <v>105</v>
      </c>
      <c r="B114" s="24" t="n">
        <f aca="false">IF($H$113&lt;=0,"",EDATE('Übersicht &amp; Eingaben'!$C$12,104))</f>
        <v>49188</v>
      </c>
      <c r="C114" s="25" t="n">
        <f aca="false">IF($H$113&lt;=0,"",YEAR(B114))</f>
        <v>2034</v>
      </c>
      <c r="D114" s="26" t="n">
        <f aca="false">IF($H$113&lt;=0,0,MIN($H$113+($H$113*'Übersicht &amp; Eingaben'!$C$8/12),('Übersicht &amp; Eingaben'!$C$7*('Übersicht &amp; Eingaben'!$C$8+'Übersicht &amp; Eingaben'!$C$9)/12)))</f>
        <v>1312.5</v>
      </c>
      <c r="E114" s="26" t="n">
        <f aca="false">IF($H$113&lt;=0,0,($H$113*'Übersicht &amp; Eingaben'!$C$8/12))</f>
        <v>588.896869316483</v>
      </c>
      <c r="F114" s="26" t="n">
        <f aca="false">D114-E114</f>
        <v>723.603130683517</v>
      </c>
      <c r="G114" s="27" t="n">
        <f aca="false">IF($H$113&lt;=0,0,IF(MONTH(B114)=12,MIN('Übersicht &amp; Eingaben'!$C$13,$H$113-F114),0))</f>
        <v>0</v>
      </c>
      <c r="H114" s="28" t="n">
        <f aca="false">MAX($H$113-F114-G114,0)</f>
        <v>185243.829285048</v>
      </c>
    </row>
    <row r="115" customFormat="false" ht="18" hidden="false" customHeight="true" outlineLevel="0" collapsed="false">
      <c r="A115" s="29" t="n">
        <f aca="false">IF($H$114&lt;=0,"",106)</f>
        <v>106</v>
      </c>
      <c r="B115" s="30" t="n">
        <f aca="false">IF($H$114&lt;=0,"",EDATE('Übersicht &amp; Eingaben'!$C$12,105))</f>
        <v>49218</v>
      </c>
      <c r="C115" s="31" t="n">
        <f aca="false">IF($H$114&lt;=0,"",YEAR(B115))</f>
        <v>2034</v>
      </c>
      <c r="D115" s="32" t="n">
        <f aca="false">IF($H$114&lt;=0,0,MIN($H$114+($H$114*'Übersicht &amp; Eingaben'!$C$8/12),('Übersicht &amp; Eingaben'!$C$7*('Übersicht &amp; Eingaben'!$C$8+'Übersicht &amp; Eingaben'!$C$9)/12)))</f>
        <v>1312.5</v>
      </c>
      <c r="E115" s="32" t="n">
        <f aca="false">IF($H$114&lt;=0,0,($H$114*'Übersicht &amp; Eingaben'!$C$8/12))</f>
        <v>586.605459402652</v>
      </c>
      <c r="F115" s="32" t="n">
        <f aca="false">D115-E115</f>
        <v>725.894540597348</v>
      </c>
      <c r="G115" s="33" t="n">
        <f aca="false">IF($H$114&lt;=0,0,IF(MONTH(B115)=12,MIN('Übersicht &amp; Eingaben'!$C$13,$H$114-F115),0))</f>
        <v>0</v>
      </c>
      <c r="H115" s="34" t="n">
        <f aca="false">MAX($H$114-F115-G115,0)</f>
        <v>184517.934744451</v>
      </c>
    </row>
    <row r="116" customFormat="false" ht="18" hidden="false" customHeight="true" outlineLevel="0" collapsed="false">
      <c r="A116" s="23" t="n">
        <f aca="false">IF($H$115&lt;=0,"",107)</f>
        <v>107</v>
      </c>
      <c r="B116" s="24" t="n">
        <f aca="false">IF($H$115&lt;=0,"",EDATE('Übersicht &amp; Eingaben'!$C$12,106))</f>
        <v>49249</v>
      </c>
      <c r="C116" s="25" t="n">
        <f aca="false">IF($H$115&lt;=0,"",YEAR(B116))</f>
        <v>2034</v>
      </c>
      <c r="D116" s="26" t="n">
        <f aca="false">IF($H$115&lt;=0,0,MIN($H$115+($H$115*'Übersicht &amp; Eingaben'!$C$8/12),('Übersicht &amp; Eingaben'!$C$7*('Übersicht &amp; Eingaben'!$C$8+'Übersicht &amp; Eingaben'!$C$9)/12)))</f>
        <v>1312.5</v>
      </c>
      <c r="E116" s="26" t="n">
        <f aca="false">IF($H$115&lt;=0,0,($H$115*'Übersicht &amp; Eingaben'!$C$8/12))</f>
        <v>584.306793357427</v>
      </c>
      <c r="F116" s="26" t="n">
        <f aca="false">D116-E116</f>
        <v>728.193206642573</v>
      </c>
      <c r="G116" s="27" t="n">
        <f aca="false">IF($H$115&lt;=0,0,IF(MONTH(B116)=12,MIN('Übersicht &amp; Eingaben'!$C$13,$H$115-F116),0))</f>
        <v>0</v>
      </c>
      <c r="H116" s="28" t="n">
        <f aca="false">MAX($H$115-F116-G116,0)</f>
        <v>183789.741537808</v>
      </c>
    </row>
    <row r="117" customFormat="false" ht="18" hidden="false" customHeight="true" outlineLevel="0" collapsed="false">
      <c r="A117" s="29" t="n">
        <f aca="false">IF($H$116&lt;=0,"",108)</f>
        <v>108</v>
      </c>
      <c r="B117" s="30" t="n">
        <f aca="false">IF($H$116&lt;=0,"",EDATE('Übersicht &amp; Eingaben'!$C$12,107))</f>
        <v>49279</v>
      </c>
      <c r="C117" s="31" t="n">
        <f aca="false">IF($H$116&lt;=0,"",YEAR(B117))</f>
        <v>2034</v>
      </c>
      <c r="D117" s="32" t="n">
        <f aca="false">IF($H$116&lt;=0,0,MIN($H$116+($H$116*'Übersicht &amp; Eingaben'!$C$8/12),('Übersicht &amp; Eingaben'!$C$7*('Übersicht &amp; Eingaben'!$C$8+'Übersicht &amp; Eingaben'!$C$9)/12)))</f>
        <v>1312.5</v>
      </c>
      <c r="E117" s="32" t="n">
        <f aca="false">IF($H$116&lt;=0,0,($H$116*'Übersicht &amp; Eingaben'!$C$8/12))</f>
        <v>582.000848203059</v>
      </c>
      <c r="F117" s="32" t="n">
        <f aca="false">D117-E117</f>
        <v>730.499151796941</v>
      </c>
      <c r="G117" s="33" t="n">
        <f aca="false">IF($H$116&lt;=0,0,IF(MONTH(B117)=12,MIN('Übersicht &amp; Eingaben'!$C$13,$H$116-F117),0))</f>
        <v>0</v>
      </c>
      <c r="H117" s="34" t="n">
        <f aca="false">MAX($H$116-F117-G117,0)</f>
        <v>183059.242386011</v>
      </c>
    </row>
    <row r="118" customFormat="false" ht="18" hidden="false" customHeight="true" outlineLevel="0" collapsed="false">
      <c r="A118" s="23" t="n">
        <f aca="false">IF($H$117&lt;=0,"",109)</f>
        <v>109</v>
      </c>
      <c r="B118" s="24" t="n">
        <f aca="false">IF($H$117&lt;=0,"",EDATE('Übersicht &amp; Eingaben'!$C$12,108))</f>
        <v>49310</v>
      </c>
      <c r="C118" s="25" t="n">
        <f aca="false">IF($H$117&lt;=0,"",YEAR(B118))</f>
        <v>2035</v>
      </c>
      <c r="D118" s="26" t="n">
        <f aca="false">IF($H$117&lt;=0,0,MIN($H$117+($H$117*'Übersicht &amp; Eingaben'!$C$8/12),('Übersicht &amp; Eingaben'!$C$7*('Übersicht &amp; Eingaben'!$C$8+'Übersicht &amp; Eingaben'!$C$9)/12)))</f>
        <v>1312.5</v>
      </c>
      <c r="E118" s="26" t="n">
        <f aca="false">IF($H$117&lt;=0,0,($H$117*'Übersicht &amp; Eingaben'!$C$8/12))</f>
        <v>579.687600889036</v>
      </c>
      <c r="F118" s="26" t="n">
        <f aca="false">D118-E118</f>
        <v>732.812399110965</v>
      </c>
      <c r="G118" s="27" t="n">
        <f aca="false">IF($H$117&lt;=0,0,IF(MONTH(B118)=12,MIN('Übersicht &amp; Eingaben'!$C$13,$H$117-F118),0))</f>
        <v>0</v>
      </c>
      <c r="H118" s="28" t="n">
        <f aca="false">MAX($H$117-F118-G118,0)</f>
        <v>182326.4299869</v>
      </c>
    </row>
    <row r="119" customFormat="false" ht="18" hidden="false" customHeight="true" outlineLevel="0" collapsed="false">
      <c r="A119" s="29" t="n">
        <f aca="false">IF($H$118&lt;=0,"",110)</f>
        <v>110</v>
      </c>
      <c r="B119" s="30" t="n">
        <f aca="false">IF($H$118&lt;=0,"",EDATE('Übersicht &amp; Eingaben'!$C$12,109))</f>
        <v>49341</v>
      </c>
      <c r="C119" s="31" t="n">
        <f aca="false">IF($H$118&lt;=0,"",YEAR(B119))</f>
        <v>2035</v>
      </c>
      <c r="D119" s="32" t="n">
        <f aca="false">IF($H$118&lt;=0,0,MIN($H$118+($H$118*'Übersicht &amp; Eingaben'!$C$8/12),('Übersicht &amp; Eingaben'!$C$7*('Übersicht &amp; Eingaben'!$C$8+'Übersicht &amp; Eingaben'!$C$9)/12)))</f>
        <v>1312.5</v>
      </c>
      <c r="E119" s="32" t="n">
        <f aca="false">IF($H$118&lt;=0,0,($H$118*'Übersicht &amp; Eingaben'!$C$8/12))</f>
        <v>577.367028291851</v>
      </c>
      <c r="F119" s="32" t="n">
        <f aca="false">D119-E119</f>
        <v>735.132971708149</v>
      </c>
      <c r="G119" s="33" t="n">
        <f aca="false">IF($H$118&lt;=0,0,IF(MONTH(B119)=12,MIN('Übersicht &amp; Eingaben'!$C$13,$H$118-F119),0))</f>
        <v>0</v>
      </c>
      <c r="H119" s="34" t="n">
        <f aca="false">MAX($H$118-F119-G119,0)</f>
        <v>181591.297015192</v>
      </c>
    </row>
    <row r="120" customFormat="false" ht="18" hidden="false" customHeight="true" outlineLevel="0" collapsed="false">
      <c r="A120" s="23" t="n">
        <f aca="false">IF($H$119&lt;=0,"",111)</f>
        <v>111</v>
      </c>
      <c r="B120" s="24" t="n">
        <f aca="false">IF($H$119&lt;=0,"",EDATE('Übersicht &amp; Eingaben'!$C$12,110))</f>
        <v>49369</v>
      </c>
      <c r="C120" s="25" t="n">
        <f aca="false">IF($H$119&lt;=0,"",YEAR(B120))</f>
        <v>2035</v>
      </c>
      <c r="D120" s="26" t="n">
        <f aca="false">IF($H$119&lt;=0,0,MIN($H$119+($H$119*'Übersicht &amp; Eingaben'!$C$8/12),('Übersicht &amp; Eingaben'!$C$7*('Übersicht &amp; Eingaben'!$C$8+'Übersicht &amp; Eingaben'!$C$9)/12)))</f>
        <v>1312.5</v>
      </c>
      <c r="E120" s="26" t="n">
        <f aca="false">IF($H$119&lt;=0,0,($H$119*'Übersicht &amp; Eingaben'!$C$8/12))</f>
        <v>575.039107214775</v>
      </c>
      <c r="F120" s="26" t="n">
        <f aca="false">D120-E120</f>
        <v>737.460892785225</v>
      </c>
      <c r="G120" s="27" t="n">
        <f aca="false">IF($H$119&lt;=0,0,IF(MONTH(B120)=12,MIN('Übersicht &amp; Eingaben'!$C$13,$H$119-F120),0))</f>
        <v>0</v>
      </c>
      <c r="H120" s="28" t="n">
        <f aca="false">MAX($H$119-F120-G120,0)</f>
        <v>180853.836122407</v>
      </c>
    </row>
    <row r="121" customFormat="false" ht="18" hidden="false" customHeight="true" outlineLevel="0" collapsed="false">
      <c r="A121" s="29" t="n">
        <f aca="false">IF($H$120&lt;=0,"",112)</f>
        <v>112</v>
      </c>
      <c r="B121" s="30" t="n">
        <f aca="false">IF($H$120&lt;=0,"",EDATE('Übersicht &amp; Eingaben'!$C$12,111))</f>
        <v>49400</v>
      </c>
      <c r="C121" s="31" t="n">
        <f aca="false">IF($H$120&lt;=0,"",YEAR(B121))</f>
        <v>2035</v>
      </c>
      <c r="D121" s="32" t="n">
        <f aca="false">IF($H$120&lt;=0,0,MIN($H$120+($H$120*'Übersicht &amp; Eingaben'!$C$8/12),('Übersicht &amp; Eingaben'!$C$7*('Übersicht &amp; Eingaben'!$C$8+'Übersicht &amp; Eingaben'!$C$9)/12)))</f>
        <v>1312.5</v>
      </c>
      <c r="E121" s="32" t="n">
        <f aca="false">IF($H$120&lt;=0,0,($H$120*'Übersicht &amp; Eingaben'!$C$8/12))</f>
        <v>572.703814387622</v>
      </c>
      <c r="F121" s="32" t="n">
        <f aca="false">D121-E121</f>
        <v>739.796185612378</v>
      </c>
      <c r="G121" s="33" t="n">
        <f aca="false">IF($H$120&lt;=0,0,IF(MONTH(B121)=12,MIN('Übersicht &amp; Eingaben'!$C$13,$H$120-F121),0))</f>
        <v>0</v>
      </c>
      <c r="H121" s="34" t="n">
        <f aca="false">MAX($H$120-F121-G121,0)</f>
        <v>180114.039936795</v>
      </c>
    </row>
    <row r="122" customFormat="false" ht="18" hidden="false" customHeight="true" outlineLevel="0" collapsed="false">
      <c r="A122" s="23" t="n">
        <f aca="false">IF($H$121&lt;=0,"",113)</f>
        <v>113</v>
      </c>
      <c r="B122" s="24" t="n">
        <f aca="false">IF($H$121&lt;=0,"",EDATE('Übersicht &amp; Eingaben'!$C$12,112))</f>
        <v>49430</v>
      </c>
      <c r="C122" s="25" t="n">
        <f aca="false">IF($H$121&lt;=0,"",YEAR(B122))</f>
        <v>2035</v>
      </c>
      <c r="D122" s="26" t="n">
        <f aca="false">IF($H$121&lt;=0,0,MIN($H$121+($H$121*'Übersicht &amp; Eingaben'!$C$8/12),('Übersicht &amp; Eingaben'!$C$7*('Übersicht &amp; Eingaben'!$C$8+'Übersicht &amp; Eingaben'!$C$9)/12)))</f>
        <v>1312.5</v>
      </c>
      <c r="E122" s="26" t="n">
        <f aca="false">IF($H$121&lt;=0,0,($H$121*'Übersicht &amp; Eingaben'!$C$8/12))</f>
        <v>570.361126466516</v>
      </c>
      <c r="F122" s="26" t="n">
        <f aca="false">D122-E122</f>
        <v>742.138873533484</v>
      </c>
      <c r="G122" s="27" t="n">
        <f aca="false">IF($H$121&lt;=0,0,IF(MONTH(B122)=12,MIN('Übersicht &amp; Eingaben'!$C$13,$H$121-F122),0))</f>
        <v>0</v>
      </c>
      <c r="H122" s="28" t="n">
        <f aca="false">MAX($H$121-F122-G122,0)</f>
        <v>179371.901063261</v>
      </c>
    </row>
    <row r="123" customFormat="false" ht="18" hidden="false" customHeight="true" outlineLevel="0" collapsed="false">
      <c r="A123" s="29" t="n">
        <f aca="false">IF($H$122&lt;=0,"",114)</f>
        <v>114</v>
      </c>
      <c r="B123" s="30" t="n">
        <f aca="false">IF($H$122&lt;=0,"",EDATE('Übersicht &amp; Eingaben'!$C$12,113))</f>
        <v>49461</v>
      </c>
      <c r="C123" s="31" t="n">
        <f aca="false">IF($H$122&lt;=0,"",YEAR(B123))</f>
        <v>2035</v>
      </c>
      <c r="D123" s="32" t="n">
        <f aca="false">IF($H$122&lt;=0,0,MIN($H$122+($H$122*'Übersicht &amp; Eingaben'!$C$8/12),('Übersicht &amp; Eingaben'!$C$7*('Übersicht &amp; Eingaben'!$C$8+'Übersicht &amp; Eingaben'!$C$9)/12)))</f>
        <v>1312.5</v>
      </c>
      <c r="E123" s="32" t="n">
        <f aca="false">IF($H$122&lt;=0,0,($H$122*'Übersicht &amp; Eingaben'!$C$8/12))</f>
        <v>568.01102003366</v>
      </c>
      <c r="F123" s="32" t="n">
        <f aca="false">D123-E123</f>
        <v>744.48897996634</v>
      </c>
      <c r="G123" s="33" t="n">
        <f aca="false">IF($H$122&lt;=0,0,IF(MONTH(B123)=12,MIN('Übersicht &amp; Eingaben'!$C$13,$H$122-F123),0))</f>
        <v>0</v>
      </c>
      <c r="H123" s="34" t="n">
        <f aca="false">MAX($H$122-F123-G123,0)</f>
        <v>178627.412083295</v>
      </c>
    </row>
    <row r="124" customFormat="false" ht="18" hidden="false" customHeight="true" outlineLevel="0" collapsed="false">
      <c r="A124" s="23" t="n">
        <f aca="false">IF($H$123&lt;=0,"",115)</f>
        <v>115</v>
      </c>
      <c r="B124" s="24" t="n">
        <f aca="false">IF($H$123&lt;=0,"",EDATE('Übersicht &amp; Eingaben'!$C$12,114))</f>
        <v>49491</v>
      </c>
      <c r="C124" s="25" t="n">
        <f aca="false">IF($H$123&lt;=0,"",YEAR(B124))</f>
        <v>2035</v>
      </c>
      <c r="D124" s="26" t="n">
        <f aca="false">IF($H$123&lt;=0,0,MIN($H$123+($H$123*'Übersicht &amp; Eingaben'!$C$8/12),('Übersicht &amp; Eingaben'!$C$7*('Übersicht &amp; Eingaben'!$C$8+'Übersicht &amp; Eingaben'!$C$9)/12)))</f>
        <v>1312.5</v>
      </c>
      <c r="E124" s="26" t="n">
        <f aca="false">IF($H$123&lt;=0,0,($H$123*'Übersicht &amp; Eingaben'!$C$8/12))</f>
        <v>565.6534715971</v>
      </c>
      <c r="F124" s="26" t="n">
        <f aca="false">D124-E124</f>
        <v>746.8465284029</v>
      </c>
      <c r="G124" s="27" t="n">
        <f aca="false">IF($H$123&lt;=0,0,IF(MONTH(B124)=12,MIN('Übersicht &amp; Eingaben'!$C$13,$H$123-F124),0))</f>
        <v>0</v>
      </c>
      <c r="H124" s="28" t="n">
        <f aca="false">MAX($H$123-F124-G124,0)</f>
        <v>177880.565554892</v>
      </c>
    </row>
    <row r="125" customFormat="false" ht="18" hidden="false" customHeight="true" outlineLevel="0" collapsed="false">
      <c r="A125" s="29" t="n">
        <f aca="false">IF($H$124&lt;=0,"",116)</f>
        <v>116</v>
      </c>
      <c r="B125" s="30" t="n">
        <f aca="false">IF($H$124&lt;=0,"",EDATE('Übersicht &amp; Eingaben'!$C$12,115))</f>
        <v>49522</v>
      </c>
      <c r="C125" s="31" t="n">
        <f aca="false">IF($H$124&lt;=0,"",YEAR(B125))</f>
        <v>2035</v>
      </c>
      <c r="D125" s="32" t="n">
        <f aca="false">IF($H$124&lt;=0,0,MIN($H$124+($H$124*'Übersicht &amp; Eingaben'!$C$8/12),('Übersicht &amp; Eingaben'!$C$7*('Übersicht &amp; Eingaben'!$C$8+'Übersicht &amp; Eingaben'!$C$9)/12)))</f>
        <v>1312.5</v>
      </c>
      <c r="E125" s="32" t="n">
        <f aca="false">IF($H$124&lt;=0,0,($H$124*'Übersicht &amp; Eingaben'!$C$8/12))</f>
        <v>563.288457590491</v>
      </c>
      <c r="F125" s="32" t="n">
        <f aca="false">D125-E125</f>
        <v>749.211542409509</v>
      </c>
      <c r="G125" s="33" t="n">
        <f aca="false">IF($H$124&lt;=0,0,IF(MONTH(B125)=12,MIN('Übersicht &amp; Eingaben'!$C$13,$H$124-F125),0))</f>
        <v>0</v>
      </c>
      <c r="H125" s="34" t="n">
        <f aca="false">MAX($H$124-F125-G125,0)</f>
        <v>177131.354012482</v>
      </c>
    </row>
    <row r="126" customFormat="false" ht="18" hidden="false" customHeight="true" outlineLevel="0" collapsed="false">
      <c r="A126" s="23" t="n">
        <f aca="false">IF($H$125&lt;=0,"",117)</f>
        <v>117</v>
      </c>
      <c r="B126" s="24" t="n">
        <f aca="false">IF($H$125&lt;=0,"",EDATE('Übersicht &amp; Eingaben'!$C$12,116))</f>
        <v>49553</v>
      </c>
      <c r="C126" s="25" t="n">
        <f aca="false">IF($H$125&lt;=0,"",YEAR(B126))</f>
        <v>2035</v>
      </c>
      <c r="D126" s="26" t="n">
        <f aca="false">IF($H$125&lt;=0,0,MIN($H$125+($H$125*'Übersicht &amp; Eingaben'!$C$8/12),('Übersicht &amp; Eingaben'!$C$7*('Übersicht &amp; Eingaben'!$C$8+'Übersicht &amp; Eingaben'!$C$9)/12)))</f>
        <v>1312.5</v>
      </c>
      <c r="E126" s="26" t="n">
        <f aca="false">IF($H$125&lt;=0,0,($H$125*'Übersicht &amp; Eingaben'!$C$8/12))</f>
        <v>560.915954372861</v>
      </c>
      <c r="F126" s="26" t="n">
        <f aca="false">D126-E126</f>
        <v>751.58404562714</v>
      </c>
      <c r="G126" s="27" t="n">
        <f aca="false">IF($H$125&lt;=0,0,IF(MONTH(B126)=12,MIN('Übersicht &amp; Eingaben'!$C$13,$H$125-F126),0))</f>
        <v>0</v>
      </c>
      <c r="H126" s="28" t="n">
        <f aca="false">MAX($H$125-F126-G126,0)</f>
        <v>176379.769966855</v>
      </c>
    </row>
    <row r="127" customFormat="false" ht="18" hidden="false" customHeight="true" outlineLevel="0" collapsed="false">
      <c r="A127" s="29" t="n">
        <f aca="false">IF($H$126&lt;=0,"",118)</f>
        <v>118</v>
      </c>
      <c r="B127" s="30" t="n">
        <f aca="false">IF($H$126&lt;=0,"",EDATE('Übersicht &amp; Eingaben'!$C$12,117))</f>
        <v>49583</v>
      </c>
      <c r="C127" s="31" t="n">
        <f aca="false">IF($H$126&lt;=0,"",YEAR(B127))</f>
        <v>2035</v>
      </c>
      <c r="D127" s="32" t="n">
        <f aca="false">IF($H$126&lt;=0,0,MIN($H$126+($H$126*'Übersicht &amp; Eingaben'!$C$8/12),('Übersicht &amp; Eingaben'!$C$7*('Übersicht &amp; Eingaben'!$C$8+'Übersicht &amp; Eingaben'!$C$9)/12)))</f>
        <v>1312.5</v>
      </c>
      <c r="E127" s="32" t="n">
        <f aca="false">IF($H$126&lt;=0,0,($H$126*'Übersicht &amp; Eingaben'!$C$8/12))</f>
        <v>558.535938228375</v>
      </c>
      <c r="F127" s="32" t="n">
        <f aca="false">D127-E127</f>
        <v>753.964061771625</v>
      </c>
      <c r="G127" s="33" t="n">
        <f aca="false">IF($H$126&lt;=0,0,IF(MONTH(B127)=12,MIN('Übersicht &amp; Eingaben'!$C$13,$H$126-F127),0))</f>
        <v>0</v>
      </c>
      <c r="H127" s="34" t="n">
        <f aca="false">MAX($H$126-F127-G127,0)</f>
        <v>175625.805905083</v>
      </c>
    </row>
    <row r="128" customFormat="false" ht="18" hidden="false" customHeight="true" outlineLevel="0" collapsed="false">
      <c r="A128" s="23" t="n">
        <f aca="false">IF($H$127&lt;=0,"",119)</f>
        <v>119</v>
      </c>
      <c r="B128" s="24" t="n">
        <f aca="false">IF($H$127&lt;=0,"",EDATE('Übersicht &amp; Eingaben'!$C$12,118))</f>
        <v>49614</v>
      </c>
      <c r="C128" s="25" t="n">
        <f aca="false">IF($H$127&lt;=0,"",YEAR(B128))</f>
        <v>2035</v>
      </c>
      <c r="D128" s="26" t="n">
        <f aca="false">IF($H$127&lt;=0,0,MIN($H$127+($H$127*'Übersicht &amp; Eingaben'!$C$8/12),('Übersicht &amp; Eingaben'!$C$7*('Übersicht &amp; Eingaben'!$C$8+'Übersicht &amp; Eingaben'!$C$9)/12)))</f>
        <v>1312.5</v>
      </c>
      <c r="E128" s="26" t="n">
        <f aca="false">IF($H$127&lt;=0,0,($H$127*'Übersicht &amp; Eingaben'!$C$8/12))</f>
        <v>556.148385366098</v>
      </c>
      <c r="F128" s="26" t="n">
        <f aca="false">D128-E128</f>
        <v>756.351614633902</v>
      </c>
      <c r="G128" s="27" t="n">
        <f aca="false">IF($H$127&lt;=0,0,IF(MONTH(B128)=12,MIN('Übersicht &amp; Eingaben'!$C$13,$H$127-F128),0))</f>
        <v>0</v>
      </c>
      <c r="H128" s="28" t="n">
        <f aca="false">MAX($H$127-F128-G128,0)</f>
        <v>174869.45429045</v>
      </c>
    </row>
    <row r="129" customFormat="false" ht="18" hidden="false" customHeight="true" outlineLevel="0" collapsed="false">
      <c r="A129" s="29" t="n">
        <f aca="false">IF($H$128&lt;=0,"",120)</f>
        <v>120</v>
      </c>
      <c r="B129" s="30" t="n">
        <f aca="false">IF($H$128&lt;=0,"",EDATE('Übersicht &amp; Eingaben'!$C$12,119))</f>
        <v>49644</v>
      </c>
      <c r="C129" s="31" t="n">
        <f aca="false">IF($H$128&lt;=0,"",YEAR(B129))</f>
        <v>2035</v>
      </c>
      <c r="D129" s="32" t="n">
        <f aca="false">IF($H$128&lt;=0,0,MIN($H$128+($H$128*'Übersicht &amp; Eingaben'!$C$8/12),('Übersicht &amp; Eingaben'!$C$7*('Übersicht &amp; Eingaben'!$C$8+'Übersicht &amp; Eingaben'!$C$9)/12)))</f>
        <v>1312.5</v>
      </c>
      <c r="E129" s="32" t="n">
        <f aca="false">IF($H$128&lt;=0,0,($H$128*'Übersicht &amp; Eingaben'!$C$8/12))</f>
        <v>553.753271919757</v>
      </c>
      <c r="F129" s="32" t="n">
        <f aca="false">D129-E129</f>
        <v>758.746728080243</v>
      </c>
      <c r="G129" s="33" t="n">
        <f aca="false">IF($H$128&lt;=0,0,IF(MONTH(B129)=12,MIN('Übersicht &amp; Eingaben'!$C$13,$H$128-F129),0))</f>
        <v>0</v>
      </c>
      <c r="H129" s="34" t="n">
        <f aca="false">MAX($H$128-F129-G129,0)</f>
        <v>174110.707562369</v>
      </c>
    </row>
    <row r="130" customFormat="false" ht="18" hidden="false" customHeight="true" outlineLevel="0" collapsed="false">
      <c r="A130" s="23" t="n">
        <f aca="false">IF($H$129&lt;=0,"",121)</f>
        <v>121</v>
      </c>
      <c r="B130" s="24" t="n">
        <f aca="false">IF($H$129&lt;=0,"",EDATE('Übersicht &amp; Eingaben'!$C$12,120))</f>
        <v>49675</v>
      </c>
      <c r="C130" s="25" t="n">
        <f aca="false">IF($H$129&lt;=0,"",YEAR(B130))</f>
        <v>2036</v>
      </c>
      <c r="D130" s="26" t="n">
        <f aca="false">IF($H$129&lt;=0,0,MIN($H$129+($H$129*'Übersicht &amp; Eingaben'!$C$8/12),('Übersicht &amp; Eingaben'!$C$7*('Übersicht &amp; Eingaben'!$C$8+'Übersicht &amp; Eingaben'!$C$9)/12)))</f>
        <v>1312.5</v>
      </c>
      <c r="E130" s="26" t="n">
        <f aca="false">IF($H$129&lt;=0,0,($H$129*'Übersicht &amp; Eingaben'!$C$8/12))</f>
        <v>551.350573947503</v>
      </c>
      <c r="F130" s="26" t="n">
        <f aca="false">D130-E130</f>
        <v>761.149426052497</v>
      </c>
      <c r="G130" s="27" t="n">
        <f aca="false">IF($H$129&lt;=0,0,IF(MONTH(B130)=12,MIN('Übersicht &amp; Eingaben'!$C$13,$H$129-F130),0))</f>
        <v>0</v>
      </c>
      <c r="H130" s="28" t="n">
        <f aca="false">MAX($H$129-F130-G130,0)</f>
        <v>173349.558136317</v>
      </c>
    </row>
    <row r="131" customFormat="false" ht="18" hidden="false" customHeight="true" outlineLevel="0" collapsed="false">
      <c r="A131" s="29" t="n">
        <f aca="false">IF($H$130&lt;=0,"",122)</f>
        <v>122</v>
      </c>
      <c r="B131" s="30" t="n">
        <f aca="false">IF($H$130&lt;=0,"",EDATE('Übersicht &amp; Eingaben'!$C$12,121))</f>
        <v>49706</v>
      </c>
      <c r="C131" s="31" t="n">
        <f aca="false">IF($H$130&lt;=0,"",YEAR(B131))</f>
        <v>2036</v>
      </c>
      <c r="D131" s="32" t="n">
        <f aca="false">IF($H$130&lt;=0,0,MIN($H$130+($H$130*'Übersicht &amp; Eingaben'!$C$8/12),('Übersicht &amp; Eingaben'!$C$7*('Übersicht &amp; Eingaben'!$C$8+'Übersicht &amp; Eingaben'!$C$9)/12)))</f>
        <v>1312.5</v>
      </c>
      <c r="E131" s="32" t="n">
        <f aca="false">IF($H$130&lt;=0,0,($H$130*'Übersicht &amp; Eingaben'!$C$8/12))</f>
        <v>548.94026743167</v>
      </c>
      <c r="F131" s="32" t="n">
        <f aca="false">D131-E131</f>
        <v>763.55973256833</v>
      </c>
      <c r="G131" s="33" t="n">
        <f aca="false">IF($H$130&lt;=0,0,IF(MONTH(B131)=12,MIN('Übersicht &amp; Eingaben'!$C$13,$H$130-F131),0))</f>
        <v>0</v>
      </c>
      <c r="H131" s="34" t="n">
        <f aca="false">MAX($H$130-F131-G131,0)</f>
        <v>172585.998403749</v>
      </c>
    </row>
    <row r="132" customFormat="false" ht="18" hidden="false" customHeight="true" outlineLevel="0" collapsed="false">
      <c r="A132" s="23" t="n">
        <f aca="false">IF($H$131&lt;=0,"",123)</f>
        <v>123</v>
      </c>
      <c r="B132" s="24" t="n">
        <f aca="false">IF($H$131&lt;=0,"",EDATE('Übersicht &amp; Eingaben'!$C$12,122))</f>
        <v>49735</v>
      </c>
      <c r="C132" s="25" t="n">
        <f aca="false">IF($H$131&lt;=0,"",YEAR(B132))</f>
        <v>2036</v>
      </c>
      <c r="D132" s="26" t="n">
        <f aca="false">IF($H$131&lt;=0,0,MIN($H$131+($H$131*'Übersicht &amp; Eingaben'!$C$8/12),('Übersicht &amp; Eingaben'!$C$7*('Übersicht &amp; Eingaben'!$C$8+'Übersicht &amp; Eingaben'!$C$9)/12)))</f>
        <v>1312.5</v>
      </c>
      <c r="E132" s="26" t="n">
        <f aca="false">IF($H$131&lt;=0,0,($H$131*'Übersicht &amp; Eingaben'!$C$8/12))</f>
        <v>546.522328278537</v>
      </c>
      <c r="F132" s="26" t="n">
        <f aca="false">D132-E132</f>
        <v>765.977671721463</v>
      </c>
      <c r="G132" s="27" t="n">
        <f aca="false">IF($H$131&lt;=0,0,IF(MONTH(B132)=12,MIN('Übersicht &amp; Eingaben'!$C$13,$H$131-F132),0))</f>
        <v>0</v>
      </c>
      <c r="H132" s="28" t="n">
        <f aca="false">MAX($H$131-F132-G132,0)</f>
        <v>171820.020732027</v>
      </c>
    </row>
    <row r="133" customFormat="false" ht="18" hidden="false" customHeight="true" outlineLevel="0" collapsed="false">
      <c r="A133" s="29" t="n">
        <f aca="false">IF($H$132&lt;=0,"",124)</f>
        <v>124</v>
      </c>
      <c r="B133" s="30" t="n">
        <f aca="false">IF($H$132&lt;=0,"",EDATE('Übersicht &amp; Eingaben'!$C$12,123))</f>
        <v>49766</v>
      </c>
      <c r="C133" s="31" t="n">
        <f aca="false">IF($H$132&lt;=0,"",YEAR(B133))</f>
        <v>2036</v>
      </c>
      <c r="D133" s="32" t="n">
        <f aca="false">IF($H$132&lt;=0,0,MIN($H$132+($H$132*'Übersicht &amp; Eingaben'!$C$8/12),('Übersicht &amp; Eingaben'!$C$7*('Übersicht &amp; Eingaben'!$C$8+'Übersicht &amp; Eingaben'!$C$9)/12)))</f>
        <v>1312.5</v>
      </c>
      <c r="E133" s="32" t="n">
        <f aca="false">IF($H$132&lt;=0,0,($H$132*'Übersicht &amp; Eingaben'!$C$8/12))</f>
        <v>544.096732318086</v>
      </c>
      <c r="F133" s="32" t="n">
        <f aca="false">D133-E133</f>
        <v>768.403267681914</v>
      </c>
      <c r="G133" s="33" t="n">
        <f aca="false">IF($H$132&lt;=0,0,IF(MONTH(B133)=12,MIN('Übersicht &amp; Eingaben'!$C$13,$H$132-F133),0))</f>
        <v>0</v>
      </c>
      <c r="H133" s="34" t="n">
        <f aca="false">MAX($H$132-F133-G133,0)</f>
        <v>171051.617464345</v>
      </c>
    </row>
    <row r="134" customFormat="false" ht="18" hidden="false" customHeight="true" outlineLevel="0" collapsed="false">
      <c r="A134" s="23" t="n">
        <f aca="false">IF($H$133&lt;=0,"",125)</f>
        <v>125</v>
      </c>
      <c r="B134" s="24" t="n">
        <f aca="false">IF($H$133&lt;=0,"",EDATE('Übersicht &amp; Eingaben'!$C$12,124))</f>
        <v>49796</v>
      </c>
      <c r="C134" s="25" t="n">
        <f aca="false">IF($H$133&lt;=0,"",YEAR(B134))</f>
        <v>2036</v>
      </c>
      <c r="D134" s="26" t="n">
        <f aca="false">IF($H$133&lt;=0,0,MIN($H$133+($H$133*'Übersicht &amp; Eingaben'!$C$8/12),('Übersicht &amp; Eingaben'!$C$7*('Übersicht &amp; Eingaben'!$C$8+'Übersicht &amp; Eingaben'!$C$9)/12)))</f>
        <v>1312.5</v>
      </c>
      <c r="E134" s="26" t="n">
        <f aca="false">IF($H$133&lt;=0,0,($H$133*'Übersicht &amp; Eingaben'!$C$8/12))</f>
        <v>541.66345530376</v>
      </c>
      <c r="F134" s="26" t="n">
        <f aca="false">D134-E134</f>
        <v>770.83654469624</v>
      </c>
      <c r="G134" s="27" t="n">
        <f aca="false">IF($H$133&lt;=0,0,IF(MONTH(B134)=12,MIN('Übersicht &amp; Eingaben'!$C$13,$H$133-F134),0))</f>
        <v>0</v>
      </c>
      <c r="H134" s="28" t="n">
        <f aca="false">MAX($H$133-F134-G134,0)</f>
        <v>170280.780919649</v>
      </c>
    </row>
    <row r="135" customFormat="false" ht="18" hidden="false" customHeight="true" outlineLevel="0" collapsed="false">
      <c r="A135" s="29" t="n">
        <f aca="false">IF($H$134&lt;=0,"",126)</f>
        <v>126</v>
      </c>
      <c r="B135" s="30" t="n">
        <f aca="false">IF($H$134&lt;=0,"",EDATE('Übersicht &amp; Eingaben'!$C$12,125))</f>
        <v>49827</v>
      </c>
      <c r="C135" s="31" t="n">
        <f aca="false">IF($H$134&lt;=0,"",YEAR(B135))</f>
        <v>2036</v>
      </c>
      <c r="D135" s="32" t="n">
        <f aca="false">IF($H$134&lt;=0,0,MIN($H$134+($H$134*'Übersicht &amp; Eingaben'!$C$8/12),('Übersicht &amp; Eingaben'!$C$7*('Übersicht &amp; Eingaben'!$C$8+'Übersicht &amp; Eingaben'!$C$9)/12)))</f>
        <v>1312.5</v>
      </c>
      <c r="E135" s="32" t="n">
        <f aca="false">IF($H$134&lt;=0,0,($H$134*'Übersicht &amp; Eingaben'!$C$8/12))</f>
        <v>539.222472912222</v>
      </c>
      <c r="F135" s="32" t="n">
        <f aca="false">D135-E135</f>
        <v>773.277527087779</v>
      </c>
      <c r="G135" s="33" t="n">
        <f aca="false">IF($H$134&lt;=0,0,IF(MONTH(B135)=12,MIN('Übersicht &amp; Eingaben'!$C$13,$H$134-F135),0))</f>
        <v>0</v>
      </c>
      <c r="H135" s="34" t="n">
        <f aca="false">MAX($H$134-F135-G135,0)</f>
        <v>169507.503392561</v>
      </c>
    </row>
    <row r="136" customFormat="false" ht="18" hidden="false" customHeight="true" outlineLevel="0" collapsed="false">
      <c r="A136" s="23" t="n">
        <f aca="false">IF($H$135&lt;=0,"",127)</f>
        <v>127</v>
      </c>
      <c r="B136" s="24" t="n">
        <f aca="false">IF($H$135&lt;=0,"",EDATE('Übersicht &amp; Eingaben'!$C$12,126))</f>
        <v>49857</v>
      </c>
      <c r="C136" s="25" t="n">
        <f aca="false">IF($H$135&lt;=0,"",YEAR(B136))</f>
        <v>2036</v>
      </c>
      <c r="D136" s="26" t="n">
        <f aca="false">IF($H$135&lt;=0,0,MIN($H$135+($H$135*'Übersicht &amp; Eingaben'!$C$8/12),('Übersicht &amp; Eingaben'!$C$7*('Übersicht &amp; Eingaben'!$C$8+'Übersicht &amp; Eingaben'!$C$9)/12)))</f>
        <v>1312.5</v>
      </c>
      <c r="E136" s="26" t="n">
        <f aca="false">IF($H$135&lt;=0,0,($H$135*'Übersicht &amp; Eingaben'!$C$8/12))</f>
        <v>536.77376074311</v>
      </c>
      <c r="F136" s="26" t="n">
        <f aca="false">D136-E136</f>
        <v>775.72623925689</v>
      </c>
      <c r="G136" s="27" t="n">
        <f aca="false">IF($H$135&lt;=0,0,IF(MONTH(B136)=12,MIN('Übersicht &amp; Eingaben'!$C$13,$H$135-F136),0))</f>
        <v>0</v>
      </c>
      <c r="H136" s="28" t="n">
        <f aca="false">MAX($H$135-F136-G136,0)</f>
        <v>168731.777153304</v>
      </c>
    </row>
    <row r="137" customFormat="false" ht="18" hidden="false" customHeight="true" outlineLevel="0" collapsed="false">
      <c r="A137" s="29" t="n">
        <f aca="false">IF($H$136&lt;=0,"",128)</f>
        <v>128</v>
      </c>
      <c r="B137" s="30" t="n">
        <f aca="false">IF($H$136&lt;=0,"",EDATE('Übersicht &amp; Eingaben'!$C$12,127))</f>
        <v>49888</v>
      </c>
      <c r="C137" s="31" t="n">
        <f aca="false">IF($H$136&lt;=0,"",YEAR(B137))</f>
        <v>2036</v>
      </c>
      <c r="D137" s="32" t="n">
        <f aca="false">IF($H$136&lt;=0,0,MIN($H$136+($H$136*'Übersicht &amp; Eingaben'!$C$8/12),('Übersicht &amp; Eingaben'!$C$7*('Übersicht &amp; Eingaben'!$C$8+'Übersicht &amp; Eingaben'!$C$9)/12)))</f>
        <v>1312.5</v>
      </c>
      <c r="E137" s="32" t="n">
        <f aca="false">IF($H$136&lt;=0,0,($H$136*'Übersicht &amp; Eingaben'!$C$8/12))</f>
        <v>534.317294318797</v>
      </c>
      <c r="F137" s="32" t="n">
        <f aca="false">D137-E137</f>
        <v>778.182705681203</v>
      </c>
      <c r="G137" s="33" t="n">
        <f aca="false">IF($H$136&lt;=0,0,IF(MONTH(B137)=12,MIN('Übersicht &amp; Eingaben'!$C$13,$H$136-F137),0))</f>
        <v>0</v>
      </c>
      <c r="H137" s="34" t="n">
        <f aca="false">MAX($H$136-F137-G137,0)</f>
        <v>167953.594447623</v>
      </c>
    </row>
    <row r="138" customFormat="false" ht="18" hidden="false" customHeight="true" outlineLevel="0" collapsed="false">
      <c r="A138" s="23" t="n">
        <f aca="false">IF($H$137&lt;=0,"",129)</f>
        <v>129</v>
      </c>
      <c r="B138" s="24" t="n">
        <f aca="false">IF($H$137&lt;=0,"",EDATE('Übersicht &amp; Eingaben'!$C$12,128))</f>
        <v>49919</v>
      </c>
      <c r="C138" s="25" t="n">
        <f aca="false">IF($H$137&lt;=0,"",YEAR(B138))</f>
        <v>2036</v>
      </c>
      <c r="D138" s="26" t="n">
        <f aca="false">IF($H$137&lt;=0,0,MIN($H$137+($H$137*'Übersicht &amp; Eingaben'!$C$8/12),('Übersicht &amp; Eingaben'!$C$7*('Übersicht &amp; Eingaben'!$C$8+'Übersicht &amp; Eingaben'!$C$9)/12)))</f>
        <v>1312.5</v>
      </c>
      <c r="E138" s="26" t="n">
        <f aca="false">IF($H$137&lt;=0,0,($H$137*'Übersicht &amp; Eingaben'!$C$8/12))</f>
        <v>531.85304908414</v>
      </c>
      <c r="F138" s="26" t="n">
        <f aca="false">D138-E138</f>
        <v>780.64695091586</v>
      </c>
      <c r="G138" s="27" t="n">
        <f aca="false">IF($H$137&lt;=0,0,IF(MONTH(B138)=12,MIN('Übersicht &amp; Eingaben'!$C$13,$H$137-F138),0))</f>
        <v>0</v>
      </c>
      <c r="H138" s="28" t="n">
        <f aca="false">MAX($H$137-F138-G138,0)</f>
        <v>167172.947496707</v>
      </c>
    </row>
    <row r="139" customFormat="false" ht="18" hidden="false" customHeight="true" outlineLevel="0" collapsed="false">
      <c r="A139" s="29" t="n">
        <f aca="false">IF($H$138&lt;=0,"",130)</f>
        <v>130</v>
      </c>
      <c r="B139" s="30" t="n">
        <f aca="false">IF($H$138&lt;=0,"",EDATE('Übersicht &amp; Eingaben'!$C$12,129))</f>
        <v>49949</v>
      </c>
      <c r="C139" s="31" t="n">
        <f aca="false">IF($H$138&lt;=0,"",YEAR(B139))</f>
        <v>2036</v>
      </c>
      <c r="D139" s="32" t="n">
        <f aca="false">IF($H$138&lt;=0,0,MIN($H$138+($H$138*'Übersicht &amp; Eingaben'!$C$8/12),('Übersicht &amp; Eingaben'!$C$7*('Übersicht &amp; Eingaben'!$C$8+'Übersicht &amp; Eingaben'!$C$9)/12)))</f>
        <v>1312.5</v>
      </c>
      <c r="E139" s="32" t="n">
        <f aca="false">IF($H$138&lt;=0,0,($H$138*'Übersicht &amp; Eingaben'!$C$8/12))</f>
        <v>529.381000406239</v>
      </c>
      <c r="F139" s="32" t="n">
        <f aca="false">D139-E139</f>
        <v>783.118999593761</v>
      </c>
      <c r="G139" s="33" t="n">
        <f aca="false">IF($H$138&lt;=0,0,IF(MONTH(B139)=12,MIN('Übersicht &amp; Eingaben'!$C$13,$H$138-F139),0))</f>
        <v>0</v>
      </c>
      <c r="H139" s="34" t="n">
        <f aca="false">MAX($H$138-F139-G139,0)</f>
        <v>166389.828497113</v>
      </c>
    </row>
    <row r="140" customFormat="false" ht="18" hidden="false" customHeight="true" outlineLevel="0" collapsed="false">
      <c r="A140" s="23" t="n">
        <f aca="false">IF($H$139&lt;=0,"",131)</f>
        <v>131</v>
      </c>
      <c r="B140" s="24" t="n">
        <f aca="false">IF($H$139&lt;=0,"",EDATE('Übersicht &amp; Eingaben'!$C$12,130))</f>
        <v>49980</v>
      </c>
      <c r="C140" s="25" t="n">
        <f aca="false">IF($H$139&lt;=0,"",YEAR(B140))</f>
        <v>2036</v>
      </c>
      <c r="D140" s="26" t="n">
        <f aca="false">IF($H$139&lt;=0,0,MIN($H$139+($H$139*'Übersicht &amp; Eingaben'!$C$8/12),('Übersicht &amp; Eingaben'!$C$7*('Übersicht &amp; Eingaben'!$C$8+'Übersicht &amp; Eingaben'!$C$9)/12)))</f>
        <v>1312.5</v>
      </c>
      <c r="E140" s="26" t="n">
        <f aca="false">IF($H$139&lt;=0,0,($H$139*'Übersicht &amp; Eingaben'!$C$8/12))</f>
        <v>526.901123574193</v>
      </c>
      <c r="F140" s="26" t="n">
        <f aca="false">D140-E140</f>
        <v>785.598876425808</v>
      </c>
      <c r="G140" s="27" t="n">
        <f aca="false">IF($H$139&lt;=0,0,IF(MONTH(B140)=12,MIN('Übersicht &amp; Eingaben'!$C$13,$H$139-F140),0))</f>
        <v>0</v>
      </c>
      <c r="H140" s="28" t="n">
        <f aca="false">MAX($H$139-F140-G140,0)</f>
        <v>165604.229620688</v>
      </c>
    </row>
    <row r="141" customFormat="false" ht="18" hidden="false" customHeight="true" outlineLevel="0" collapsed="false">
      <c r="A141" s="29" t="n">
        <f aca="false">IF($H$140&lt;=0,"",132)</f>
        <v>132</v>
      </c>
      <c r="B141" s="30" t="n">
        <f aca="false">IF($H$140&lt;=0,"",EDATE('Übersicht &amp; Eingaben'!$C$12,131))</f>
        <v>50010</v>
      </c>
      <c r="C141" s="31" t="n">
        <f aca="false">IF($H$140&lt;=0,"",YEAR(B141))</f>
        <v>2036</v>
      </c>
      <c r="D141" s="32" t="n">
        <f aca="false">IF($H$140&lt;=0,0,MIN($H$140+($H$140*'Übersicht &amp; Eingaben'!$C$8/12),('Übersicht &amp; Eingaben'!$C$7*('Übersicht &amp; Eingaben'!$C$8+'Übersicht &amp; Eingaben'!$C$9)/12)))</f>
        <v>1312.5</v>
      </c>
      <c r="E141" s="32" t="n">
        <f aca="false">IF($H$140&lt;=0,0,($H$140*'Übersicht &amp; Eingaben'!$C$8/12))</f>
        <v>524.413393798844</v>
      </c>
      <c r="F141" s="32" t="n">
        <f aca="false">D141-E141</f>
        <v>788.086606201156</v>
      </c>
      <c r="G141" s="33" t="n">
        <f aca="false">IF($H$140&lt;=0,0,IF(MONTH(B141)=12,MIN('Übersicht &amp; Eingaben'!$C$13,$H$140-F141),0))</f>
        <v>0</v>
      </c>
      <c r="H141" s="34" t="n">
        <f aca="false">MAX($H$140-F141-G141,0)</f>
        <v>164816.143014486</v>
      </c>
    </row>
    <row r="142" customFormat="false" ht="18" hidden="false" customHeight="true" outlineLevel="0" collapsed="false">
      <c r="A142" s="23" t="n">
        <f aca="false">IF($H$141&lt;=0,"",133)</f>
        <v>133</v>
      </c>
      <c r="B142" s="24" t="n">
        <f aca="false">IF($H$141&lt;=0,"",EDATE('Übersicht &amp; Eingaben'!$C$12,132))</f>
        <v>50041</v>
      </c>
      <c r="C142" s="25" t="n">
        <f aca="false">IF($H$141&lt;=0,"",YEAR(B142))</f>
        <v>2037</v>
      </c>
      <c r="D142" s="26" t="n">
        <f aca="false">IF($H$141&lt;=0,0,MIN($H$141+($H$141*'Übersicht &amp; Eingaben'!$C$8/12),('Übersicht &amp; Eingaben'!$C$7*('Übersicht &amp; Eingaben'!$C$8+'Übersicht &amp; Eingaben'!$C$9)/12)))</f>
        <v>1312.5</v>
      </c>
      <c r="E142" s="26" t="n">
        <f aca="false">IF($H$141&lt;=0,0,($H$141*'Übersicht &amp; Eingaben'!$C$8/12))</f>
        <v>521.91778621254</v>
      </c>
      <c r="F142" s="26" t="n">
        <f aca="false">D142-E142</f>
        <v>790.58221378746</v>
      </c>
      <c r="G142" s="27" t="n">
        <f aca="false">IF($H$141&lt;=0,0,IF(MONTH(B142)=12,MIN('Übersicht &amp; Eingaben'!$C$13,$H$141-F142),0))</f>
        <v>0</v>
      </c>
      <c r="H142" s="28" t="n">
        <f aca="false">MAX($H$141-F142-G142,0)</f>
        <v>164025.560800699</v>
      </c>
    </row>
    <row r="143" customFormat="false" ht="18" hidden="false" customHeight="true" outlineLevel="0" collapsed="false">
      <c r="A143" s="29" t="n">
        <f aca="false">IF($H$142&lt;=0,"",134)</f>
        <v>134</v>
      </c>
      <c r="B143" s="30" t="n">
        <f aca="false">IF($H$142&lt;=0,"",EDATE('Übersicht &amp; Eingaben'!$C$12,133))</f>
        <v>50072</v>
      </c>
      <c r="C143" s="31" t="n">
        <f aca="false">IF($H$142&lt;=0,"",YEAR(B143))</f>
        <v>2037</v>
      </c>
      <c r="D143" s="32" t="n">
        <f aca="false">IF($H$142&lt;=0,0,MIN($H$142+($H$142*'Übersicht &amp; Eingaben'!$C$8/12),('Übersicht &amp; Eingaben'!$C$7*('Übersicht &amp; Eingaben'!$C$8+'Übersicht &amp; Eingaben'!$C$9)/12)))</f>
        <v>1312.5</v>
      </c>
      <c r="E143" s="32" t="n">
        <f aca="false">IF($H$142&lt;=0,0,($H$142*'Übersicht &amp; Eingaben'!$C$8/12))</f>
        <v>519.41427586888</v>
      </c>
      <c r="F143" s="32" t="n">
        <f aca="false">D143-E143</f>
        <v>793.08572413112</v>
      </c>
      <c r="G143" s="33" t="n">
        <f aca="false">IF($H$142&lt;=0,0,IF(MONTH(B143)=12,MIN('Übersicht &amp; Eingaben'!$C$13,$H$142-F143),0))</f>
        <v>0</v>
      </c>
      <c r="H143" s="34" t="n">
        <f aca="false">MAX($H$142-F143-G143,0)</f>
        <v>163232.475076568</v>
      </c>
    </row>
    <row r="144" customFormat="false" ht="18" hidden="false" customHeight="true" outlineLevel="0" collapsed="false">
      <c r="A144" s="23" t="n">
        <f aca="false">IF($H$143&lt;=0,"",135)</f>
        <v>135</v>
      </c>
      <c r="B144" s="24" t="n">
        <f aca="false">IF($H$143&lt;=0,"",EDATE('Übersicht &amp; Eingaben'!$C$12,134))</f>
        <v>50100</v>
      </c>
      <c r="C144" s="25" t="n">
        <f aca="false">IF($H$143&lt;=0,"",YEAR(B144))</f>
        <v>2037</v>
      </c>
      <c r="D144" s="26" t="n">
        <f aca="false">IF($H$143&lt;=0,0,MIN($H$143+($H$143*'Übersicht &amp; Eingaben'!$C$8/12),('Übersicht &amp; Eingaben'!$C$7*('Übersicht &amp; Eingaben'!$C$8+'Übersicht &amp; Eingaben'!$C$9)/12)))</f>
        <v>1312.5</v>
      </c>
      <c r="E144" s="26" t="n">
        <f aca="false">IF($H$143&lt;=0,0,($H$143*'Übersicht &amp; Eingaben'!$C$8/12))</f>
        <v>516.902837742465</v>
      </c>
      <c r="F144" s="26" t="n">
        <f aca="false">D144-E144</f>
        <v>795.597162257535</v>
      </c>
      <c r="G144" s="27" t="n">
        <f aca="false">IF($H$143&lt;=0,0,IF(MONTH(B144)=12,MIN('Übersicht &amp; Eingaben'!$C$13,$H$143-F144),0))</f>
        <v>0</v>
      </c>
      <c r="H144" s="28" t="n">
        <f aca="false">MAX($H$143-F144-G144,0)</f>
        <v>162436.87791431</v>
      </c>
    </row>
    <row r="145" customFormat="false" ht="18" hidden="false" customHeight="true" outlineLevel="0" collapsed="false">
      <c r="A145" s="29" t="n">
        <f aca="false">IF($H$144&lt;=0,"",136)</f>
        <v>136</v>
      </c>
      <c r="B145" s="30" t="n">
        <f aca="false">IF($H$144&lt;=0,"",EDATE('Übersicht &amp; Eingaben'!$C$12,135))</f>
        <v>50131</v>
      </c>
      <c r="C145" s="31" t="n">
        <f aca="false">IF($H$144&lt;=0,"",YEAR(B145))</f>
        <v>2037</v>
      </c>
      <c r="D145" s="32" t="n">
        <f aca="false">IF($H$144&lt;=0,0,MIN($H$144+($H$144*'Übersicht &amp; Eingaben'!$C$8/12),('Übersicht &amp; Eingaben'!$C$7*('Übersicht &amp; Eingaben'!$C$8+'Übersicht &amp; Eingaben'!$C$9)/12)))</f>
        <v>1312.5</v>
      </c>
      <c r="E145" s="32" t="n">
        <f aca="false">IF($H$144&lt;=0,0,($H$144*'Übersicht &amp; Eingaben'!$C$8/12))</f>
        <v>514.383446728649</v>
      </c>
      <c r="F145" s="32" t="n">
        <f aca="false">D145-E145</f>
        <v>798.116553271351</v>
      </c>
      <c r="G145" s="33" t="n">
        <f aca="false">IF($H$144&lt;=0,0,IF(MONTH(B145)=12,MIN('Übersicht &amp; Eingaben'!$C$13,$H$144-F145),0))</f>
        <v>0</v>
      </c>
      <c r="H145" s="34" t="n">
        <f aca="false">MAX($H$144-F145-G145,0)</f>
        <v>161638.761361039</v>
      </c>
    </row>
    <row r="146" customFormat="false" ht="18" hidden="false" customHeight="true" outlineLevel="0" collapsed="false">
      <c r="A146" s="23" t="n">
        <f aca="false">IF($H$145&lt;=0,"",137)</f>
        <v>137</v>
      </c>
      <c r="B146" s="24" t="n">
        <f aca="false">IF($H$145&lt;=0,"",EDATE('Übersicht &amp; Eingaben'!$C$12,136))</f>
        <v>50161</v>
      </c>
      <c r="C146" s="25" t="n">
        <f aca="false">IF($H$145&lt;=0,"",YEAR(B146))</f>
        <v>2037</v>
      </c>
      <c r="D146" s="26" t="n">
        <f aca="false">IF($H$145&lt;=0,0,MIN($H$145+($H$145*'Übersicht &amp; Eingaben'!$C$8/12),('Übersicht &amp; Eingaben'!$C$7*('Übersicht &amp; Eingaben'!$C$8+'Übersicht &amp; Eingaben'!$C$9)/12)))</f>
        <v>1312.5</v>
      </c>
      <c r="E146" s="26" t="n">
        <f aca="false">IF($H$145&lt;=0,0,($H$145*'Übersicht &amp; Eingaben'!$C$8/12))</f>
        <v>511.85607764329</v>
      </c>
      <c r="F146" s="26" t="n">
        <f aca="false">D146-E146</f>
        <v>800.64392235671</v>
      </c>
      <c r="G146" s="27" t="n">
        <f aca="false">IF($H$145&lt;=0,0,IF(MONTH(B146)=12,MIN('Übersicht &amp; Eingaben'!$C$13,$H$145-F146),0))</f>
        <v>0</v>
      </c>
      <c r="H146" s="28" t="n">
        <f aca="false">MAX($H$145-F146-G146,0)</f>
        <v>160838.117438682</v>
      </c>
    </row>
    <row r="147" customFormat="false" ht="18" hidden="false" customHeight="true" outlineLevel="0" collapsed="false">
      <c r="A147" s="29" t="n">
        <f aca="false">IF($H$146&lt;=0,"",138)</f>
        <v>138</v>
      </c>
      <c r="B147" s="30" t="n">
        <f aca="false">IF($H$146&lt;=0,"",EDATE('Übersicht &amp; Eingaben'!$C$12,137))</f>
        <v>50192</v>
      </c>
      <c r="C147" s="31" t="n">
        <f aca="false">IF($H$146&lt;=0,"",YEAR(B147))</f>
        <v>2037</v>
      </c>
      <c r="D147" s="32" t="n">
        <f aca="false">IF($H$146&lt;=0,0,MIN($H$146+($H$146*'Übersicht &amp; Eingaben'!$C$8/12),('Übersicht &amp; Eingaben'!$C$7*('Übersicht &amp; Eingaben'!$C$8+'Übersicht &amp; Eingaben'!$C$9)/12)))</f>
        <v>1312.5</v>
      </c>
      <c r="E147" s="32" t="n">
        <f aca="false">IF($H$146&lt;=0,0,($H$146*'Übersicht &amp; Eingaben'!$C$8/12))</f>
        <v>509.320705222494</v>
      </c>
      <c r="F147" s="32" t="n">
        <f aca="false">D147-E147</f>
        <v>803.179294777506</v>
      </c>
      <c r="G147" s="33" t="n">
        <f aca="false">IF($H$146&lt;=0,0,IF(MONTH(B147)=12,MIN('Übersicht &amp; Eingaben'!$C$13,$H$146-F147),0))</f>
        <v>0</v>
      </c>
      <c r="H147" s="34" t="n">
        <f aca="false">MAX($H$146-F147-G147,0)</f>
        <v>160034.938143905</v>
      </c>
    </row>
    <row r="148" customFormat="false" ht="18" hidden="false" customHeight="true" outlineLevel="0" collapsed="false">
      <c r="A148" s="23" t="n">
        <f aca="false">IF($H$147&lt;=0,"",139)</f>
        <v>139</v>
      </c>
      <c r="B148" s="24" t="n">
        <f aca="false">IF($H$147&lt;=0,"",EDATE('Übersicht &amp; Eingaben'!$C$12,138))</f>
        <v>50222</v>
      </c>
      <c r="C148" s="25" t="n">
        <f aca="false">IF($H$147&lt;=0,"",YEAR(B148))</f>
        <v>2037</v>
      </c>
      <c r="D148" s="26" t="n">
        <f aca="false">IF($H$147&lt;=0,0,MIN($H$147+($H$147*'Übersicht &amp; Eingaben'!$C$8/12),('Übersicht &amp; Eingaben'!$C$7*('Übersicht &amp; Eingaben'!$C$8+'Übersicht &amp; Eingaben'!$C$9)/12)))</f>
        <v>1312.5</v>
      </c>
      <c r="E148" s="26" t="n">
        <f aca="false">IF($H$147&lt;=0,0,($H$147*'Übersicht &amp; Eingaben'!$C$8/12))</f>
        <v>506.777304122365</v>
      </c>
      <c r="F148" s="26" t="n">
        <f aca="false">D148-E148</f>
        <v>805.722695877635</v>
      </c>
      <c r="G148" s="27" t="n">
        <f aca="false">IF($H$147&lt;=0,0,IF(MONTH(B148)=12,MIN('Übersicht &amp; Eingaben'!$C$13,$H$147-F148),0))</f>
        <v>0</v>
      </c>
      <c r="H148" s="28" t="n">
        <f aca="false">MAX($H$147-F148-G148,0)</f>
        <v>159229.215448027</v>
      </c>
    </row>
    <row r="149" customFormat="false" ht="18" hidden="false" customHeight="true" outlineLevel="0" collapsed="false">
      <c r="A149" s="29" t="n">
        <f aca="false">IF($H$148&lt;=0,"",140)</f>
        <v>140</v>
      </c>
      <c r="B149" s="30" t="n">
        <f aca="false">IF($H$148&lt;=0,"",EDATE('Übersicht &amp; Eingaben'!$C$12,139))</f>
        <v>50253</v>
      </c>
      <c r="C149" s="31" t="n">
        <f aca="false">IF($H$148&lt;=0,"",YEAR(B149))</f>
        <v>2037</v>
      </c>
      <c r="D149" s="32" t="n">
        <f aca="false">IF($H$148&lt;=0,0,MIN($H$148+($H$148*'Übersicht &amp; Eingaben'!$C$8/12),('Übersicht &amp; Eingaben'!$C$7*('Übersicht &amp; Eingaben'!$C$8+'Übersicht &amp; Eingaben'!$C$9)/12)))</f>
        <v>1312.5</v>
      </c>
      <c r="E149" s="32" t="n">
        <f aca="false">IF($H$148&lt;=0,0,($H$148*'Übersicht &amp; Eingaben'!$C$8/12))</f>
        <v>504.225848918753</v>
      </c>
      <c r="F149" s="32" t="n">
        <f aca="false">D149-E149</f>
        <v>808.274151081248</v>
      </c>
      <c r="G149" s="33" t="n">
        <f aca="false">IF($H$148&lt;=0,0,IF(MONTH(B149)=12,MIN('Übersicht &amp; Eingaben'!$C$13,$H$148-F149),0))</f>
        <v>0</v>
      </c>
      <c r="H149" s="34" t="n">
        <f aca="false">MAX($H$148-F149-G149,0)</f>
        <v>158420.941296946</v>
      </c>
    </row>
    <row r="150" customFormat="false" ht="18" hidden="false" customHeight="true" outlineLevel="0" collapsed="false">
      <c r="A150" s="23" t="n">
        <f aca="false">IF($H$149&lt;=0,"",141)</f>
        <v>141</v>
      </c>
      <c r="B150" s="24" t="n">
        <f aca="false">IF($H$149&lt;=0,"",EDATE('Übersicht &amp; Eingaben'!$C$12,140))</f>
        <v>50284</v>
      </c>
      <c r="C150" s="25" t="n">
        <f aca="false">IF($H$149&lt;=0,"",YEAR(B150))</f>
        <v>2037</v>
      </c>
      <c r="D150" s="26" t="n">
        <f aca="false">IF($H$149&lt;=0,0,MIN($H$149+($H$149*'Übersicht &amp; Eingaben'!$C$8/12),('Übersicht &amp; Eingaben'!$C$7*('Übersicht &amp; Eingaben'!$C$8+'Übersicht &amp; Eingaben'!$C$9)/12)))</f>
        <v>1312.5</v>
      </c>
      <c r="E150" s="26" t="n">
        <f aca="false">IF($H$149&lt;=0,0,($H$149*'Übersicht &amp; Eingaben'!$C$8/12))</f>
        <v>501.666314106995</v>
      </c>
      <c r="F150" s="26" t="n">
        <f aca="false">D150-E150</f>
        <v>810.833685893005</v>
      </c>
      <c r="G150" s="27" t="n">
        <f aca="false">IF($H$149&lt;=0,0,IF(MONTH(B150)=12,MIN('Übersicht &amp; Eingaben'!$C$13,$H$149-F150),0))</f>
        <v>0</v>
      </c>
      <c r="H150" s="28" t="n">
        <f aca="false">MAX($H$149-F150-G150,0)</f>
        <v>157610.107611053</v>
      </c>
    </row>
    <row r="151" customFormat="false" ht="18" hidden="false" customHeight="true" outlineLevel="0" collapsed="false">
      <c r="A151" s="29" t="n">
        <f aca="false">IF($H$150&lt;=0,"",142)</f>
        <v>142</v>
      </c>
      <c r="B151" s="30" t="n">
        <f aca="false">IF($H$150&lt;=0,"",EDATE('Übersicht &amp; Eingaben'!$C$12,141))</f>
        <v>50314</v>
      </c>
      <c r="C151" s="31" t="n">
        <f aca="false">IF($H$150&lt;=0,"",YEAR(B151))</f>
        <v>2037</v>
      </c>
      <c r="D151" s="32" t="n">
        <f aca="false">IF($H$150&lt;=0,0,MIN($H$150+($H$150*'Übersicht &amp; Eingaben'!$C$8/12),('Übersicht &amp; Eingaben'!$C$7*('Übersicht &amp; Eingaben'!$C$8+'Übersicht &amp; Eingaben'!$C$9)/12)))</f>
        <v>1312.5</v>
      </c>
      <c r="E151" s="32" t="n">
        <f aca="false">IF($H$150&lt;=0,0,($H$150*'Übersicht &amp; Eingaben'!$C$8/12))</f>
        <v>499.098674101667</v>
      </c>
      <c r="F151" s="32" t="n">
        <f aca="false">D151-E151</f>
        <v>813.401325898333</v>
      </c>
      <c r="G151" s="33" t="n">
        <f aca="false">IF($H$150&lt;=0,0,IF(MONTH(B151)=12,MIN('Übersicht &amp; Eingaben'!$C$13,$H$150-F151),0))</f>
        <v>0</v>
      </c>
      <c r="H151" s="34" t="n">
        <f aca="false">MAX($H$150-F151-G151,0)</f>
        <v>156796.706285155</v>
      </c>
    </row>
    <row r="152" customFormat="false" ht="18" hidden="false" customHeight="true" outlineLevel="0" collapsed="false">
      <c r="A152" s="23" t="n">
        <f aca="false">IF($H$151&lt;=0,"",143)</f>
        <v>143</v>
      </c>
      <c r="B152" s="24" t="n">
        <f aca="false">IF($H$151&lt;=0,"",EDATE('Übersicht &amp; Eingaben'!$C$12,142))</f>
        <v>50345</v>
      </c>
      <c r="C152" s="25" t="n">
        <f aca="false">IF($H$151&lt;=0,"",YEAR(B152))</f>
        <v>2037</v>
      </c>
      <c r="D152" s="26" t="n">
        <f aca="false">IF($H$151&lt;=0,0,MIN($H$151+($H$151*'Übersicht &amp; Eingaben'!$C$8/12),('Übersicht &amp; Eingaben'!$C$7*('Übersicht &amp; Eingaben'!$C$8+'Übersicht &amp; Eingaben'!$C$9)/12)))</f>
        <v>1312.5</v>
      </c>
      <c r="E152" s="26" t="n">
        <f aca="false">IF($H$151&lt;=0,0,($H$151*'Übersicht &amp; Eingaben'!$C$8/12))</f>
        <v>496.522903236323</v>
      </c>
      <c r="F152" s="26" t="n">
        <f aca="false">D152-E152</f>
        <v>815.977096763677</v>
      </c>
      <c r="G152" s="27" t="n">
        <f aca="false">IF($H$151&lt;=0,0,IF(MONTH(B152)=12,MIN('Übersicht &amp; Eingaben'!$C$13,$H$151-F152),0))</f>
        <v>0</v>
      </c>
      <c r="H152" s="28" t="n">
        <f aca="false">MAX($H$151-F152-G152,0)</f>
        <v>155980.729188391</v>
      </c>
    </row>
    <row r="153" customFormat="false" ht="18" hidden="false" customHeight="true" outlineLevel="0" collapsed="false">
      <c r="A153" s="29" t="n">
        <f aca="false">IF($H$152&lt;=0,"",144)</f>
        <v>144</v>
      </c>
      <c r="B153" s="30" t="n">
        <f aca="false">IF($H$152&lt;=0,"",EDATE('Übersicht &amp; Eingaben'!$C$12,143))</f>
        <v>50375</v>
      </c>
      <c r="C153" s="31" t="n">
        <f aca="false">IF($H$152&lt;=0,"",YEAR(B153))</f>
        <v>2037</v>
      </c>
      <c r="D153" s="32" t="n">
        <f aca="false">IF($H$152&lt;=0,0,MIN($H$152+($H$152*'Übersicht &amp; Eingaben'!$C$8/12),('Übersicht &amp; Eingaben'!$C$7*('Übersicht &amp; Eingaben'!$C$8+'Übersicht &amp; Eingaben'!$C$9)/12)))</f>
        <v>1312.5</v>
      </c>
      <c r="E153" s="32" t="n">
        <f aca="false">IF($H$152&lt;=0,0,($H$152*'Übersicht &amp; Eingaben'!$C$8/12))</f>
        <v>493.938975763238</v>
      </c>
      <c r="F153" s="32" t="n">
        <f aca="false">D153-E153</f>
        <v>818.561024236762</v>
      </c>
      <c r="G153" s="33" t="n">
        <f aca="false">IF($H$152&lt;=0,0,IF(MONTH(B153)=12,MIN('Übersicht &amp; Eingaben'!$C$13,$H$152-F153),0))</f>
        <v>0</v>
      </c>
      <c r="H153" s="34" t="n">
        <f aca="false">MAX($H$152-F153-G153,0)</f>
        <v>155162.168164154</v>
      </c>
    </row>
    <row r="154" customFormat="false" ht="18" hidden="false" customHeight="true" outlineLevel="0" collapsed="false">
      <c r="A154" s="23" t="n">
        <f aca="false">IF($H$153&lt;=0,"",145)</f>
        <v>145</v>
      </c>
      <c r="B154" s="24" t="n">
        <f aca="false">IF($H$153&lt;=0,"",EDATE('Übersicht &amp; Eingaben'!$C$12,144))</f>
        <v>50406</v>
      </c>
      <c r="C154" s="25" t="n">
        <f aca="false">IF($H$153&lt;=0,"",YEAR(B154))</f>
        <v>2038</v>
      </c>
      <c r="D154" s="26" t="n">
        <f aca="false">IF($H$153&lt;=0,0,MIN($H$153+($H$153*'Übersicht &amp; Eingaben'!$C$8/12),('Übersicht &amp; Eingaben'!$C$7*('Übersicht &amp; Eingaben'!$C$8+'Übersicht &amp; Eingaben'!$C$9)/12)))</f>
        <v>1312.5</v>
      </c>
      <c r="E154" s="26" t="n">
        <f aca="false">IF($H$153&lt;=0,0,($H$153*'Übersicht &amp; Eingaben'!$C$8/12))</f>
        <v>491.346865853155</v>
      </c>
      <c r="F154" s="26" t="n">
        <f aca="false">D154-E154</f>
        <v>821.153134146845</v>
      </c>
      <c r="G154" s="27" t="n">
        <f aca="false">IF($H$153&lt;=0,0,IF(MONTH(B154)=12,MIN('Übersicht &amp; Eingaben'!$C$13,$H$153-F154),0))</f>
        <v>0</v>
      </c>
      <c r="H154" s="28" t="n">
        <f aca="false">MAX($H$153-F154-G154,0)</f>
        <v>154341.015030007</v>
      </c>
    </row>
    <row r="155" customFormat="false" ht="18" hidden="false" customHeight="true" outlineLevel="0" collapsed="false">
      <c r="A155" s="29" t="n">
        <f aca="false">IF($H$154&lt;=0,"",146)</f>
        <v>146</v>
      </c>
      <c r="B155" s="30" t="n">
        <f aca="false">IF($H$154&lt;=0,"",EDATE('Übersicht &amp; Eingaben'!$C$12,145))</f>
        <v>50437</v>
      </c>
      <c r="C155" s="31" t="n">
        <f aca="false">IF($H$154&lt;=0,"",YEAR(B155))</f>
        <v>2038</v>
      </c>
      <c r="D155" s="32" t="n">
        <f aca="false">IF($H$154&lt;=0,0,MIN($H$154+($H$154*'Übersicht &amp; Eingaben'!$C$8/12),('Übersicht &amp; Eingaben'!$C$7*('Übersicht &amp; Eingaben'!$C$8+'Übersicht &amp; Eingaben'!$C$9)/12)))</f>
        <v>1312.5</v>
      </c>
      <c r="E155" s="32" t="n">
        <f aca="false">IF($H$154&lt;=0,0,($H$154*'Übersicht &amp; Eingaben'!$C$8/12))</f>
        <v>488.746547595023</v>
      </c>
      <c r="F155" s="32" t="n">
        <f aca="false">D155-E155</f>
        <v>823.753452404977</v>
      </c>
      <c r="G155" s="33" t="n">
        <f aca="false">IF($H$154&lt;=0,0,IF(MONTH(B155)=12,MIN('Übersicht &amp; Eingaben'!$C$13,$H$154-F155),0))</f>
        <v>0</v>
      </c>
      <c r="H155" s="34" t="n">
        <f aca="false">MAX($H$154-F155-G155,0)</f>
        <v>153517.261577602</v>
      </c>
    </row>
    <row r="156" customFormat="false" ht="18" hidden="false" customHeight="true" outlineLevel="0" collapsed="false">
      <c r="A156" s="23" t="n">
        <f aca="false">IF($H$155&lt;=0,"",147)</f>
        <v>147</v>
      </c>
      <c r="B156" s="24" t="n">
        <f aca="false">IF($H$155&lt;=0,"",EDATE('Übersicht &amp; Eingaben'!$C$12,146))</f>
        <v>50465</v>
      </c>
      <c r="C156" s="25" t="n">
        <f aca="false">IF($H$155&lt;=0,"",YEAR(B156))</f>
        <v>2038</v>
      </c>
      <c r="D156" s="26" t="n">
        <f aca="false">IF($H$155&lt;=0,0,MIN($H$155+($H$155*'Übersicht &amp; Eingaben'!$C$8/12),('Übersicht &amp; Eingaben'!$C$7*('Übersicht &amp; Eingaben'!$C$8+'Übersicht &amp; Eingaben'!$C$9)/12)))</f>
        <v>1312.5</v>
      </c>
      <c r="E156" s="26" t="n">
        <f aca="false">IF($H$155&lt;=0,0,($H$155*'Übersicht &amp; Eingaben'!$C$8/12))</f>
        <v>486.137994995741</v>
      </c>
      <c r="F156" s="26" t="n">
        <f aca="false">D156-E156</f>
        <v>826.36200500426</v>
      </c>
      <c r="G156" s="27" t="n">
        <f aca="false">IF($H$155&lt;=0,0,IF(MONTH(B156)=12,MIN('Übersicht &amp; Eingaben'!$C$13,$H$155-F156),0))</f>
        <v>0</v>
      </c>
      <c r="H156" s="28" t="n">
        <f aca="false">MAX($H$155-F156-G156,0)</f>
        <v>152690.899572598</v>
      </c>
    </row>
    <row r="157" customFormat="false" ht="18" hidden="false" customHeight="true" outlineLevel="0" collapsed="false">
      <c r="A157" s="29" t="n">
        <f aca="false">IF($H$156&lt;=0,"",148)</f>
        <v>148</v>
      </c>
      <c r="B157" s="30" t="n">
        <f aca="false">IF($H$156&lt;=0,"",EDATE('Übersicht &amp; Eingaben'!$C$12,147))</f>
        <v>50496</v>
      </c>
      <c r="C157" s="31" t="n">
        <f aca="false">IF($H$156&lt;=0,"",YEAR(B157))</f>
        <v>2038</v>
      </c>
      <c r="D157" s="32" t="n">
        <f aca="false">IF($H$156&lt;=0,0,MIN($H$156+($H$156*'Übersicht &amp; Eingaben'!$C$8/12),('Übersicht &amp; Eingaben'!$C$7*('Übersicht &amp; Eingaben'!$C$8+'Übersicht &amp; Eingaben'!$C$9)/12)))</f>
        <v>1312.5</v>
      </c>
      <c r="E157" s="32" t="n">
        <f aca="false">IF($H$156&lt;=0,0,($H$156*'Übersicht &amp; Eingaben'!$C$8/12))</f>
        <v>483.521181979894</v>
      </c>
      <c r="F157" s="32" t="n">
        <f aca="false">D157-E157</f>
        <v>828.978818020106</v>
      </c>
      <c r="G157" s="33" t="n">
        <f aca="false">IF($H$156&lt;=0,0,IF(MONTH(B157)=12,MIN('Übersicht &amp; Eingaben'!$C$13,$H$156-F157),0))</f>
        <v>0</v>
      </c>
      <c r="H157" s="34" t="n">
        <f aca="false">MAX($H$156-F157-G157,0)</f>
        <v>151861.920754578</v>
      </c>
    </row>
    <row r="158" customFormat="false" ht="18" hidden="false" customHeight="true" outlineLevel="0" collapsed="false">
      <c r="A158" s="23" t="n">
        <f aca="false">IF($H$157&lt;=0,"",149)</f>
        <v>149</v>
      </c>
      <c r="B158" s="24" t="n">
        <f aca="false">IF($H$157&lt;=0,"",EDATE('Übersicht &amp; Eingaben'!$C$12,148))</f>
        <v>50526</v>
      </c>
      <c r="C158" s="25" t="n">
        <f aca="false">IF($H$157&lt;=0,"",YEAR(B158))</f>
        <v>2038</v>
      </c>
      <c r="D158" s="26" t="n">
        <f aca="false">IF($H$157&lt;=0,0,MIN($H$157+($H$157*'Übersicht &amp; Eingaben'!$C$8/12),('Übersicht &amp; Eingaben'!$C$7*('Übersicht &amp; Eingaben'!$C$8+'Übersicht &amp; Eingaben'!$C$9)/12)))</f>
        <v>1312.5</v>
      </c>
      <c r="E158" s="26" t="n">
        <f aca="false">IF($H$157&lt;=0,0,($H$157*'Übersicht &amp; Eingaben'!$C$8/12))</f>
        <v>480.896082389497</v>
      </c>
      <c r="F158" s="26" t="n">
        <f aca="false">D158-E158</f>
        <v>831.603917610503</v>
      </c>
      <c r="G158" s="27" t="n">
        <f aca="false">IF($H$157&lt;=0,0,IF(MONTH(B158)=12,MIN('Übersicht &amp; Eingaben'!$C$13,$H$157-F158),0))</f>
        <v>0</v>
      </c>
      <c r="H158" s="28" t="n">
        <f aca="false">MAX($H$157-F158-G158,0)</f>
        <v>151030.316836967</v>
      </c>
    </row>
    <row r="159" customFormat="false" ht="18" hidden="false" customHeight="true" outlineLevel="0" collapsed="false">
      <c r="A159" s="29" t="n">
        <f aca="false">IF($H$158&lt;=0,"",150)</f>
        <v>150</v>
      </c>
      <c r="B159" s="30" t="n">
        <f aca="false">IF($H$158&lt;=0,"",EDATE('Übersicht &amp; Eingaben'!$C$12,149))</f>
        <v>50557</v>
      </c>
      <c r="C159" s="31" t="n">
        <f aca="false">IF($H$158&lt;=0,"",YEAR(B159))</f>
        <v>2038</v>
      </c>
      <c r="D159" s="32" t="n">
        <f aca="false">IF($H$158&lt;=0,0,MIN($H$158+($H$158*'Übersicht &amp; Eingaben'!$C$8/12),('Übersicht &amp; Eingaben'!$C$7*('Übersicht &amp; Eingaben'!$C$8+'Übersicht &amp; Eingaben'!$C$9)/12)))</f>
        <v>1312.5</v>
      </c>
      <c r="E159" s="32" t="n">
        <f aca="false">IF($H$158&lt;=0,0,($H$158*'Übersicht &amp; Eingaben'!$C$8/12))</f>
        <v>478.26266998373</v>
      </c>
      <c r="F159" s="32" t="n">
        <f aca="false">D159-E159</f>
        <v>834.23733001627</v>
      </c>
      <c r="G159" s="33" t="n">
        <f aca="false">IF($H$158&lt;=0,0,IF(MONTH(B159)=12,MIN('Übersicht &amp; Eingaben'!$C$13,$H$158-F159),0))</f>
        <v>0</v>
      </c>
      <c r="H159" s="34" t="n">
        <f aca="false">MAX($H$158-F159-G159,0)</f>
        <v>150196.079506951</v>
      </c>
    </row>
    <row r="160" customFormat="false" ht="18" hidden="false" customHeight="true" outlineLevel="0" collapsed="false">
      <c r="A160" s="23" t="n">
        <f aca="false">IF($H$159&lt;=0,"",151)</f>
        <v>151</v>
      </c>
      <c r="B160" s="24" t="n">
        <f aca="false">IF($H$159&lt;=0,"",EDATE('Übersicht &amp; Eingaben'!$C$12,150))</f>
        <v>50587</v>
      </c>
      <c r="C160" s="25" t="n">
        <f aca="false">IF($H$159&lt;=0,"",YEAR(B160))</f>
        <v>2038</v>
      </c>
      <c r="D160" s="26" t="n">
        <f aca="false">IF($H$159&lt;=0,0,MIN($H$159+($H$159*'Übersicht &amp; Eingaben'!$C$8/12),('Übersicht &amp; Eingaben'!$C$7*('Übersicht &amp; Eingaben'!$C$8+'Übersicht &amp; Eingaben'!$C$9)/12)))</f>
        <v>1312.5</v>
      </c>
      <c r="E160" s="26" t="n">
        <f aca="false">IF($H$159&lt;=0,0,($H$159*'Übersicht &amp; Eingaben'!$C$8/12))</f>
        <v>475.620918438679</v>
      </c>
      <c r="F160" s="26" t="n">
        <f aca="false">D160-E160</f>
        <v>836.879081561322</v>
      </c>
      <c r="G160" s="27" t="n">
        <f aca="false">IF($H$159&lt;=0,0,IF(MONTH(B160)=12,MIN('Übersicht &amp; Eingaben'!$C$13,$H$159-F160),0))</f>
        <v>0</v>
      </c>
      <c r="H160" s="28" t="n">
        <f aca="false">MAX($H$159-F160-G160,0)</f>
        <v>149359.20042539</v>
      </c>
    </row>
    <row r="161" customFormat="false" ht="18" hidden="false" customHeight="true" outlineLevel="0" collapsed="false">
      <c r="A161" s="29" t="n">
        <f aca="false">IF($H$160&lt;=0,"",152)</f>
        <v>152</v>
      </c>
      <c r="B161" s="30" t="n">
        <f aca="false">IF($H$160&lt;=0,"",EDATE('Übersicht &amp; Eingaben'!$C$12,151))</f>
        <v>50618</v>
      </c>
      <c r="C161" s="31" t="n">
        <f aca="false">IF($H$160&lt;=0,"",YEAR(B161))</f>
        <v>2038</v>
      </c>
      <c r="D161" s="32" t="n">
        <f aca="false">IF($H$160&lt;=0,0,MIN($H$160+($H$160*'Übersicht &amp; Eingaben'!$C$8/12),('Übersicht &amp; Eingaben'!$C$7*('Übersicht &amp; Eingaben'!$C$8+'Übersicht &amp; Eingaben'!$C$9)/12)))</f>
        <v>1312.5</v>
      </c>
      <c r="E161" s="32" t="n">
        <f aca="false">IF($H$160&lt;=0,0,($H$160*'Übersicht &amp; Eingaben'!$C$8/12))</f>
        <v>472.970801347068</v>
      </c>
      <c r="F161" s="32" t="n">
        <f aca="false">D161-E161</f>
        <v>839.529198652932</v>
      </c>
      <c r="G161" s="33" t="n">
        <f aca="false">IF($H$160&lt;=0,0,IF(MONTH(B161)=12,MIN('Übersicht &amp; Eingaben'!$C$13,$H$160-F161),0))</f>
        <v>0</v>
      </c>
      <c r="H161" s="34" t="n">
        <f aca="false">MAX($H$160-F161-G161,0)</f>
        <v>148519.671226737</v>
      </c>
    </row>
    <row r="162" customFormat="false" ht="18" hidden="false" customHeight="true" outlineLevel="0" collapsed="false">
      <c r="A162" s="23" t="n">
        <f aca="false">IF($H$161&lt;=0,"",153)</f>
        <v>153</v>
      </c>
      <c r="B162" s="24" t="n">
        <f aca="false">IF($H$161&lt;=0,"",EDATE('Übersicht &amp; Eingaben'!$C$12,152))</f>
        <v>50649</v>
      </c>
      <c r="C162" s="25" t="n">
        <f aca="false">IF($H$161&lt;=0,"",YEAR(B162))</f>
        <v>2038</v>
      </c>
      <c r="D162" s="26" t="n">
        <f aca="false">IF($H$161&lt;=0,0,MIN($H$161+($H$161*'Übersicht &amp; Eingaben'!$C$8/12),('Übersicht &amp; Eingaben'!$C$7*('Übersicht &amp; Eingaben'!$C$8+'Übersicht &amp; Eingaben'!$C$9)/12)))</f>
        <v>1312.5</v>
      </c>
      <c r="E162" s="26" t="n">
        <f aca="false">IF($H$161&lt;=0,0,($H$161*'Übersicht &amp; Eingaben'!$C$8/12))</f>
        <v>470.312292218</v>
      </c>
      <c r="F162" s="26" t="n">
        <f aca="false">D162-E162</f>
        <v>842.187707782</v>
      </c>
      <c r="G162" s="27" t="n">
        <f aca="false">IF($H$161&lt;=0,0,IF(MONTH(B162)=12,MIN('Übersicht &amp; Eingaben'!$C$13,$H$161-F162),0))</f>
        <v>0</v>
      </c>
      <c r="H162" s="28" t="n">
        <f aca="false">MAX($H$161-F162-G162,0)</f>
        <v>147677.483518955</v>
      </c>
    </row>
    <row r="163" customFormat="false" ht="18" hidden="false" customHeight="true" outlineLevel="0" collapsed="false">
      <c r="A163" s="29" t="n">
        <f aca="false">IF($H$162&lt;=0,"",154)</f>
        <v>154</v>
      </c>
      <c r="B163" s="30" t="n">
        <f aca="false">IF($H$162&lt;=0,"",EDATE('Übersicht &amp; Eingaben'!$C$12,153))</f>
        <v>50679</v>
      </c>
      <c r="C163" s="31" t="n">
        <f aca="false">IF($H$162&lt;=0,"",YEAR(B163))</f>
        <v>2038</v>
      </c>
      <c r="D163" s="32" t="n">
        <f aca="false">IF($H$162&lt;=0,0,MIN($H$162+($H$162*'Übersicht &amp; Eingaben'!$C$8/12),('Übersicht &amp; Eingaben'!$C$7*('Übersicht &amp; Eingaben'!$C$8+'Übersicht &amp; Eingaben'!$C$9)/12)))</f>
        <v>1312.5</v>
      </c>
      <c r="E163" s="32" t="n">
        <f aca="false">IF($H$162&lt;=0,0,($H$162*'Übersicht &amp; Eingaben'!$C$8/12))</f>
        <v>467.645364476691</v>
      </c>
      <c r="F163" s="32" t="n">
        <f aca="false">D163-E163</f>
        <v>844.85463552331</v>
      </c>
      <c r="G163" s="33" t="n">
        <f aca="false">IF($H$162&lt;=0,0,IF(MONTH(B163)=12,MIN('Übersicht &amp; Eingaben'!$C$13,$H$162-F163),0))</f>
        <v>0</v>
      </c>
      <c r="H163" s="34" t="n">
        <f aca="false">MAX($H$162-F163-G163,0)</f>
        <v>146832.628883432</v>
      </c>
    </row>
    <row r="164" customFormat="false" ht="18" hidden="false" customHeight="true" outlineLevel="0" collapsed="false">
      <c r="A164" s="23" t="n">
        <f aca="false">IF($H$163&lt;=0,"",155)</f>
        <v>155</v>
      </c>
      <c r="B164" s="24" t="n">
        <f aca="false">IF($H$163&lt;=0,"",EDATE('Übersicht &amp; Eingaben'!$C$12,154))</f>
        <v>50710</v>
      </c>
      <c r="C164" s="25" t="n">
        <f aca="false">IF($H$163&lt;=0,"",YEAR(B164))</f>
        <v>2038</v>
      </c>
      <c r="D164" s="26" t="n">
        <f aca="false">IF($H$163&lt;=0,0,MIN($H$163+($H$163*'Übersicht &amp; Eingaben'!$C$8/12),('Übersicht &amp; Eingaben'!$C$7*('Übersicht &amp; Eingaben'!$C$8+'Übersicht &amp; Eingaben'!$C$9)/12)))</f>
        <v>1312.5</v>
      </c>
      <c r="E164" s="26" t="n">
        <f aca="false">IF($H$163&lt;=0,0,($H$163*'Übersicht &amp; Eingaben'!$C$8/12))</f>
        <v>464.9699914642</v>
      </c>
      <c r="F164" s="26" t="n">
        <f aca="false">D164-E164</f>
        <v>847.5300085358</v>
      </c>
      <c r="G164" s="27" t="n">
        <f aca="false">IF($H$163&lt;=0,0,IF(MONTH(B164)=12,MIN('Übersicht &amp; Eingaben'!$C$13,$H$163-F164),0))</f>
        <v>0</v>
      </c>
      <c r="H164" s="28" t="n">
        <f aca="false">MAX($H$163-F164-G164,0)</f>
        <v>145985.098874896</v>
      </c>
    </row>
    <row r="165" customFormat="false" ht="18" hidden="false" customHeight="true" outlineLevel="0" collapsed="false">
      <c r="A165" s="29" t="n">
        <f aca="false">IF($H$164&lt;=0,"",156)</f>
        <v>156</v>
      </c>
      <c r="B165" s="30" t="n">
        <f aca="false">IF($H$164&lt;=0,"",EDATE('Übersicht &amp; Eingaben'!$C$12,155))</f>
        <v>50740</v>
      </c>
      <c r="C165" s="31" t="n">
        <f aca="false">IF($H$164&lt;=0,"",YEAR(B165))</f>
        <v>2038</v>
      </c>
      <c r="D165" s="32" t="n">
        <f aca="false">IF($H$164&lt;=0,0,MIN($H$164+($H$164*'Übersicht &amp; Eingaben'!$C$8/12),('Übersicht &amp; Eingaben'!$C$7*('Übersicht &amp; Eingaben'!$C$8+'Übersicht &amp; Eingaben'!$C$9)/12)))</f>
        <v>1312.5</v>
      </c>
      <c r="E165" s="32" t="n">
        <f aca="false">IF($H$164&lt;=0,0,($H$164*'Übersicht &amp; Eingaben'!$C$8/12))</f>
        <v>462.28614643717</v>
      </c>
      <c r="F165" s="32" t="n">
        <f aca="false">D165-E165</f>
        <v>850.21385356283</v>
      </c>
      <c r="G165" s="33" t="n">
        <f aca="false">IF($H$164&lt;=0,0,IF(MONTH(B165)=12,MIN('Übersicht &amp; Eingaben'!$C$13,$H$164-F165),0))</f>
        <v>0</v>
      </c>
      <c r="H165" s="34" t="n">
        <f aca="false">MAX($H$164-F165-G165,0)</f>
        <v>145134.885021333</v>
      </c>
    </row>
    <row r="166" customFormat="false" ht="18" hidden="false" customHeight="true" outlineLevel="0" collapsed="false">
      <c r="A166" s="23" t="n">
        <f aca="false">IF($H$165&lt;=0,"",157)</f>
        <v>157</v>
      </c>
      <c r="B166" s="24" t="n">
        <f aca="false">IF($H$165&lt;=0,"",EDATE('Übersicht &amp; Eingaben'!$C$12,156))</f>
        <v>50771</v>
      </c>
      <c r="C166" s="25" t="n">
        <f aca="false">IF($H$165&lt;=0,"",YEAR(B166))</f>
        <v>2039</v>
      </c>
      <c r="D166" s="26" t="n">
        <f aca="false">IF($H$165&lt;=0,0,MIN($H$165+($H$165*'Übersicht &amp; Eingaben'!$C$8/12),('Übersicht &amp; Eingaben'!$C$7*('Übersicht &amp; Eingaben'!$C$8+'Übersicht &amp; Eingaben'!$C$9)/12)))</f>
        <v>1312.5</v>
      </c>
      <c r="E166" s="26" t="n">
        <f aca="false">IF($H$165&lt;=0,0,($H$165*'Übersicht &amp; Eingaben'!$C$8/12))</f>
        <v>459.593802567554</v>
      </c>
      <c r="F166" s="26" t="n">
        <f aca="false">D166-E166</f>
        <v>852.906197432446</v>
      </c>
      <c r="G166" s="27" t="n">
        <f aca="false">IF($H$165&lt;=0,0,IF(MONTH(B166)=12,MIN('Übersicht &amp; Eingaben'!$C$13,$H$165-F166),0))</f>
        <v>0</v>
      </c>
      <c r="H166" s="28" t="n">
        <f aca="false">MAX($H$165-F166-G166,0)</f>
        <v>144281.9788239</v>
      </c>
    </row>
    <row r="167" customFormat="false" ht="18" hidden="false" customHeight="true" outlineLevel="0" collapsed="false">
      <c r="A167" s="29" t="n">
        <f aca="false">IF($H$166&lt;=0,"",158)</f>
        <v>158</v>
      </c>
      <c r="B167" s="30" t="n">
        <f aca="false">IF($H$166&lt;=0,"",EDATE('Übersicht &amp; Eingaben'!$C$12,157))</f>
        <v>50802</v>
      </c>
      <c r="C167" s="31" t="n">
        <f aca="false">IF($H$166&lt;=0,"",YEAR(B167))</f>
        <v>2039</v>
      </c>
      <c r="D167" s="32" t="n">
        <f aca="false">IF($H$166&lt;=0,0,MIN($H$166+($H$166*'Übersicht &amp; Eingaben'!$C$8/12),('Übersicht &amp; Eingaben'!$C$7*('Übersicht &amp; Eingaben'!$C$8+'Übersicht &amp; Eingaben'!$C$9)/12)))</f>
        <v>1312.5</v>
      </c>
      <c r="E167" s="32" t="n">
        <f aca="false">IF($H$166&lt;=0,0,($H$166*'Übersicht &amp; Eingaben'!$C$8/12))</f>
        <v>456.892932942352</v>
      </c>
      <c r="F167" s="32" t="n">
        <f aca="false">D167-E167</f>
        <v>855.607067057649</v>
      </c>
      <c r="G167" s="33" t="n">
        <f aca="false">IF($H$166&lt;=0,0,IF(MONTH(B167)=12,MIN('Übersicht &amp; Eingaben'!$C$13,$H$166-F167),0))</f>
        <v>0</v>
      </c>
      <c r="H167" s="34" t="n">
        <f aca="false">MAX($H$166-F167-G167,0)</f>
        <v>143426.371756843</v>
      </c>
    </row>
    <row r="168" customFormat="false" ht="18" hidden="false" customHeight="true" outlineLevel="0" collapsed="false">
      <c r="A168" s="23" t="n">
        <f aca="false">IF($H$167&lt;=0,"",159)</f>
        <v>159</v>
      </c>
      <c r="B168" s="24" t="n">
        <f aca="false">IF($H$167&lt;=0,"",EDATE('Übersicht &amp; Eingaben'!$C$12,158))</f>
        <v>50830</v>
      </c>
      <c r="C168" s="25" t="n">
        <f aca="false">IF($H$167&lt;=0,"",YEAR(B168))</f>
        <v>2039</v>
      </c>
      <c r="D168" s="26" t="n">
        <f aca="false">IF($H$167&lt;=0,0,MIN($H$167+($H$167*'Übersicht &amp; Eingaben'!$C$8/12),('Übersicht &amp; Eingaben'!$C$7*('Übersicht &amp; Eingaben'!$C$8+'Übersicht &amp; Eingaben'!$C$9)/12)))</f>
        <v>1312.5</v>
      </c>
      <c r="E168" s="26" t="n">
        <f aca="false">IF($H$167&lt;=0,0,($H$167*'Übersicht &amp; Eingaben'!$C$8/12))</f>
        <v>454.183510563336</v>
      </c>
      <c r="F168" s="26" t="n">
        <f aca="false">D168-E168</f>
        <v>858.316489436664</v>
      </c>
      <c r="G168" s="27" t="n">
        <f aca="false">IF($H$167&lt;=0,0,IF(MONTH(B168)=12,MIN('Übersicht &amp; Eingaben'!$C$13,$H$167-F168),0))</f>
        <v>0</v>
      </c>
      <c r="H168" s="28" t="n">
        <f aca="false">MAX($H$167-F168-G168,0)</f>
        <v>142568.055267406</v>
      </c>
    </row>
    <row r="169" customFormat="false" ht="18" hidden="false" customHeight="true" outlineLevel="0" collapsed="false">
      <c r="A169" s="29" t="n">
        <f aca="false">IF($H$168&lt;=0,"",160)</f>
        <v>160</v>
      </c>
      <c r="B169" s="30" t="n">
        <f aca="false">IF($H$168&lt;=0,"",EDATE('Übersicht &amp; Eingaben'!$C$12,159))</f>
        <v>50861</v>
      </c>
      <c r="C169" s="31" t="n">
        <f aca="false">IF($H$168&lt;=0,"",YEAR(B169))</f>
        <v>2039</v>
      </c>
      <c r="D169" s="32" t="n">
        <f aca="false">IF($H$168&lt;=0,0,MIN($H$168+($H$168*'Übersicht &amp; Eingaben'!$C$8/12),('Übersicht &amp; Eingaben'!$C$7*('Übersicht &amp; Eingaben'!$C$8+'Übersicht &amp; Eingaben'!$C$9)/12)))</f>
        <v>1312.5</v>
      </c>
      <c r="E169" s="32" t="n">
        <f aca="false">IF($H$168&lt;=0,0,($H$168*'Übersicht &amp; Eingaben'!$C$8/12))</f>
        <v>451.465508346786</v>
      </c>
      <c r="F169" s="32" t="n">
        <f aca="false">D169-E169</f>
        <v>861.034491653214</v>
      </c>
      <c r="G169" s="33" t="n">
        <f aca="false">IF($H$168&lt;=0,0,IF(MONTH(B169)=12,MIN('Übersicht &amp; Eingaben'!$C$13,$H$168-F169),0))</f>
        <v>0</v>
      </c>
      <c r="H169" s="34" t="n">
        <f aca="false">MAX($H$168-F169-G169,0)</f>
        <v>141707.020775753</v>
      </c>
    </row>
    <row r="170" customFormat="false" ht="18" hidden="false" customHeight="true" outlineLevel="0" collapsed="false">
      <c r="A170" s="23" t="n">
        <f aca="false">IF($H$169&lt;=0,"",161)</f>
        <v>161</v>
      </c>
      <c r="B170" s="24" t="n">
        <f aca="false">IF($H$169&lt;=0,"",EDATE('Übersicht &amp; Eingaben'!$C$12,160))</f>
        <v>50891</v>
      </c>
      <c r="C170" s="25" t="n">
        <f aca="false">IF($H$169&lt;=0,"",YEAR(B170))</f>
        <v>2039</v>
      </c>
      <c r="D170" s="26" t="n">
        <f aca="false">IF($H$169&lt;=0,0,MIN($H$169+($H$169*'Übersicht &amp; Eingaben'!$C$8/12),('Übersicht &amp; Eingaben'!$C$7*('Übersicht &amp; Eingaben'!$C$8+'Übersicht &amp; Eingaben'!$C$9)/12)))</f>
        <v>1312.5</v>
      </c>
      <c r="E170" s="26" t="n">
        <f aca="false">IF($H$169&lt;=0,0,($H$169*'Übersicht &amp; Eingaben'!$C$8/12))</f>
        <v>448.738899123218</v>
      </c>
      <c r="F170" s="26" t="n">
        <f aca="false">D170-E170</f>
        <v>863.761100876782</v>
      </c>
      <c r="G170" s="27" t="n">
        <f aca="false">IF($H$169&lt;=0,0,IF(MONTH(B170)=12,MIN('Übersicht &amp; Eingaben'!$C$13,$H$169-F170),0))</f>
        <v>0</v>
      </c>
      <c r="H170" s="28" t="n">
        <f aca="false">MAX($H$169-F170-G170,0)</f>
        <v>140843.259674876</v>
      </c>
    </row>
    <row r="171" customFormat="false" ht="18" hidden="false" customHeight="true" outlineLevel="0" collapsed="false">
      <c r="A171" s="29" t="n">
        <f aca="false">IF($H$170&lt;=0,"",162)</f>
        <v>162</v>
      </c>
      <c r="B171" s="30" t="n">
        <f aca="false">IF($H$170&lt;=0,"",EDATE('Übersicht &amp; Eingaben'!$C$12,161))</f>
        <v>50922</v>
      </c>
      <c r="C171" s="31" t="n">
        <f aca="false">IF($H$170&lt;=0,"",YEAR(B171))</f>
        <v>2039</v>
      </c>
      <c r="D171" s="32" t="n">
        <f aca="false">IF($H$170&lt;=0,0,MIN($H$170+($H$170*'Übersicht &amp; Eingaben'!$C$8/12),('Übersicht &amp; Eingaben'!$C$7*('Übersicht &amp; Eingaben'!$C$8+'Übersicht &amp; Eingaben'!$C$9)/12)))</f>
        <v>1312.5</v>
      </c>
      <c r="E171" s="32" t="n">
        <f aca="false">IF($H$170&lt;=0,0,($H$170*'Übersicht &amp; Eingaben'!$C$8/12))</f>
        <v>446.003655637108</v>
      </c>
      <c r="F171" s="32" t="n">
        <f aca="false">D171-E171</f>
        <v>866.496344362892</v>
      </c>
      <c r="G171" s="33" t="n">
        <f aca="false">IF($H$170&lt;=0,0,IF(MONTH(B171)=12,MIN('Übersicht &amp; Eingaben'!$C$13,$H$170-F171),0))</f>
        <v>0</v>
      </c>
      <c r="H171" s="34" t="n">
        <f aca="false">MAX($H$170-F171-G171,0)</f>
        <v>139976.763330513</v>
      </c>
    </row>
    <row r="172" customFormat="false" ht="18" hidden="false" customHeight="true" outlineLevel="0" collapsed="false">
      <c r="A172" s="23" t="n">
        <f aca="false">IF($H$171&lt;=0,"",163)</f>
        <v>163</v>
      </c>
      <c r="B172" s="24" t="n">
        <f aca="false">IF($H$171&lt;=0,"",EDATE('Übersicht &amp; Eingaben'!$C$12,162))</f>
        <v>50952</v>
      </c>
      <c r="C172" s="25" t="n">
        <f aca="false">IF($H$171&lt;=0,"",YEAR(B172))</f>
        <v>2039</v>
      </c>
      <c r="D172" s="26" t="n">
        <f aca="false">IF($H$171&lt;=0,0,MIN($H$171+($H$171*'Übersicht &amp; Eingaben'!$C$8/12),('Übersicht &amp; Eingaben'!$C$7*('Übersicht &amp; Eingaben'!$C$8+'Übersicht &amp; Eingaben'!$C$9)/12)))</f>
        <v>1312.5</v>
      </c>
      <c r="E172" s="26" t="n">
        <f aca="false">IF($H$171&lt;=0,0,($H$171*'Übersicht &amp; Eingaben'!$C$8/12))</f>
        <v>443.259750546625</v>
      </c>
      <c r="F172" s="26" t="n">
        <f aca="false">D172-E172</f>
        <v>869.240249453375</v>
      </c>
      <c r="G172" s="27" t="n">
        <f aca="false">IF($H$171&lt;=0,0,IF(MONTH(B172)=12,MIN('Übersicht &amp; Eingaben'!$C$13,$H$171-F172),0))</f>
        <v>0</v>
      </c>
      <c r="H172" s="28" t="n">
        <f aca="false">MAX($H$171-F172-G172,0)</f>
        <v>139107.52308106</v>
      </c>
    </row>
    <row r="173" customFormat="false" ht="18" hidden="false" customHeight="true" outlineLevel="0" collapsed="false">
      <c r="A173" s="29" t="n">
        <f aca="false">IF($H$172&lt;=0,"",164)</f>
        <v>164</v>
      </c>
      <c r="B173" s="30" t="n">
        <f aca="false">IF($H$172&lt;=0,"",EDATE('Übersicht &amp; Eingaben'!$C$12,163))</f>
        <v>50983</v>
      </c>
      <c r="C173" s="31" t="n">
        <f aca="false">IF($H$172&lt;=0,"",YEAR(B173))</f>
        <v>2039</v>
      </c>
      <c r="D173" s="32" t="n">
        <f aca="false">IF($H$172&lt;=0,0,MIN($H$172+($H$172*'Übersicht &amp; Eingaben'!$C$8/12),('Übersicht &amp; Eingaben'!$C$7*('Übersicht &amp; Eingaben'!$C$8+'Übersicht &amp; Eingaben'!$C$9)/12)))</f>
        <v>1312.5</v>
      </c>
      <c r="E173" s="32" t="n">
        <f aca="false">IF($H$172&lt;=0,0,($H$172*'Übersicht &amp; Eingaben'!$C$8/12))</f>
        <v>440.507156423356</v>
      </c>
      <c r="F173" s="32" t="n">
        <f aca="false">D173-E173</f>
        <v>871.992843576644</v>
      </c>
      <c r="G173" s="33" t="n">
        <f aca="false">IF($H$172&lt;=0,0,IF(MONTH(B173)=12,MIN('Übersicht &amp; Eingaben'!$C$13,$H$172-F173),0))</f>
        <v>0</v>
      </c>
      <c r="H173" s="34" t="n">
        <f aca="false">MAX($H$172-F173-G173,0)</f>
        <v>138235.530237483</v>
      </c>
    </row>
    <row r="174" customFormat="false" ht="18" hidden="false" customHeight="true" outlineLevel="0" collapsed="false">
      <c r="A174" s="23" t="n">
        <f aca="false">IF($H$173&lt;=0,"",165)</f>
        <v>165</v>
      </c>
      <c r="B174" s="24" t="n">
        <f aca="false">IF($H$173&lt;=0,"",EDATE('Übersicht &amp; Eingaben'!$C$12,164))</f>
        <v>51014</v>
      </c>
      <c r="C174" s="25" t="n">
        <f aca="false">IF($H$173&lt;=0,"",YEAR(B174))</f>
        <v>2039</v>
      </c>
      <c r="D174" s="26" t="n">
        <f aca="false">IF($H$173&lt;=0,0,MIN($H$173+($H$173*'Übersicht &amp; Eingaben'!$C$8/12),('Übersicht &amp; Eingaben'!$C$7*('Übersicht &amp; Eingaben'!$C$8+'Übersicht &amp; Eingaben'!$C$9)/12)))</f>
        <v>1312.5</v>
      </c>
      <c r="E174" s="26" t="n">
        <f aca="false">IF($H$173&lt;=0,0,($H$173*'Übersicht &amp; Eingaben'!$C$8/12))</f>
        <v>437.74584575203</v>
      </c>
      <c r="F174" s="26" t="n">
        <f aca="false">D174-E174</f>
        <v>874.75415424797</v>
      </c>
      <c r="G174" s="27" t="n">
        <f aca="false">IF($H$173&lt;=0,0,IF(MONTH(B174)=12,MIN('Übersicht &amp; Eingaben'!$C$13,$H$173-F174),0))</f>
        <v>0</v>
      </c>
      <c r="H174" s="28" t="n">
        <f aca="false">MAX($H$173-F174-G174,0)</f>
        <v>137360.776083235</v>
      </c>
    </row>
    <row r="175" customFormat="false" ht="18" hidden="false" customHeight="true" outlineLevel="0" collapsed="false">
      <c r="A175" s="29" t="n">
        <f aca="false">IF($H$174&lt;=0,"",166)</f>
        <v>166</v>
      </c>
      <c r="B175" s="30" t="n">
        <f aca="false">IF($H$174&lt;=0,"",EDATE('Übersicht &amp; Eingaben'!$C$12,165))</f>
        <v>51044</v>
      </c>
      <c r="C175" s="31" t="n">
        <f aca="false">IF($H$174&lt;=0,"",YEAR(B175))</f>
        <v>2039</v>
      </c>
      <c r="D175" s="32" t="n">
        <f aca="false">IF($H$174&lt;=0,0,MIN($H$174+($H$174*'Übersicht &amp; Eingaben'!$C$8/12),('Übersicht &amp; Eingaben'!$C$7*('Übersicht &amp; Eingaben'!$C$8+'Übersicht &amp; Eingaben'!$C$9)/12)))</f>
        <v>1312.5</v>
      </c>
      <c r="E175" s="32" t="n">
        <f aca="false">IF($H$174&lt;=0,0,($H$174*'Übersicht &amp; Eingaben'!$C$8/12))</f>
        <v>434.975790930245</v>
      </c>
      <c r="F175" s="32" t="n">
        <f aca="false">D175-E175</f>
        <v>877.524209069755</v>
      </c>
      <c r="G175" s="33" t="n">
        <f aca="false">IF($H$174&lt;=0,0,IF(MONTH(B175)=12,MIN('Übersicht &amp; Eingaben'!$C$13,$H$174-F175),0))</f>
        <v>0</v>
      </c>
      <c r="H175" s="34" t="n">
        <f aca="false">MAX($H$174-F175-G175,0)</f>
        <v>136483.251874166</v>
      </c>
    </row>
    <row r="176" customFormat="false" ht="18" hidden="false" customHeight="true" outlineLevel="0" collapsed="false">
      <c r="A176" s="23" t="n">
        <f aca="false">IF($H$175&lt;=0,"",167)</f>
        <v>167</v>
      </c>
      <c r="B176" s="24" t="n">
        <f aca="false">IF($H$175&lt;=0,"",EDATE('Übersicht &amp; Eingaben'!$C$12,166))</f>
        <v>51075</v>
      </c>
      <c r="C176" s="25" t="n">
        <f aca="false">IF($H$175&lt;=0,"",YEAR(B176))</f>
        <v>2039</v>
      </c>
      <c r="D176" s="26" t="n">
        <f aca="false">IF($H$175&lt;=0,0,MIN($H$175+($H$175*'Übersicht &amp; Eingaben'!$C$8/12),('Übersicht &amp; Eingaben'!$C$7*('Übersicht &amp; Eingaben'!$C$8+'Übersicht &amp; Eingaben'!$C$9)/12)))</f>
        <v>1312.5</v>
      </c>
      <c r="E176" s="26" t="n">
        <f aca="false">IF($H$175&lt;=0,0,($H$175*'Übersicht &amp; Eingaben'!$C$8/12))</f>
        <v>432.196964268191</v>
      </c>
      <c r="F176" s="26" t="n">
        <f aca="false">D176-E176</f>
        <v>880.303035731809</v>
      </c>
      <c r="G176" s="27" t="n">
        <f aca="false">IF($H$175&lt;=0,0,IF(MONTH(B176)=12,MIN('Übersicht &amp; Eingaben'!$C$13,$H$175-F176),0))</f>
        <v>0</v>
      </c>
      <c r="H176" s="28" t="n">
        <f aca="false">MAX($H$175-F176-G176,0)</f>
        <v>135602.948838434</v>
      </c>
    </row>
    <row r="177" customFormat="false" ht="18" hidden="false" customHeight="true" outlineLevel="0" collapsed="false">
      <c r="A177" s="29" t="n">
        <f aca="false">IF($H$176&lt;=0,"",168)</f>
        <v>168</v>
      </c>
      <c r="B177" s="30" t="n">
        <f aca="false">IF($H$176&lt;=0,"",EDATE('Übersicht &amp; Eingaben'!$C$12,167))</f>
        <v>51105</v>
      </c>
      <c r="C177" s="31" t="n">
        <f aca="false">IF($H$176&lt;=0,"",YEAR(B177))</f>
        <v>2039</v>
      </c>
      <c r="D177" s="32" t="n">
        <f aca="false">IF($H$176&lt;=0,0,MIN($H$176+($H$176*'Übersicht &amp; Eingaben'!$C$8/12),('Übersicht &amp; Eingaben'!$C$7*('Übersicht &amp; Eingaben'!$C$8+'Übersicht &amp; Eingaben'!$C$9)/12)))</f>
        <v>1312.5</v>
      </c>
      <c r="E177" s="32" t="n">
        <f aca="false">IF($H$176&lt;=0,0,($H$176*'Übersicht &amp; Eingaben'!$C$8/12))</f>
        <v>429.409337988373</v>
      </c>
      <c r="F177" s="32" t="n">
        <f aca="false">D177-E177</f>
        <v>883.090662011627</v>
      </c>
      <c r="G177" s="33" t="n">
        <f aca="false">IF($H$176&lt;=0,0,IF(MONTH(B177)=12,MIN('Übersicht &amp; Eingaben'!$C$13,$H$176-F177),0))</f>
        <v>0</v>
      </c>
      <c r="H177" s="34" t="n">
        <f aca="false">MAX($H$176-F177-G177,0)</f>
        <v>134719.858176422</v>
      </c>
    </row>
    <row r="178" customFormat="false" ht="18" hidden="false" customHeight="true" outlineLevel="0" collapsed="false">
      <c r="A178" s="23" t="n">
        <f aca="false">IF($H$177&lt;=0,"",169)</f>
        <v>169</v>
      </c>
      <c r="B178" s="24" t="n">
        <f aca="false">IF($H$177&lt;=0,"",EDATE('Übersicht &amp; Eingaben'!$C$12,168))</f>
        <v>51136</v>
      </c>
      <c r="C178" s="25" t="n">
        <f aca="false">IF($H$177&lt;=0,"",YEAR(B178))</f>
        <v>2040</v>
      </c>
      <c r="D178" s="26" t="n">
        <f aca="false">IF($H$177&lt;=0,0,MIN($H$177+($H$177*'Übersicht &amp; Eingaben'!$C$8/12),('Übersicht &amp; Eingaben'!$C$7*('Übersicht &amp; Eingaben'!$C$8+'Übersicht &amp; Eingaben'!$C$9)/12)))</f>
        <v>1312.5</v>
      </c>
      <c r="E178" s="26" t="n">
        <f aca="false">IF($H$177&lt;=0,0,($H$177*'Übersicht &amp; Eingaben'!$C$8/12))</f>
        <v>426.612884225337</v>
      </c>
      <c r="F178" s="26" t="n">
        <f aca="false">D178-E178</f>
        <v>885.887115774663</v>
      </c>
      <c r="G178" s="27" t="n">
        <f aca="false">IF($H$177&lt;=0,0,IF(MONTH(B178)=12,MIN('Übersicht &amp; Eingaben'!$C$13,$H$177-F178),0))</f>
        <v>0</v>
      </c>
      <c r="H178" s="28" t="n">
        <f aca="false">MAX($H$177-F178-G178,0)</f>
        <v>133833.971060647</v>
      </c>
    </row>
    <row r="179" customFormat="false" ht="18" hidden="false" customHeight="true" outlineLevel="0" collapsed="false">
      <c r="A179" s="29" t="n">
        <f aca="false">IF($H$178&lt;=0,"",170)</f>
        <v>170</v>
      </c>
      <c r="B179" s="30" t="n">
        <f aca="false">IF($H$178&lt;=0,"",EDATE('Übersicht &amp; Eingaben'!$C$12,169))</f>
        <v>51167</v>
      </c>
      <c r="C179" s="31" t="n">
        <f aca="false">IF($H$178&lt;=0,"",YEAR(B179))</f>
        <v>2040</v>
      </c>
      <c r="D179" s="32" t="n">
        <f aca="false">IF($H$178&lt;=0,0,MIN($H$178+($H$178*'Übersicht &amp; Eingaben'!$C$8/12),('Übersicht &amp; Eingaben'!$C$7*('Übersicht &amp; Eingaben'!$C$8+'Übersicht &amp; Eingaben'!$C$9)/12)))</f>
        <v>1312.5</v>
      </c>
      <c r="E179" s="32" t="n">
        <f aca="false">IF($H$178&lt;=0,0,($H$178*'Übersicht &amp; Eingaben'!$C$8/12))</f>
        <v>423.807575025384</v>
      </c>
      <c r="F179" s="32" t="n">
        <f aca="false">D179-E179</f>
        <v>888.692424974616</v>
      </c>
      <c r="G179" s="33" t="n">
        <f aca="false">IF($H$178&lt;=0,0,IF(MONTH(B179)=12,MIN('Übersicht &amp; Eingaben'!$C$13,$H$178-F179),0))</f>
        <v>0</v>
      </c>
      <c r="H179" s="34" t="n">
        <f aca="false">MAX($H$178-F179-G179,0)</f>
        <v>132945.278635673</v>
      </c>
    </row>
    <row r="180" customFormat="false" ht="18" hidden="false" customHeight="true" outlineLevel="0" collapsed="false">
      <c r="A180" s="23" t="n">
        <f aca="false">IF($H$179&lt;=0,"",171)</f>
        <v>171</v>
      </c>
      <c r="B180" s="24" t="n">
        <f aca="false">IF($H$179&lt;=0,"",EDATE('Übersicht &amp; Eingaben'!$C$12,170))</f>
        <v>51196</v>
      </c>
      <c r="C180" s="25" t="n">
        <f aca="false">IF($H$179&lt;=0,"",YEAR(B180))</f>
        <v>2040</v>
      </c>
      <c r="D180" s="26" t="n">
        <f aca="false">IF($H$179&lt;=0,0,MIN($H$179+($H$179*'Übersicht &amp; Eingaben'!$C$8/12),('Übersicht &amp; Eingaben'!$C$7*('Übersicht &amp; Eingaben'!$C$8+'Übersicht &amp; Eingaben'!$C$9)/12)))</f>
        <v>1312.5</v>
      </c>
      <c r="E180" s="26" t="n">
        <f aca="false">IF($H$179&lt;=0,0,($H$179*'Übersicht &amp; Eingaben'!$C$8/12))</f>
        <v>420.993382346297</v>
      </c>
      <c r="F180" s="26" t="n">
        <f aca="false">D180-E180</f>
        <v>891.506617653703</v>
      </c>
      <c r="G180" s="27" t="n">
        <f aca="false">IF($H$179&lt;=0,0,IF(MONTH(B180)=12,MIN('Übersicht &amp; Eingaben'!$C$13,$H$179-F180),0))</f>
        <v>0</v>
      </c>
      <c r="H180" s="28" t="n">
        <f aca="false">MAX($H$179-F180-G180,0)</f>
        <v>132053.772018019</v>
      </c>
    </row>
    <row r="181" customFormat="false" ht="18" hidden="false" customHeight="true" outlineLevel="0" collapsed="false">
      <c r="A181" s="29" t="n">
        <f aca="false">IF($H$180&lt;=0,"",172)</f>
        <v>172</v>
      </c>
      <c r="B181" s="30" t="n">
        <f aca="false">IF($H$180&lt;=0,"",EDATE('Übersicht &amp; Eingaben'!$C$12,171))</f>
        <v>51227</v>
      </c>
      <c r="C181" s="31" t="n">
        <f aca="false">IF($H$180&lt;=0,"",YEAR(B181))</f>
        <v>2040</v>
      </c>
      <c r="D181" s="32" t="n">
        <f aca="false">IF($H$180&lt;=0,0,MIN($H$180+($H$180*'Übersicht &amp; Eingaben'!$C$8/12),('Übersicht &amp; Eingaben'!$C$7*('Übersicht &amp; Eingaben'!$C$8+'Übersicht &amp; Eingaben'!$C$9)/12)))</f>
        <v>1312.5</v>
      </c>
      <c r="E181" s="32" t="n">
        <f aca="false">IF($H$180&lt;=0,0,($H$180*'Übersicht &amp; Eingaben'!$C$8/12))</f>
        <v>418.170278057061</v>
      </c>
      <c r="F181" s="32" t="n">
        <f aca="false">D181-E181</f>
        <v>894.329721942939</v>
      </c>
      <c r="G181" s="33" t="n">
        <f aca="false">IF($H$180&lt;=0,0,IF(MONTH(B181)=12,MIN('Übersicht &amp; Eingaben'!$C$13,$H$180-F181),0))</f>
        <v>0</v>
      </c>
      <c r="H181" s="34" t="n">
        <f aca="false">MAX($H$180-F181-G181,0)</f>
        <v>131159.442296076</v>
      </c>
    </row>
    <row r="182" customFormat="false" ht="18" hidden="false" customHeight="true" outlineLevel="0" collapsed="false">
      <c r="A182" s="23" t="n">
        <f aca="false">IF($H$181&lt;=0,"",173)</f>
        <v>173</v>
      </c>
      <c r="B182" s="24" t="n">
        <f aca="false">IF($H$181&lt;=0,"",EDATE('Übersicht &amp; Eingaben'!$C$12,172))</f>
        <v>51257</v>
      </c>
      <c r="C182" s="25" t="n">
        <f aca="false">IF($H$181&lt;=0,"",YEAR(B182))</f>
        <v>2040</v>
      </c>
      <c r="D182" s="26" t="n">
        <f aca="false">IF($H$181&lt;=0,0,MIN($H$181+($H$181*'Übersicht &amp; Eingaben'!$C$8/12),('Übersicht &amp; Eingaben'!$C$7*('Übersicht &amp; Eingaben'!$C$8+'Übersicht &amp; Eingaben'!$C$9)/12)))</f>
        <v>1312.5</v>
      </c>
      <c r="E182" s="26" t="n">
        <f aca="false">IF($H$181&lt;=0,0,($H$181*'Übersicht &amp; Eingaben'!$C$8/12))</f>
        <v>415.338233937575</v>
      </c>
      <c r="F182" s="26" t="n">
        <f aca="false">D182-E182</f>
        <v>897.161766062425</v>
      </c>
      <c r="G182" s="27" t="n">
        <f aca="false">IF($H$181&lt;=0,0,IF(MONTH(B182)=12,MIN('Übersicht &amp; Eingaben'!$C$13,$H$181-F182),0))</f>
        <v>0</v>
      </c>
      <c r="H182" s="28" t="n">
        <f aca="false">MAX($H$181-F182-G182,0)</f>
        <v>130262.280530014</v>
      </c>
    </row>
    <row r="183" customFormat="false" ht="18" hidden="false" customHeight="true" outlineLevel="0" collapsed="false">
      <c r="A183" s="29" t="n">
        <f aca="false">IF($H$182&lt;=0,"",174)</f>
        <v>174</v>
      </c>
      <c r="B183" s="30" t="n">
        <f aca="false">IF($H$182&lt;=0,"",EDATE('Übersicht &amp; Eingaben'!$C$12,173))</f>
        <v>51288</v>
      </c>
      <c r="C183" s="31" t="n">
        <f aca="false">IF($H$182&lt;=0,"",YEAR(B183))</f>
        <v>2040</v>
      </c>
      <c r="D183" s="32" t="n">
        <f aca="false">IF($H$182&lt;=0,0,MIN($H$182+($H$182*'Übersicht &amp; Eingaben'!$C$8/12),('Übersicht &amp; Eingaben'!$C$7*('Übersicht &amp; Eingaben'!$C$8+'Übersicht &amp; Eingaben'!$C$9)/12)))</f>
        <v>1312.5</v>
      </c>
      <c r="E183" s="32" t="n">
        <f aca="false">IF($H$182&lt;=0,0,($H$182*'Übersicht &amp; Eingaben'!$C$8/12))</f>
        <v>412.497221678377</v>
      </c>
      <c r="F183" s="32" t="n">
        <f aca="false">D183-E183</f>
        <v>900.002778321623</v>
      </c>
      <c r="G183" s="33" t="n">
        <f aca="false">IF($H$182&lt;=0,0,IF(MONTH(B183)=12,MIN('Übersicht &amp; Eingaben'!$C$13,$H$182-F183),0))</f>
        <v>0</v>
      </c>
      <c r="H183" s="34" t="n">
        <f aca="false">MAX($H$182-F183-G183,0)</f>
        <v>129362.277751692</v>
      </c>
    </row>
    <row r="184" customFormat="false" ht="18" hidden="false" customHeight="true" outlineLevel="0" collapsed="false">
      <c r="A184" s="23" t="n">
        <f aca="false">IF($H$183&lt;=0,"",175)</f>
        <v>175</v>
      </c>
      <c r="B184" s="24" t="n">
        <f aca="false">IF($H$183&lt;=0,"",EDATE('Übersicht &amp; Eingaben'!$C$12,174))</f>
        <v>51318</v>
      </c>
      <c r="C184" s="25" t="n">
        <f aca="false">IF($H$183&lt;=0,"",YEAR(B184))</f>
        <v>2040</v>
      </c>
      <c r="D184" s="26" t="n">
        <f aca="false">IF($H$183&lt;=0,0,MIN($H$183+($H$183*'Übersicht &amp; Eingaben'!$C$8/12),('Übersicht &amp; Eingaben'!$C$7*('Übersicht &amp; Eingaben'!$C$8+'Übersicht &amp; Eingaben'!$C$9)/12)))</f>
        <v>1312.5</v>
      </c>
      <c r="E184" s="26" t="n">
        <f aca="false">IF($H$183&lt;=0,0,($H$183*'Übersicht &amp; Eingaben'!$C$8/12))</f>
        <v>409.647212880358</v>
      </c>
      <c r="F184" s="26" t="n">
        <f aca="false">D184-E184</f>
        <v>902.852787119642</v>
      </c>
      <c r="G184" s="27" t="n">
        <f aca="false">IF($H$183&lt;=0,0,IF(MONTH(B184)=12,MIN('Übersicht &amp; Eingaben'!$C$13,$H$183-F184),0))</f>
        <v>0</v>
      </c>
      <c r="H184" s="28" t="n">
        <f aca="false">MAX($H$183-F184-G184,0)</f>
        <v>128459.424964572</v>
      </c>
    </row>
    <row r="185" customFormat="false" ht="18" hidden="false" customHeight="true" outlineLevel="0" collapsed="false">
      <c r="A185" s="29" t="n">
        <f aca="false">IF($H$184&lt;=0,"",176)</f>
        <v>176</v>
      </c>
      <c r="B185" s="30" t="n">
        <f aca="false">IF($H$184&lt;=0,"",EDATE('Übersicht &amp; Eingaben'!$C$12,175))</f>
        <v>51349</v>
      </c>
      <c r="C185" s="31" t="n">
        <f aca="false">IF($H$184&lt;=0,"",YEAR(B185))</f>
        <v>2040</v>
      </c>
      <c r="D185" s="32" t="n">
        <f aca="false">IF($H$184&lt;=0,0,MIN($H$184+($H$184*'Übersicht &amp; Eingaben'!$C$8/12),('Übersicht &amp; Eingaben'!$C$7*('Übersicht &amp; Eingaben'!$C$8+'Übersicht &amp; Eingaben'!$C$9)/12)))</f>
        <v>1312.5</v>
      </c>
      <c r="E185" s="32" t="n">
        <f aca="false">IF($H$184&lt;=0,0,($H$184*'Übersicht &amp; Eingaben'!$C$8/12))</f>
        <v>406.78817905448</v>
      </c>
      <c r="F185" s="32" t="n">
        <f aca="false">D185-E185</f>
        <v>905.711820945521</v>
      </c>
      <c r="G185" s="33" t="n">
        <f aca="false">IF($H$184&lt;=0,0,IF(MONTH(B185)=12,MIN('Übersicht &amp; Eingaben'!$C$13,$H$184-F185),0))</f>
        <v>0</v>
      </c>
      <c r="H185" s="34" t="n">
        <f aca="false">MAX($H$184-F185-G185,0)</f>
        <v>127553.713143627</v>
      </c>
    </row>
    <row r="186" customFormat="false" ht="18" hidden="false" customHeight="true" outlineLevel="0" collapsed="false">
      <c r="A186" s="23" t="n">
        <f aca="false">IF($H$185&lt;=0,"",177)</f>
        <v>177</v>
      </c>
      <c r="B186" s="24" t="n">
        <f aca="false">IF($H$185&lt;=0,"",EDATE('Übersicht &amp; Eingaben'!$C$12,176))</f>
        <v>51380</v>
      </c>
      <c r="C186" s="25" t="n">
        <f aca="false">IF($H$185&lt;=0,"",YEAR(B186))</f>
        <v>2040</v>
      </c>
      <c r="D186" s="26" t="n">
        <f aca="false">IF($H$185&lt;=0,0,MIN($H$185+($H$185*'Übersicht &amp; Eingaben'!$C$8/12),('Übersicht &amp; Eingaben'!$C$7*('Übersicht &amp; Eingaben'!$C$8+'Übersicht &amp; Eingaben'!$C$9)/12)))</f>
        <v>1312.5</v>
      </c>
      <c r="E186" s="26" t="n">
        <f aca="false">IF($H$185&lt;=0,0,($H$185*'Übersicht &amp; Eingaben'!$C$8/12))</f>
        <v>403.920091621485</v>
      </c>
      <c r="F186" s="26" t="n">
        <f aca="false">D186-E186</f>
        <v>908.579908378515</v>
      </c>
      <c r="G186" s="27" t="n">
        <f aca="false">IF($H$185&lt;=0,0,IF(MONTH(B186)=12,MIN('Übersicht &amp; Eingaben'!$C$13,$H$185-F186),0))</f>
        <v>0</v>
      </c>
      <c r="H186" s="28" t="n">
        <f aca="false">MAX($H$185-F186-G186,0)</f>
        <v>126645.133235248</v>
      </c>
    </row>
    <row r="187" customFormat="false" ht="18" hidden="false" customHeight="true" outlineLevel="0" collapsed="false">
      <c r="A187" s="29" t="n">
        <f aca="false">IF($H$186&lt;=0,"",178)</f>
        <v>178</v>
      </c>
      <c r="B187" s="30" t="n">
        <f aca="false">IF($H$186&lt;=0,"",EDATE('Übersicht &amp; Eingaben'!$C$12,177))</f>
        <v>51410</v>
      </c>
      <c r="C187" s="31" t="n">
        <f aca="false">IF($H$186&lt;=0,"",YEAR(B187))</f>
        <v>2040</v>
      </c>
      <c r="D187" s="32" t="n">
        <f aca="false">IF($H$186&lt;=0,0,MIN($H$186+($H$186*'Übersicht &amp; Eingaben'!$C$8/12),('Übersicht &amp; Eingaben'!$C$7*('Übersicht &amp; Eingaben'!$C$8+'Übersicht &amp; Eingaben'!$C$9)/12)))</f>
        <v>1312.5</v>
      </c>
      <c r="E187" s="32" t="n">
        <f aca="false">IF($H$186&lt;=0,0,($H$186*'Übersicht &amp; Eingaben'!$C$8/12))</f>
        <v>401.04292191162</v>
      </c>
      <c r="F187" s="32" t="n">
        <f aca="false">D187-E187</f>
        <v>911.45707808838</v>
      </c>
      <c r="G187" s="33" t="n">
        <f aca="false">IF($H$186&lt;=0,0,IF(MONTH(B187)=12,MIN('Übersicht &amp; Eingaben'!$C$13,$H$186-F187),0))</f>
        <v>0</v>
      </c>
      <c r="H187" s="34" t="n">
        <f aca="false">MAX($H$186-F187-G187,0)</f>
        <v>125733.67615716</v>
      </c>
    </row>
    <row r="188" customFormat="false" ht="18" hidden="false" customHeight="true" outlineLevel="0" collapsed="false">
      <c r="A188" s="23" t="n">
        <f aca="false">IF($H$187&lt;=0,"",179)</f>
        <v>179</v>
      </c>
      <c r="B188" s="24" t="n">
        <f aca="false">IF($H$187&lt;=0,"",EDATE('Übersicht &amp; Eingaben'!$C$12,178))</f>
        <v>51441</v>
      </c>
      <c r="C188" s="25" t="n">
        <f aca="false">IF($H$187&lt;=0,"",YEAR(B188))</f>
        <v>2040</v>
      </c>
      <c r="D188" s="26" t="n">
        <f aca="false">IF($H$187&lt;=0,0,MIN($H$187+($H$187*'Übersicht &amp; Eingaben'!$C$8/12),('Übersicht &amp; Eingaben'!$C$7*('Übersicht &amp; Eingaben'!$C$8+'Übersicht &amp; Eingaben'!$C$9)/12)))</f>
        <v>1312.5</v>
      </c>
      <c r="E188" s="26" t="n">
        <f aca="false">IF($H$187&lt;=0,0,($H$187*'Übersicht &amp; Eingaben'!$C$8/12))</f>
        <v>398.15664116434</v>
      </c>
      <c r="F188" s="26" t="n">
        <f aca="false">D188-E188</f>
        <v>914.34335883566</v>
      </c>
      <c r="G188" s="27" t="n">
        <f aca="false">IF($H$187&lt;=0,0,IF(MONTH(B188)=12,MIN('Übersicht &amp; Eingaben'!$C$13,$H$187-F188),0))</f>
        <v>0</v>
      </c>
      <c r="H188" s="28" t="n">
        <f aca="false">MAX($H$187-F188-G188,0)</f>
        <v>124819.332798324</v>
      </c>
    </row>
    <row r="189" customFormat="false" ht="18" hidden="false" customHeight="true" outlineLevel="0" collapsed="false">
      <c r="A189" s="29" t="n">
        <f aca="false">IF($H$188&lt;=0,"",180)</f>
        <v>180</v>
      </c>
      <c r="B189" s="30" t="n">
        <f aca="false">IF($H$188&lt;=0,"",EDATE('Übersicht &amp; Eingaben'!$C$12,179))</f>
        <v>51471</v>
      </c>
      <c r="C189" s="31" t="n">
        <f aca="false">IF($H$188&lt;=0,"",YEAR(B189))</f>
        <v>2040</v>
      </c>
      <c r="D189" s="32" t="n">
        <f aca="false">IF($H$188&lt;=0,0,MIN($H$188+($H$188*'Übersicht &amp; Eingaben'!$C$8/12),('Übersicht &amp; Eingaben'!$C$7*('Übersicht &amp; Eingaben'!$C$8+'Übersicht &amp; Eingaben'!$C$9)/12)))</f>
        <v>1312.5</v>
      </c>
      <c r="E189" s="32" t="n">
        <f aca="false">IF($H$188&lt;=0,0,($H$188*'Übersicht &amp; Eingaben'!$C$8/12))</f>
        <v>395.261220528027</v>
      </c>
      <c r="F189" s="32" t="n">
        <f aca="false">D189-E189</f>
        <v>917.238779471973</v>
      </c>
      <c r="G189" s="33" t="n">
        <f aca="false">IF($H$188&lt;=0,0,IF(MONTH(B189)=12,MIN('Übersicht &amp; Eingaben'!$C$13,$H$188-F189),0))</f>
        <v>0</v>
      </c>
      <c r="H189" s="34" t="n">
        <f aca="false">MAX($H$188-F189-G189,0)</f>
        <v>123902.094018852</v>
      </c>
    </row>
    <row r="190" customFormat="false" ht="18" hidden="false" customHeight="true" outlineLevel="0" collapsed="false">
      <c r="A190" s="23" t="n">
        <f aca="false">IF($H$189&lt;=0,"",181)</f>
        <v>181</v>
      </c>
      <c r="B190" s="24" t="n">
        <f aca="false">IF($H$189&lt;=0,"",EDATE('Übersicht &amp; Eingaben'!$C$12,180))</f>
        <v>51502</v>
      </c>
      <c r="C190" s="25" t="n">
        <f aca="false">IF($H$189&lt;=0,"",YEAR(B190))</f>
        <v>2041</v>
      </c>
      <c r="D190" s="26" t="n">
        <f aca="false">IF($H$189&lt;=0,0,MIN($H$189+($H$189*'Übersicht &amp; Eingaben'!$C$8/12),('Übersicht &amp; Eingaben'!$C$7*('Übersicht &amp; Eingaben'!$C$8+'Übersicht &amp; Eingaben'!$C$9)/12)))</f>
        <v>1312.5</v>
      </c>
      <c r="E190" s="26" t="n">
        <f aca="false">IF($H$189&lt;=0,0,($H$189*'Übersicht &amp; Eingaben'!$C$8/12))</f>
        <v>392.356631059699</v>
      </c>
      <c r="F190" s="26" t="n">
        <f aca="false">D190-E190</f>
        <v>920.143368940301</v>
      </c>
      <c r="G190" s="27" t="n">
        <f aca="false">IF($H$189&lt;=0,0,IF(MONTH(B190)=12,MIN('Übersicht &amp; Eingaben'!$C$13,$H$189-F190),0))</f>
        <v>0</v>
      </c>
      <c r="H190" s="28" t="n">
        <f aca="false">MAX($H$189-F190-G190,0)</f>
        <v>122981.950649912</v>
      </c>
    </row>
    <row r="191" customFormat="false" ht="18" hidden="false" customHeight="true" outlineLevel="0" collapsed="false">
      <c r="A191" s="29" t="n">
        <f aca="false">IF($H$190&lt;=0,"",182)</f>
        <v>182</v>
      </c>
      <c r="B191" s="30" t="n">
        <f aca="false">IF($H$190&lt;=0,"",EDATE('Übersicht &amp; Eingaben'!$C$12,181))</f>
        <v>51533</v>
      </c>
      <c r="C191" s="31" t="n">
        <f aca="false">IF($H$190&lt;=0,"",YEAR(B191))</f>
        <v>2041</v>
      </c>
      <c r="D191" s="32" t="n">
        <f aca="false">IF($H$190&lt;=0,0,MIN($H$190+($H$190*'Übersicht &amp; Eingaben'!$C$8/12),('Übersicht &amp; Eingaben'!$C$7*('Übersicht &amp; Eingaben'!$C$8+'Übersicht &amp; Eingaben'!$C$9)/12)))</f>
        <v>1312.5</v>
      </c>
      <c r="E191" s="32" t="n">
        <f aca="false">IF($H$190&lt;=0,0,($H$190*'Übersicht &amp; Eingaben'!$C$8/12))</f>
        <v>389.442843724722</v>
      </c>
      <c r="F191" s="32" t="n">
        <f aca="false">D191-E191</f>
        <v>923.057156275278</v>
      </c>
      <c r="G191" s="33" t="n">
        <f aca="false">IF($H$190&lt;=0,0,IF(MONTH(B191)=12,MIN('Übersicht &amp; Eingaben'!$C$13,$H$190-F191),0))</f>
        <v>0</v>
      </c>
      <c r="H191" s="34" t="n">
        <f aca="false">MAX($H$190-F191-G191,0)</f>
        <v>122058.893493637</v>
      </c>
    </row>
    <row r="192" customFormat="false" ht="18" hidden="false" customHeight="true" outlineLevel="0" collapsed="false">
      <c r="A192" s="23" t="n">
        <f aca="false">IF($H$191&lt;=0,"",183)</f>
        <v>183</v>
      </c>
      <c r="B192" s="24" t="n">
        <f aca="false">IF($H$191&lt;=0,"",EDATE('Übersicht &amp; Eingaben'!$C$12,182))</f>
        <v>51561</v>
      </c>
      <c r="C192" s="25" t="n">
        <f aca="false">IF($H$191&lt;=0,"",YEAR(B192))</f>
        <v>2041</v>
      </c>
      <c r="D192" s="26" t="n">
        <f aca="false">IF($H$191&lt;=0,0,MIN($H$191+($H$191*'Übersicht &amp; Eingaben'!$C$8/12),('Übersicht &amp; Eingaben'!$C$7*('Übersicht &amp; Eingaben'!$C$8+'Übersicht &amp; Eingaben'!$C$9)/12)))</f>
        <v>1312.5</v>
      </c>
      <c r="E192" s="26" t="n">
        <f aca="false">IF($H$191&lt;=0,0,($H$191*'Übersicht &amp; Eingaben'!$C$8/12))</f>
        <v>386.519829396517</v>
      </c>
      <c r="F192" s="26" t="n">
        <f aca="false">D192-E192</f>
        <v>925.980170603483</v>
      </c>
      <c r="G192" s="27" t="n">
        <f aca="false">IF($H$191&lt;=0,0,IF(MONTH(B192)=12,MIN('Übersicht &amp; Eingaben'!$C$13,$H$191-F192),0))</f>
        <v>0</v>
      </c>
      <c r="H192" s="28" t="n">
        <f aca="false">MAX($H$191-F192-G192,0)</f>
        <v>121132.913323033</v>
      </c>
    </row>
    <row r="193" customFormat="false" ht="18" hidden="false" customHeight="true" outlineLevel="0" collapsed="false">
      <c r="A193" s="29" t="n">
        <f aca="false">IF($H$192&lt;=0,"",184)</f>
        <v>184</v>
      </c>
      <c r="B193" s="30" t="n">
        <f aca="false">IF($H$192&lt;=0,"",EDATE('Übersicht &amp; Eingaben'!$C$12,183))</f>
        <v>51592</v>
      </c>
      <c r="C193" s="31" t="n">
        <f aca="false">IF($H$192&lt;=0,"",YEAR(B193))</f>
        <v>2041</v>
      </c>
      <c r="D193" s="32" t="n">
        <f aca="false">IF($H$192&lt;=0,0,MIN($H$192+($H$192*'Übersicht &amp; Eingaben'!$C$8/12),('Übersicht &amp; Eingaben'!$C$7*('Übersicht &amp; Eingaben'!$C$8+'Übersicht &amp; Eingaben'!$C$9)/12)))</f>
        <v>1312.5</v>
      </c>
      <c r="E193" s="32" t="n">
        <f aca="false">IF($H$192&lt;=0,0,($H$192*'Übersicht &amp; Eingaben'!$C$8/12))</f>
        <v>383.587558856272</v>
      </c>
      <c r="F193" s="32" t="n">
        <f aca="false">D193-E193</f>
        <v>928.912441143728</v>
      </c>
      <c r="G193" s="33" t="n">
        <f aca="false">IF($H$192&lt;=0,0,IF(MONTH(B193)=12,MIN('Übersicht &amp; Eingaben'!$C$13,$H$192-F193),0))</f>
        <v>0</v>
      </c>
      <c r="H193" s="34" t="n">
        <f aca="false">MAX($H$192-F193-G193,0)</f>
        <v>120204.00088189</v>
      </c>
    </row>
    <row r="194" customFormat="false" ht="18" hidden="false" customHeight="true" outlineLevel="0" collapsed="false">
      <c r="A194" s="23" t="n">
        <f aca="false">IF($H$193&lt;=0,"",185)</f>
        <v>185</v>
      </c>
      <c r="B194" s="24" t="n">
        <f aca="false">IF($H$193&lt;=0,"",EDATE('Übersicht &amp; Eingaben'!$C$12,184))</f>
        <v>51622</v>
      </c>
      <c r="C194" s="25" t="n">
        <f aca="false">IF($H$193&lt;=0,"",YEAR(B194))</f>
        <v>2041</v>
      </c>
      <c r="D194" s="26" t="n">
        <f aca="false">IF($H$193&lt;=0,0,MIN($H$193+($H$193*'Übersicht &amp; Eingaben'!$C$8/12),('Übersicht &amp; Eingaben'!$C$7*('Übersicht &amp; Eingaben'!$C$8+'Übersicht &amp; Eingaben'!$C$9)/12)))</f>
        <v>1312.5</v>
      </c>
      <c r="E194" s="26" t="n">
        <f aca="false">IF($H$193&lt;=0,0,($H$193*'Übersicht &amp; Eingaben'!$C$8/12))</f>
        <v>380.646002792651</v>
      </c>
      <c r="F194" s="26" t="n">
        <f aca="false">D194-E194</f>
        <v>931.853997207349</v>
      </c>
      <c r="G194" s="27" t="n">
        <f aca="false">IF($H$193&lt;=0,0,IF(MONTH(B194)=12,MIN('Übersicht &amp; Eingaben'!$C$13,$H$193-F194),0))</f>
        <v>0</v>
      </c>
      <c r="H194" s="28" t="n">
        <f aca="false">MAX($H$193-F194-G194,0)</f>
        <v>119272.146884682</v>
      </c>
    </row>
    <row r="195" customFormat="false" ht="18" hidden="false" customHeight="true" outlineLevel="0" collapsed="false">
      <c r="A195" s="29" t="n">
        <f aca="false">IF($H$194&lt;=0,"",186)</f>
        <v>186</v>
      </c>
      <c r="B195" s="30" t="n">
        <f aca="false">IF($H$194&lt;=0,"",EDATE('Übersicht &amp; Eingaben'!$C$12,185))</f>
        <v>51653</v>
      </c>
      <c r="C195" s="31" t="n">
        <f aca="false">IF($H$194&lt;=0,"",YEAR(B195))</f>
        <v>2041</v>
      </c>
      <c r="D195" s="32" t="n">
        <f aca="false">IF($H$194&lt;=0,0,MIN($H$194+($H$194*'Übersicht &amp; Eingaben'!$C$8/12),('Übersicht &amp; Eingaben'!$C$7*('Übersicht &amp; Eingaben'!$C$8+'Übersicht &amp; Eingaben'!$C$9)/12)))</f>
        <v>1312.5</v>
      </c>
      <c r="E195" s="32" t="n">
        <f aca="false">IF($H$194&lt;=0,0,($H$194*'Übersicht &amp; Eingaben'!$C$8/12))</f>
        <v>377.695131801494</v>
      </c>
      <c r="F195" s="32" t="n">
        <f aca="false">D195-E195</f>
        <v>934.804868198506</v>
      </c>
      <c r="G195" s="33" t="n">
        <f aca="false">IF($H$194&lt;=0,0,IF(MONTH(B195)=12,MIN('Übersicht &amp; Eingaben'!$C$13,$H$194-F195),0))</f>
        <v>0</v>
      </c>
      <c r="H195" s="34" t="n">
        <f aca="false">MAX($H$194-F195-G195,0)</f>
        <v>118337.342016484</v>
      </c>
    </row>
    <row r="196" customFormat="false" ht="18" hidden="false" customHeight="true" outlineLevel="0" collapsed="false">
      <c r="A196" s="23" t="n">
        <f aca="false">IF($H$195&lt;=0,"",187)</f>
        <v>187</v>
      </c>
      <c r="B196" s="24" t="n">
        <f aca="false">IF($H$195&lt;=0,"",EDATE('Übersicht &amp; Eingaben'!$C$12,186))</f>
        <v>51683</v>
      </c>
      <c r="C196" s="25" t="n">
        <f aca="false">IF($H$195&lt;=0,"",YEAR(B196))</f>
        <v>2041</v>
      </c>
      <c r="D196" s="26" t="n">
        <f aca="false">IF($H$195&lt;=0,0,MIN($H$195+($H$195*'Übersicht &amp; Eingaben'!$C$8/12),('Übersicht &amp; Eingaben'!$C$7*('Übersicht &amp; Eingaben'!$C$8+'Übersicht &amp; Eingaben'!$C$9)/12)))</f>
        <v>1312.5</v>
      </c>
      <c r="E196" s="26" t="n">
        <f aca="false">IF($H$195&lt;=0,0,($H$195*'Übersicht &amp; Eingaben'!$C$8/12))</f>
        <v>374.734916385532</v>
      </c>
      <c r="F196" s="26" t="n">
        <f aca="false">D196-E196</f>
        <v>937.765083614468</v>
      </c>
      <c r="G196" s="27" t="n">
        <f aca="false">IF($H$195&lt;=0,0,IF(MONTH(B196)=12,MIN('Übersicht &amp; Eingaben'!$C$13,$H$195-F196),0))</f>
        <v>0</v>
      </c>
      <c r="H196" s="28" t="n">
        <f aca="false">MAX($H$195-F196-G196,0)</f>
        <v>117399.576932869</v>
      </c>
    </row>
    <row r="197" customFormat="false" ht="18" hidden="false" customHeight="true" outlineLevel="0" collapsed="false">
      <c r="A197" s="29" t="n">
        <f aca="false">IF($H$196&lt;=0,"",188)</f>
        <v>188</v>
      </c>
      <c r="B197" s="30" t="n">
        <f aca="false">IF($H$196&lt;=0,"",EDATE('Übersicht &amp; Eingaben'!$C$12,187))</f>
        <v>51714</v>
      </c>
      <c r="C197" s="31" t="n">
        <f aca="false">IF($H$196&lt;=0,"",YEAR(B197))</f>
        <v>2041</v>
      </c>
      <c r="D197" s="32" t="n">
        <f aca="false">IF($H$196&lt;=0,0,MIN($H$196+($H$196*'Übersicht &amp; Eingaben'!$C$8/12),('Übersicht &amp; Eingaben'!$C$7*('Übersicht &amp; Eingaben'!$C$8+'Übersicht &amp; Eingaben'!$C$9)/12)))</f>
        <v>1312.5</v>
      </c>
      <c r="E197" s="32" t="n">
        <f aca="false">IF($H$196&lt;=0,0,($H$196*'Übersicht &amp; Eingaben'!$C$8/12))</f>
        <v>371.765326954086</v>
      </c>
      <c r="F197" s="32" t="n">
        <f aca="false">D197-E197</f>
        <v>940.734673045914</v>
      </c>
      <c r="G197" s="33" t="n">
        <f aca="false">IF($H$196&lt;=0,0,IF(MONTH(B197)=12,MIN('Übersicht &amp; Eingaben'!$C$13,$H$196-F197),0))</f>
        <v>0</v>
      </c>
      <c r="H197" s="34" t="n">
        <f aca="false">MAX($H$196-F197-G197,0)</f>
        <v>116458.842259823</v>
      </c>
    </row>
    <row r="198" customFormat="false" ht="18" hidden="false" customHeight="true" outlineLevel="0" collapsed="false">
      <c r="A198" s="23" t="n">
        <f aca="false">IF($H$197&lt;=0,"",189)</f>
        <v>189</v>
      </c>
      <c r="B198" s="24" t="n">
        <f aca="false">IF($H$197&lt;=0,"",EDATE('Übersicht &amp; Eingaben'!$C$12,188))</f>
        <v>51745</v>
      </c>
      <c r="C198" s="25" t="n">
        <f aca="false">IF($H$197&lt;=0,"",YEAR(B198))</f>
        <v>2041</v>
      </c>
      <c r="D198" s="26" t="n">
        <f aca="false">IF($H$197&lt;=0,0,MIN($H$197+($H$197*'Übersicht &amp; Eingaben'!$C$8/12),('Übersicht &amp; Eingaben'!$C$7*('Übersicht &amp; Eingaben'!$C$8+'Übersicht &amp; Eingaben'!$C$9)/12)))</f>
        <v>1312.5</v>
      </c>
      <c r="E198" s="26" t="n">
        <f aca="false">IF($H$197&lt;=0,0,($H$197*'Übersicht &amp; Eingaben'!$C$8/12))</f>
        <v>368.786333822774</v>
      </c>
      <c r="F198" s="26" t="n">
        <f aca="false">D198-E198</f>
        <v>943.713666177226</v>
      </c>
      <c r="G198" s="27" t="n">
        <f aca="false">IF($H$197&lt;=0,0,IF(MONTH(B198)=12,MIN('Übersicht &amp; Eingaben'!$C$13,$H$197-F198),0))</f>
        <v>0</v>
      </c>
      <c r="H198" s="28" t="n">
        <f aca="false">MAX($H$197-F198-G198,0)</f>
        <v>115515.128593646</v>
      </c>
    </row>
    <row r="199" customFormat="false" ht="18" hidden="false" customHeight="true" outlineLevel="0" collapsed="false">
      <c r="A199" s="29" t="n">
        <f aca="false">IF($H$198&lt;=0,"",190)</f>
        <v>190</v>
      </c>
      <c r="B199" s="30" t="n">
        <f aca="false">IF($H$198&lt;=0,"",EDATE('Übersicht &amp; Eingaben'!$C$12,189))</f>
        <v>51775</v>
      </c>
      <c r="C199" s="31" t="n">
        <f aca="false">IF($H$198&lt;=0,"",YEAR(B199))</f>
        <v>2041</v>
      </c>
      <c r="D199" s="32" t="n">
        <f aca="false">IF($H$198&lt;=0,0,MIN($H$198+($H$198*'Übersicht &amp; Eingaben'!$C$8/12),('Übersicht &amp; Eingaben'!$C$7*('Übersicht &amp; Eingaben'!$C$8+'Übersicht &amp; Eingaben'!$C$9)/12)))</f>
        <v>1312.5</v>
      </c>
      <c r="E199" s="32" t="n">
        <f aca="false">IF($H$198&lt;=0,0,($H$198*'Übersicht &amp; Eingaben'!$C$8/12))</f>
        <v>365.797907213213</v>
      </c>
      <c r="F199" s="32" t="n">
        <f aca="false">D199-E199</f>
        <v>946.702092786787</v>
      </c>
      <c r="G199" s="33" t="n">
        <f aca="false">IF($H$198&lt;=0,0,IF(MONTH(B199)=12,MIN('Übersicht &amp; Eingaben'!$C$13,$H$198-F199),0))</f>
        <v>0</v>
      </c>
      <c r="H199" s="34" t="n">
        <f aca="false">MAX($H$198-F199-G199,0)</f>
        <v>114568.426500859</v>
      </c>
    </row>
    <row r="200" customFormat="false" ht="18" hidden="false" customHeight="true" outlineLevel="0" collapsed="false">
      <c r="A200" s="23" t="n">
        <f aca="false">IF($H$199&lt;=0,"",191)</f>
        <v>191</v>
      </c>
      <c r="B200" s="24" t="n">
        <f aca="false">IF($H$199&lt;=0,"",EDATE('Übersicht &amp; Eingaben'!$C$12,190))</f>
        <v>51806</v>
      </c>
      <c r="C200" s="25" t="n">
        <f aca="false">IF($H$199&lt;=0,"",YEAR(B200))</f>
        <v>2041</v>
      </c>
      <c r="D200" s="26" t="n">
        <f aca="false">IF($H$199&lt;=0,0,MIN($H$199+($H$199*'Übersicht &amp; Eingaben'!$C$8/12),('Übersicht &amp; Eingaben'!$C$7*('Übersicht &amp; Eingaben'!$C$8+'Übersicht &amp; Eingaben'!$C$9)/12)))</f>
        <v>1312.5</v>
      </c>
      <c r="E200" s="26" t="n">
        <f aca="false">IF($H$199&lt;=0,0,($H$199*'Übersicht &amp; Eingaben'!$C$8/12))</f>
        <v>362.800017252722</v>
      </c>
      <c r="F200" s="26" t="n">
        <f aca="false">D200-E200</f>
        <v>949.699982747279</v>
      </c>
      <c r="G200" s="27" t="n">
        <f aca="false">IF($H$199&lt;=0,0,IF(MONTH(B200)=12,MIN('Übersicht &amp; Eingaben'!$C$13,$H$199-F200),0))</f>
        <v>0</v>
      </c>
      <c r="H200" s="28" t="n">
        <f aca="false">MAX($H$199-F200-G200,0)</f>
        <v>113618.726518112</v>
      </c>
    </row>
    <row r="201" customFormat="false" ht="18" hidden="false" customHeight="true" outlineLevel="0" collapsed="false">
      <c r="A201" s="29" t="n">
        <f aca="false">IF($H$200&lt;=0,"",192)</f>
        <v>192</v>
      </c>
      <c r="B201" s="30" t="n">
        <f aca="false">IF($H$200&lt;=0,"",EDATE('Übersicht &amp; Eingaben'!$C$12,191))</f>
        <v>51836</v>
      </c>
      <c r="C201" s="31" t="n">
        <f aca="false">IF($H$200&lt;=0,"",YEAR(B201))</f>
        <v>2041</v>
      </c>
      <c r="D201" s="32" t="n">
        <f aca="false">IF($H$200&lt;=0,0,MIN($H$200+($H$200*'Übersicht &amp; Eingaben'!$C$8/12),('Übersicht &amp; Eingaben'!$C$7*('Übersicht &amp; Eingaben'!$C$8+'Übersicht &amp; Eingaben'!$C$9)/12)))</f>
        <v>1312.5</v>
      </c>
      <c r="E201" s="32" t="n">
        <f aca="false">IF($H$200&lt;=0,0,($H$200*'Übersicht &amp; Eingaben'!$C$8/12))</f>
        <v>359.792633974022</v>
      </c>
      <c r="F201" s="32" t="n">
        <f aca="false">D201-E201</f>
        <v>952.707366025978</v>
      </c>
      <c r="G201" s="33" t="n">
        <f aca="false">IF($H$200&lt;=0,0,IF(MONTH(B201)=12,MIN('Übersicht &amp; Eingaben'!$C$13,$H$200-F201),0))</f>
        <v>0</v>
      </c>
      <c r="H201" s="34" t="n">
        <f aca="false">MAX($H$200-F201-G201,0)</f>
        <v>112666.019152086</v>
      </c>
    </row>
    <row r="202" customFormat="false" ht="18" hidden="false" customHeight="true" outlineLevel="0" collapsed="false">
      <c r="A202" s="23" t="n">
        <f aca="false">IF($H$201&lt;=0,"",193)</f>
        <v>193</v>
      </c>
      <c r="B202" s="24" t="n">
        <f aca="false">IF($H$201&lt;=0,"",EDATE('Übersicht &amp; Eingaben'!$C$12,192))</f>
        <v>51867</v>
      </c>
      <c r="C202" s="25" t="n">
        <f aca="false">IF($H$201&lt;=0,"",YEAR(B202))</f>
        <v>2042</v>
      </c>
      <c r="D202" s="26" t="n">
        <f aca="false">IF($H$201&lt;=0,0,MIN($H$201+($H$201*'Übersicht &amp; Eingaben'!$C$8/12),('Übersicht &amp; Eingaben'!$C$7*('Übersicht &amp; Eingaben'!$C$8+'Übersicht &amp; Eingaben'!$C$9)/12)))</f>
        <v>1312.5</v>
      </c>
      <c r="E202" s="26" t="n">
        <f aca="false">IF($H$201&lt;=0,0,($H$201*'Übersicht &amp; Eingaben'!$C$8/12))</f>
        <v>356.77572731494</v>
      </c>
      <c r="F202" s="26" t="n">
        <f aca="false">D202-E202</f>
        <v>955.72427268506</v>
      </c>
      <c r="G202" s="27" t="n">
        <f aca="false">IF($H$201&lt;=0,0,IF(MONTH(B202)=12,MIN('Übersicht &amp; Eingaben'!$C$13,$H$201-F202),0))</f>
        <v>0</v>
      </c>
      <c r="H202" s="28" t="n">
        <f aca="false">MAX($H$201-F202-G202,0)</f>
        <v>111710.294879401</v>
      </c>
    </row>
    <row r="203" customFormat="false" ht="18" hidden="false" customHeight="true" outlineLevel="0" collapsed="false">
      <c r="A203" s="29" t="n">
        <f aca="false">IF($H$202&lt;=0,"",194)</f>
        <v>194</v>
      </c>
      <c r="B203" s="30" t="n">
        <f aca="false">IF($H$202&lt;=0,"",EDATE('Übersicht &amp; Eingaben'!$C$12,193))</f>
        <v>51898</v>
      </c>
      <c r="C203" s="31" t="n">
        <f aca="false">IF($H$202&lt;=0,"",YEAR(B203))</f>
        <v>2042</v>
      </c>
      <c r="D203" s="32" t="n">
        <f aca="false">IF($H$202&lt;=0,0,MIN($H$202+($H$202*'Übersicht &amp; Eingaben'!$C$8/12),('Übersicht &amp; Eingaben'!$C$7*('Übersicht &amp; Eingaben'!$C$8+'Übersicht &amp; Eingaben'!$C$9)/12)))</f>
        <v>1312.5</v>
      </c>
      <c r="E203" s="32" t="n">
        <f aca="false">IF($H$202&lt;=0,0,($H$202*'Übersicht &amp; Eingaben'!$C$8/12))</f>
        <v>353.749267118104</v>
      </c>
      <c r="F203" s="32" t="n">
        <f aca="false">D203-E203</f>
        <v>958.750732881897</v>
      </c>
      <c r="G203" s="33" t="n">
        <f aca="false">IF($H$202&lt;=0,0,IF(MONTH(B203)=12,MIN('Übersicht &amp; Eingaben'!$C$13,$H$202-F203),0))</f>
        <v>0</v>
      </c>
      <c r="H203" s="34" t="n">
        <f aca="false">MAX($H$202-F203-G203,0)</f>
        <v>110751.544146519</v>
      </c>
    </row>
    <row r="204" customFormat="false" ht="18" hidden="false" customHeight="true" outlineLevel="0" collapsed="false">
      <c r="A204" s="23" t="n">
        <f aca="false">IF($H$203&lt;=0,"",195)</f>
        <v>195</v>
      </c>
      <c r="B204" s="24" t="n">
        <f aca="false">IF($H$203&lt;=0,"",EDATE('Übersicht &amp; Eingaben'!$C$12,194))</f>
        <v>51926</v>
      </c>
      <c r="C204" s="25" t="n">
        <f aca="false">IF($H$203&lt;=0,"",YEAR(B204))</f>
        <v>2042</v>
      </c>
      <c r="D204" s="26" t="n">
        <f aca="false">IF($H$203&lt;=0,0,MIN($H$203+($H$203*'Übersicht &amp; Eingaben'!$C$8/12),('Übersicht &amp; Eingaben'!$C$7*('Übersicht &amp; Eingaben'!$C$8+'Übersicht &amp; Eingaben'!$C$9)/12)))</f>
        <v>1312.5</v>
      </c>
      <c r="E204" s="26" t="n">
        <f aca="false">IF($H$203&lt;=0,0,($H$203*'Übersicht &amp; Eingaben'!$C$8/12))</f>
        <v>350.713223130644</v>
      </c>
      <c r="F204" s="26" t="n">
        <f aca="false">D204-E204</f>
        <v>961.786776869356</v>
      </c>
      <c r="G204" s="27" t="n">
        <f aca="false">IF($H$203&lt;=0,0,IF(MONTH(B204)=12,MIN('Übersicht &amp; Eingaben'!$C$13,$H$203-F204),0))</f>
        <v>0</v>
      </c>
      <c r="H204" s="28" t="n">
        <f aca="false">MAX($H$203-F204-G204,0)</f>
        <v>109789.75736965</v>
      </c>
    </row>
    <row r="205" customFormat="false" ht="18" hidden="false" customHeight="true" outlineLevel="0" collapsed="false">
      <c r="A205" s="29" t="n">
        <f aca="false">IF($H$204&lt;=0,"",196)</f>
        <v>196</v>
      </c>
      <c r="B205" s="30" t="n">
        <f aca="false">IF($H$204&lt;=0,"",EDATE('Übersicht &amp; Eingaben'!$C$12,195))</f>
        <v>51957</v>
      </c>
      <c r="C205" s="31" t="n">
        <f aca="false">IF($H$204&lt;=0,"",YEAR(B205))</f>
        <v>2042</v>
      </c>
      <c r="D205" s="32" t="n">
        <f aca="false">IF($H$204&lt;=0,0,MIN($H$204+($H$204*'Übersicht &amp; Eingaben'!$C$8/12),('Übersicht &amp; Eingaben'!$C$7*('Übersicht &amp; Eingaben'!$C$8+'Übersicht &amp; Eingaben'!$C$9)/12)))</f>
        <v>1312.5</v>
      </c>
      <c r="E205" s="32" t="n">
        <f aca="false">IF($H$204&lt;=0,0,($H$204*'Übersicht &amp; Eingaben'!$C$8/12))</f>
        <v>347.667565003891</v>
      </c>
      <c r="F205" s="32" t="n">
        <f aca="false">D205-E205</f>
        <v>964.832434996109</v>
      </c>
      <c r="G205" s="33" t="n">
        <f aca="false">IF($H$204&lt;=0,0,IF(MONTH(B205)=12,MIN('Übersicht &amp; Eingaben'!$C$13,$H$204-F205),0))</f>
        <v>0</v>
      </c>
      <c r="H205" s="34" t="n">
        <f aca="false">MAX($H$204-F205-G205,0)</f>
        <v>108824.924934654</v>
      </c>
    </row>
    <row r="206" customFormat="false" ht="18" hidden="false" customHeight="true" outlineLevel="0" collapsed="false">
      <c r="A206" s="23" t="n">
        <f aca="false">IF($H$205&lt;=0,"",197)</f>
        <v>197</v>
      </c>
      <c r="B206" s="24" t="n">
        <f aca="false">IF($H$205&lt;=0,"",EDATE('Übersicht &amp; Eingaben'!$C$12,196))</f>
        <v>51987</v>
      </c>
      <c r="C206" s="25" t="n">
        <f aca="false">IF($H$205&lt;=0,"",YEAR(B206))</f>
        <v>2042</v>
      </c>
      <c r="D206" s="26" t="n">
        <f aca="false">IF($H$205&lt;=0,0,MIN($H$205+($H$205*'Übersicht &amp; Eingaben'!$C$8/12),('Übersicht &amp; Eingaben'!$C$7*('Übersicht &amp; Eingaben'!$C$8+'Übersicht &amp; Eingaben'!$C$9)/12)))</f>
        <v>1312.5</v>
      </c>
      <c r="E206" s="26" t="n">
        <f aca="false">IF($H$205&lt;=0,0,($H$205*'Übersicht &amp; Eingaben'!$C$8/12))</f>
        <v>344.61226229307</v>
      </c>
      <c r="F206" s="26" t="n">
        <f aca="false">D206-E206</f>
        <v>967.88773770693</v>
      </c>
      <c r="G206" s="27" t="n">
        <f aca="false">IF($H$205&lt;=0,0,IF(MONTH(B206)=12,MIN('Übersicht &amp; Eingaben'!$C$13,$H$205-F206),0))</f>
        <v>0</v>
      </c>
      <c r="H206" s="28" t="n">
        <f aca="false">MAX($H$205-F206-G206,0)</f>
        <v>107857.037196947</v>
      </c>
    </row>
    <row r="207" customFormat="false" ht="18" hidden="false" customHeight="true" outlineLevel="0" collapsed="false">
      <c r="A207" s="29" t="n">
        <f aca="false">IF($H$206&lt;=0,"",198)</f>
        <v>198</v>
      </c>
      <c r="B207" s="30" t="n">
        <f aca="false">IF($H$206&lt;=0,"",EDATE('Übersicht &amp; Eingaben'!$C$12,197))</f>
        <v>52018</v>
      </c>
      <c r="C207" s="31" t="n">
        <f aca="false">IF($H$206&lt;=0,"",YEAR(B207))</f>
        <v>2042</v>
      </c>
      <c r="D207" s="32" t="n">
        <f aca="false">IF($H$206&lt;=0,0,MIN($H$206+($H$206*'Übersicht &amp; Eingaben'!$C$8/12),('Übersicht &amp; Eingaben'!$C$7*('Übersicht &amp; Eingaben'!$C$8+'Übersicht &amp; Eingaben'!$C$9)/12)))</f>
        <v>1312.5</v>
      </c>
      <c r="E207" s="32" t="n">
        <f aca="false">IF($H$206&lt;=0,0,($H$206*'Übersicht &amp; Eingaben'!$C$8/12))</f>
        <v>341.547284456998</v>
      </c>
      <c r="F207" s="32" t="n">
        <f aca="false">D207-E207</f>
        <v>970.952715543002</v>
      </c>
      <c r="G207" s="33" t="n">
        <f aca="false">IF($H$206&lt;=0,0,IF(MONTH(B207)=12,MIN('Übersicht &amp; Eingaben'!$C$13,$H$206-F207),0))</f>
        <v>0</v>
      </c>
      <c r="H207" s="34" t="n">
        <f aca="false">MAX($H$206-F207-G207,0)</f>
        <v>106886.084481404</v>
      </c>
    </row>
    <row r="208" customFormat="false" ht="18" hidden="false" customHeight="true" outlineLevel="0" collapsed="false">
      <c r="A208" s="23" t="n">
        <f aca="false">IF($H$207&lt;=0,"",199)</f>
        <v>199</v>
      </c>
      <c r="B208" s="24" t="n">
        <f aca="false">IF($H$207&lt;=0,"",EDATE('Übersicht &amp; Eingaben'!$C$12,198))</f>
        <v>52048</v>
      </c>
      <c r="C208" s="25" t="n">
        <f aca="false">IF($H$207&lt;=0,"",YEAR(B208))</f>
        <v>2042</v>
      </c>
      <c r="D208" s="26" t="n">
        <f aca="false">IF($H$207&lt;=0,0,MIN($H$207+($H$207*'Übersicht &amp; Eingaben'!$C$8/12),('Übersicht &amp; Eingaben'!$C$7*('Übersicht &amp; Eingaben'!$C$8+'Übersicht &amp; Eingaben'!$C$9)/12)))</f>
        <v>1312.5</v>
      </c>
      <c r="E208" s="26" t="n">
        <f aca="false">IF($H$207&lt;=0,0,($H$207*'Übersicht &amp; Eingaben'!$C$8/12))</f>
        <v>338.472600857779</v>
      </c>
      <c r="F208" s="26" t="n">
        <f aca="false">D208-E208</f>
        <v>974.027399142221</v>
      </c>
      <c r="G208" s="27" t="n">
        <f aca="false">IF($H$207&lt;=0,0,IF(MONTH(B208)=12,MIN('Übersicht &amp; Eingaben'!$C$13,$H$207-F208),0))</f>
        <v>0</v>
      </c>
      <c r="H208" s="28" t="n">
        <f aca="false">MAX($H$207-F208-G208,0)</f>
        <v>105912.057082262</v>
      </c>
    </row>
    <row r="209" customFormat="false" ht="18" hidden="false" customHeight="true" outlineLevel="0" collapsed="false">
      <c r="A209" s="29" t="n">
        <f aca="false">IF($H$208&lt;=0,"",200)</f>
        <v>200</v>
      </c>
      <c r="B209" s="30" t="n">
        <f aca="false">IF($H$208&lt;=0,"",EDATE('Übersicht &amp; Eingaben'!$C$12,199))</f>
        <v>52079</v>
      </c>
      <c r="C209" s="31" t="n">
        <f aca="false">IF($H$208&lt;=0,"",YEAR(B209))</f>
        <v>2042</v>
      </c>
      <c r="D209" s="32" t="n">
        <f aca="false">IF($H$208&lt;=0,0,MIN($H$208+($H$208*'Übersicht &amp; Eingaben'!$C$8/12),('Übersicht &amp; Eingaben'!$C$7*('Übersicht &amp; Eingaben'!$C$8+'Übersicht &amp; Eingaben'!$C$9)/12)))</f>
        <v>1312.5</v>
      </c>
      <c r="E209" s="32" t="n">
        <f aca="false">IF($H$208&lt;=0,0,($H$208*'Übersicht &amp; Eingaben'!$C$8/12))</f>
        <v>335.388180760495</v>
      </c>
      <c r="F209" s="32" t="n">
        <f aca="false">D209-E209</f>
        <v>977.111819239505</v>
      </c>
      <c r="G209" s="33" t="n">
        <f aca="false">IF($H$208&lt;=0,0,IF(MONTH(B209)=12,MIN('Übersicht &amp; Eingaben'!$C$13,$H$208-F209),0))</f>
        <v>0</v>
      </c>
      <c r="H209" s="34" t="n">
        <f aca="false">MAX($H$208-F209-G209,0)</f>
        <v>104934.945263022</v>
      </c>
    </row>
    <row r="210" customFormat="false" ht="18" hidden="false" customHeight="true" outlineLevel="0" collapsed="false">
      <c r="A210" s="23" t="n">
        <f aca="false">IF($H$209&lt;=0,"",201)</f>
        <v>201</v>
      </c>
      <c r="B210" s="24" t="n">
        <f aca="false">IF($H$209&lt;=0,"",EDATE('Übersicht &amp; Eingaben'!$C$12,200))</f>
        <v>52110</v>
      </c>
      <c r="C210" s="25" t="n">
        <f aca="false">IF($H$209&lt;=0,"",YEAR(B210))</f>
        <v>2042</v>
      </c>
      <c r="D210" s="26" t="n">
        <f aca="false">IF($H$209&lt;=0,0,MIN($H$209+($H$209*'Übersicht &amp; Eingaben'!$C$8/12),('Übersicht &amp; Eingaben'!$C$7*('Übersicht &amp; Eingaben'!$C$8+'Übersicht &amp; Eingaben'!$C$9)/12)))</f>
        <v>1312.5</v>
      </c>
      <c r="E210" s="26" t="n">
        <f aca="false">IF($H$209&lt;=0,0,($H$209*'Übersicht &amp; Eingaben'!$C$8/12))</f>
        <v>332.293993332903</v>
      </c>
      <c r="F210" s="26" t="n">
        <f aca="false">D210-E210</f>
        <v>980.206006667097</v>
      </c>
      <c r="G210" s="27" t="n">
        <f aca="false">IF($H$209&lt;=0,0,IF(MONTH(B210)=12,MIN('Übersicht &amp; Eingaben'!$C$13,$H$209-F210),0))</f>
        <v>0</v>
      </c>
      <c r="H210" s="28" t="n">
        <f aca="false">MAX($H$209-F210-G210,0)</f>
        <v>103954.739256355</v>
      </c>
    </row>
    <row r="211" customFormat="false" ht="18" hidden="false" customHeight="true" outlineLevel="0" collapsed="false">
      <c r="A211" s="29" t="n">
        <f aca="false">IF($H$210&lt;=0,"",202)</f>
        <v>202</v>
      </c>
      <c r="B211" s="30" t="n">
        <f aca="false">IF($H$210&lt;=0,"",EDATE('Übersicht &amp; Eingaben'!$C$12,201))</f>
        <v>52140</v>
      </c>
      <c r="C211" s="31" t="n">
        <f aca="false">IF($H$210&lt;=0,"",YEAR(B211))</f>
        <v>2042</v>
      </c>
      <c r="D211" s="32" t="n">
        <f aca="false">IF($H$210&lt;=0,0,MIN($H$210+($H$210*'Übersicht &amp; Eingaben'!$C$8/12),('Übersicht &amp; Eingaben'!$C$7*('Übersicht &amp; Eingaben'!$C$8+'Übersicht &amp; Eingaben'!$C$9)/12)))</f>
        <v>1312.5</v>
      </c>
      <c r="E211" s="32" t="n">
        <f aca="false">IF($H$210&lt;=0,0,($H$210*'Übersicht &amp; Eingaben'!$C$8/12))</f>
        <v>329.190007645124</v>
      </c>
      <c r="F211" s="32" t="n">
        <f aca="false">D211-E211</f>
        <v>983.309992354876</v>
      </c>
      <c r="G211" s="33" t="n">
        <f aca="false">IF($H$210&lt;=0,0,IF(MONTH(B211)=12,MIN('Übersicht &amp; Eingaben'!$C$13,$H$210-F211),0))</f>
        <v>0</v>
      </c>
      <c r="H211" s="34" t="n">
        <f aca="false">MAX($H$210-F211-G211,0)</f>
        <v>102971.429264</v>
      </c>
    </row>
    <row r="212" customFormat="false" ht="18" hidden="false" customHeight="true" outlineLevel="0" collapsed="false">
      <c r="A212" s="23" t="n">
        <f aca="false">IF($H$211&lt;=0,"",203)</f>
        <v>203</v>
      </c>
      <c r="B212" s="24" t="n">
        <f aca="false">IF($H$211&lt;=0,"",EDATE('Übersicht &amp; Eingaben'!$C$12,202))</f>
        <v>52171</v>
      </c>
      <c r="C212" s="25" t="n">
        <f aca="false">IF($H$211&lt;=0,"",YEAR(B212))</f>
        <v>2042</v>
      </c>
      <c r="D212" s="26" t="n">
        <f aca="false">IF($H$211&lt;=0,0,MIN($H$211+($H$211*'Übersicht &amp; Eingaben'!$C$8/12),('Übersicht &amp; Eingaben'!$C$7*('Übersicht &amp; Eingaben'!$C$8+'Übersicht &amp; Eingaben'!$C$9)/12)))</f>
        <v>1312.5</v>
      </c>
      <c r="E212" s="26" t="n">
        <f aca="false">IF($H$211&lt;=0,0,($H$211*'Übersicht &amp; Eingaben'!$C$8/12))</f>
        <v>326.076192669334</v>
      </c>
      <c r="F212" s="26" t="n">
        <f aca="false">D212-E212</f>
        <v>986.423807330666</v>
      </c>
      <c r="G212" s="27" t="n">
        <f aca="false">IF($H$211&lt;=0,0,IF(MONTH(B212)=12,MIN('Übersicht &amp; Eingaben'!$C$13,$H$211-F212),0))</f>
        <v>0</v>
      </c>
      <c r="H212" s="28" t="n">
        <f aca="false">MAX($H$211-F212-G212,0)</f>
        <v>101985.005456669</v>
      </c>
    </row>
    <row r="213" customFormat="false" ht="18" hidden="false" customHeight="true" outlineLevel="0" collapsed="false">
      <c r="A213" s="29" t="n">
        <f aca="false">IF($H$212&lt;=0,"",204)</f>
        <v>204</v>
      </c>
      <c r="B213" s="30" t="n">
        <f aca="false">IF($H$212&lt;=0,"",EDATE('Übersicht &amp; Eingaben'!$C$12,203))</f>
        <v>52201</v>
      </c>
      <c r="C213" s="31" t="n">
        <f aca="false">IF($H$212&lt;=0,"",YEAR(B213))</f>
        <v>2042</v>
      </c>
      <c r="D213" s="32" t="n">
        <f aca="false">IF($H$212&lt;=0,0,MIN($H$212+($H$212*'Übersicht &amp; Eingaben'!$C$8/12),('Übersicht &amp; Eingaben'!$C$7*('Übersicht &amp; Eingaben'!$C$8+'Übersicht &amp; Eingaben'!$C$9)/12)))</f>
        <v>1312.5</v>
      </c>
      <c r="E213" s="32" t="n">
        <f aca="false">IF($H$212&lt;=0,0,($H$212*'Übersicht &amp; Eingaben'!$C$8/12))</f>
        <v>322.952517279453</v>
      </c>
      <c r="F213" s="32" t="n">
        <f aca="false">D213-E213</f>
        <v>989.547482720547</v>
      </c>
      <c r="G213" s="33" t="n">
        <f aca="false">IF($H$212&lt;=0,0,IF(MONTH(B213)=12,MIN('Übersicht &amp; Eingaben'!$C$13,$H$212-F213),0))</f>
        <v>0</v>
      </c>
      <c r="H213" s="34" t="n">
        <f aca="false">MAX($H$212-F213-G213,0)</f>
        <v>100995.457973949</v>
      </c>
    </row>
    <row r="214" customFormat="false" ht="18" hidden="false" customHeight="true" outlineLevel="0" collapsed="false">
      <c r="A214" s="23" t="n">
        <f aca="false">IF($H$213&lt;=0,"",205)</f>
        <v>205</v>
      </c>
      <c r="B214" s="24" t="n">
        <f aca="false">IF($H$213&lt;=0,"",EDATE('Übersicht &amp; Eingaben'!$C$12,204))</f>
        <v>52232</v>
      </c>
      <c r="C214" s="25" t="n">
        <f aca="false">IF($H$213&lt;=0,"",YEAR(B214))</f>
        <v>2043</v>
      </c>
      <c r="D214" s="26" t="n">
        <f aca="false">IF($H$213&lt;=0,0,MIN($H$213+($H$213*'Übersicht &amp; Eingaben'!$C$8/12),('Übersicht &amp; Eingaben'!$C$7*('Übersicht &amp; Eingaben'!$C$8+'Übersicht &amp; Eingaben'!$C$9)/12)))</f>
        <v>1312.5</v>
      </c>
      <c r="E214" s="26" t="n">
        <f aca="false">IF($H$213&lt;=0,0,($H$213*'Übersicht &amp; Eingaben'!$C$8/12))</f>
        <v>319.818950250838</v>
      </c>
      <c r="F214" s="26" t="n">
        <f aca="false">D214-E214</f>
        <v>992.681049749162</v>
      </c>
      <c r="G214" s="27" t="n">
        <f aca="false">IF($H$213&lt;=0,0,IF(MONTH(B214)=12,MIN('Übersicht &amp; Eingaben'!$C$13,$H$213-F214),0))</f>
        <v>0</v>
      </c>
      <c r="H214" s="28" t="n">
        <f aca="false">MAX($H$213-F214-G214,0)</f>
        <v>100002.7769242</v>
      </c>
    </row>
    <row r="215" customFormat="false" ht="18" hidden="false" customHeight="true" outlineLevel="0" collapsed="false">
      <c r="A215" s="29" t="n">
        <f aca="false">IF($H$214&lt;=0,"",206)</f>
        <v>206</v>
      </c>
      <c r="B215" s="30" t="n">
        <f aca="false">IF($H$214&lt;=0,"",EDATE('Übersicht &amp; Eingaben'!$C$12,205))</f>
        <v>52263</v>
      </c>
      <c r="C215" s="31" t="n">
        <f aca="false">IF($H$214&lt;=0,"",YEAR(B215))</f>
        <v>2043</v>
      </c>
      <c r="D215" s="32" t="n">
        <f aca="false">IF($H$214&lt;=0,0,MIN($H$214+($H$214*'Übersicht &amp; Eingaben'!$C$8/12),('Übersicht &amp; Eingaben'!$C$7*('Übersicht &amp; Eingaben'!$C$8+'Übersicht &amp; Eingaben'!$C$9)/12)))</f>
        <v>1312.5</v>
      </c>
      <c r="E215" s="32" t="n">
        <f aca="false">IF($H$214&lt;=0,0,($H$214*'Übersicht &amp; Eingaben'!$C$8/12))</f>
        <v>316.675460259966</v>
      </c>
      <c r="F215" s="32" t="n">
        <f aca="false">D215-E215</f>
        <v>995.824539740034</v>
      </c>
      <c r="G215" s="33" t="n">
        <f aca="false">IF($H$214&lt;=0,0,IF(MONTH(B215)=12,MIN('Übersicht &amp; Eingaben'!$C$13,$H$214-F215),0))</f>
        <v>0</v>
      </c>
      <c r="H215" s="34" t="n">
        <f aca="false">MAX($H$214-F215-G215,0)</f>
        <v>99006.9523844597</v>
      </c>
    </row>
    <row r="216" customFormat="false" ht="18" hidden="false" customHeight="true" outlineLevel="0" collapsed="false">
      <c r="A216" s="23" t="n">
        <f aca="false">IF($H$215&lt;=0,"",207)</f>
        <v>207</v>
      </c>
      <c r="B216" s="24" t="n">
        <f aca="false">IF($H$215&lt;=0,"",EDATE('Übersicht &amp; Eingaben'!$C$12,206))</f>
        <v>52291</v>
      </c>
      <c r="C216" s="25" t="n">
        <f aca="false">IF($H$215&lt;=0,"",YEAR(B216))</f>
        <v>2043</v>
      </c>
      <c r="D216" s="26" t="n">
        <f aca="false">IF($H$215&lt;=0,0,MIN($H$215+($H$215*'Übersicht &amp; Eingaben'!$C$8/12),('Übersicht &amp; Eingaben'!$C$7*('Übersicht &amp; Eingaben'!$C$8+'Übersicht &amp; Eingaben'!$C$9)/12)))</f>
        <v>1312.5</v>
      </c>
      <c r="E216" s="26" t="n">
        <f aca="false">IF($H$215&lt;=0,0,($H$215*'Übersicht &amp; Eingaben'!$C$8/12))</f>
        <v>313.522015884123</v>
      </c>
      <c r="F216" s="26" t="n">
        <f aca="false">D216-E216</f>
        <v>998.977984115878</v>
      </c>
      <c r="G216" s="27" t="n">
        <f aca="false">IF($H$215&lt;=0,0,IF(MONTH(B216)=12,MIN('Übersicht &amp; Eingaben'!$C$13,$H$215-F216),0))</f>
        <v>0</v>
      </c>
      <c r="H216" s="28" t="n">
        <f aca="false">MAX($H$215-F216-G216,0)</f>
        <v>98007.9744003439</v>
      </c>
    </row>
    <row r="217" customFormat="false" ht="18" hidden="false" customHeight="true" outlineLevel="0" collapsed="false">
      <c r="A217" s="29" t="n">
        <f aca="false">IF($H$216&lt;=0,"",208)</f>
        <v>208</v>
      </c>
      <c r="B217" s="30" t="n">
        <f aca="false">IF($H$216&lt;=0,"",EDATE('Übersicht &amp; Eingaben'!$C$12,207))</f>
        <v>52322</v>
      </c>
      <c r="C217" s="31" t="n">
        <f aca="false">IF($H$216&lt;=0,"",YEAR(B217))</f>
        <v>2043</v>
      </c>
      <c r="D217" s="32" t="n">
        <f aca="false">IF($H$216&lt;=0,0,MIN($H$216+($H$216*'Übersicht &amp; Eingaben'!$C$8/12),('Übersicht &amp; Eingaben'!$C$7*('Übersicht &amp; Eingaben'!$C$8+'Übersicht &amp; Eingaben'!$C$9)/12)))</f>
        <v>1312.5</v>
      </c>
      <c r="E217" s="32" t="n">
        <f aca="false">IF($H$216&lt;=0,0,($H$216*'Übersicht &amp; Eingaben'!$C$8/12))</f>
        <v>310.358585601089</v>
      </c>
      <c r="F217" s="32" t="n">
        <f aca="false">D217-E217</f>
        <v>1002.14141439891</v>
      </c>
      <c r="G217" s="33" t="n">
        <f aca="false">IF($H$216&lt;=0,0,IF(MONTH(B217)=12,MIN('Übersicht &amp; Eingaben'!$C$13,$H$216-F217),0))</f>
        <v>0</v>
      </c>
      <c r="H217" s="34" t="n">
        <f aca="false">MAX($H$216-F217-G217,0)</f>
        <v>97005.8329859449</v>
      </c>
    </row>
    <row r="218" customFormat="false" ht="18" hidden="false" customHeight="true" outlineLevel="0" collapsed="false">
      <c r="A218" s="23" t="n">
        <f aca="false">IF($H$217&lt;=0,"",209)</f>
        <v>209</v>
      </c>
      <c r="B218" s="24" t="n">
        <f aca="false">IF($H$217&lt;=0,"",EDATE('Übersicht &amp; Eingaben'!$C$12,208))</f>
        <v>52352</v>
      </c>
      <c r="C218" s="25" t="n">
        <f aca="false">IF($H$217&lt;=0,"",YEAR(B218))</f>
        <v>2043</v>
      </c>
      <c r="D218" s="26" t="n">
        <f aca="false">IF($H$217&lt;=0,0,MIN($H$217+($H$217*'Übersicht &amp; Eingaben'!$C$8/12),('Übersicht &amp; Eingaben'!$C$7*('Übersicht &amp; Eingaben'!$C$8+'Übersicht &amp; Eingaben'!$C$9)/12)))</f>
        <v>1312.5</v>
      </c>
      <c r="E218" s="26" t="n">
        <f aca="false">IF($H$217&lt;=0,0,($H$217*'Übersicht &amp; Eingaben'!$C$8/12))</f>
        <v>307.185137788826</v>
      </c>
      <c r="F218" s="26" t="n">
        <f aca="false">D218-E218</f>
        <v>1005.31486221117</v>
      </c>
      <c r="G218" s="27" t="n">
        <f aca="false">IF($H$217&lt;=0,0,IF(MONTH(B218)=12,MIN('Übersicht &amp; Eingaben'!$C$13,$H$217-F218),0))</f>
        <v>0</v>
      </c>
      <c r="H218" s="28" t="n">
        <f aca="false">MAX($H$217-F218-G218,0)</f>
        <v>96000.5181237338</v>
      </c>
    </row>
    <row r="219" customFormat="false" ht="18" hidden="false" customHeight="true" outlineLevel="0" collapsed="false">
      <c r="A219" s="29" t="n">
        <f aca="false">IF($H$218&lt;=0,"",210)</f>
        <v>210</v>
      </c>
      <c r="B219" s="30" t="n">
        <f aca="false">IF($H$218&lt;=0,"",EDATE('Übersicht &amp; Eingaben'!$C$12,209))</f>
        <v>52383</v>
      </c>
      <c r="C219" s="31" t="n">
        <f aca="false">IF($H$218&lt;=0,"",YEAR(B219))</f>
        <v>2043</v>
      </c>
      <c r="D219" s="32" t="n">
        <f aca="false">IF($H$218&lt;=0,0,MIN($H$218+($H$218*'Übersicht &amp; Eingaben'!$C$8/12),('Übersicht &amp; Eingaben'!$C$7*('Übersicht &amp; Eingaben'!$C$8+'Übersicht &amp; Eingaben'!$C$9)/12)))</f>
        <v>1312.5</v>
      </c>
      <c r="E219" s="32" t="n">
        <f aca="false">IF($H$218&lt;=0,0,($H$218*'Übersicht &amp; Eingaben'!$C$8/12))</f>
        <v>304.001640725157</v>
      </c>
      <c r="F219" s="32" t="n">
        <f aca="false">D219-E219</f>
        <v>1008.49835927484</v>
      </c>
      <c r="G219" s="33" t="n">
        <f aca="false">IF($H$218&lt;=0,0,IF(MONTH(B219)=12,MIN('Übersicht &amp; Eingaben'!$C$13,$H$218-F219),0))</f>
        <v>0</v>
      </c>
      <c r="H219" s="34" t="n">
        <f aca="false">MAX($H$218-F219-G219,0)</f>
        <v>94992.0197644589</v>
      </c>
    </row>
    <row r="220" customFormat="false" ht="18" hidden="false" customHeight="true" outlineLevel="0" collapsed="false">
      <c r="A220" s="23" t="n">
        <f aca="false">IF($H$219&lt;=0,"",211)</f>
        <v>211</v>
      </c>
      <c r="B220" s="24" t="n">
        <f aca="false">IF($H$219&lt;=0,"",EDATE('Übersicht &amp; Eingaben'!$C$12,210))</f>
        <v>52413</v>
      </c>
      <c r="C220" s="25" t="n">
        <f aca="false">IF($H$219&lt;=0,"",YEAR(B220))</f>
        <v>2043</v>
      </c>
      <c r="D220" s="26" t="n">
        <f aca="false">IF($H$219&lt;=0,0,MIN($H$219+($H$219*'Übersicht &amp; Eingaben'!$C$8/12),('Übersicht &amp; Eingaben'!$C$7*('Übersicht &amp; Eingaben'!$C$8+'Übersicht &amp; Eingaben'!$C$9)/12)))</f>
        <v>1312.5</v>
      </c>
      <c r="E220" s="26" t="n">
        <f aca="false">IF($H$219&lt;=0,0,($H$219*'Übersicht &amp; Eingaben'!$C$8/12))</f>
        <v>300.808062587453</v>
      </c>
      <c r="F220" s="26" t="n">
        <f aca="false">D220-E220</f>
        <v>1011.69193741255</v>
      </c>
      <c r="G220" s="27" t="n">
        <f aca="false">IF($H$219&lt;=0,0,IF(MONTH(B220)=12,MIN('Übersicht &amp; Eingaben'!$C$13,$H$219-F220),0))</f>
        <v>0</v>
      </c>
      <c r="H220" s="28" t="n">
        <f aca="false">MAX($H$219-F220-G220,0)</f>
        <v>93980.3278270464</v>
      </c>
    </row>
    <row r="221" customFormat="false" ht="18" hidden="false" customHeight="true" outlineLevel="0" collapsed="false">
      <c r="A221" s="29" t="n">
        <f aca="false">IF($H$220&lt;=0,"",212)</f>
        <v>212</v>
      </c>
      <c r="B221" s="30" t="n">
        <f aca="false">IF($H$220&lt;=0,"",EDATE('Übersicht &amp; Eingaben'!$C$12,211))</f>
        <v>52444</v>
      </c>
      <c r="C221" s="31" t="n">
        <f aca="false">IF($H$220&lt;=0,"",YEAR(B221))</f>
        <v>2043</v>
      </c>
      <c r="D221" s="32" t="n">
        <f aca="false">IF($H$220&lt;=0,0,MIN($H$220+($H$220*'Übersicht &amp; Eingaben'!$C$8/12),('Übersicht &amp; Eingaben'!$C$7*('Übersicht &amp; Eingaben'!$C$8+'Übersicht &amp; Eingaben'!$C$9)/12)))</f>
        <v>1312.5</v>
      </c>
      <c r="E221" s="32" t="n">
        <f aca="false">IF($H$220&lt;=0,0,($H$220*'Übersicht &amp; Eingaben'!$C$8/12))</f>
        <v>297.604371452314</v>
      </c>
      <c r="F221" s="32" t="n">
        <f aca="false">D221-E221</f>
        <v>1014.89562854769</v>
      </c>
      <c r="G221" s="33" t="n">
        <f aca="false">IF($H$220&lt;=0,0,IF(MONTH(B221)=12,MIN('Übersicht &amp; Eingaben'!$C$13,$H$220-F221),0))</f>
        <v>0</v>
      </c>
      <c r="H221" s="34" t="n">
        <f aca="false">MAX($H$220-F221-G221,0)</f>
        <v>92965.4321984987</v>
      </c>
    </row>
    <row r="222" customFormat="false" ht="18" hidden="false" customHeight="true" outlineLevel="0" collapsed="false">
      <c r="A222" s="23" t="n">
        <f aca="false">IF($H$221&lt;=0,"",213)</f>
        <v>213</v>
      </c>
      <c r="B222" s="24" t="n">
        <f aca="false">IF($H$221&lt;=0,"",EDATE('Übersicht &amp; Eingaben'!$C$12,212))</f>
        <v>52475</v>
      </c>
      <c r="C222" s="25" t="n">
        <f aca="false">IF($H$221&lt;=0,"",YEAR(B222))</f>
        <v>2043</v>
      </c>
      <c r="D222" s="26" t="n">
        <f aca="false">IF($H$221&lt;=0,0,MIN($H$221+($H$221*'Übersicht &amp; Eingaben'!$C$8/12),('Übersicht &amp; Eingaben'!$C$7*('Übersicht &amp; Eingaben'!$C$8+'Übersicht &amp; Eingaben'!$C$9)/12)))</f>
        <v>1312.5</v>
      </c>
      <c r="E222" s="26" t="n">
        <f aca="false">IF($H$221&lt;=0,0,($H$221*'Übersicht &amp; Eingaben'!$C$8/12))</f>
        <v>294.390535295246</v>
      </c>
      <c r="F222" s="26" t="n">
        <f aca="false">D222-E222</f>
        <v>1018.10946470475</v>
      </c>
      <c r="G222" s="27" t="n">
        <f aca="false">IF($H$221&lt;=0,0,IF(MONTH(B222)=12,MIN('Übersicht &amp; Eingaben'!$C$13,$H$221-F222),0))</f>
        <v>0</v>
      </c>
      <c r="H222" s="28" t="n">
        <f aca="false">MAX($H$221-F222-G222,0)</f>
        <v>91947.3227337939</v>
      </c>
    </row>
    <row r="223" customFormat="false" ht="18" hidden="false" customHeight="true" outlineLevel="0" collapsed="false">
      <c r="A223" s="29" t="n">
        <f aca="false">IF($H$222&lt;=0,"",214)</f>
        <v>214</v>
      </c>
      <c r="B223" s="30" t="n">
        <f aca="false">IF($H$222&lt;=0,"",EDATE('Übersicht &amp; Eingaben'!$C$12,213))</f>
        <v>52505</v>
      </c>
      <c r="C223" s="31" t="n">
        <f aca="false">IF($H$222&lt;=0,"",YEAR(B223))</f>
        <v>2043</v>
      </c>
      <c r="D223" s="32" t="n">
        <f aca="false">IF($H$222&lt;=0,0,MIN($H$222+($H$222*'Übersicht &amp; Eingaben'!$C$8/12),('Übersicht &amp; Eingaben'!$C$7*('Übersicht &amp; Eingaben'!$C$8+'Übersicht &amp; Eingaben'!$C$9)/12)))</f>
        <v>1312.5</v>
      </c>
      <c r="E223" s="32" t="n">
        <f aca="false">IF($H$222&lt;=0,0,($H$222*'Übersicht &amp; Eingaben'!$C$8/12))</f>
        <v>291.166521990347</v>
      </c>
      <c r="F223" s="32" t="n">
        <f aca="false">D223-E223</f>
        <v>1021.33347800965</v>
      </c>
      <c r="G223" s="33" t="n">
        <f aca="false">IF($H$222&lt;=0,0,IF(MONTH(B223)=12,MIN('Übersicht &amp; Eingaben'!$C$13,$H$222-F223),0))</f>
        <v>0</v>
      </c>
      <c r="H223" s="34" t="n">
        <f aca="false">MAX($H$222-F223-G223,0)</f>
        <v>90925.9892557843</v>
      </c>
    </row>
    <row r="224" customFormat="false" ht="18" hidden="false" customHeight="true" outlineLevel="0" collapsed="false">
      <c r="A224" s="23" t="n">
        <f aca="false">IF($H$223&lt;=0,"",215)</f>
        <v>215</v>
      </c>
      <c r="B224" s="24" t="n">
        <f aca="false">IF($H$223&lt;=0,"",EDATE('Übersicht &amp; Eingaben'!$C$12,214))</f>
        <v>52536</v>
      </c>
      <c r="C224" s="25" t="n">
        <f aca="false">IF($H$223&lt;=0,"",YEAR(B224))</f>
        <v>2043</v>
      </c>
      <c r="D224" s="26" t="n">
        <f aca="false">IF($H$223&lt;=0,0,MIN($H$223+($H$223*'Übersicht &amp; Eingaben'!$C$8/12),('Übersicht &amp; Eingaben'!$C$7*('Übersicht &amp; Eingaben'!$C$8+'Übersicht &amp; Eingaben'!$C$9)/12)))</f>
        <v>1312.5</v>
      </c>
      <c r="E224" s="26" t="n">
        <f aca="false">IF($H$223&lt;=0,0,($H$223*'Übersicht &amp; Eingaben'!$C$8/12))</f>
        <v>287.932299309984</v>
      </c>
      <c r="F224" s="26" t="n">
        <f aca="false">D224-E224</f>
        <v>1024.56770069002</v>
      </c>
      <c r="G224" s="27" t="n">
        <f aca="false">IF($H$223&lt;=0,0,IF(MONTH(B224)=12,MIN('Übersicht &amp; Eingaben'!$C$13,$H$223-F224),0))</f>
        <v>0</v>
      </c>
      <c r="H224" s="28" t="n">
        <f aca="false">MAX($H$223-F224-G224,0)</f>
        <v>89901.4215550943</v>
      </c>
    </row>
    <row r="225" customFormat="false" ht="18" hidden="false" customHeight="true" outlineLevel="0" collapsed="false">
      <c r="A225" s="29" t="n">
        <f aca="false">IF($H$224&lt;=0,"",216)</f>
        <v>216</v>
      </c>
      <c r="B225" s="30" t="n">
        <f aca="false">IF($H$224&lt;=0,"",EDATE('Übersicht &amp; Eingaben'!$C$12,215))</f>
        <v>52566</v>
      </c>
      <c r="C225" s="31" t="n">
        <f aca="false">IF($H$224&lt;=0,"",YEAR(B225))</f>
        <v>2043</v>
      </c>
      <c r="D225" s="32" t="n">
        <f aca="false">IF($H$224&lt;=0,0,MIN($H$224+($H$224*'Übersicht &amp; Eingaben'!$C$8/12),('Übersicht &amp; Eingaben'!$C$7*('Übersicht &amp; Eingaben'!$C$8+'Übersicht &amp; Eingaben'!$C$9)/12)))</f>
        <v>1312.5</v>
      </c>
      <c r="E225" s="32" t="n">
        <f aca="false">IF($H$224&lt;=0,0,($H$224*'Übersicht &amp; Eingaben'!$C$8/12))</f>
        <v>284.687834924465</v>
      </c>
      <c r="F225" s="32" t="n">
        <f aca="false">D225-E225</f>
        <v>1027.81216507553</v>
      </c>
      <c r="G225" s="33" t="n">
        <f aca="false">IF($H$224&lt;=0,0,IF(MONTH(B225)=12,MIN('Übersicht &amp; Eingaben'!$C$13,$H$224-F225),0))</f>
        <v>0</v>
      </c>
      <c r="H225" s="34" t="n">
        <f aca="false">MAX($H$224-F225-G225,0)</f>
        <v>88873.6093900187</v>
      </c>
    </row>
    <row r="226" customFormat="false" ht="18" hidden="false" customHeight="true" outlineLevel="0" collapsed="false">
      <c r="A226" s="23" t="n">
        <f aca="false">IF($H$225&lt;=0,"",217)</f>
        <v>217</v>
      </c>
      <c r="B226" s="24" t="n">
        <f aca="false">IF($H$225&lt;=0,"",EDATE('Übersicht &amp; Eingaben'!$C$12,216))</f>
        <v>52597</v>
      </c>
      <c r="C226" s="25" t="n">
        <f aca="false">IF($H$225&lt;=0,"",YEAR(B226))</f>
        <v>2044</v>
      </c>
      <c r="D226" s="26" t="n">
        <f aca="false">IF($H$225&lt;=0,0,MIN($H$225+($H$225*'Übersicht &amp; Eingaben'!$C$8/12),('Übersicht &amp; Eingaben'!$C$7*('Übersicht &amp; Eingaben'!$C$8+'Übersicht &amp; Eingaben'!$C$9)/12)))</f>
        <v>1312.5</v>
      </c>
      <c r="E226" s="26" t="n">
        <f aca="false">IF($H$225&lt;=0,0,($H$225*'Übersicht &amp; Eingaben'!$C$8/12))</f>
        <v>281.433096401726</v>
      </c>
      <c r="F226" s="26" t="n">
        <f aca="false">D226-E226</f>
        <v>1031.06690359827</v>
      </c>
      <c r="G226" s="27" t="n">
        <f aca="false">IF($H$225&lt;=0,0,IF(MONTH(B226)=12,MIN('Übersicht &amp; Eingaben'!$C$13,$H$225-F226),0))</f>
        <v>0</v>
      </c>
      <c r="H226" s="28" t="n">
        <f aca="false">MAX($H$225-F226-G226,0)</f>
        <v>87842.5424864205</v>
      </c>
    </row>
    <row r="227" customFormat="false" ht="18" hidden="false" customHeight="true" outlineLevel="0" collapsed="false">
      <c r="A227" s="29" t="n">
        <f aca="false">IF($H$226&lt;=0,"",218)</f>
        <v>218</v>
      </c>
      <c r="B227" s="30" t="n">
        <f aca="false">IF($H$226&lt;=0,"",EDATE('Übersicht &amp; Eingaben'!$C$12,217))</f>
        <v>52628</v>
      </c>
      <c r="C227" s="31" t="n">
        <f aca="false">IF($H$226&lt;=0,"",YEAR(B227))</f>
        <v>2044</v>
      </c>
      <c r="D227" s="32" t="n">
        <f aca="false">IF($H$226&lt;=0,0,MIN($H$226+($H$226*'Übersicht &amp; Eingaben'!$C$8/12),('Übersicht &amp; Eingaben'!$C$7*('Übersicht &amp; Eingaben'!$C$8+'Übersicht &amp; Eingaben'!$C$9)/12)))</f>
        <v>1312.5</v>
      </c>
      <c r="E227" s="32" t="n">
        <f aca="false">IF($H$226&lt;=0,0,($H$226*'Übersicht &amp; Eingaben'!$C$8/12))</f>
        <v>278.168051206998</v>
      </c>
      <c r="F227" s="32" t="n">
        <f aca="false">D227-E227</f>
        <v>1034.331948793</v>
      </c>
      <c r="G227" s="33" t="n">
        <f aca="false">IF($H$226&lt;=0,0,IF(MONTH(B227)=12,MIN('Übersicht &amp; Eingaben'!$C$13,$H$226-F227),0))</f>
        <v>0</v>
      </c>
      <c r="H227" s="34" t="n">
        <f aca="false">MAX($H$226-F227-G227,0)</f>
        <v>86808.2105376275</v>
      </c>
    </row>
    <row r="228" customFormat="false" ht="18" hidden="false" customHeight="true" outlineLevel="0" collapsed="false">
      <c r="A228" s="23" t="n">
        <f aca="false">IF($H$227&lt;=0,"",219)</f>
        <v>219</v>
      </c>
      <c r="B228" s="24" t="n">
        <f aca="false">IF($H$227&lt;=0,"",EDATE('Übersicht &amp; Eingaben'!$C$12,218))</f>
        <v>52657</v>
      </c>
      <c r="C228" s="25" t="n">
        <f aca="false">IF($H$227&lt;=0,"",YEAR(B228))</f>
        <v>2044</v>
      </c>
      <c r="D228" s="26" t="n">
        <f aca="false">IF($H$227&lt;=0,0,MIN($H$227+($H$227*'Übersicht &amp; Eingaben'!$C$8/12),('Übersicht &amp; Eingaben'!$C$7*('Übersicht &amp; Eingaben'!$C$8+'Übersicht &amp; Eingaben'!$C$9)/12)))</f>
        <v>1312.5</v>
      </c>
      <c r="E228" s="26" t="n">
        <f aca="false">IF($H$227&lt;=0,0,($H$227*'Übersicht &amp; Eingaben'!$C$8/12))</f>
        <v>274.892666702487</v>
      </c>
      <c r="F228" s="26" t="n">
        <f aca="false">D228-E228</f>
        <v>1037.60733329751</v>
      </c>
      <c r="G228" s="27" t="n">
        <f aca="false">IF($H$227&lt;=0,0,IF(MONTH(B228)=12,MIN('Übersicht &amp; Eingaben'!$C$13,$H$227-F228),0))</f>
        <v>0</v>
      </c>
      <c r="H228" s="28" t="n">
        <f aca="false">MAX($H$227-F228-G228,0)</f>
        <v>85770.60320433</v>
      </c>
    </row>
    <row r="229" customFormat="false" ht="18" hidden="false" customHeight="true" outlineLevel="0" collapsed="false">
      <c r="A229" s="29" t="n">
        <f aca="false">IF($H$228&lt;=0,"",220)</f>
        <v>220</v>
      </c>
      <c r="B229" s="30" t="n">
        <f aca="false">IF($H$228&lt;=0,"",EDATE('Übersicht &amp; Eingaben'!$C$12,219))</f>
        <v>52688</v>
      </c>
      <c r="C229" s="31" t="n">
        <f aca="false">IF($H$228&lt;=0,"",YEAR(B229))</f>
        <v>2044</v>
      </c>
      <c r="D229" s="32" t="n">
        <f aca="false">IF($H$228&lt;=0,0,MIN($H$228+($H$228*'Übersicht &amp; Eingaben'!$C$8/12),('Übersicht &amp; Eingaben'!$C$7*('Übersicht &amp; Eingaben'!$C$8+'Übersicht &amp; Eingaben'!$C$9)/12)))</f>
        <v>1312.5</v>
      </c>
      <c r="E229" s="32" t="n">
        <f aca="false">IF($H$228&lt;=0,0,($H$228*'Übersicht &amp; Eingaben'!$C$8/12))</f>
        <v>271.606910147045</v>
      </c>
      <c r="F229" s="32" t="n">
        <f aca="false">D229-E229</f>
        <v>1040.89308985296</v>
      </c>
      <c r="G229" s="33" t="n">
        <f aca="false">IF($H$228&lt;=0,0,IF(MONTH(B229)=12,MIN('Übersicht &amp; Eingaben'!$C$13,$H$228-F229),0))</f>
        <v>0</v>
      </c>
      <c r="H229" s="34" t="n">
        <f aca="false">MAX($H$228-F229-G229,0)</f>
        <v>84729.710114477</v>
      </c>
    </row>
    <row r="230" customFormat="false" ht="18" hidden="false" customHeight="true" outlineLevel="0" collapsed="false">
      <c r="A230" s="23" t="n">
        <f aca="false">IF($H$229&lt;=0,"",221)</f>
        <v>221</v>
      </c>
      <c r="B230" s="24" t="n">
        <f aca="false">IF($H$229&lt;=0,"",EDATE('Übersicht &amp; Eingaben'!$C$12,220))</f>
        <v>52718</v>
      </c>
      <c r="C230" s="25" t="n">
        <f aca="false">IF($H$229&lt;=0,"",YEAR(B230))</f>
        <v>2044</v>
      </c>
      <c r="D230" s="26" t="n">
        <f aca="false">IF($H$229&lt;=0,0,MIN($H$229+($H$229*'Übersicht &amp; Eingaben'!$C$8/12),('Übersicht &amp; Eingaben'!$C$7*('Übersicht &amp; Eingaben'!$C$8+'Übersicht &amp; Eingaben'!$C$9)/12)))</f>
        <v>1312.5</v>
      </c>
      <c r="E230" s="26" t="n">
        <f aca="false">IF($H$229&lt;=0,0,($H$229*'Übersicht &amp; Eingaben'!$C$8/12))</f>
        <v>268.310748695844</v>
      </c>
      <c r="F230" s="26" t="n">
        <f aca="false">D230-E230</f>
        <v>1044.18925130416</v>
      </c>
      <c r="G230" s="27" t="n">
        <f aca="false">IF($H$229&lt;=0,0,IF(MONTH(B230)=12,MIN('Übersicht &amp; Eingaben'!$C$13,$H$229-F230),0))</f>
        <v>0</v>
      </c>
      <c r="H230" s="28" t="n">
        <f aca="false">MAX($H$229-F230-G230,0)</f>
        <v>83685.5208631729</v>
      </c>
    </row>
    <row r="231" customFormat="false" ht="18" hidden="false" customHeight="true" outlineLevel="0" collapsed="false">
      <c r="A231" s="29" t="n">
        <f aca="false">IF($H$230&lt;=0,"",222)</f>
        <v>222</v>
      </c>
      <c r="B231" s="30" t="n">
        <f aca="false">IF($H$230&lt;=0,"",EDATE('Übersicht &amp; Eingaben'!$C$12,221))</f>
        <v>52749</v>
      </c>
      <c r="C231" s="31" t="n">
        <f aca="false">IF($H$230&lt;=0,"",YEAR(B231))</f>
        <v>2044</v>
      </c>
      <c r="D231" s="32" t="n">
        <f aca="false">IF($H$230&lt;=0,0,MIN($H$230+($H$230*'Übersicht &amp; Eingaben'!$C$8/12),('Übersicht &amp; Eingaben'!$C$7*('Übersicht &amp; Eingaben'!$C$8+'Übersicht &amp; Eingaben'!$C$9)/12)))</f>
        <v>1312.5</v>
      </c>
      <c r="E231" s="32" t="n">
        <f aca="false">IF($H$230&lt;=0,0,($H$230*'Übersicht &amp; Eingaben'!$C$8/12))</f>
        <v>265.004149400047</v>
      </c>
      <c r="F231" s="32" t="n">
        <f aca="false">D231-E231</f>
        <v>1047.49585059995</v>
      </c>
      <c r="G231" s="33" t="n">
        <f aca="false">IF($H$230&lt;=0,0,IF(MONTH(B231)=12,MIN('Übersicht &amp; Eingaben'!$C$13,$H$230-F231),0))</f>
        <v>0</v>
      </c>
      <c r="H231" s="34" t="n">
        <f aca="false">MAX($H$230-F231-G231,0)</f>
        <v>82638.0250125729</v>
      </c>
    </row>
    <row r="232" customFormat="false" ht="18" hidden="false" customHeight="true" outlineLevel="0" collapsed="false">
      <c r="A232" s="23" t="n">
        <f aca="false">IF($H$231&lt;=0,"",223)</f>
        <v>223</v>
      </c>
      <c r="B232" s="24" t="n">
        <f aca="false">IF($H$231&lt;=0,"",EDATE('Übersicht &amp; Eingaben'!$C$12,222))</f>
        <v>52779</v>
      </c>
      <c r="C232" s="25" t="n">
        <f aca="false">IF($H$231&lt;=0,"",YEAR(B232))</f>
        <v>2044</v>
      </c>
      <c r="D232" s="26" t="n">
        <f aca="false">IF($H$231&lt;=0,0,MIN($H$231+($H$231*'Übersicht &amp; Eingaben'!$C$8/12),('Übersicht &amp; Eingaben'!$C$7*('Übersicht &amp; Eingaben'!$C$8+'Übersicht &amp; Eingaben'!$C$9)/12)))</f>
        <v>1312.5</v>
      </c>
      <c r="E232" s="26" t="n">
        <f aca="false">IF($H$231&lt;=0,0,($H$231*'Übersicht &amp; Eingaben'!$C$8/12))</f>
        <v>261.687079206481</v>
      </c>
      <c r="F232" s="26" t="n">
        <f aca="false">D232-E232</f>
        <v>1050.81292079352</v>
      </c>
      <c r="G232" s="27" t="n">
        <f aca="false">IF($H$231&lt;=0,0,IF(MONTH(B232)=12,MIN('Übersicht &amp; Eingaben'!$C$13,$H$231-F232),0))</f>
        <v>0</v>
      </c>
      <c r="H232" s="28" t="n">
        <f aca="false">MAX($H$231-F232-G232,0)</f>
        <v>81587.2120917794</v>
      </c>
    </row>
    <row r="233" customFormat="false" ht="18" hidden="false" customHeight="true" outlineLevel="0" collapsed="false">
      <c r="A233" s="29" t="n">
        <f aca="false">IF($H$232&lt;=0,"",224)</f>
        <v>224</v>
      </c>
      <c r="B233" s="30" t="n">
        <f aca="false">IF($H$232&lt;=0,"",EDATE('Übersicht &amp; Eingaben'!$C$12,223))</f>
        <v>52810</v>
      </c>
      <c r="C233" s="31" t="n">
        <f aca="false">IF($H$232&lt;=0,"",YEAR(B233))</f>
        <v>2044</v>
      </c>
      <c r="D233" s="32" t="n">
        <f aca="false">IF($H$232&lt;=0,0,MIN($H$232+($H$232*'Übersicht &amp; Eingaben'!$C$8/12),('Übersicht &amp; Eingaben'!$C$7*('Übersicht &amp; Eingaben'!$C$8+'Übersicht &amp; Eingaben'!$C$9)/12)))</f>
        <v>1312.5</v>
      </c>
      <c r="E233" s="32" t="n">
        <f aca="false">IF($H$232&lt;=0,0,($H$232*'Übersicht &amp; Eingaben'!$C$8/12))</f>
        <v>258.359504957301</v>
      </c>
      <c r="F233" s="32" t="n">
        <f aca="false">D233-E233</f>
        <v>1054.1404950427</v>
      </c>
      <c r="G233" s="33" t="n">
        <f aca="false">IF($H$232&lt;=0,0,IF(MONTH(B233)=12,MIN('Übersicht &amp; Eingaben'!$C$13,$H$232-F233),0))</f>
        <v>0</v>
      </c>
      <c r="H233" s="34" t="n">
        <f aca="false">MAX($H$232-F233-G233,0)</f>
        <v>80533.0715967367</v>
      </c>
    </row>
    <row r="234" customFormat="false" ht="18" hidden="false" customHeight="true" outlineLevel="0" collapsed="false">
      <c r="A234" s="23" t="n">
        <f aca="false">IF($H$233&lt;=0,"",225)</f>
        <v>225</v>
      </c>
      <c r="B234" s="24" t="n">
        <f aca="false">IF($H$233&lt;=0,"",EDATE('Übersicht &amp; Eingaben'!$C$12,224))</f>
        <v>52841</v>
      </c>
      <c r="C234" s="25" t="n">
        <f aca="false">IF($H$233&lt;=0,"",YEAR(B234))</f>
        <v>2044</v>
      </c>
      <c r="D234" s="26" t="n">
        <f aca="false">IF($H$233&lt;=0,0,MIN($H$233+($H$233*'Übersicht &amp; Eingaben'!$C$8/12),('Übersicht &amp; Eingaben'!$C$7*('Übersicht &amp; Eingaben'!$C$8+'Übersicht &amp; Eingaben'!$C$9)/12)))</f>
        <v>1312.5</v>
      </c>
      <c r="E234" s="26" t="n">
        <f aca="false">IF($H$233&lt;=0,0,($H$233*'Übersicht &amp; Eingaben'!$C$8/12))</f>
        <v>255.021393389666</v>
      </c>
      <c r="F234" s="26" t="n">
        <f aca="false">D234-E234</f>
        <v>1057.47860661033</v>
      </c>
      <c r="G234" s="27" t="n">
        <f aca="false">IF($H$233&lt;=0,0,IF(MONTH(B234)=12,MIN('Übersicht &amp; Eingaben'!$C$13,$H$233-F234),0))</f>
        <v>0</v>
      </c>
      <c r="H234" s="28" t="n">
        <f aca="false">MAX($H$233-F234-G234,0)</f>
        <v>79475.5929901263</v>
      </c>
    </row>
    <row r="235" customFormat="false" ht="18" hidden="false" customHeight="true" outlineLevel="0" collapsed="false">
      <c r="A235" s="29" t="n">
        <f aca="false">IF($H$234&lt;=0,"",226)</f>
        <v>226</v>
      </c>
      <c r="B235" s="30" t="n">
        <f aca="false">IF($H$234&lt;=0,"",EDATE('Übersicht &amp; Eingaben'!$C$12,225))</f>
        <v>52871</v>
      </c>
      <c r="C235" s="31" t="n">
        <f aca="false">IF($H$234&lt;=0,"",YEAR(B235))</f>
        <v>2044</v>
      </c>
      <c r="D235" s="32" t="n">
        <f aca="false">IF($H$234&lt;=0,0,MIN($H$234+($H$234*'Übersicht &amp; Eingaben'!$C$8/12),('Übersicht &amp; Eingaben'!$C$7*('Übersicht &amp; Eingaben'!$C$8+'Übersicht &amp; Eingaben'!$C$9)/12)))</f>
        <v>1312.5</v>
      </c>
      <c r="E235" s="32" t="n">
        <f aca="false">IF($H$234&lt;=0,0,($H$234*'Übersicht &amp; Eingaben'!$C$8/12))</f>
        <v>251.6727111354</v>
      </c>
      <c r="F235" s="32" t="n">
        <f aca="false">D235-E235</f>
        <v>1060.8272888646</v>
      </c>
      <c r="G235" s="33" t="n">
        <f aca="false">IF($H$234&lt;=0,0,IF(MONTH(B235)=12,MIN('Übersicht &amp; Eingaben'!$C$13,$H$234-F235),0))</f>
        <v>0</v>
      </c>
      <c r="H235" s="34" t="n">
        <f aca="false">MAX($H$234-F235-G235,0)</f>
        <v>78414.7657012617</v>
      </c>
    </row>
    <row r="236" customFormat="false" ht="18" hidden="false" customHeight="true" outlineLevel="0" collapsed="false">
      <c r="A236" s="23" t="n">
        <f aca="false">IF($H$235&lt;=0,"",227)</f>
        <v>227</v>
      </c>
      <c r="B236" s="24" t="n">
        <f aca="false">IF($H$235&lt;=0,"",EDATE('Übersicht &amp; Eingaben'!$C$12,226))</f>
        <v>52902</v>
      </c>
      <c r="C236" s="25" t="n">
        <f aca="false">IF($H$235&lt;=0,"",YEAR(B236))</f>
        <v>2044</v>
      </c>
      <c r="D236" s="26" t="n">
        <f aca="false">IF($H$235&lt;=0,0,MIN($H$235+($H$235*'Übersicht &amp; Eingaben'!$C$8/12),('Übersicht &amp; Eingaben'!$C$7*('Übersicht &amp; Eingaben'!$C$8+'Übersicht &amp; Eingaben'!$C$9)/12)))</f>
        <v>1312.5</v>
      </c>
      <c r="E236" s="26" t="n">
        <f aca="false">IF($H$235&lt;=0,0,($H$235*'Übersicht &amp; Eingaben'!$C$8/12))</f>
        <v>248.313424720662</v>
      </c>
      <c r="F236" s="26" t="n">
        <f aca="false">D236-E236</f>
        <v>1064.18657527934</v>
      </c>
      <c r="G236" s="27" t="n">
        <f aca="false">IF($H$235&lt;=0,0,IF(MONTH(B236)=12,MIN('Übersicht &amp; Eingaben'!$C$13,$H$235-F236),0))</f>
        <v>0</v>
      </c>
      <c r="H236" s="28" t="n">
        <f aca="false">MAX($H$235-F236-G236,0)</f>
        <v>77350.5791259824</v>
      </c>
    </row>
    <row r="237" customFormat="false" ht="18" hidden="false" customHeight="true" outlineLevel="0" collapsed="false">
      <c r="A237" s="29" t="n">
        <f aca="false">IF($H$236&lt;=0,"",228)</f>
        <v>228</v>
      </c>
      <c r="B237" s="30" t="n">
        <f aca="false">IF($H$236&lt;=0,"",EDATE('Übersicht &amp; Eingaben'!$C$12,227))</f>
        <v>52932</v>
      </c>
      <c r="C237" s="31" t="n">
        <f aca="false">IF($H$236&lt;=0,"",YEAR(B237))</f>
        <v>2044</v>
      </c>
      <c r="D237" s="32" t="n">
        <f aca="false">IF($H$236&lt;=0,0,MIN($H$236+($H$236*'Übersicht &amp; Eingaben'!$C$8/12),('Übersicht &amp; Eingaben'!$C$7*('Übersicht &amp; Eingaben'!$C$8+'Übersicht &amp; Eingaben'!$C$9)/12)))</f>
        <v>1312.5</v>
      </c>
      <c r="E237" s="32" t="n">
        <f aca="false">IF($H$236&lt;=0,0,($H$236*'Übersicht &amp; Eingaben'!$C$8/12))</f>
        <v>244.943500565611</v>
      </c>
      <c r="F237" s="32" t="n">
        <f aca="false">D237-E237</f>
        <v>1067.55649943439</v>
      </c>
      <c r="G237" s="33" t="n">
        <f aca="false">IF($H$236&lt;=0,0,IF(MONTH(B237)=12,MIN('Übersicht &amp; Eingaben'!$C$13,$H$236-F237),0))</f>
        <v>0</v>
      </c>
      <c r="H237" s="34" t="n">
        <f aca="false">MAX($H$236-F237-G237,0)</f>
        <v>76283.022626548</v>
      </c>
    </row>
    <row r="238" customFormat="false" ht="18" hidden="false" customHeight="true" outlineLevel="0" collapsed="false">
      <c r="A238" s="23" t="n">
        <f aca="false">IF($H$237&lt;=0,"",229)</f>
        <v>229</v>
      </c>
      <c r="B238" s="24" t="n">
        <f aca="false">IF($H$237&lt;=0,"",EDATE('Übersicht &amp; Eingaben'!$C$12,228))</f>
        <v>52963</v>
      </c>
      <c r="C238" s="25" t="n">
        <f aca="false">IF($H$237&lt;=0,"",YEAR(B238))</f>
        <v>2045</v>
      </c>
      <c r="D238" s="26" t="n">
        <f aca="false">IF($H$237&lt;=0,0,MIN($H$237+($H$237*'Übersicht &amp; Eingaben'!$C$8/12),('Übersicht &amp; Eingaben'!$C$7*('Übersicht &amp; Eingaben'!$C$8+'Übersicht &amp; Eingaben'!$C$9)/12)))</f>
        <v>1312.5</v>
      </c>
      <c r="E238" s="26" t="n">
        <f aca="false">IF($H$237&lt;=0,0,($H$237*'Übersicht &amp; Eingaben'!$C$8/12))</f>
        <v>241.562904984069</v>
      </c>
      <c r="F238" s="26" t="n">
        <f aca="false">D238-E238</f>
        <v>1070.93709501593</v>
      </c>
      <c r="G238" s="27" t="n">
        <f aca="false">IF($H$237&lt;=0,0,IF(MONTH(B238)=12,MIN('Übersicht &amp; Eingaben'!$C$13,$H$237-F238),0))</f>
        <v>0</v>
      </c>
      <c r="H238" s="28" t="n">
        <f aca="false">MAX($H$237-F238-G238,0)</f>
        <v>75212.0855315321</v>
      </c>
    </row>
    <row r="239" customFormat="false" ht="18" hidden="false" customHeight="true" outlineLevel="0" collapsed="false">
      <c r="A239" s="29" t="n">
        <f aca="false">IF($H$238&lt;=0,"",230)</f>
        <v>230</v>
      </c>
      <c r="B239" s="30" t="n">
        <f aca="false">IF($H$238&lt;=0,"",EDATE('Übersicht &amp; Eingaben'!$C$12,229))</f>
        <v>52994</v>
      </c>
      <c r="C239" s="31" t="n">
        <f aca="false">IF($H$238&lt;=0,"",YEAR(B239))</f>
        <v>2045</v>
      </c>
      <c r="D239" s="32" t="n">
        <f aca="false">IF($H$238&lt;=0,0,MIN($H$238+($H$238*'Übersicht &amp; Eingaben'!$C$8/12),('Übersicht &amp; Eingaben'!$C$7*('Übersicht &amp; Eingaben'!$C$8+'Übersicht &amp; Eingaben'!$C$9)/12)))</f>
        <v>1312.5</v>
      </c>
      <c r="E239" s="32" t="n">
        <f aca="false">IF($H$238&lt;=0,0,($H$238*'Übersicht &amp; Eingaben'!$C$8/12))</f>
        <v>238.171604183185</v>
      </c>
      <c r="F239" s="32" t="n">
        <f aca="false">D239-E239</f>
        <v>1074.32839581682</v>
      </c>
      <c r="G239" s="33" t="n">
        <f aca="false">IF($H$238&lt;=0,0,IF(MONTH(B239)=12,MIN('Übersicht &amp; Eingaben'!$C$13,$H$238-F239),0))</f>
        <v>0</v>
      </c>
      <c r="H239" s="34" t="n">
        <f aca="false">MAX($H$238-F239-G239,0)</f>
        <v>74137.7571357153</v>
      </c>
    </row>
    <row r="240" customFormat="false" ht="18" hidden="false" customHeight="true" outlineLevel="0" collapsed="false">
      <c r="A240" s="23" t="n">
        <f aca="false">IF($H$239&lt;=0,"",231)</f>
        <v>231</v>
      </c>
      <c r="B240" s="24" t="n">
        <f aca="false">IF($H$239&lt;=0,"",EDATE('Übersicht &amp; Eingaben'!$C$12,230))</f>
        <v>53022</v>
      </c>
      <c r="C240" s="25" t="n">
        <f aca="false">IF($H$239&lt;=0,"",YEAR(B240))</f>
        <v>2045</v>
      </c>
      <c r="D240" s="26" t="n">
        <f aca="false">IF($H$239&lt;=0,0,MIN($H$239+($H$239*'Übersicht &amp; Eingaben'!$C$8/12),('Übersicht &amp; Eingaben'!$C$7*('Übersicht &amp; Eingaben'!$C$8+'Übersicht &amp; Eingaben'!$C$9)/12)))</f>
        <v>1312.5</v>
      </c>
      <c r="E240" s="26" t="n">
        <f aca="false">IF($H$239&lt;=0,0,($H$239*'Übersicht &amp; Eingaben'!$C$8/12))</f>
        <v>234.769564263098</v>
      </c>
      <c r="F240" s="26" t="n">
        <f aca="false">D240-E240</f>
        <v>1077.7304357369</v>
      </c>
      <c r="G240" s="27" t="n">
        <f aca="false">IF($H$239&lt;=0,0,IF(MONTH(B240)=12,MIN('Übersicht &amp; Eingaben'!$C$13,$H$239-F240),0))</f>
        <v>0</v>
      </c>
      <c r="H240" s="28" t="n">
        <f aca="false">MAX($H$239-F240-G240,0)</f>
        <v>73060.0266999784</v>
      </c>
    </row>
    <row r="241" customFormat="false" ht="18" hidden="false" customHeight="true" outlineLevel="0" collapsed="false">
      <c r="A241" s="29" t="n">
        <f aca="false">IF($H$240&lt;=0,"",232)</f>
        <v>232</v>
      </c>
      <c r="B241" s="30" t="n">
        <f aca="false">IF($H$240&lt;=0,"",EDATE('Übersicht &amp; Eingaben'!$C$12,231))</f>
        <v>53053</v>
      </c>
      <c r="C241" s="31" t="n">
        <f aca="false">IF($H$240&lt;=0,"",YEAR(B241))</f>
        <v>2045</v>
      </c>
      <c r="D241" s="32" t="n">
        <f aca="false">IF($H$240&lt;=0,0,MIN($H$240+($H$240*'Übersicht &amp; Eingaben'!$C$8/12),('Übersicht &amp; Eingaben'!$C$7*('Übersicht &amp; Eingaben'!$C$8+'Übersicht &amp; Eingaben'!$C$9)/12)))</f>
        <v>1312.5</v>
      </c>
      <c r="E241" s="32" t="n">
        <f aca="false">IF($H$240&lt;=0,0,($H$240*'Übersicht &amp; Eingaben'!$C$8/12))</f>
        <v>231.356751216598</v>
      </c>
      <c r="F241" s="32" t="n">
        <f aca="false">D241-E241</f>
        <v>1081.1432487834</v>
      </c>
      <c r="G241" s="33" t="n">
        <f aca="false">IF($H$240&lt;=0,0,IF(MONTH(B241)=12,MIN('Übersicht &amp; Eingaben'!$C$13,$H$240-F241),0))</f>
        <v>0</v>
      </c>
      <c r="H241" s="34" t="n">
        <f aca="false">MAX($H$240-F241-G241,0)</f>
        <v>71978.883451195</v>
      </c>
    </row>
    <row r="242" customFormat="false" ht="18" hidden="false" customHeight="true" outlineLevel="0" collapsed="false">
      <c r="A242" s="23" t="n">
        <f aca="false">IF($H$241&lt;=0,"",233)</f>
        <v>233</v>
      </c>
      <c r="B242" s="24" t="n">
        <f aca="false">IF($H$241&lt;=0,"",EDATE('Übersicht &amp; Eingaben'!$C$12,232))</f>
        <v>53083</v>
      </c>
      <c r="C242" s="25" t="n">
        <f aca="false">IF($H$241&lt;=0,"",YEAR(B242))</f>
        <v>2045</v>
      </c>
      <c r="D242" s="26" t="n">
        <f aca="false">IF($H$241&lt;=0,0,MIN($H$241+($H$241*'Übersicht &amp; Eingaben'!$C$8/12),('Übersicht &amp; Eingaben'!$C$7*('Übersicht &amp; Eingaben'!$C$8+'Übersicht &amp; Eingaben'!$C$9)/12)))</f>
        <v>1312.5</v>
      </c>
      <c r="E242" s="26" t="n">
        <f aca="false">IF($H$241&lt;=0,0,($H$241*'Übersicht &amp; Eingaben'!$C$8/12))</f>
        <v>227.933130928784</v>
      </c>
      <c r="F242" s="26" t="n">
        <f aca="false">D242-E242</f>
        <v>1084.56686907122</v>
      </c>
      <c r="G242" s="27" t="n">
        <f aca="false">IF($H$241&lt;=0,0,IF(MONTH(B242)=12,MIN('Übersicht &amp; Eingaben'!$C$13,$H$241-F242),0))</f>
        <v>0</v>
      </c>
      <c r="H242" s="28" t="n">
        <f aca="false">MAX($H$241-F242-G242,0)</f>
        <v>70894.3165821238</v>
      </c>
    </row>
    <row r="243" customFormat="false" ht="18" hidden="false" customHeight="true" outlineLevel="0" collapsed="false">
      <c r="A243" s="29" t="n">
        <f aca="false">IF($H$242&lt;=0,"",234)</f>
        <v>234</v>
      </c>
      <c r="B243" s="30" t="n">
        <f aca="false">IF($H$242&lt;=0,"",EDATE('Übersicht &amp; Eingaben'!$C$12,233))</f>
        <v>53114</v>
      </c>
      <c r="C243" s="31" t="n">
        <f aca="false">IF($H$242&lt;=0,"",YEAR(B243))</f>
        <v>2045</v>
      </c>
      <c r="D243" s="32" t="n">
        <f aca="false">IF($H$242&lt;=0,0,MIN($H$242+($H$242*'Übersicht &amp; Eingaben'!$C$8/12),('Übersicht &amp; Eingaben'!$C$7*('Übersicht &amp; Eingaben'!$C$8+'Übersicht &amp; Eingaben'!$C$9)/12)))</f>
        <v>1312.5</v>
      </c>
      <c r="E243" s="32" t="n">
        <f aca="false">IF($H$242&lt;=0,0,($H$242*'Übersicht &amp; Eingaben'!$C$8/12))</f>
        <v>224.498669176725</v>
      </c>
      <c r="F243" s="32" t="n">
        <f aca="false">D243-E243</f>
        <v>1088.00133082327</v>
      </c>
      <c r="G243" s="33" t="n">
        <f aca="false">IF($H$242&lt;=0,0,IF(MONTH(B243)=12,MIN('Übersicht &amp; Eingaben'!$C$13,$H$242-F243),0))</f>
        <v>0</v>
      </c>
      <c r="H243" s="34" t="n">
        <f aca="false">MAX($H$242-F243-G243,0)</f>
        <v>69806.3152513005</v>
      </c>
    </row>
    <row r="244" customFormat="false" ht="18" hidden="false" customHeight="true" outlineLevel="0" collapsed="false">
      <c r="A244" s="23" t="n">
        <f aca="false">IF($H$243&lt;=0,"",235)</f>
        <v>235</v>
      </c>
      <c r="B244" s="24" t="n">
        <f aca="false">IF($H$243&lt;=0,"",EDATE('Übersicht &amp; Eingaben'!$C$12,234))</f>
        <v>53144</v>
      </c>
      <c r="C244" s="25" t="n">
        <f aca="false">IF($H$243&lt;=0,"",YEAR(B244))</f>
        <v>2045</v>
      </c>
      <c r="D244" s="26" t="n">
        <f aca="false">IF($H$243&lt;=0,0,MIN($H$243+($H$243*'Übersicht &amp; Eingaben'!$C$8/12),('Übersicht &amp; Eingaben'!$C$7*('Übersicht &amp; Eingaben'!$C$8+'Übersicht &amp; Eingaben'!$C$9)/12)))</f>
        <v>1312.5</v>
      </c>
      <c r="E244" s="26" t="n">
        <f aca="false">IF($H$243&lt;=0,0,($H$243*'Übersicht &amp; Eingaben'!$C$8/12))</f>
        <v>221.053331629118</v>
      </c>
      <c r="F244" s="26" t="n">
        <f aca="false">D244-E244</f>
        <v>1091.44666837088</v>
      </c>
      <c r="G244" s="27" t="n">
        <f aca="false">IF($H$243&lt;=0,0,IF(MONTH(B244)=12,MIN('Übersicht &amp; Eingaben'!$C$13,$H$243-F244),0))</f>
        <v>0</v>
      </c>
      <c r="H244" s="28" t="n">
        <f aca="false">MAX($H$243-F244-G244,0)</f>
        <v>68714.8685829296</v>
      </c>
    </row>
    <row r="245" customFormat="false" ht="18" hidden="false" customHeight="true" outlineLevel="0" collapsed="false">
      <c r="A245" s="29" t="n">
        <f aca="false">IF($H$244&lt;=0,"",236)</f>
        <v>236</v>
      </c>
      <c r="B245" s="30" t="n">
        <f aca="false">IF($H$244&lt;=0,"",EDATE('Übersicht &amp; Eingaben'!$C$12,235))</f>
        <v>53175</v>
      </c>
      <c r="C245" s="31" t="n">
        <f aca="false">IF($H$244&lt;=0,"",YEAR(B245))</f>
        <v>2045</v>
      </c>
      <c r="D245" s="32" t="n">
        <f aca="false">IF($H$244&lt;=0,0,MIN($H$244+($H$244*'Übersicht &amp; Eingaben'!$C$8/12),('Übersicht &amp; Eingaben'!$C$7*('Übersicht &amp; Eingaben'!$C$8+'Übersicht &amp; Eingaben'!$C$9)/12)))</f>
        <v>1312.5</v>
      </c>
      <c r="E245" s="32" t="n">
        <f aca="false">IF($H$244&lt;=0,0,($H$244*'Übersicht &amp; Eingaben'!$C$8/12))</f>
        <v>217.597083845944</v>
      </c>
      <c r="F245" s="32" t="n">
        <f aca="false">D245-E245</f>
        <v>1094.90291615406</v>
      </c>
      <c r="G245" s="33" t="n">
        <f aca="false">IF($H$244&lt;=0,0,IF(MONTH(B245)=12,MIN('Übersicht &amp; Eingaben'!$C$13,$H$244-F245),0))</f>
        <v>0</v>
      </c>
      <c r="H245" s="34" t="n">
        <f aca="false">MAX($H$244-F245-G245,0)</f>
        <v>67619.9656667755</v>
      </c>
    </row>
    <row r="246" customFormat="false" ht="18" hidden="false" customHeight="true" outlineLevel="0" collapsed="false">
      <c r="A246" s="23" t="n">
        <f aca="false">IF($H$245&lt;=0,"",237)</f>
        <v>237</v>
      </c>
      <c r="B246" s="24" t="n">
        <f aca="false">IF($H$245&lt;=0,"",EDATE('Übersicht &amp; Eingaben'!$C$12,236))</f>
        <v>53206</v>
      </c>
      <c r="C246" s="25" t="n">
        <f aca="false">IF($H$245&lt;=0,"",YEAR(B246))</f>
        <v>2045</v>
      </c>
      <c r="D246" s="26" t="n">
        <f aca="false">IF($H$245&lt;=0,0,MIN($H$245+($H$245*'Übersicht &amp; Eingaben'!$C$8/12),('Übersicht &amp; Eingaben'!$C$7*('Übersicht &amp; Eingaben'!$C$8+'Übersicht &amp; Eingaben'!$C$9)/12)))</f>
        <v>1312.5</v>
      </c>
      <c r="E246" s="26" t="n">
        <f aca="false">IF($H$245&lt;=0,0,($H$245*'Übersicht &amp; Eingaben'!$C$8/12))</f>
        <v>214.129891278123</v>
      </c>
      <c r="F246" s="26" t="n">
        <f aca="false">D246-E246</f>
        <v>1098.37010872188</v>
      </c>
      <c r="G246" s="27" t="n">
        <f aca="false">IF($H$245&lt;=0,0,IF(MONTH(B246)=12,MIN('Übersicht &amp; Eingaben'!$C$13,$H$245-F246),0))</f>
        <v>0</v>
      </c>
      <c r="H246" s="28" t="n">
        <f aca="false">MAX($H$245-F246-G246,0)</f>
        <v>66521.5955580537</v>
      </c>
    </row>
    <row r="247" customFormat="false" ht="18" hidden="false" customHeight="true" outlineLevel="0" collapsed="false">
      <c r="A247" s="29" t="n">
        <f aca="false">IF($H$246&lt;=0,"",238)</f>
        <v>238</v>
      </c>
      <c r="B247" s="30" t="n">
        <f aca="false">IF($H$246&lt;=0,"",EDATE('Übersicht &amp; Eingaben'!$C$12,237))</f>
        <v>53236</v>
      </c>
      <c r="C247" s="31" t="n">
        <f aca="false">IF($H$246&lt;=0,"",YEAR(B247))</f>
        <v>2045</v>
      </c>
      <c r="D247" s="32" t="n">
        <f aca="false">IF($H$246&lt;=0,0,MIN($H$246+($H$246*'Übersicht &amp; Eingaben'!$C$8/12),('Übersicht &amp; Eingaben'!$C$7*('Übersicht &amp; Eingaben'!$C$8+'Übersicht &amp; Eingaben'!$C$9)/12)))</f>
        <v>1312.5</v>
      </c>
      <c r="E247" s="32" t="n">
        <f aca="false">IF($H$246&lt;=0,0,($H$246*'Übersicht &amp; Eingaben'!$C$8/12))</f>
        <v>210.65171926717</v>
      </c>
      <c r="F247" s="32" t="n">
        <f aca="false">D247-E247</f>
        <v>1101.84828073283</v>
      </c>
      <c r="G247" s="33" t="n">
        <f aca="false">IF($H$246&lt;=0,0,IF(MONTH(B247)=12,MIN('Übersicht &amp; Eingaben'!$C$13,$H$246-F247),0))</f>
        <v>0</v>
      </c>
      <c r="H247" s="34" t="n">
        <f aca="false">MAX($H$246-F247-G247,0)</f>
        <v>65419.7472773208</v>
      </c>
    </row>
    <row r="248" customFormat="false" ht="18" hidden="false" customHeight="true" outlineLevel="0" collapsed="false">
      <c r="A248" s="23" t="n">
        <f aca="false">IF($H$247&lt;=0,"",239)</f>
        <v>239</v>
      </c>
      <c r="B248" s="24" t="n">
        <f aca="false">IF($H$247&lt;=0,"",EDATE('Übersicht &amp; Eingaben'!$C$12,238))</f>
        <v>53267</v>
      </c>
      <c r="C248" s="25" t="n">
        <f aca="false">IF($H$247&lt;=0,"",YEAR(B248))</f>
        <v>2045</v>
      </c>
      <c r="D248" s="26" t="n">
        <f aca="false">IF($H$247&lt;=0,0,MIN($H$247+($H$247*'Übersicht &amp; Eingaben'!$C$8/12),('Übersicht &amp; Eingaben'!$C$7*('Übersicht &amp; Eingaben'!$C$8+'Übersicht &amp; Eingaben'!$C$9)/12)))</f>
        <v>1312.5</v>
      </c>
      <c r="E248" s="26" t="n">
        <f aca="false">IF($H$247&lt;=0,0,($H$247*'Übersicht &amp; Eingaben'!$C$8/12))</f>
        <v>207.162533044849</v>
      </c>
      <c r="F248" s="26" t="n">
        <f aca="false">D248-E248</f>
        <v>1105.33746695515</v>
      </c>
      <c r="G248" s="27" t="n">
        <f aca="false">IF($H$247&lt;=0,0,IF(MONTH(B248)=12,MIN('Übersicht &amp; Eingaben'!$C$13,$H$247-F248),0))</f>
        <v>0</v>
      </c>
      <c r="H248" s="28" t="n">
        <f aca="false">MAX($H$247-F248-G248,0)</f>
        <v>64314.4098103657</v>
      </c>
    </row>
    <row r="249" customFormat="false" ht="18" hidden="false" customHeight="true" outlineLevel="0" collapsed="false">
      <c r="A249" s="29" t="n">
        <f aca="false">IF($H$248&lt;=0,"",240)</f>
        <v>240</v>
      </c>
      <c r="B249" s="30" t="n">
        <f aca="false">IF($H$248&lt;=0,"",EDATE('Übersicht &amp; Eingaben'!$C$12,239))</f>
        <v>53297</v>
      </c>
      <c r="C249" s="31" t="n">
        <f aca="false">IF($H$248&lt;=0,"",YEAR(B249))</f>
        <v>2045</v>
      </c>
      <c r="D249" s="32" t="n">
        <f aca="false">IF($H$248&lt;=0,0,MIN($H$248+($H$248*'Übersicht &amp; Eingaben'!$C$8/12),('Übersicht &amp; Eingaben'!$C$7*('Übersicht &amp; Eingaben'!$C$8+'Übersicht &amp; Eingaben'!$C$9)/12)))</f>
        <v>1312.5</v>
      </c>
      <c r="E249" s="32" t="n">
        <f aca="false">IF($H$248&lt;=0,0,($H$248*'Übersicht &amp; Eingaben'!$C$8/12))</f>
        <v>203.662297732825</v>
      </c>
      <c r="F249" s="32" t="n">
        <f aca="false">D249-E249</f>
        <v>1108.83770226718</v>
      </c>
      <c r="G249" s="33" t="n">
        <f aca="false">IF($H$248&lt;=0,0,IF(MONTH(B249)=12,MIN('Übersicht &amp; Eingaben'!$C$13,$H$248-F249),0))</f>
        <v>0</v>
      </c>
      <c r="H249" s="34" t="n">
        <f aca="false">MAX($H$248-F249-G249,0)</f>
        <v>63205.5721080985</v>
      </c>
    </row>
    <row r="250" customFormat="false" ht="18" hidden="false" customHeight="true" outlineLevel="0" collapsed="false">
      <c r="A250" s="23" t="n">
        <f aca="false">IF($H$249&lt;=0,"",241)</f>
        <v>241</v>
      </c>
      <c r="B250" s="24" t="n">
        <f aca="false">IF($H$249&lt;=0,"",EDATE('Übersicht &amp; Eingaben'!$C$12,240))</f>
        <v>53328</v>
      </c>
      <c r="C250" s="25" t="n">
        <f aca="false">IF($H$249&lt;=0,"",YEAR(B250))</f>
        <v>2046</v>
      </c>
      <c r="D250" s="26" t="n">
        <f aca="false">IF($H$249&lt;=0,0,MIN($H$249+($H$249*'Übersicht &amp; Eingaben'!$C$8/12),('Übersicht &amp; Eingaben'!$C$7*('Übersicht &amp; Eingaben'!$C$8+'Übersicht &amp; Eingaben'!$C$9)/12)))</f>
        <v>1312.5</v>
      </c>
      <c r="E250" s="26" t="n">
        <f aca="false">IF($H$249&lt;=0,0,($H$249*'Übersicht &amp; Eingaben'!$C$8/12))</f>
        <v>200.150978342312</v>
      </c>
      <c r="F250" s="26" t="n">
        <f aca="false">D250-E250</f>
        <v>1112.34902165769</v>
      </c>
      <c r="G250" s="27" t="n">
        <f aca="false">IF($H$249&lt;=0,0,IF(MONTH(B250)=12,MIN('Übersicht &amp; Eingaben'!$C$13,$H$249-F250),0))</f>
        <v>0</v>
      </c>
      <c r="H250" s="28" t="n">
        <f aca="false">MAX($H$249-F250-G250,0)</f>
        <v>62093.2230864408</v>
      </c>
    </row>
    <row r="251" customFormat="false" ht="18" hidden="false" customHeight="true" outlineLevel="0" collapsed="false">
      <c r="A251" s="29" t="n">
        <f aca="false">IF($H$250&lt;=0,"",242)</f>
        <v>242</v>
      </c>
      <c r="B251" s="30" t="n">
        <f aca="false">IF($H$250&lt;=0,"",EDATE('Übersicht &amp; Eingaben'!$C$12,241))</f>
        <v>53359</v>
      </c>
      <c r="C251" s="31" t="n">
        <f aca="false">IF($H$250&lt;=0,"",YEAR(B251))</f>
        <v>2046</v>
      </c>
      <c r="D251" s="32" t="n">
        <f aca="false">IF($H$250&lt;=0,0,MIN($H$250+($H$250*'Übersicht &amp; Eingaben'!$C$8/12),('Übersicht &amp; Eingaben'!$C$7*('Übersicht &amp; Eingaben'!$C$8+'Übersicht &amp; Eingaben'!$C$9)/12)))</f>
        <v>1312.5</v>
      </c>
      <c r="E251" s="32" t="n">
        <f aca="false">IF($H$250&lt;=0,0,($H$250*'Übersicht &amp; Eingaben'!$C$8/12))</f>
        <v>196.628539773729</v>
      </c>
      <c r="F251" s="32" t="n">
        <f aca="false">D251-E251</f>
        <v>1115.87146022627</v>
      </c>
      <c r="G251" s="33" t="n">
        <f aca="false">IF($H$250&lt;=0,0,IF(MONTH(B251)=12,MIN('Übersicht &amp; Eingaben'!$C$13,$H$250-F251),0))</f>
        <v>0</v>
      </c>
      <c r="H251" s="34" t="n">
        <f aca="false">MAX($H$250-F251-G251,0)</f>
        <v>60977.3516262145</v>
      </c>
    </row>
    <row r="252" customFormat="false" ht="18" hidden="false" customHeight="true" outlineLevel="0" collapsed="false">
      <c r="A252" s="23" t="n">
        <f aca="false">IF($H$251&lt;=0,"",243)</f>
        <v>243</v>
      </c>
      <c r="B252" s="24" t="n">
        <f aca="false">IF($H$251&lt;=0,"",EDATE('Übersicht &amp; Eingaben'!$C$12,242))</f>
        <v>53387</v>
      </c>
      <c r="C252" s="25" t="n">
        <f aca="false">IF($H$251&lt;=0,"",YEAR(B252))</f>
        <v>2046</v>
      </c>
      <c r="D252" s="26" t="n">
        <f aca="false">IF($H$251&lt;=0,0,MIN($H$251+($H$251*'Übersicht &amp; Eingaben'!$C$8/12),('Übersicht &amp; Eingaben'!$C$7*('Übersicht &amp; Eingaben'!$C$8+'Übersicht &amp; Eingaben'!$C$9)/12)))</f>
        <v>1312.5</v>
      </c>
      <c r="E252" s="26" t="n">
        <f aca="false">IF($H$251&lt;=0,0,($H$251*'Übersicht &amp; Eingaben'!$C$8/12))</f>
        <v>193.094946816346</v>
      </c>
      <c r="F252" s="26" t="n">
        <f aca="false">D252-E252</f>
        <v>1119.40505318365</v>
      </c>
      <c r="G252" s="27" t="n">
        <f aca="false">IF($H$251&lt;=0,0,IF(MONTH(B252)=12,MIN('Übersicht &amp; Eingaben'!$C$13,$H$251-F252),0))</f>
        <v>0</v>
      </c>
      <c r="H252" s="28" t="n">
        <f aca="false">MAX($H$251-F252-G252,0)</f>
        <v>59857.9465730309</v>
      </c>
    </row>
    <row r="253" customFormat="false" ht="18" hidden="false" customHeight="true" outlineLevel="0" collapsed="false">
      <c r="A253" s="29" t="n">
        <f aca="false">IF($H$252&lt;=0,"",244)</f>
        <v>244</v>
      </c>
      <c r="B253" s="30" t="n">
        <f aca="false">IF($H$252&lt;=0,"",EDATE('Übersicht &amp; Eingaben'!$C$12,243))</f>
        <v>53418</v>
      </c>
      <c r="C253" s="31" t="n">
        <f aca="false">IF($H$252&lt;=0,"",YEAR(B253))</f>
        <v>2046</v>
      </c>
      <c r="D253" s="32" t="n">
        <f aca="false">IF($H$252&lt;=0,0,MIN($H$252+($H$252*'Übersicht &amp; Eingaben'!$C$8/12),('Übersicht &amp; Eingaben'!$C$7*('Übersicht &amp; Eingaben'!$C$8+'Übersicht &amp; Eingaben'!$C$9)/12)))</f>
        <v>1312.5</v>
      </c>
      <c r="E253" s="32" t="n">
        <f aca="false">IF($H$252&lt;=0,0,($H$252*'Übersicht &amp; Eingaben'!$C$8/12))</f>
        <v>189.550164147931</v>
      </c>
      <c r="F253" s="32" t="n">
        <f aca="false">D253-E253</f>
        <v>1122.94983585207</v>
      </c>
      <c r="G253" s="33" t="n">
        <f aca="false">IF($H$252&lt;=0,0,IF(MONTH(B253)=12,MIN('Übersicht &amp; Eingaben'!$C$13,$H$252-F253),0))</f>
        <v>0</v>
      </c>
      <c r="H253" s="34" t="n">
        <f aca="false">MAX($H$252-F253-G253,0)</f>
        <v>58734.9967371788</v>
      </c>
    </row>
    <row r="254" customFormat="false" ht="18" hidden="false" customHeight="true" outlineLevel="0" collapsed="false">
      <c r="A254" s="23" t="n">
        <f aca="false">IF($H$253&lt;=0,"",245)</f>
        <v>245</v>
      </c>
      <c r="B254" s="24" t="n">
        <f aca="false">IF($H$253&lt;=0,"",EDATE('Übersicht &amp; Eingaben'!$C$12,244))</f>
        <v>53448</v>
      </c>
      <c r="C254" s="25" t="n">
        <f aca="false">IF($H$253&lt;=0,"",YEAR(B254))</f>
        <v>2046</v>
      </c>
      <c r="D254" s="26" t="n">
        <f aca="false">IF($H$253&lt;=0,0,MIN($H$253+($H$253*'Übersicht &amp; Eingaben'!$C$8/12),('Übersicht &amp; Eingaben'!$C$7*('Übersicht &amp; Eingaben'!$C$8+'Übersicht &amp; Eingaben'!$C$9)/12)))</f>
        <v>1312.5</v>
      </c>
      <c r="E254" s="26" t="n">
        <f aca="false">IF($H$253&lt;=0,0,($H$253*'Übersicht &amp; Eingaben'!$C$8/12))</f>
        <v>185.9941563344</v>
      </c>
      <c r="F254" s="26" t="n">
        <f aca="false">D254-E254</f>
        <v>1126.5058436656</v>
      </c>
      <c r="G254" s="27" t="n">
        <f aca="false">IF($H$253&lt;=0,0,IF(MONTH(B254)=12,MIN('Übersicht &amp; Eingaben'!$C$13,$H$253-F254),0))</f>
        <v>0</v>
      </c>
      <c r="H254" s="28" t="n">
        <f aca="false">MAX($H$253-F254-G254,0)</f>
        <v>57608.4908935132</v>
      </c>
    </row>
    <row r="255" customFormat="false" ht="18" hidden="false" customHeight="true" outlineLevel="0" collapsed="false">
      <c r="A255" s="29" t="n">
        <f aca="false">IF($H$254&lt;=0,"",246)</f>
        <v>246</v>
      </c>
      <c r="B255" s="30" t="n">
        <f aca="false">IF($H$254&lt;=0,"",EDATE('Übersicht &amp; Eingaben'!$C$12,245))</f>
        <v>53479</v>
      </c>
      <c r="C255" s="31" t="n">
        <f aca="false">IF($H$254&lt;=0,"",YEAR(B255))</f>
        <v>2046</v>
      </c>
      <c r="D255" s="32" t="n">
        <f aca="false">IF($H$254&lt;=0,0,MIN($H$254+($H$254*'Übersicht &amp; Eingaben'!$C$8/12),('Übersicht &amp; Eingaben'!$C$7*('Übersicht &amp; Eingaben'!$C$8+'Übersicht &amp; Eingaben'!$C$9)/12)))</f>
        <v>1312.5</v>
      </c>
      <c r="E255" s="32" t="n">
        <f aca="false">IF($H$254&lt;=0,0,($H$254*'Übersicht &amp; Eingaben'!$C$8/12))</f>
        <v>182.426887829458</v>
      </c>
      <c r="F255" s="32" t="n">
        <f aca="false">D255-E255</f>
        <v>1130.07311217054</v>
      </c>
      <c r="G255" s="33" t="n">
        <f aca="false">IF($H$254&lt;=0,0,IF(MONTH(B255)=12,MIN('Übersicht &amp; Eingaben'!$C$13,$H$254-F255),0))</f>
        <v>0</v>
      </c>
      <c r="H255" s="34" t="n">
        <f aca="false">MAX($H$254-F255-G255,0)</f>
        <v>56478.4177813427</v>
      </c>
    </row>
    <row r="256" customFormat="false" ht="18" hidden="false" customHeight="true" outlineLevel="0" collapsed="false">
      <c r="A256" s="23" t="n">
        <f aca="false">IF($H$255&lt;=0,"",247)</f>
        <v>247</v>
      </c>
      <c r="B256" s="24" t="n">
        <f aca="false">IF($H$255&lt;=0,"",EDATE('Übersicht &amp; Eingaben'!$C$12,246))</f>
        <v>53509</v>
      </c>
      <c r="C256" s="25" t="n">
        <f aca="false">IF($H$255&lt;=0,"",YEAR(B256))</f>
        <v>2046</v>
      </c>
      <c r="D256" s="26" t="n">
        <f aca="false">IF($H$255&lt;=0,0,MIN($H$255+($H$255*'Übersicht &amp; Eingaben'!$C$8/12),('Übersicht &amp; Eingaben'!$C$7*('Übersicht &amp; Eingaben'!$C$8+'Übersicht &amp; Eingaben'!$C$9)/12)))</f>
        <v>1312.5</v>
      </c>
      <c r="E256" s="26" t="n">
        <f aca="false">IF($H$255&lt;=0,0,($H$255*'Übersicht &amp; Eingaben'!$C$8/12))</f>
        <v>178.848322974252</v>
      </c>
      <c r="F256" s="26" t="n">
        <f aca="false">D256-E256</f>
        <v>1133.65167702575</v>
      </c>
      <c r="G256" s="27" t="n">
        <f aca="false">IF($H$255&lt;=0,0,IF(MONTH(B256)=12,MIN('Übersicht &amp; Eingaben'!$C$13,$H$255-F256),0))</f>
        <v>0</v>
      </c>
      <c r="H256" s="28" t="n">
        <f aca="false">MAX($H$255-F256-G256,0)</f>
        <v>55344.7661043169</v>
      </c>
    </row>
    <row r="257" customFormat="false" ht="18" hidden="false" customHeight="true" outlineLevel="0" collapsed="false">
      <c r="A257" s="29" t="n">
        <f aca="false">IF($H$256&lt;=0,"",248)</f>
        <v>248</v>
      </c>
      <c r="B257" s="30" t="n">
        <f aca="false">IF($H$256&lt;=0,"",EDATE('Übersicht &amp; Eingaben'!$C$12,247))</f>
        <v>53540</v>
      </c>
      <c r="C257" s="31" t="n">
        <f aca="false">IF($H$256&lt;=0,"",YEAR(B257))</f>
        <v>2046</v>
      </c>
      <c r="D257" s="32" t="n">
        <f aca="false">IF($H$256&lt;=0,0,MIN($H$256+($H$256*'Übersicht &amp; Eingaben'!$C$8/12),('Übersicht &amp; Eingaben'!$C$7*('Übersicht &amp; Eingaben'!$C$8+'Übersicht &amp; Eingaben'!$C$9)/12)))</f>
        <v>1312.5</v>
      </c>
      <c r="E257" s="32" t="n">
        <f aca="false">IF($H$256&lt;=0,0,($H$256*'Übersicht &amp; Eingaben'!$C$8/12))</f>
        <v>175.258425997004</v>
      </c>
      <c r="F257" s="32" t="n">
        <f aca="false">D257-E257</f>
        <v>1137.241574003</v>
      </c>
      <c r="G257" s="33" t="n">
        <f aca="false">IF($H$256&lt;=0,0,IF(MONTH(B257)=12,MIN('Übersicht &amp; Eingaben'!$C$13,$H$256-F257),0))</f>
        <v>0</v>
      </c>
      <c r="H257" s="34" t="n">
        <f aca="false">MAX($H$256-F257-G257,0)</f>
        <v>54207.5245303139</v>
      </c>
    </row>
    <row r="258" customFormat="false" ht="18" hidden="false" customHeight="true" outlineLevel="0" collapsed="false">
      <c r="A258" s="23" t="n">
        <f aca="false">IF($H$257&lt;=0,"",249)</f>
        <v>249</v>
      </c>
      <c r="B258" s="24" t="n">
        <f aca="false">IF($H$257&lt;=0,"",EDATE('Übersicht &amp; Eingaben'!$C$12,248))</f>
        <v>53571</v>
      </c>
      <c r="C258" s="25" t="n">
        <f aca="false">IF($H$257&lt;=0,"",YEAR(B258))</f>
        <v>2046</v>
      </c>
      <c r="D258" s="26" t="n">
        <f aca="false">IF($H$257&lt;=0,0,MIN($H$257+($H$257*'Übersicht &amp; Eingaben'!$C$8/12),('Übersicht &amp; Eingaben'!$C$7*('Übersicht &amp; Eingaben'!$C$8+'Übersicht &amp; Eingaben'!$C$9)/12)))</f>
        <v>1312.5</v>
      </c>
      <c r="E258" s="26" t="n">
        <f aca="false">IF($H$257&lt;=0,0,($H$257*'Übersicht &amp; Eingaben'!$C$8/12))</f>
        <v>171.657161012661</v>
      </c>
      <c r="F258" s="26" t="n">
        <f aca="false">D258-E258</f>
        <v>1140.84283898734</v>
      </c>
      <c r="G258" s="27" t="n">
        <f aca="false">IF($H$257&lt;=0,0,IF(MONTH(B258)=12,MIN('Übersicht &amp; Eingaben'!$C$13,$H$257-F258),0))</f>
        <v>0</v>
      </c>
      <c r="H258" s="28" t="n">
        <f aca="false">MAX($H$257-F258-G258,0)</f>
        <v>53066.6816913266</v>
      </c>
    </row>
    <row r="259" customFormat="false" ht="18" hidden="false" customHeight="true" outlineLevel="0" collapsed="false">
      <c r="A259" s="29" t="n">
        <f aca="false">IF($H$258&lt;=0,"",250)</f>
        <v>250</v>
      </c>
      <c r="B259" s="30" t="n">
        <f aca="false">IF($H$258&lt;=0,"",EDATE('Übersicht &amp; Eingaben'!$C$12,249))</f>
        <v>53601</v>
      </c>
      <c r="C259" s="31" t="n">
        <f aca="false">IF($H$258&lt;=0,"",YEAR(B259))</f>
        <v>2046</v>
      </c>
      <c r="D259" s="32" t="n">
        <f aca="false">IF($H$258&lt;=0,0,MIN($H$258+($H$258*'Übersicht &amp; Eingaben'!$C$8/12),('Übersicht &amp; Eingaben'!$C$7*('Übersicht &amp; Eingaben'!$C$8+'Übersicht &amp; Eingaben'!$C$9)/12)))</f>
        <v>1312.5</v>
      </c>
      <c r="E259" s="32" t="n">
        <f aca="false">IF($H$258&lt;=0,0,($H$258*'Übersicht &amp; Eingaben'!$C$8/12))</f>
        <v>168.044492022534</v>
      </c>
      <c r="F259" s="32" t="n">
        <f aca="false">D259-E259</f>
        <v>1144.45550797747</v>
      </c>
      <c r="G259" s="33" t="n">
        <f aca="false">IF($H$258&lt;=0,0,IF(MONTH(B259)=12,MIN('Übersicht &amp; Eingaben'!$C$13,$H$258-F259),0))</f>
        <v>0</v>
      </c>
      <c r="H259" s="34" t="n">
        <f aca="false">MAX($H$258-F259-G259,0)</f>
        <v>51922.2261833491</v>
      </c>
    </row>
    <row r="260" customFormat="false" ht="18" hidden="false" customHeight="true" outlineLevel="0" collapsed="false">
      <c r="A260" s="23" t="n">
        <f aca="false">IF($H$259&lt;=0,"",251)</f>
        <v>251</v>
      </c>
      <c r="B260" s="24" t="n">
        <f aca="false">IF($H$259&lt;=0,"",EDATE('Übersicht &amp; Eingaben'!$C$12,250))</f>
        <v>53632</v>
      </c>
      <c r="C260" s="25" t="n">
        <f aca="false">IF($H$259&lt;=0,"",YEAR(B260))</f>
        <v>2046</v>
      </c>
      <c r="D260" s="26" t="n">
        <f aca="false">IF($H$259&lt;=0,0,MIN($H$259+($H$259*'Übersicht &amp; Eingaben'!$C$8/12),('Übersicht &amp; Eingaben'!$C$7*('Übersicht &amp; Eingaben'!$C$8+'Übersicht &amp; Eingaben'!$C$9)/12)))</f>
        <v>1312.5</v>
      </c>
      <c r="E260" s="26" t="n">
        <f aca="false">IF($H$259&lt;=0,0,($H$259*'Übersicht &amp; Eingaben'!$C$8/12))</f>
        <v>164.420382913939</v>
      </c>
      <c r="F260" s="26" t="n">
        <f aca="false">D260-E260</f>
        <v>1148.07961708606</v>
      </c>
      <c r="G260" s="27" t="n">
        <f aca="false">IF($H$259&lt;=0,0,IF(MONTH(B260)=12,MIN('Übersicht &amp; Eingaben'!$C$13,$H$259-F260),0))</f>
        <v>0</v>
      </c>
      <c r="H260" s="28" t="n">
        <f aca="false">MAX($H$259-F260-G260,0)</f>
        <v>50774.1465662631</v>
      </c>
    </row>
    <row r="261" customFormat="false" ht="18" hidden="false" customHeight="true" outlineLevel="0" collapsed="false">
      <c r="A261" s="29" t="n">
        <f aca="false">IF($H$260&lt;=0,"",252)</f>
        <v>252</v>
      </c>
      <c r="B261" s="30" t="n">
        <f aca="false">IF($H$260&lt;=0,"",EDATE('Übersicht &amp; Eingaben'!$C$12,251))</f>
        <v>53662</v>
      </c>
      <c r="C261" s="31" t="n">
        <f aca="false">IF($H$260&lt;=0,"",YEAR(B261))</f>
        <v>2046</v>
      </c>
      <c r="D261" s="32" t="n">
        <f aca="false">IF($H$260&lt;=0,0,MIN($H$260+($H$260*'Übersicht &amp; Eingaben'!$C$8/12),('Übersicht &amp; Eingaben'!$C$7*('Übersicht &amp; Eingaben'!$C$8+'Übersicht &amp; Eingaben'!$C$9)/12)))</f>
        <v>1312.5</v>
      </c>
      <c r="E261" s="32" t="n">
        <f aca="false">IF($H$260&lt;=0,0,($H$260*'Übersicht &amp; Eingaben'!$C$8/12))</f>
        <v>160.784797459833</v>
      </c>
      <c r="F261" s="32" t="n">
        <f aca="false">D261-E261</f>
        <v>1151.71520254017</v>
      </c>
      <c r="G261" s="33" t="n">
        <f aca="false">IF($H$260&lt;=0,0,IF(MONTH(B261)=12,MIN('Übersicht &amp; Eingaben'!$C$13,$H$260-F261),0))</f>
        <v>0</v>
      </c>
      <c r="H261" s="34" t="n">
        <f aca="false">MAX($H$260-F261-G261,0)</f>
        <v>49622.4313637229</v>
      </c>
    </row>
    <row r="262" customFormat="false" ht="18" hidden="false" customHeight="true" outlineLevel="0" collapsed="false">
      <c r="A262" s="23" t="n">
        <f aca="false">IF($H$261&lt;=0,"",253)</f>
        <v>253</v>
      </c>
      <c r="B262" s="24" t="n">
        <f aca="false">IF($H$261&lt;=0,"",EDATE('Übersicht &amp; Eingaben'!$C$12,252))</f>
        <v>53693</v>
      </c>
      <c r="C262" s="25" t="n">
        <f aca="false">IF($H$261&lt;=0,"",YEAR(B262))</f>
        <v>2047</v>
      </c>
      <c r="D262" s="26" t="n">
        <f aca="false">IF($H$261&lt;=0,0,MIN($H$261+($H$261*'Übersicht &amp; Eingaben'!$C$8/12),('Übersicht &amp; Eingaben'!$C$7*('Übersicht &amp; Eingaben'!$C$8+'Übersicht &amp; Eingaben'!$C$9)/12)))</f>
        <v>1312.5</v>
      </c>
      <c r="E262" s="26" t="n">
        <f aca="false">IF($H$261&lt;=0,0,($H$261*'Übersicht &amp; Eingaben'!$C$8/12))</f>
        <v>157.137699318456</v>
      </c>
      <c r="F262" s="26" t="n">
        <f aca="false">D262-E262</f>
        <v>1155.36230068154</v>
      </c>
      <c r="G262" s="27" t="n">
        <f aca="false">IF($H$261&lt;=0,0,IF(MONTH(B262)=12,MIN('Übersicht &amp; Eingaben'!$C$13,$H$261-F262),0))</f>
        <v>0</v>
      </c>
      <c r="H262" s="28" t="n">
        <f aca="false">MAX($H$261-F262-G262,0)</f>
        <v>48467.0690630413</v>
      </c>
    </row>
    <row r="263" customFormat="false" ht="18" hidden="false" customHeight="true" outlineLevel="0" collapsed="false">
      <c r="A263" s="29" t="n">
        <f aca="false">IF($H$262&lt;=0,"",254)</f>
        <v>254</v>
      </c>
      <c r="B263" s="30" t="n">
        <f aca="false">IF($H$262&lt;=0,"",EDATE('Übersicht &amp; Eingaben'!$C$12,253))</f>
        <v>53724</v>
      </c>
      <c r="C263" s="31" t="n">
        <f aca="false">IF($H$262&lt;=0,"",YEAR(B263))</f>
        <v>2047</v>
      </c>
      <c r="D263" s="32" t="n">
        <f aca="false">IF($H$262&lt;=0,0,MIN($H$262+($H$262*'Übersicht &amp; Eingaben'!$C$8/12),('Übersicht &amp; Eingaben'!$C$7*('Übersicht &amp; Eingaben'!$C$8+'Übersicht &amp; Eingaben'!$C$9)/12)))</f>
        <v>1312.5</v>
      </c>
      <c r="E263" s="32" t="n">
        <f aca="false">IF($H$262&lt;=0,0,($H$262*'Übersicht &amp; Eingaben'!$C$8/12))</f>
        <v>153.479052032964</v>
      </c>
      <c r="F263" s="32" t="n">
        <f aca="false">D263-E263</f>
        <v>1159.02094796704</v>
      </c>
      <c r="G263" s="33" t="n">
        <f aca="false">IF($H$262&lt;=0,0,IF(MONTH(B263)=12,MIN('Übersicht &amp; Eingaben'!$C$13,$H$262-F263),0))</f>
        <v>0</v>
      </c>
      <c r="H263" s="34" t="n">
        <f aca="false">MAX($H$262-F263-G263,0)</f>
        <v>47308.0481150743</v>
      </c>
    </row>
    <row r="264" customFormat="false" ht="18" hidden="false" customHeight="true" outlineLevel="0" collapsed="false">
      <c r="A264" s="23" t="n">
        <f aca="false">IF($H$263&lt;=0,"",255)</f>
        <v>255</v>
      </c>
      <c r="B264" s="24" t="n">
        <f aca="false">IF($H$263&lt;=0,"",EDATE('Übersicht &amp; Eingaben'!$C$12,254))</f>
        <v>53752</v>
      </c>
      <c r="C264" s="25" t="n">
        <f aca="false">IF($H$263&lt;=0,"",YEAR(B264))</f>
        <v>2047</v>
      </c>
      <c r="D264" s="26" t="n">
        <f aca="false">IF($H$263&lt;=0,0,MIN($H$263+($H$263*'Übersicht &amp; Eingaben'!$C$8/12),('Übersicht &amp; Eingaben'!$C$7*('Übersicht &amp; Eingaben'!$C$8+'Übersicht &amp; Eingaben'!$C$9)/12)))</f>
        <v>1312.5</v>
      </c>
      <c r="E264" s="26" t="n">
        <f aca="false">IF($H$263&lt;=0,0,($H$263*'Übersicht &amp; Eingaben'!$C$8/12))</f>
        <v>149.808819031069</v>
      </c>
      <c r="F264" s="26" t="n">
        <f aca="false">D264-E264</f>
        <v>1162.69118096893</v>
      </c>
      <c r="G264" s="27" t="n">
        <f aca="false">IF($H$263&lt;=0,0,IF(MONTH(B264)=12,MIN('Übersicht &amp; Eingaben'!$C$13,$H$263-F264),0))</f>
        <v>0</v>
      </c>
      <c r="H264" s="28" t="n">
        <f aca="false">MAX($H$263-F264-G264,0)</f>
        <v>46145.3569341054</v>
      </c>
    </row>
    <row r="265" customFormat="false" ht="18" hidden="false" customHeight="true" outlineLevel="0" collapsed="false">
      <c r="A265" s="29" t="n">
        <f aca="false">IF($H$264&lt;=0,"",256)</f>
        <v>256</v>
      </c>
      <c r="B265" s="30" t="n">
        <f aca="false">IF($H$264&lt;=0,"",EDATE('Übersicht &amp; Eingaben'!$C$12,255))</f>
        <v>53783</v>
      </c>
      <c r="C265" s="31" t="n">
        <f aca="false">IF($H$264&lt;=0,"",YEAR(B265))</f>
        <v>2047</v>
      </c>
      <c r="D265" s="32" t="n">
        <f aca="false">IF($H$264&lt;=0,0,MIN($H$264+($H$264*'Übersicht &amp; Eingaben'!$C$8/12),('Übersicht &amp; Eingaben'!$C$7*('Übersicht &amp; Eingaben'!$C$8+'Übersicht &amp; Eingaben'!$C$9)/12)))</f>
        <v>1312.5</v>
      </c>
      <c r="E265" s="32" t="n">
        <f aca="false">IF($H$264&lt;=0,0,($H$264*'Übersicht &amp; Eingaben'!$C$8/12))</f>
        <v>146.126963624667</v>
      </c>
      <c r="F265" s="32" t="n">
        <f aca="false">D265-E265</f>
        <v>1166.37303637533</v>
      </c>
      <c r="G265" s="33" t="n">
        <f aca="false">IF($H$264&lt;=0,0,IF(MONTH(B265)=12,MIN('Übersicht &amp; Eingaben'!$C$13,$H$264-F265),0))</f>
        <v>0</v>
      </c>
      <c r="H265" s="34" t="n">
        <f aca="false">MAX($H$264-F265-G265,0)</f>
        <v>44978.98389773</v>
      </c>
    </row>
    <row r="266" customFormat="false" ht="18" hidden="false" customHeight="true" outlineLevel="0" collapsed="false">
      <c r="A266" s="23" t="n">
        <f aca="false">IF($H$265&lt;=0,"",257)</f>
        <v>257</v>
      </c>
      <c r="B266" s="24" t="n">
        <f aca="false">IF($H$265&lt;=0,"",EDATE('Übersicht &amp; Eingaben'!$C$12,256))</f>
        <v>53813</v>
      </c>
      <c r="C266" s="25" t="n">
        <f aca="false">IF($H$265&lt;=0,"",YEAR(B266))</f>
        <v>2047</v>
      </c>
      <c r="D266" s="26" t="n">
        <f aca="false">IF($H$265&lt;=0,0,MIN($H$265+($H$265*'Übersicht &amp; Eingaben'!$C$8/12),('Übersicht &amp; Eingaben'!$C$7*('Übersicht &amp; Eingaben'!$C$8+'Übersicht &amp; Eingaben'!$C$9)/12)))</f>
        <v>1312.5</v>
      </c>
      <c r="E266" s="26" t="n">
        <f aca="false">IF($H$265&lt;=0,0,($H$265*'Übersicht &amp; Eingaben'!$C$8/12))</f>
        <v>142.433449009478</v>
      </c>
      <c r="F266" s="26" t="n">
        <f aca="false">D266-E266</f>
        <v>1170.06655099052</v>
      </c>
      <c r="G266" s="27" t="n">
        <f aca="false">IF($H$265&lt;=0,0,IF(MONTH(B266)=12,MIN('Übersicht &amp; Eingaben'!$C$13,$H$265-F266),0))</f>
        <v>0</v>
      </c>
      <c r="H266" s="28" t="n">
        <f aca="false">MAX($H$265-F266-G266,0)</f>
        <v>43808.9173467395</v>
      </c>
    </row>
    <row r="267" customFormat="false" ht="18" hidden="false" customHeight="true" outlineLevel="0" collapsed="false">
      <c r="A267" s="29" t="n">
        <f aca="false">IF($H$266&lt;=0,"",258)</f>
        <v>258</v>
      </c>
      <c r="B267" s="30" t="n">
        <f aca="false">IF($H$266&lt;=0,"",EDATE('Übersicht &amp; Eingaben'!$C$12,257))</f>
        <v>53844</v>
      </c>
      <c r="C267" s="31" t="n">
        <f aca="false">IF($H$266&lt;=0,"",YEAR(B267))</f>
        <v>2047</v>
      </c>
      <c r="D267" s="32" t="n">
        <f aca="false">IF($H$266&lt;=0,0,MIN($H$266+($H$266*'Übersicht &amp; Eingaben'!$C$8/12),('Übersicht &amp; Eingaben'!$C$7*('Übersicht &amp; Eingaben'!$C$8+'Übersicht &amp; Eingaben'!$C$9)/12)))</f>
        <v>1312.5</v>
      </c>
      <c r="E267" s="32" t="n">
        <f aca="false">IF($H$266&lt;=0,0,($H$266*'Übersicht &amp; Eingaben'!$C$8/12))</f>
        <v>138.728238264675</v>
      </c>
      <c r="F267" s="32" t="n">
        <f aca="false">D267-E267</f>
        <v>1173.77176173532</v>
      </c>
      <c r="G267" s="33" t="n">
        <f aca="false">IF($H$266&lt;=0,0,IF(MONTH(B267)=12,MIN('Übersicht &amp; Eingaben'!$C$13,$H$266-F267),0))</f>
        <v>0</v>
      </c>
      <c r="H267" s="34" t="n">
        <f aca="false">MAX($H$266-F267-G267,0)</f>
        <v>42635.1455850042</v>
      </c>
    </row>
    <row r="268" customFormat="false" ht="18" hidden="false" customHeight="true" outlineLevel="0" collapsed="false">
      <c r="A268" s="23" t="n">
        <f aca="false">IF($H$267&lt;=0,"",259)</f>
        <v>259</v>
      </c>
      <c r="B268" s="24" t="n">
        <f aca="false">IF($H$267&lt;=0,"",EDATE('Übersicht &amp; Eingaben'!$C$12,258))</f>
        <v>53874</v>
      </c>
      <c r="C268" s="25" t="n">
        <f aca="false">IF($H$267&lt;=0,"",YEAR(B268))</f>
        <v>2047</v>
      </c>
      <c r="D268" s="26" t="n">
        <f aca="false">IF($H$267&lt;=0,0,MIN($H$267+($H$267*'Übersicht &amp; Eingaben'!$C$8/12),('Übersicht &amp; Eingaben'!$C$7*('Übersicht &amp; Eingaben'!$C$8+'Übersicht &amp; Eingaben'!$C$9)/12)))</f>
        <v>1312.5</v>
      </c>
      <c r="E268" s="26" t="n">
        <f aca="false">IF($H$267&lt;=0,0,($H$267*'Übersicht &amp; Eingaben'!$C$8/12))</f>
        <v>135.011294352513</v>
      </c>
      <c r="F268" s="26" t="n">
        <f aca="false">D268-E268</f>
        <v>1177.48870564749</v>
      </c>
      <c r="G268" s="27" t="n">
        <f aca="false">IF($H$267&lt;=0,0,IF(MONTH(B268)=12,MIN('Übersicht &amp; Eingaben'!$C$13,$H$267-F268),0))</f>
        <v>0</v>
      </c>
      <c r="H268" s="28" t="n">
        <f aca="false">MAX($H$267-F268-G268,0)</f>
        <v>41457.6568793567</v>
      </c>
    </row>
    <row r="269" customFormat="false" ht="18" hidden="false" customHeight="true" outlineLevel="0" collapsed="false">
      <c r="A269" s="29" t="n">
        <f aca="false">IF($H$268&lt;=0,"",260)</f>
        <v>260</v>
      </c>
      <c r="B269" s="30" t="n">
        <f aca="false">IF($H$268&lt;=0,"",EDATE('Übersicht &amp; Eingaben'!$C$12,259))</f>
        <v>53905</v>
      </c>
      <c r="C269" s="31" t="n">
        <f aca="false">IF($H$268&lt;=0,"",YEAR(B269))</f>
        <v>2047</v>
      </c>
      <c r="D269" s="32" t="n">
        <f aca="false">IF($H$268&lt;=0,0,MIN($H$268+($H$268*'Übersicht &amp; Eingaben'!$C$8/12),('Übersicht &amp; Eingaben'!$C$7*('Übersicht &amp; Eingaben'!$C$8+'Übersicht &amp; Eingaben'!$C$9)/12)))</f>
        <v>1312.5</v>
      </c>
      <c r="E269" s="32" t="n">
        <f aca="false">IF($H$268&lt;=0,0,($H$268*'Übersicht &amp; Eingaben'!$C$8/12))</f>
        <v>131.282580117963</v>
      </c>
      <c r="F269" s="32" t="n">
        <f aca="false">D269-E269</f>
        <v>1181.21741988204</v>
      </c>
      <c r="G269" s="33" t="n">
        <f aca="false">IF($H$268&lt;=0,0,IF(MONTH(B269)=12,MIN('Übersicht &amp; Eingaben'!$C$13,$H$268-F269),0))</f>
        <v>0</v>
      </c>
      <c r="H269" s="34" t="n">
        <f aca="false">MAX($H$268-F269-G269,0)</f>
        <v>40276.4394594747</v>
      </c>
    </row>
    <row r="270" customFormat="false" ht="18" hidden="false" customHeight="true" outlineLevel="0" collapsed="false">
      <c r="A270" s="23" t="n">
        <f aca="false">IF($H$269&lt;=0,"",261)</f>
        <v>261</v>
      </c>
      <c r="B270" s="24" t="n">
        <f aca="false">IF($H$269&lt;=0,"",EDATE('Übersicht &amp; Eingaben'!$C$12,260))</f>
        <v>53936</v>
      </c>
      <c r="C270" s="25" t="n">
        <f aca="false">IF($H$269&lt;=0,"",YEAR(B270))</f>
        <v>2047</v>
      </c>
      <c r="D270" s="26" t="n">
        <f aca="false">IF($H$269&lt;=0,0,MIN($H$269+($H$269*'Übersicht &amp; Eingaben'!$C$8/12),('Übersicht &amp; Eingaben'!$C$7*('Übersicht &amp; Eingaben'!$C$8+'Übersicht &amp; Eingaben'!$C$9)/12)))</f>
        <v>1312.5</v>
      </c>
      <c r="E270" s="26" t="n">
        <f aca="false">IF($H$269&lt;=0,0,($H$269*'Übersicht &amp; Eingaben'!$C$8/12))</f>
        <v>127.542058288336</v>
      </c>
      <c r="F270" s="26" t="n">
        <f aca="false">D270-E270</f>
        <v>1184.95794171166</v>
      </c>
      <c r="G270" s="27" t="n">
        <f aca="false">IF($H$269&lt;=0,0,IF(MONTH(B270)=12,MIN('Übersicht &amp; Eingaben'!$C$13,$H$269-F270),0))</f>
        <v>0</v>
      </c>
      <c r="H270" s="28" t="n">
        <f aca="false">MAX($H$269-F270-G270,0)</f>
        <v>39091.481517763</v>
      </c>
    </row>
    <row r="271" customFormat="false" ht="18" hidden="false" customHeight="true" outlineLevel="0" collapsed="false">
      <c r="A271" s="29" t="n">
        <f aca="false">IF($H$270&lt;=0,"",262)</f>
        <v>262</v>
      </c>
      <c r="B271" s="30" t="n">
        <f aca="false">IF($H$270&lt;=0,"",EDATE('Übersicht &amp; Eingaben'!$C$12,261))</f>
        <v>53966</v>
      </c>
      <c r="C271" s="31" t="n">
        <f aca="false">IF($H$270&lt;=0,"",YEAR(B271))</f>
        <v>2047</v>
      </c>
      <c r="D271" s="32" t="n">
        <f aca="false">IF($H$270&lt;=0,0,MIN($H$270+($H$270*'Übersicht &amp; Eingaben'!$C$8/12),('Übersicht &amp; Eingaben'!$C$7*('Übersicht &amp; Eingaben'!$C$8+'Übersicht &amp; Eingaben'!$C$9)/12)))</f>
        <v>1312.5</v>
      </c>
      <c r="E271" s="32" t="n">
        <f aca="false">IF($H$270&lt;=0,0,($H$270*'Übersicht &amp; Eingaben'!$C$8/12))</f>
        <v>123.789691472916</v>
      </c>
      <c r="F271" s="32" t="n">
        <f aca="false">D271-E271</f>
        <v>1188.71030852708</v>
      </c>
      <c r="G271" s="33" t="n">
        <f aca="false">IF($H$270&lt;=0,0,IF(MONTH(B271)=12,MIN('Übersicht &amp; Eingaben'!$C$13,$H$270-F271),0))</f>
        <v>0</v>
      </c>
      <c r="H271" s="34" t="n">
        <f aca="false">MAX($H$270-F271-G271,0)</f>
        <v>37902.7712092359</v>
      </c>
    </row>
    <row r="272" customFormat="false" ht="18" hidden="false" customHeight="true" outlineLevel="0" collapsed="false">
      <c r="A272" s="23" t="n">
        <f aca="false">IF($H$271&lt;=0,"",263)</f>
        <v>263</v>
      </c>
      <c r="B272" s="24" t="n">
        <f aca="false">IF($H$271&lt;=0,"",EDATE('Übersicht &amp; Eingaben'!$C$12,262))</f>
        <v>53997</v>
      </c>
      <c r="C272" s="25" t="n">
        <f aca="false">IF($H$271&lt;=0,"",YEAR(B272))</f>
        <v>2047</v>
      </c>
      <c r="D272" s="26" t="n">
        <f aca="false">IF($H$271&lt;=0,0,MIN($H$271+($H$271*'Übersicht &amp; Eingaben'!$C$8/12),('Übersicht &amp; Eingaben'!$C$7*('Übersicht &amp; Eingaben'!$C$8+'Übersicht &amp; Eingaben'!$C$9)/12)))</f>
        <v>1312.5</v>
      </c>
      <c r="E272" s="26" t="n">
        <f aca="false">IF($H$271&lt;=0,0,($H$271*'Übersicht &amp; Eingaben'!$C$8/12))</f>
        <v>120.02544216258</v>
      </c>
      <c r="F272" s="26" t="n">
        <f aca="false">D272-E272</f>
        <v>1192.47455783742</v>
      </c>
      <c r="G272" s="27" t="n">
        <f aca="false">IF($H$271&lt;=0,0,IF(MONTH(B272)=12,MIN('Übersicht &amp; Eingaben'!$C$13,$H$271-F272),0))</f>
        <v>0</v>
      </c>
      <c r="H272" s="28" t="n">
        <f aca="false">MAX($H$271-F272-G272,0)</f>
        <v>36710.2966513985</v>
      </c>
    </row>
    <row r="273" customFormat="false" ht="18" hidden="false" customHeight="true" outlineLevel="0" collapsed="false">
      <c r="A273" s="29" t="n">
        <f aca="false">IF($H$272&lt;=0,"",264)</f>
        <v>264</v>
      </c>
      <c r="B273" s="30" t="n">
        <f aca="false">IF($H$272&lt;=0,"",EDATE('Übersicht &amp; Eingaben'!$C$12,263))</f>
        <v>54027</v>
      </c>
      <c r="C273" s="31" t="n">
        <f aca="false">IF($H$272&lt;=0,"",YEAR(B273))</f>
        <v>2047</v>
      </c>
      <c r="D273" s="32" t="n">
        <f aca="false">IF($H$272&lt;=0,0,MIN($H$272+($H$272*'Übersicht &amp; Eingaben'!$C$8/12),('Übersicht &amp; Eingaben'!$C$7*('Übersicht &amp; Eingaben'!$C$8+'Übersicht &amp; Eingaben'!$C$9)/12)))</f>
        <v>1312.5</v>
      </c>
      <c r="E273" s="32" t="n">
        <f aca="false">IF($H$272&lt;=0,0,($H$272*'Übersicht &amp; Eingaben'!$C$8/12))</f>
        <v>116.249272729429</v>
      </c>
      <c r="F273" s="32" t="n">
        <f aca="false">D273-E273</f>
        <v>1196.25072727057</v>
      </c>
      <c r="G273" s="33" t="n">
        <f aca="false">IF($H$272&lt;=0,0,IF(MONTH(B273)=12,MIN('Übersicht &amp; Eingaben'!$C$13,$H$272-F273),0))</f>
        <v>0</v>
      </c>
      <c r="H273" s="34" t="n">
        <f aca="false">MAX($H$272-F273-G273,0)</f>
        <v>35514.0459241279</v>
      </c>
    </row>
    <row r="274" customFormat="false" ht="18" hidden="false" customHeight="true" outlineLevel="0" collapsed="false">
      <c r="A274" s="23" t="n">
        <f aca="false">IF($H$273&lt;=0,"",265)</f>
        <v>265</v>
      </c>
      <c r="B274" s="24" t="n">
        <f aca="false">IF($H$273&lt;=0,"",EDATE('Übersicht &amp; Eingaben'!$C$12,264))</f>
        <v>54058</v>
      </c>
      <c r="C274" s="25" t="n">
        <f aca="false">IF($H$273&lt;=0,"",YEAR(B274))</f>
        <v>2048</v>
      </c>
      <c r="D274" s="26" t="n">
        <f aca="false">IF($H$273&lt;=0,0,MIN($H$273+($H$273*'Übersicht &amp; Eingaben'!$C$8/12),('Übersicht &amp; Eingaben'!$C$7*('Übersicht &amp; Eingaben'!$C$8+'Übersicht &amp; Eingaben'!$C$9)/12)))</f>
        <v>1312.5</v>
      </c>
      <c r="E274" s="26" t="n">
        <f aca="false">IF($H$273&lt;=0,0,($H$273*'Übersicht &amp; Eingaben'!$C$8/12))</f>
        <v>112.461145426405</v>
      </c>
      <c r="F274" s="26" t="n">
        <f aca="false">D274-E274</f>
        <v>1200.0388545736</v>
      </c>
      <c r="G274" s="27" t="n">
        <f aca="false">IF($H$273&lt;=0,0,IF(MONTH(B274)=12,MIN('Übersicht &amp; Eingaben'!$C$13,$H$273-F274),0))</f>
        <v>0</v>
      </c>
      <c r="H274" s="28" t="n">
        <f aca="false">MAX($H$273-F274-G274,0)</f>
        <v>34314.0070695543</v>
      </c>
    </row>
    <row r="275" customFormat="false" ht="18" hidden="false" customHeight="true" outlineLevel="0" collapsed="false">
      <c r="A275" s="29" t="n">
        <f aca="false">IF($H$274&lt;=0,"",266)</f>
        <v>266</v>
      </c>
      <c r="B275" s="30" t="n">
        <f aca="false">IF($H$274&lt;=0,"",EDATE('Übersicht &amp; Eingaben'!$C$12,265))</f>
        <v>54089</v>
      </c>
      <c r="C275" s="31" t="n">
        <f aca="false">IF($H$274&lt;=0,"",YEAR(B275))</f>
        <v>2048</v>
      </c>
      <c r="D275" s="32" t="n">
        <f aca="false">IF($H$274&lt;=0,0,MIN($H$274+($H$274*'Übersicht &amp; Eingaben'!$C$8/12),('Übersicht &amp; Eingaben'!$C$7*('Übersicht &amp; Eingaben'!$C$8+'Übersicht &amp; Eingaben'!$C$9)/12)))</f>
        <v>1312.5</v>
      </c>
      <c r="E275" s="32" t="n">
        <f aca="false">IF($H$274&lt;=0,0,($H$274*'Übersicht &amp; Eingaben'!$C$8/12))</f>
        <v>108.661022386922</v>
      </c>
      <c r="F275" s="32" t="n">
        <f aca="false">D275-E275</f>
        <v>1203.83897761308</v>
      </c>
      <c r="G275" s="33" t="n">
        <f aca="false">IF($H$274&lt;=0,0,IF(MONTH(B275)=12,MIN('Übersicht &amp; Eingaben'!$C$13,$H$274-F275),0))</f>
        <v>0</v>
      </c>
      <c r="H275" s="34" t="n">
        <f aca="false">MAX($H$274-F275-G275,0)</f>
        <v>33110.1680919413</v>
      </c>
    </row>
    <row r="276" customFormat="false" ht="18" hidden="false" customHeight="true" outlineLevel="0" collapsed="false">
      <c r="A276" s="23" t="n">
        <f aca="false">IF($H$275&lt;=0,"",267)</f>
        <v>267</v>
      </c>
      <c r="B276" s="24" t="n">
        <f aca="false">IF($H$275&lt;=0,"",EDATE('Übersicht &amp; Eingaben'!$C$12,266))</f>
        <v>54118</v>
      </c>
      <c r="C276" s="25" t="n">
        <f aca="false">IF($H$275&lt;=0,"",YEAR(B276))</f>
        <v>2048</v>
      </c>
      <c r="D276" s="26" t="n">
        <f aca="false">IF($H$275&lt;=0,0,MIN($H$275+($H$275*'Übersicht &amp; Eingaben'!$C$8/12),('Übersicht &amp; Eingaben'!$C$7*('Übersicht &amp; Eingaben'!$C$8+'Übersicht &amp; Eingaben'!$C$9)/12)))</f>
        <v>1312.5</v>
      </c>
      <c r="E276" s="26" t="n">
        <f aca="false">IF($H$275&lt;=0,0,($H$275*'Übersicht &amp; Eingaben'!$C$8/12))</f>
        <v>104.848865624481</v>
      </c>
      <c r="F276" s="26" t="n">
        <f aca="false">D276-E276</f>
        <v>1207.65113437552</v>
      </c>
      <c r="G276" s="27" t="n">
        <f aca="false">IF($H$275&lt;=0,0,IF(MONTH(B276)=12,MIN('Übersicht &amp; Eingaben'!$C$13,$H$275-F276),0))</f>
        <v>0</v>
      </c>
      <c r="H276" s="28" t="n">
        <f aca="false">MAX($H$275-F276-G276,0)</f>
        <v>31902.5169575657</v>
      </c>
    </row>
    <row r="277" customFormat="false" ht="18" hidden="false" customHeight="true" outlineLevel="0" collapsed="false">
      <c r="A277" s="29" t="n">
        <f aca="false">IF($H$276&lt;=0,"",268)</f>
        <v>268</v>
      </c>
      <c r="B277" s="30" t="n">
        <f aca="false">IF($H$276&lt;=0,"",EDATE('Übersicht &amp; Eingaben'!$C$12,267))</f>
        <v>54149</v>
      </c>
      <c r="C277" s="31" t="n">
        <f aca="false">IF($H$276&lt;=0,"",YEAR(B277))</f>
        <v>2048</v>
      </c>
      <c r="D277" s="32" t="n">
        <f aca="false">IF($H$276&lt;=0,0,MIN($H$276+($H$276*'Übersicht &amp; Eingaben'!$C$8/12),('Übersicht &amp; Eingaben'!$C$7*('Übersicht &amp; Eingaben'!$C$8+'Übersicht &amp; Eingaben'!$C$9)/12)))</f>
        <v>1312.5</v>
      </c>
      <c r="E277" s="32" t="n">
        <f aca="false">IF($H$276&lt;=0,0,($H$276*'Übersicht &amp; Eingaben'!$C$8/12))</f>
        <v>101.024637032291</v>
      </c>
      <c r="F277" s="32" t="n">
        <f aca="false">D277-E277</f>
        <v>1211.47536296771</v>
      </c>
      <c r="G277" s="33" t="n">
        <f aca="false">IF($H$276&lt;=0,0,IF(MONTH(B277)=12,MIN('Übersicht &amp; Eingaben'!$C$13,$H$276-F277),0))</f>
        <v>0</v>
      </c>
      <c r="H277" s="34" t="n">
        <f aca="false">MAX($H$276-F277-G277,0)</f>
        <v>30691.041594598</v>
      </c>
    </row>
    <row r="278" customFormat="false" ht="18" hidden="false" customHeight="true" outlineLevel="0" collapsed="false">
      <c r="A278" s="23" t="n">
        <f aca="false">IF($H$277&lt;=0,"",269)</f>
        <v>269</v>
      </c>
      <c r="B278" s="24" t="n">
        <f aca="false">IF($H$277&lt;=0,"",EDATE('Übersicht &amp; Eingaben'!$C$12,268))</f>
        <v>54179</v>
      </c>
      <c r="C278" s="25" t="n">
        <f aca="false">IF($H$277&lt;=0,"",YEAR(B278))</f>
        <v>2048</v>
      </c>
      <c r="D278" s="26" t="n">
        <f aca="false">IF($H$277&lt;=0,0,MIN($H$277+($H$277*'Übersicht &amp; Eingaben'!$C$8/12),('Übersicht &amp; Eingaben'!$C$7*('Übersicht &amp; Eingaben'!$C$8+'Übersicht &amp; Eingaben'!$C$9)/12)))</f>
        <v>1312.5</v>
      </c>
      <c r="E278" s="26" t="n">
        <f aca="false">IF($H$277&lt;=0,0,($H$277*'Übersicht &amp; Eingaben'!$C$8/12))</f>
        <v>97.1882983828937</v>
      </c>
      <c r="F278" s="26" t="n">
        <f aca="false">D278-E278</f>
        <v>1215.31170161711</v>
      </c>
      <c r="G278" s="27" t="n">
        <f aca="false">IF($H$277&lt;=0,0,IF(MONTH(B278)=12,MIN('Übersicht &amp; Eingaben'!$C$13,$H$277-F278),0))</f>
        <v>0</v>
      </c>
      <c r="H278" s="28" t="n">
        <f aca="false">MAX($H$277-F278-G278,0)</f>
        <v>29475.7298929809</v>
      </c>
    </row>
    <row r="279" customFormat="false" ht="18" hidden="false" customHeight="true" outlineLevel="0" collapsed="false">
      <c r="A279" s="29" t="n">
        <f aca="false">IF($H$278&lt;=0,"",270)</f>
        <v>270</v>
      </c>
      <c r="B279" s="30" t="n">
        <f aca="false">IF($H$278&lt;=0,"",EDATE('Übersicht &amp; Eingaben'!$C$12,269))</f>
        <v>54210</v>
      </c>
      <c r="C279" s="31" t="n">
        <f aca="false">IF($H$278&lt;=0,"",YEAR(B279))</f>
        <v>2048</v>
      </c>
      <c r="D279" s="32" t="n">
        <f aca="false">IF($H$278&lt;=0,0,MIN($H$278+($H$278*'Übersicht &amp; Eingaben'!$C$8/12),('Übersicht &amp; Eingaben'!$C$7*('Übersicht &amp; Eingaben'!$C$8+'Übersicht &amp; Eingaben'!$C$9)/12)))</f>
        <v>1312.5</v>
      </c>
      <c r="E279" s="32" t="n">
        <f aca="false">IF($H$278&lt;=0,0,($H$278*'Übersicht &amp; Eingaben'!$C$8/12))</f>
        <v>93.3398113277729</v>
      </c>
      <c r="F279" s="32" t="n">
        <f aca="false">D279-E279</f>
        <v>1219.16018867223</v>
      </c>
      <c r="G279" s="33" t="n">
        <f aca="false">IF($H$278&lt;=0,0,IF(MONTH(B279)=12,MIN('Übersicht &amp; Eingaben'!$C$13,$H$278-F279),0))</f>
        <v>0</v>
      </c>
      <c r="H279" s="34" t="n">
        <f aca="false">MAX($H$278-F279-G279,0)</f>
        <v>28256.5697043087</v>
      </c>
    </row>
    <row r="280" customFormat="false" ht="18" hidden="false" customHeight="true" outlineLevel="0" collapsed="false">
      <c r="A280" s="23" t="n">
        <f aca="false">IF($H$279&lt;=0,"",271)</f>
        <v>271</v>
      </c>
      <c r="B280" s="24" t="n">
        <f aca="false">IF($H$279&lt;=0,"",EDATE('Übersicht &amp; Eingaben'!$C$12,270))</f>
        <v>54240</v>
      </c>
      <c r="C280" s="25" t="n">
        <f aca="false">IF($H$279&lt;=0,"",YEAR(B280))</f>
        <v>2048</v>
      </c>
      <c r="D280" s="26" t="n">
        <f aca="false">IF($H$279&lt;=0,0,MIN($H$279+($H$279*'Übersicht &amp; Eingaben'!$C$8/12),('Übersicht &amp; Eingaben'!$C$7*('Übersicht &amp; Eingaben'!$C$8+'Übersicht &amp; Eingaben'!$C$9)/12)))</f>
        <v>1312.5</v>
      </c>
      <c r="E280" s="26" t="n">
        <f aca="false">IF($H$279&lt;=0,0,($H$279*'Übersicht &amp; Eingaben'!$C$8/12))</f>
        <v>89.4791373969775</v>
      </c>
      <c r="F280" s="26" t="n">
        <f aca="false">D280-E280</f>
        <v>1223.02086260302</v>
      </c>
      <c r="G280" s="27" t="n">
        <f aca="false">IF($H$279&lt;=0,0,IF(MONTH(B280)=12,MIN('Übersicht &amp; Eingaben'!$C$13,$H$279-F280),0))</f>
        <v>0</v>
      </c>
      <c r="H280" s="28" t="n">
        <f aca="false">MAX($H$279-F280-G280,0)</f>
        <v>27033.5488417057</v>
      </c>
    </row>
    <row r="281" customFormat="false" ht="18" hidden="false" customHeight="true" outlineLevel="0" collapsed="false">
      <c r="A281" s="29" t="n">
        <f aca="false">IF($H$280&lt;=0,"",272)</f>
        <v>272</v>
      </c>
      <c r="B281" s="30" t="n">
        <f aca="false">IF($H$280&lt;=0,"",EDATE('Übersicht &amp; Eingaben'!$C$12,271))</f>
        <v>54271</v>
      </c>
      <c r="C281" s="31" t="n">
        <f aca="false">IF($H$280&lt;=0,"",YEAR(B281))</f>
        <v>2048</v>
      </c>
      <c r="D281" s="32" t="n">
        <f aca="false">IF($H$280&lt;=0,0,MIN($H$280+($H$280*'Übersicht &amp; Eingaben'!$C$8/12),('Übersicht &amp; Eingaben'!$C$7*('Übersicht &amp; Eingaben'!$C$8+'Übersicht &amp; Eingaben'!$C$9)/12)))</f>
        <v>1312.5</v>
      </c>
      <c r="E281" s="32" t="n">
        <f aca="false">IF($H$280&lt;=0,0,($H$280*'Übersicht &amp; Eingaben'!$C$8/12))</f>
        <v>85.6062379987346</v>
      </c>
      <c r="F281" s="32" t="n">
        <f aca="false">D281-E281</f>
        <v>1226.89376200127</v>
      </c>
      <c r="G281" s="33" t="n">
        <f aca="false">IF($H$280&lt;=0,0,IF(MONTH(B281)=12,MIN('Übersicht &amp; Eingaben'!$C$13,$H$280-F281),0))</f>
        <v>0</v>
      </c>
      <c r="H281" s="34" t="n">
        <f aca="false">MAX($H$280-F281-G281,0)</f>
        <v>25806.6550797044</v>
      </c>
    </row>
    <row r="282" customFormat="false" ht="18" hidden="false" customHeight="true" outlineLevel="0" collapsed="false">
      <c r="A282" s="23" t="n">
        <f aca="false">IF($H$281&lt;=0,"",273)</f>
        <v>273</v>
      </c>
      <c r="B282" s="24" t="n">
        <f aca="false">IF($H$281&lt;=0,"",EDATE('Übersicht &amp; Eingaben'!$C$12,272))</f>
        <v>54302</v>
      </c>
      <c r="C282" s="25" t="n">
        <f aca="false">IF($H$281&lt;=0,"",YEAR(B282))</f>
        <v>2048</v>
      </c>
      <c r="D282" s="26" t="n">
        <f aca="false">IF($H$281&lt;=0,0,MIN($H$281+($H$281*'Übersicht &amp; Eingaben'!$C$8/12),('Übersicht &amp; Eingaben'!$C$7*('Übersicht &amp; Eingaben'!$C$8+'Übersicht &amp; Eingaben'!$C$9)/12)))</f>
        <v>1312.5</v>
      </c>
      <c r="E282" s="26" t="n">
        <f aca="false">IF($H$281&lt;=0,0,($H$281*'Übersicht &amp; Eingaben'!$C$8/12))</f>
        <v>81.7210744190639</v>
      </c>
      <c r="F282" s="26" t="n">
        <f aca="false">D282-E282</f>
        <v>1230.77892558094</v>
      </c>
      <c r="G282" s="27" t="n">
        <f aca="false">IF($H$281&lt;=0,0,IF(MONTH(B282)=12,MIN('Übersicht &amp; Eingaben'!$C$13,$H$281-F282),0))</f>
        <v>0</v>
      </c>
      <c r="H282" s="28" t="n">
        <f aca="false">MAX($H$281-F282-G282,0)</f>
        <v>24575.8761541235</v>
      </c>
    </row>
    <row r="283" customFormat="false" ht="18" hidden="false" customHeight="true" outlineLevel="0" collapsed="false">
      <c r="A283" s="29" t="n">
        <f aca="false">IF($H$282&lt;=0,"",274)</f>
        <v>274</v>
      </c>
      <c r="B283" s="30" t="n">
        <f aca="false">IF($H$282&lt;=0,"",EDATE('Übersicht &amp; Eingaben'!$C$12,273))</f>
        <v>54332</v>
      </c>
      <c r="C283" s="31" t="n">
        <f aca="false">IF($H$282&lt;=0,"",YEAR(B283))</f>
        <v>2048</v>
      </c>
      <c r="D283" s="32" t="n">
        <f aca="false">IF($H$282&lt;=0,0,MIN($H$282+($H$282*'Übersicht &amp; Eingaben'!$C$8/12),('Übersicht &amp; Eingaben'!$C$7*('Übersicht &amp; Eingaben'!$C$8+'Übersicht &amp; Eingaben'!$C$9)/12)))</f>
        <v>1312.5</v>
      </c>
      <c r="E283" s="32" t="n">
        <f aca="false">IF($H$282&lt;=0,0,($H$282*'Übersicht &amp; Eingaben'!$C$8/12))</f>
        <v>77.823607821391</v>
      </c>
      <c r="F283" s="32" t="n">
        <f aca="false">D283-E283</f>
        <v>1234.67639217861</v>
      </c>
      <c r="G283" s="33" t="n">
        <f aca="false">IF($H$282&lt;=0,0,IF(MONTH(B283)=12,MIN('Übersicht &amp; Eingaben'!$C$13,$H$282-F283),0))</f>
        <v>0</v>
      </c>
      <c r="H283" s="34" t="n">
        <f aca="false">MAX($H$282-F283-G283,0)</f>
        <v>23341.1997619449</v>
      </c>
    </row>
    <row r="284" customFormat="false" ht="18" hidden="false" customHeight="true" outlineLevel="0" collapsed="false">
      <c r="A284" s="23" t="n">
        <f aca="false">IF($H$283&lt;=0,"",275)</f>
        <v>275</v>
      </c>
      <c r="B284" s="24" t="n">
        <f aca="false">IF($H$283&lt;=0,"",EDATE('Übersicht &amp; Eingaben'!$C$12,274))</f>
        <v>54363</v>
      </c>
      <c r="C284" s="25" t="n">
        <f aca="false">IF($H$283&lt;=0,"",YEAR(B284))</f>
        <v>2048</v>
      </c>
      <c r="D284" s="26" t="n">
        <f aca="false">IF($H$283&lt;=0,0,MIN($H$283+($H$283*'Übersicht &amp; Eingaben'!$C$8/12),('Übersicht &amp; Eingaben'!$C$7*('Übersicht &amp; Eingaben'!$C$8+'Übersicht &amp; Eingaben'!$C$9)/12)))</f>
        <v>1312.5</v>
      </c>
      <c r="E284" s="26" t="n">
        <f aca="false">IF($H$283&lt;=0,0,($H$283*'Übersicht &amp; Eingaben'!$C$8/12))</f>
        <v>73.9137992461587</v>
      </c>
      <c r="F284" s="26" t="n">
        <f aca="false">D284-E284</f>
        <v>1238.58620075384</v>
      </c>
      <c r="G284" s="27" t="n">
        <f aca="false">IF($H$283&lt;=0,0,IF(MONTH(B284)=12,MIN('Übersicht &amp; Eingaben'!$C$13,$H$283-F284),0))</f>
        <v>0</v>
      </c>
      <c r="H284" s="28" t="n">
        <f aca="false">MAX($H$283-F284-G284,0)</f>
        <v>22102.613561191</v>
      </c>
    </row>
    <row r="285" customFormat="false" ht="18" hidden="false" customHeight="true" outlineLevel="0" collapsed="false">
      <c r="A285" s="29" t="n">
        <f aca="false">IF($H$284&lt;=0,"",276)</f>
        <v>276</v>
      </c>
      <c r="B285" s="30" t="n">
        <f aca="false">IF($H$284&lt;=0,"",EDATE('Übersicht &amp; Eingaben'!$C$12,275))</f>
        <v>54393</v>
      </c>
      <c r="C285" s="31" t="n">
        <f aca="false">IF($H$284&lt;=0,"",YEAR(B285))</f>
        <v>2048</v>
      </c>
      <c r="D285" s="32" t="n">
        <f aca="false">IF($H$284&lt;=0,0,MIN($H$284+($H$284*'Übersicht &amp; Eingaben'!$C$8/12),('Übersicht &amp; Eingaben'!$C$7*('Übersicht &amp; Eingaben'!$C$8+'Übersicht &amp; Eingaben'!$C$9)/12)))</f>
        <v>1312.5</v>
      </c>
      <c r="E285" s="32" t="n">
        <f aca="false">IF($H$284&lt;=0,0,($H$284*'Übersicht &amp; Eingaben'!$C$8/12))</f>
        <v>69.9916096104382</v>
      </c>
      <c r="F285" s="32" t="n">
        <f aca="false">D285-E285</f>
        <v>1242.50839038956</v>
      </c>
      <c r="G285" s="33" t="n">
        <f aca="false">IF($H$284&lt;=0,0,IF(MONTH(B285)=12,MIN('Übersicht &amp; Eingaben'!$C$13,$H$284-F285),0))</f>
        <v>0</v>
      </c>
      <c r="H285" s="34" t="n">
        <f aca="false">MAX($H$284-F285-G285,0)</f>
        <v>20860.1051708015</v>
      </c>
    </row>
    <row r="286" customFormat="false" ht="18" hidden="false" customHeight="true" outlineLevel="0" collapsed="false">
      <c r="A286" s="23" t="n">
        <f aca="false">IF($H$285&lt;=0,"",277)</f>
        <v>277</v>
      </c>
      <c r="B286" s="24" t="n">
        <f aca="false">IF($H$285&lt;=0,"",EDATE('Übersicht &amp; Eingaben'!$C$12,276))</f>
        <v>54424</v>
      </c>
      <c r="C286" s="25" t="n">
        <f aca="false">IF($H$285&lt;=0,"",YEAR(B286))</f>
        <v>2049</v>
      </c>
      <c r="D286" s="26" t="n">
        <f aca="false">IF($H$285&lt;=0,0,MIN($H$285+($H$285*'Übersicht &amp; Eingaben'!$C$8/12),('Übersicht &amp; Eingaben'!$C$7*('Übersicht &amp; Eingaben'!$C$8+'Übersicht &amp; Eingaben'!$C$9)/12)))</f>
        <v>1312.5</v>
      </c>
      <c r="E286" s="26" t="n">
        <f aca="false">IF($H$285&lt;=0,0,($H$285*'Übersicht &amp; Eingaben'!$C$8/12))</f>
        <v>66.0569997075379</v>
      </c>
      <c r="F286" s="26" t="n">
        <f aca="false">D286-E286</f>
        <v>1246.44300029246</v>
      </c>
      <c r="G286" s="27" t="n">
        <f aca="false">IF($H$285&lt;=0,0,IF(MONTH(B286)=12,MIN('Übersicht &amp; Eingaben'!$C$13,$H$285-F286),0))</f>
        <v>0</v>
      </c>
      <c r="H286" s="28" t="n">
        <f aca="false">MAX($H$285-F286-G286,0)</f>
        <v>19613.662170509</v>
      </c>
    </row>
    <row r="287" customFormat="false" ht="18" hidden="false" customHeight="true" outlineLevel="0" collapsed="false">
      <c r="A287" s="29" t="n">
        <f aca="false">IF($H$286&lt;=0,"",278)</f>
        <v>278</v>
      </c>
      <c r="B287" s="30" t="n">
        <f aca="false">IF($H$286&lt;=0,"",EDATE('Übersicht &amp; Eingaben'!$C$12,277))</f>
        <v>54455</v>
      </c>
      <c r="C287" s="31" t="n">
        <f aca="false">IF($H$286&lt;=0,"",YEAR(B287))</f>
        <v>2049</v>
      </c>
      <c r="D287" s="32" t="n">
        <f aca="false">IF($H$286&lt;=0,0,MIN($H$286+($H$286*'Übersicht &amp; Eingaben'!$C$8/12),('Übersicht &amp; Eingaben'!$C$7*('Übersicht &amp; Eingaben'!$C$8+'Übersicht &amp; Eingaben'!$C$9)/12)))</f>
        <v>1312.5</v>
      </c>
      <c r="E287" s="32" t="n">
        <f aca="false">IF($H$286&lt;=0,0,($H$286*'Übersicht &amp; Eingaben'!$C$8/12))</f>
        <v>62.1099302066118</v>
      </c>
      <c r="F287" s="32" t="n">
        <f aca="false">D287-E287</f>
        <v>1250.39006979339</v>
      </c>
      <c r="G287" s="33" t="n">
        <f aca="false">IF($H$286&lt;=0,0,IF(MONTH(B287)=12,MIN('Übersicht &amp; Eingaben'!$C$13,$H$286-F287),0))</f>
        <v>0</v>
      </c>
      <c r="H287" s="34" t="n">
        <f aca="false">MAX($H$286-F287-G287,0)</f>
        <v>18363.2721007156</v>
      </c>
    </row>
    <row r="288" customFormat="false" ht="18" hidden="false" customHeight="true" outlineLevel="0" collapsed="false">
      <c r="A288" s="23" t="n">
        <f aca="false">IF($H$287&lt;=0,"",279)</f>
        <v>279</v>
      </c>
      <c r="B288" s="24" t="n">
        <f aca="false">IF($H$287&lt;=0,"",EDATE('Übersicht &amp; Eingaben'!$C$12,278))</f>
        <v>54483</v>
      </c>
      <c r="C288" s="25" t="n">
        <f aca="false">IF($H$287&lt;=0,"",YEAR(B288))</f>
        <v>2049</v>
      </c>
      <c r="D288" s="26" t="n">
        <f aca="false">IF($H$287&lt;=0,0,MIN($H$287+($H$287*'Übersicht &amp; Eingaben'!$C$8/12),('Übersicht &amp; Eingaben'!$C$7*('Übersicht &amp; Eingaben'!$C$8+'Übersicht &amp; Eingaben'!$C$9)/12)))</f>
        <v>1312.5</v>
      </c>
      <c r="E288" s="26" t="n">
        <f aca="false">IF($H$287&lt;=0,0,($H$287*'Übersicht &amp; Eingaben'!$C$8/12))</f>
        <v>58.1503616522661</v>
      </c>
      <c r="F288" s="26" t="n">
        <f aca="false">D288-E288</f>
        <v>1254.34963834773</v>
      </c>
      <c r="G288" s="27" t="n">
        <f aca="false">IF($H$287&lt;=0,0,IF(MONTH(B288)=12,MIN('Übersicht &amp; Eingaben'!$C$13,$H$287-F288),0))</f>
        <v>0</v>
      </c>
      <c r="H288" s="28" t="n">
        <f aca="false">MAX($H$287-F288-G288,0)</f>
        <v>17108.9224623679</v>
      </c>
    </row>
    <row r="289" customFormat="false" ht="18" hidden="false" customHeight="true" outlineLevel="0" collapsed="false">
      <c r="A289" s="29" t="n">
        <f aca="false">IF($H$288&lt;=0,"",280)</f>
        <v>280</v>
      </c>
      <c r="B289" s="30" t="n">
        <f aca="false">IF($H$288&lt;=0,"",EDATE('Übersicht &amp; Eingaben'!$C$12,279))</f>
        <v>54514</v>
      </c>
      <c r="C289" s="31" t="n">
        <f aca="false">IF($H$288&lt;=0,"",YEAR(B289))</f>
        <v>2049</v>
      </c>
      <c r="D289" s="32" t="n">
        <f aca="false">IF($H$288&lt;=0,0,MIN($H$288+($H$288*'Übersicht &amp; Eingaben'!$C$8/12),('Übersicht &amp; Eingaben'!$C$7*('Übersicht &amp; Eingaben'!$C$8+'Übersicht &amp; Eingaben'!$C$9)/12)))</f>
        <v>1312.5</v>
      </c>
      <c r="E289" s="32" t="n">
        <f aca="false">IF($H$288&lt;=0,0,($H$288*'Übersicht &amp; Eingaben'!$C$8/12))</f>
        <v>54.1782544641649</v>
      </c>
      <c r="F289" s="32" t="n">
        <f aca="false">D289-E289</f>
        <v>1258.32174553584</v>
      </c>
      <c r="G289" s="33" t="n">
        <f aca="false">IF($H$288&lt;=0,0,IF(MONTH(B289)=12,MIN('Übersicht &amp; Eingaben'!$C$13,$H$288-F289),0))</f>
        <v>0</v>
      </c>
      <c r="H289" s="34" t="n">
        <f aca="false">MAX($H$288-F289-G289,0)</f>
        <v>15850.600716832</v>
      </c>
    </row>
    <row r="290" customFormat="false" ht="18" hidden="false" customHeight="true" outlineLevel="0" collapsed="false">
      <c r="A290" s="23" t="n">
        <f aca="false">IF($H$289&lt;=0,"",281)</f>
        <v>281</v>
      </c>
      <c r="B290" s="24" t="n">
        <f aca="false">IF($H$289&lt;=0,"",EDATE('Übersicht &amp; Eingaben'!$C$12,280))</f>
        <v>54544</v>
      </c>
      <c r="C290" s="25" t="n">
        <f aca="false">IF($H$289&lt;=0,"",YEAR(B290))</f>
        <v>2049</v>
      </c>
      <c r="D290" s="26" t="n">
        <f aca="false">IF($H$289&lt;=0,0,MIN($H$289+($H$289*'Übersicht &amp; Eingaben'!$C$8/12),('Übersicht &amp; Eingaben'!$C$7*('Übersicht &amp; Eingaben'!$C$8+'Übersicht &amp; Eingaben'!$C$9)/12)))</f>
        <v>1312.5</v>
      </c>
      <c r="E290" s="26" t="n">
        <f aca="false">IF($H$289&lt;=0,0,($H$289*'Übersicht &amp; Eingaben'!$C$8/12))</f>
        <v>50.1935689366348</v>
      </c>
      <c r="F290" s="26" t="n">
        <f aca="false">D290-E290</f>
        <v>1262.30643106337</v>
      </c>
      <c r="G290" s="27" t="n">
        <f aca="false">IF($H$289&lt;=0,0,IF(MONTH(B290)=12,MIN('Übersicht &amp; Eingaben'!$C$13,$H$289-F290),0))</f>
        <v>0</v>
      </c>
      <c r="H290" s="28" t="n">
        <f aca="false">MAX($H$289-F290-G290,0)</f>
        <v>14588.2942857687</v>
      </c>
    </row>
    <row r="291" customFormat="false" ht="18" hidden="false" customHeight="true" outlineLevel="0" collapsed="false">
      <c r="A291" s="29" t="n">
        <f aca="false">IF($H$290&lt;=0,"",282)</f>
        <v>282</v>
      </c>
      <c r="B291" s="30" t="n">
        <f aca="false">IF($H$290&lt;=0,"",EDATE('Übersicht &amp; Eingaben'!$C$12,281))</f>
        <v>54575</v>
      </c>
      <c r="C291" s="31" t="n">
        <f aca="false">IF($H$290&lt;=0,"",YEAR(B291))</f>
        <v>2049</v>
      </c>
      <c r="D291" s="32" t="n">
        <f aca="false">IF($H$290&lt;=0,0,MIN($H$290+($H$290*'Übersicht &amp; Eingaben'!$C$8/12),('Übersicht &amp; Eingaben'!$C$7*('Übersicht &amp; Eingaben'!$C$8+'Übersicht &amp; Eingaben'!$C$9)/12)))</f>
        <v>1312.5</v>
      </c>
      <c r="E291" s="32" t="n">
        <f aca="false">IF($H$290&lt;=0,0,($H$290*'Übersicht &amp; Eingaben'!$C$8/12))</f>
        <v>46.1962652382674</v>
      </c>
      <c r="F291" s="32" t="n">
        <f aca="false">D291-E291</f>
        <v>1266.30373476173</v>
      </c>
      <c r="G291" s="33" t="n">
        <f aca="false">IF($H$290&lt;=0,0,IF(MONTH(B291)=12,MIN('Übersicht &amp; Eingaben'!$C$13,$H$290-F291),0))</f>
        <v>0</v>
      </c>
      <c r="H291" s="34" t="n">
        <f aca="false">MAX($H$290-F291-G291,0)</f>
        <v>13321.9905510069</v>
      </c>
    </row>
    <row r="292" customFormat="false" ht="18" hidden="false" customHeight="true" outlineLevel="0" collapsed="false">
      <c r="A292" s="23" t="n">
        <f aca="false">IF($H$291&lt;=0,"",283)</f>
        <v>283</v>
      </c>
      <c r="B292" s="24" t="n">
        <f aca="false">IF($H$291&lt;=0,"",EDATE('Übersicht &amp; Eingaben'!$C$12,282))</f>
        <v>54605</v>
      </c>
      <c r="C292" s="25" t="n">
        <f aca="false">IF($H$291&lt;=0,"",YEAR(B292))</f>
        <v>2049</v>
      </c>
      <c r="D292" s="26" t="n">
        <f aca="false">IF($H$291&lt;=0,0,MIN($H$291+($H$291*'Übersicht &amp; Eingaben'!$C$8/12),('Übersicht &amp; Eingaben'!$C$7*('Übersicht &amp; Eingaben'!$C$8+'Übersicht &amp; Eingaben'!$C$9)/12)))</f>
        <v>1312.5</v>
      </c>
      <c r="E292" s="26" t="n">
        <f aca="false">IF($H$291&lt;=0,0,($H$291*'Übersicht &amp; Eingaben'!$C$8/12))</f>
        <v>42.186303411522</v>
      </c>
      <c r="F292" s="26" t="n">
        <f aca="false">D292-E292</f>
        <v>1270.31369658848</v>
      </c>
      <c r="G292" s="27" t="n">
        <f aca="false">IF($H$291&lt;=0,0,IF(MONTH(B292)=12,MIN('Übersicht &amp; Eingaben'!$C$13,$H$291-F292),0))</f>
        <v>0</v>
      </c>
      <c r="H292" s="28" t="n">
        <f aca="false">MAX($H$291-F292-G292,0)</f>
        <v>12051.6768544185</v>
      </c>
    </row>
    <row r="293" customFormat="false" ht="18" hidden="false" customHeight="true" outlineLevel="0" collapsed="false">
      <c r="A293" s="29" t="n">
        <f aca="false">IF($H$292&lt;=0,"",284)</f>
        <v>284</v>
      </c>
      <c r="B293" s="30" t="n">
        <f aca="false">IF($H$292&lt;=0,"",EDATE('Übersicht &amp; Eingaben'!$C$12,283))</f>
        <v>54636</v>
      </c>
      <c r="C293" s="31" t="n">
        <f aca="false">IF($H$292&lt;=0,"",YEAR(B293))</f>
        <v>2049</v>
      </c>
      <c r="D293" s="32" t="n">
        <f aca="false">IF($H$292&lt;=0,0,MIN($H$292+($H$292*'Übersicht &amp; Eingaben'!$C$8/12),('Übersicht &amp; Eingaben'!$C$7*('Übersicht &amp; Eingaben'!$C$8+'Übersicht &amp; Eingaben'!$C$9)/12)))</f>
        <v>1312.5</v>
      </c>
      <c r="E293" s="32" t="n">
        <f aca="false">IF($H$292&lt;=0,0,($H$292*'Übersicht &amp; Eingaben'!$C$8/12))</f>
        <v>38.1636433723251</v>
      </c>
      <c r="F293" s="32" t="n">
        <f aca="false">D293-E293</f>
        <v>1274.33635662767</v>
      </c>
      <c r="G293" s="33" t="n">
        <f aca="false">IF($H$292&lt;=0,0,IF(MONTH(B293)=12,MIN('Übersicht &amp; Eingaben'!$C$13,$H$292-F293),0))</f>
        <v>0</v>
      </c>
      <c r="H293" s="34" t="n">
        <f aca="false">MAX($H$292-F293-G293,0)</f>
        <v>10777.3404977908</v>
      </c>
    </row>
    <row r="294" customFormat="false" ht="18" hidden="false" customHeight="true" outlineLevel="0" collapsed="false">
      <c r="A294" s="23" t="n">
        <f aca="false">IF($H$293&lt;=0,"",285)</f>
        <v>285</v>
      </c>
      <c r="B294" s="24" t="n">
        <f aca="false">IF($H$293&lt;=0,"",EDATE('Übersicht &amp; Eingaben'!$C$12,284))</f>
        <v>54667</v>
      </c>
      <c r="C294" s="25" t="n">
        <f aca="false">IF($H$293&lt;=0,"",YEAR(B294))</f>
        <v>2049</v>
      </c>
      <c r="D294" s="26" t="n">
        <f aca="false">IF($H$293&lt;=0,0,MIN($H$293+($H$293*'Übersicht &amp; Eingaben'!$C$8/12),('Übersicht &amp; Eingaben'!$C$7*('Übersicht &amp; Eingaben'!$C$8+'Übersicht &amp; Eingaben'!$C$9)/12)))</f>
        <v>1312.5</v>
      </c>
      <c r="E294" s="26" t="n">
        <f aca="false">IF($H$293&lt;=0,0,($H$293*'Übersicht &amp; Eingaben'!$C$8/12))</f>
        <v>34.1282449096708</v>
      </c>
      <c r="F294" s="26" t="n">
        <f aca="false">D294-E294</f>
        <v>1278.37175509033</v>
      </c>
      <c r="G294" s="27" t="n">
        <f aca="false">IF($H$293&lt;=0,0,IF(MONTH(B294)=12,MIN('Übersicht &amp; Eingaben'!$C$13,$H$293-F294),0))</f>
        <v>0</v>
      </c>
      <c r="H294" s="28" t="n">
        <f aca="false">MAX($H$293-F294-G294,0)</f>
        <v>9498.96874270045</v>
      </c>
    </row>
    <row r="295" customFormat="false" ht="18" hidden="false" customHeight="true" outlineLevel="0" collapsed="false">
      <c r="A295" s="29" t="n">
        <f aca="false">IF($H$294&lt;=0,"",286)</f>
        <v>286</v>
      </c>
      <c r="B295" s="30" t="n">
        <f aca="false">IF($H$294&lt;=0,"",EDATE('Übersicht &amp; Eingaben'!$C$12,285))</f>
        <v>54697</v>
      </c>
      <c r="C295" s="31" t="n">
        <f aca="false">IF($H$294&lt;=0,"",YEAR(B295))</f>
        <v>2049</v>
      </c>
      <c r="D295" s="32" t="n">
        <f aca="false">IF($H$294&lt;=0,0,MIN($H$294+($H$294*'Übersicht &amp; Eingaben'!$C$8/12),('Übersicht &amp; Eingaben'!$C$7*('Übersicht &amp; Eingaben'!$C$8+'Übersicht &amp; Eingaben'!$C$9)/12)))</f>
        <v>1312.5</v>
      </c>
      <c r="E295" s="32" t="n">
        <f aca="false">IF($H$294&lt;=0,0,($H$294*'Übersicht &amp; Eingaben'!$C$8/12))</f>
        <v>30.0800676852181</v>
      </c>
      <c r="F295" s="32" t="n">
        <f aca="false">D295-E295</f>
        <v>1282.41993231478</v>
      </c>
      <c r="G295" s="33" t="n">
        <f aca="false">IF($H$294&lt;=0,0,IF(MONTH(B295)=12,MIN('Übersicht &amp; Eingaben'!$C$13,$H$294-F295),0))</f>
        <v>0</v>
      </c>
      <c r="H295" s="34" t="n">
        <f aca="false">MAX($H$294-F295-G295,0)</f>
        <v>8216.54881038567</v>
      </c>
    </row>
    <row r="296" customFormat="false" ht="18" hidden="false" customHeight="true" outlineLevel="0" collapsed="false">
      <c r="A296" s="23" t="n">
        <f aca="false">IF($H$295&lt;=0,"",287)</f>
        <v>287</v>
      </c>
      <c r="B296" s="24" t="n">
        <f aca="false">IF($H$295&lt;=0,"",EDATE('Übersicht &amp; Eingaben'!$C$12,286))</f>
        <v>54728</v>
      </c>
      <c r="C296" s="25" t="n">
        <f aca="false">IF($H$295&lt;=0,"",YEAR(B296))</f>
        <v>2049</v>
      </c>
      <c r="D296" s="26" t="n">
        <f aca="false">IF($H$295&lt;=0,0,MIN($H$295+($H$295*'Übersicht &amp; Eingaben'!$C$8/12),('Übersicht &amp; Eingaben'!$C$7*('Übersicht &amp; Eingaben'!$C$8+'Übersicht &amp; Eingaben'!$C$9)/12)))</f>
        <v>1312.5</v>
      </c>
      <c r="E296" s="26" t="n">
        <f aca="false">IF($H$295&lt;=0,0,($H$295*'Übersicht &amp; Eingaben'!$C$8/12))</f>
        <v>26.019071232888</v>
      </c>
      <c r="F296" s="26" t="n">
        <f aca="false">D296-E296</f>
        <v>1286.48092876711</v>
      </c>
      <c r="G296" s="27" t="n">
        <f aca="false">IF($H$295&lt;=0,0,IF(MONTH(B296)=12,MIN('Übersicht &amp; Eingaben'!$C$13,$H$295-F296),0))</f>
        <v>0</v>
      </c>
      <c r="H296" s="28" t="n">
        <f aca="false">MAX($H$295-F296-G296,0)</f>
        <v>6930.06788161856</v>
      </c>
    </row>
    <row r="297" customFormat="false" ht="18" hidden="false" customHeight="true" outlineLevel="0" collapsed="false">
      <c r="A297" s="29" t="n">
        <f aca="false">IF($H$296&lt;=0,"",288)</f>
        <v>288</v>
      </c>
      <c r="B297" s="30" t="n">
        <f aca="false">IF($H$296&lt;=0,"",EDATE('Übersicht &amp; Eingaben'!$C$12,287))</f>
        <v>54758</v>
      </c>
      <c r="C297" s="31" t="n">
        <f aca="false">IF($H$296&lt;=0,"",YEAR(B297))</f>
        <v>2049</v>
      </c>
      <c r="D297" s="32" t="n">
        <f aca="false">IF($H$296&lt;=0,0,MIN($H$296+($H$296*'Übersicht &amp; Eingaben'!$C$8/12),('Übersicht &amp; Eingaben'!$C$7*('Übersicht &amp; Eingaben'!$C$8+'Übersicht &amp; Eingaben'!$C$9)/12)))</f>
        <v>1312.5</v>
      </c>
      <c r="E297" s="32" t="n">
        <f aca="false">IF($H$296&lt;=0,0,($H$296*'Übersicht &amp; Eingaben'!$C$8/12))</f>
        <v>21.9452149584588</v>
      </c>
      <c r="F297" s="32" t="n">
        <f aca="false">D297-E297</f>
        <v>1290.55478504154</v>
      </c>
      <c r="G297" s="33" t="n">
        <f aca="false">IF($H$296&lt;=0,0,IF(MONTH(B297)=12,MIN('Übersicht &amp; Eingaben'!$C$13,$H$296-F297),0))</f>
        <v>0</v>
      </c>
      <c r="H297" s="34" t="n">
        <f aca="false">MAX($H$296-F297-G297,0)</f>
        <v>5639.51309657702</v>
      </c>
    </row>
    <row r="298" customFormat="false" ht="18" hidden="false" customHeight="true" outlineLevel="0" collapsed="false">
      <c r="A298" s="23" t="n">
        <f aca="false">IF($H$297&lt;=0,"",289)</f>
        <v>289</v>
      </c>
      <c r="B298" s="24" t="n">
        <f aca="false">IF($H$297&lt;=0,"",EDATE('Übersicht &amp; Eingaben'!$C$12,288))</f>
        <v>54789</v>
      </c>
      <c r="C298" s="25" t="n">
        <f aca="false">IF($H$297&lt;=0,"",YEAR(B298))</f>
        <v>2050</v>
      </c>
      <c r="D298" s="26" t="n">
        <f aca="false">IF($H$297&lt;=0,0,MIN($H$297+($H$297*'Übersicht &amp; Eingaben'!$C$8/12),('Übersicht &amp; Eingaben'!$C$7*('Übersicht &amp; Eingaben'!$C$8+'Übersicht &amp; Eingaben'!$C$9)/12)))</f>
        <v>1312.5</v>
      </c>
      <c r="E298" s="26" t="n">
        <f aca="false">IF($H$297&lt;=0,0,($H$297*'Übersicht &amp; Eingaben'!$C$8/12))</f>
        <v>17.8584581391606</v>
      </c>
      <c r="F298" s="26" t="n">
        <f aca="false">D298-E298</f>
        <v>1294.64154186084</v>
      </c>
      <c r="G298" s="27" t="n">
        <f aca="false">IF($H$297&lt;=0,0,IF(MONTH(B298)=12,MIN('Übersicht &amp; Eingaben'!$C$13,$H$297-F298),0))</f>
        <v>0</v>
      </c>
      <c r="H298" s="28" t="n">
        <f aca="false">MAX($H$297-F298-G298,0)</f>
        <v>4344.87155471618</v>
      </c>
    </row>
    <row r="299" customFormat="false" ht="18" hidden="false" customHeight="true" outlineLevel="0" collapsed="false">
      <c r="A299" s="29" t="n">
        <f aca="false">IF($H$298&lt;=0,"",290)</f>
        <v>290</v>
      </c>
      <c r="B299" s="30" t="n">
        <f aca="false">IF($H$298&lt;=0,"",EDATE('Übersicht &amp; Eingaben'!$C$12,289))</f>
        <v>54820</v>
      </c>
      <c r="C299" s="31" t="n">
        <f aca="false">IF($H$298&lt;=0,"",YEAR(B299))</f>
        <v>2050</v>
      </c>
      <c r="D299" s="32" t="n">
        <f aca="false">IF($H$298&lt;=0,0,MIN($H$298+($H$298*'Übersicht &amp; Eingaben'!$C$8/12),('Übersicht &amp; Eingaben'!$C$7*('Übersicht &amp; Eingaben'!$C$8+'Übersicht &amp; Eingaben'!$C$9)/12)))</f>
        <v>1312.5</v>
      </c>
      <c r="E299" s="32" t="n">
        <f aca="false">IF($H$298&lt;=0,0,($H$298*'Übersicht &amp; Eingaben'!$C$8/12))</f>
        <v>13.7587599232679</v>
      </c>
      <c r="F299" s="32" t="n">
        <f aca="false">D299-E299</f>
        <v>1298.74124007673</v>
      </c>
      <c r="G299" s="33" t="n">
        <f aca="false">IF($H$298&lt;=0,0,IF(MONTH(B299)=12,MIN('Übersicht &amp; Eingaben'!$C$13,$H$298-F299),0))</f>
        <v>0</v>
      </c>
      <c r="H299" s="34" t="n">
        <f aca="false">MAX($H$298-F299-G299,0)</f>
        <v>3046.13031463944</v>
      </c>
    </row>
    <row r="300" customFormat="false" ht="18" hidden="false" customHeight="true" outlineLevel="0" collapsed="false">
      <c r="A300" s="23" t="n">
        <f aca="false">IF($H$299&lt;=0,"",291)</f>
        <v>291</v>
      </c>
      <c r="B300" s="24" t="n">
        <f aca="false">IF($H$299&lt;=0,"",EDATE('Übersicht &amp; Eingaben'!$C$12,290))</f>
        <v>54848</v>
      </c>
      <c r="C300" s="25" t="n">
        <f aca="false">IF($H$299&lt;=0,"",YEAR(B300))</f>
        <v>2050</v>
      </c>
      <c r="D300" s="26" t="n">
        <f aca="false">IF($H$299&lt;=0,0,MIN($H$299+($H$299*'Übersicht &amp; Eingaben'!$C$8/12),('Übersicht &amp; Eingaben'!$C$7*('Übersicht &amp; Eingaben'!$C$8+'Übersicht &amp; Eingaben'!$C$9)/12)))</f>
        <v>1312.5</v>
      </c>
      <c r="E300" s="26" t="n">
        <f aca="false">IF($H$299&lt;=0,0,($H$299*'Übersicht &amp; Eingaben'!$C$8/12))</f>
        <v>9.64607932969157</v>
      </c>
      <c r="F300" s="26" t="n">
        <f aca="false">D300-E300</f>
        <v>1302.85392067031</v>
      </c>
      <c r="G300" s="27" t="n">
        <f aca="false">IF($H$299&lt;=0,0,IF(MONTH(B300)=12,MIN('Übersicht &amp; Eingaben'!$C$13,$H$299-F300),0))</f>
        <v>0</v>
      </c>
      <c r="H300" s="28" t="n">
        <f aca="false">MAX($H$299-F300-G300,0)</f>
        <v>1743.27639396914</v>
      </c>
    </row>
    <row r="301" customFormat="false" ht="18" hidden="false" customHeight="true" outlineLevel="0" collapsed="false">
      <c r="A301" s="29" t="n">
        <f aca="false">IF($H$300&lt;=0,"",292)</f>
        <v>292</v>
      </c>
      <c r="B301" s="30" t="n">
        <f aca="false">IF($H$300&lt;=0,"",EDATE('Übersicht &amp; Eingaben'!$C$12,291))</f>
        <v>54879</v>
      </c>
      <c r="C301" s="31" t="n">
        <f aca="false">IF($H$300&lt;=0,"",YEAR(B301))</f>
        <v>2050</v>
      </c>
      <c r="D301" s="32" t="n">
        <f aca="false">IF($H$300&lt;=0,0,MIN($H$300+($H$300*'Übersicht &amp; Eingaben'!$C$8/12),('Übersicht &amp; Eingaben'!$C$7*('Übersicht &amp; Eingaben'!$C$8+'Übersicht &amp; Eingaben'!$C$9)/12)))</f>
        <v>1312.5</v>
      </c>
      <c r="E301" s="32" t="n">
        <f aca="false">IF($H$300&lt;=0,0,($H$300*'Übersicht &amp; Eingaben'!$C$8/12))</f>
        <v>5.52037524756893</v>
      </c>
      <c r="F301" s="32" t="n">
        <f aca="false">D301-E301</f>
        <v>1306.97962475243</v>
      </c>
      <c r="G301" s="33" t="n">
        <f aca="false">IF($H$300&lt;=0,0,IF(MONTH(B301)=12,MIN('Übersicht &amp; Eingaben'!$C$13,$H$300-F301),0))</f>
        <v>0</v>
      </c>
      <c r="H301" s="34" t="n">
        <f aca="false">MAX($H$300-F301-G301,0)</f>
        <v>436.296769216705</v>
      </c>
    </row>
    <row r="302" customFormat="false" ht="18" hidden="false" customHeight="true" outlineLevel="0" collapsed="false">
      <c r="A302" s="23" t="n">
        <f aca="false">IF($H$301&lt;=0,"",293)</f>
        <v>293</v>
      </c>
      <c r="B302" s="24" t="n">
        <f aca="false">IF($H$301&lt;=0,"",EDATE('Übersicht &amp; Eingaben'!$C$12,292))</f>
        <v>54909</v>
      </c>
      <c r="C302" s="25" t="n">
        <f aca="false">IF($H$301&lt;=0,"",YEAR(B302))</f>
        <v>2050</v>
      </c>
      <c r="D302" s="26" t="n">
        <f aca="false">IF($H$301&lt;=0,0,MIN($H$301+($H$301*'Übersicht &amp; Eingaben'!$C$8/12),('Übersicht &amp; Eingaben'!$C$7*('Übersicht &amp; Eingaben'!$C$8+'Übersicht &amp; Eingaben'!$C$9)/12)))</f>
        <v>437.678375652558</v>
      </c>
      <c r="E302" s="26" t="n">
        <f aca="false">IF($H$301&lt;=0,0,($H$301*'Übersicht &amp; Eingaben'!$C$8/12))</f>
        <v>1.3816064358529</v>
      </c>
      <c r="F302" s="26" t="n">
        <f aca="false">D302-E302</f>
        <v>436.296769216705</v>
      </c>
      <c r="G302" s="27" t="n">
        <f aca="false">IF($H$301&lt;=0,0,IF(MONTH(B302)=12,MIN('Übersicht &amp; Eingaben'!$C$13,$H$301-F302),0))</f>
        <v>0</v>
      </c>
      <c r="H302" s="28" t="n">
        <f aca="false">MAX($H$301-F302-G302,0)</f>
        <v>0</v>
      </c>
    </row>
    <row r="303" customFormat="false" ht="18" hidden="false" customHeight="true" outlineLevel="0" collapsed="false">
      <c r="A303" s="29" t="str">
        <f aca="false">IF($H$302&lt;=0,"",294)</f>
        <v/>
      </c>
      <c r="B303" s="30" t="str">
        <f aca="false">IF($H$302&lt;=0,"",EDATE('Übersicht &amp; Eingaben'!$C$12,293))</f>
        <v/>
      </c>
      <c r="C303" s="31" t="str">
        <f aca="false">IF($H$302&lt;=0,"",YEAR(B303))</f>
        <v/>
      </c>
      <c r="D303" s="32" t="n">
        <f aca="false">IF($H$302&lt;=0,0,MIN($H$302+($H$302*'Übersicht &amp; Eingaben'!$C$8/12),('Übersicht &amp; Eingaben'!$C$7*('Übersicht &amp; Eingaben'!$C$8+'Übersicht &amp; Eingaben'!$C$9)/12)))</f>
        <v>0</v>
      </c>
      <c r="E303" s="32" t="n">
        <f aca="false">IF($H$302&lt;=0,0,($H$302*'Übersicht &amp; Eingaben'!$C$8/12))</f>
        <v>0</v>
      </c>
      <c r="F303" s="32" t="n">
        <f aca="false">D303-E303</f>
        <v>0</v>
      </c>
      <c r="G303" s="33" t="n">
        <f aca="false">IF($H$302&lt;=0,0,IF(MONTH(B303)=12,MIN('Übersicht &amp; Eingaben'!$C$13,$H$302-F303),0))</f>
        <v>0</v>
      </c>
      <c r="H303" s="34" t="n">
        <f aca="false">MAX($H$302-F303-G303,0)</f>
        <v>0</v>
      </c>
    </row>
    <row r="304" customFormat="false" ht="18" hidden="false" customHeight="true" outlineLevel="0" collapsed="false">
      <c r="A304" s="23" t="str">
        <f aca="false">IF($H$303&lt;=0,"",295)</f>
        <v/>
      </c>
      <c r="B304" s="24" t="str">
        <f aca="false">IF($H$303&lt;=0,"",EDATE('Übersicht &amp; Eingaben'!$C$12,294))</f>
        <v/>
      </c>
      <c r="C304" s="25" t="str">
        <f aca="false">IF($H$303&lt;=0,"",YEAR(B304))</f>
        <v/>
      </c>
      <c r="D304" s="26" t="n">
        <f aca="false">IF($H$303&lt;=0,0,MIN($H$303+($H$303*'Übersicht &amp; Eingaben'!$C$8/12),('Übersicht &amp; Eingaben'!$C$7*('Übersicht &amp; Eingaben'!$C$8+'Übersicht &amp; Eingaben'!$C$9)/12)))</f>
        <v>0</v>
      </c>
      <c r="E304" s="26" t="n">
        <f aca="false">IF($H$303&lt;=0,0,($H$303*'Übersicht &amp; Eingaben'!$C$8/12))</f>
        <v>0</v>
      </c>
      <c r="F304" s="26" t="n">
        <f aca="false">D304-E304</f>
        <v>0</v>
      </c>
      <c r="G304" s="27" t="n">
        <f aca="false">IF($H$303&lt;=0,0,IF(MONTH(B304)=12,MIN('Übersicht &amp; Eingaben'!$C$13,$H$303-F304),0))</f>
        <v>0</v>
      </c>
      <c r="H304" s="28" t="n">
        <f aca="false">MAX($H$303-F304-G304,0)</f>
        <v>0</v>
      </c>
    </row>
    <row r="305" customFormat="false" ht="18" hidden="false" customHeight="true" outlineLevel="0" collapsed="false">
      <c r="A305" s="29" t="str">
        <f aca="false">IF($H$304&lt;=0,"",296)</f>
        <v/>
      </c>
      <c r="B305" s="30" t="str">
        <f aca="false">IF($H$304&lt;=0,"",EDATE('Übersicht &amp; Eingaben'!$C$12,295))</f>
        <v/>
      </c>
      <c r="C305" s="31" t="str">
        <f aca="false">IF($H$304&lt;=0,"",YEAR(B305))</f>
        <v/>
      </c>
      <c r="D305" s="32" t="n">
        <f aca="false">IF($H$304&lt;=0,0,MIN($H$304+($H$304*'Übersicht &amp; Eingaben'!$C$8/12),('Übersicht &amp; Eingaben'!$C$7*('Übersicht &amp; Eingaben'!$C$8+'Übersicht &amp; Eingaben'!$C$9)/12)))</f>
        <v>0</v>
      </c>
      <c r="E305" s="32" t="n">
        <f aca="false">IF($H$304&lt;=0,0,($H$304*'Übersicht &amp; Eingaben'!$C$8/12))</f>
        <v>0</v>
      </c>
      <c r="F305" s="32" t="n">
        <f aca="false">D305-E305</f>
        <v>0</v>
      </c>
      <c r="G305" s="33" t="n">
        <f aca="false">IF($H$304&lt;=0,0,IF(MONTH(B305)=12,MIN('Übersicht &amp; Eingaben'!$C$13,$H$304-F305),0))</f>
        <v>0</v>
      </c>
      <c r="H305" s="34" t="n">
        <f aca="false">MAX($H$304-F305-G305,0)</f>
        <v>0</v>
      </c>
    </row>
    <row r="306" customFormat="false" ht="18" hidden="false" customHeight="true" outlineLevel="0" collapsed="false">
      <c r="A306" s="23" t="str">
        <f aca="false">IF($H$305&lt;=0,"",297)</f>
        <v/>
      </c>
      <c r="B306" s="24" t="str">
        <f aca="false">IF($H$305&lt;=0,"",EDATE('Übersicht &amp; Eingaben'!$C$12,296))</f>
        <v/>
      </c>
      <c r="C306" s="25" t="str">
        <f aca="false">IF($H$305&lt;=0,"",YEAR(B306))</f>
        <v/>
      </c>
      <c r="D306" s="26" t="n">
        <f aca="false">IF($H$305&lt;=0,0,MIN($H$305+($H$305*'Übersicht &amp; Eingaben'!$C$8/12),('Übersicht &amp; Eingaben'!$C$7*('Übersicht &amp; Eingaben'!$C$8+'Übersicht &amp; Eingaben'!$C$9)/12)))</f>
        <v>0</v>
      </c>
      <c r="E306" s="26" t="n">
        <f aca="false">IF($H$305&lt;=0,0,($H$305*'Übersicht &amp; Eingaben'!$C$8/12))</f>
        <v>0</v>
      </c>
      <c r="F306" s="26" t="n">
        <f aca="false">D306-E306</f>
        <v>0</v>
      </c>
      <c r="G306" s="27" t="n">
        <f aca="false">IF($H$305&lt;=0,0,IF(MONTH(B306)=12,MIN('Übersicht &amp; Eingaben'!$C$13,$H$305-F306),0))</f>
        <v>0</v>
      </c>
      <c r="H306" s="28" t="n">
        <f aca="false">MAX($H$305-F306-G306,0)</f>
        <v>0</v>
      </c>
    </row>
    <row r="307" customFormat="false" ht="18" hidden="false" customHeight="true" outlineLevel="0" collapsed="false">
      <c r="A307" s="29" t="str">
        <f aca="false">IF($H$306&lt;=0,"",298)</f>
        <v/>
      </c>
      <c r="B307" s="30" t="str">
        <f aca="false">IF($H$306&lt;=0,"",EDATE('Übersicht &amp; Eingaben'!$C$12,297))</f>
        <v/>
      </c>
      <c r="C307" s="31" t="str">
        <f aca="false">IF($H$306&lt;=0,"",YEAR(B307))</f>
        <v/>
      </c>
      <c r="D307" s="32" t="n">
        <f aca="false">IF($H$306&lt;=0,0,MIN($H$306+($H$306*'Übersicht &amp; Eingaben'!$C$8/12),('Übersicht &amp; Eingaben'!$C$7*('Übersicht &amp; Eingaben'!$C$8+'Übersicht &amp; Eingaben'!$C$9)/12)))</f>
        <v>0</v>
      </c>
      <c r="E307" s="32" t="n">
        <f aca="false">IF($H$306&lt;=0,0,($H$306*'Übersicht &amp; Eingaben'!$C$8/12))</f>
        <v>0</v>
      </c>
      <c r="F307" s="32" t="n">
        <f aca="false">D307-E307</f>
        <v>0</v>
      </c>
      <c r="G307" s="33" t="n">
        <f aca="false">IF($H$306&lt;=0,0,IF(MONTH(B307)=12,MIN('Übersicht &amp; Eingaben'!$C$13,$H$306-F307),0))</f>
        <v>0</v>
      </c>
      <c r="H307" s="34" t="n">
        <f aca="false">MAX($H$306-F307-G307,0)</f>
        <v>0</v>
      </c>
    </row>
    <row r="308" customFormat="false" ht="18" hidden="false" customHeight="true" outlineLevel="0" collapsed="false">
      <c r="A308" s="23" t="str">
        <f aca="false">IF($H$307&lt;=0,"",299)</f>
        <v/>
      </c>
      <c r="B308" s="24" t="str">
        <f aca="false">IF($H$307&lt;=0,"",EDATE('Übersicht &amp; Eingaben'!$C$12,298))</f>
        <v/>
      </c>
      <c r="C308" s="25" t="str">
        <f aca="false">IF($H$307&lt;=0,"",YEAR(B308))</f>
        <v/>
      </c>
      <c r="D308" s="26" t="n">
        <f aca="false">IF($H$307&lt;=0,0,MIN($H$307+($H$307*'Übersicht &amp; Eingaben'!$C$8/12),('Übersicht &amp; Eingaben'!$C$7*('Übersicht &amp; Eingaben'!$C$8+'Übersicht &amp; Eingaben'!$C$9)/12)))</f>
        <v>0</v>
      </c>
      <c r="E308" s="26" t="n">
        <f aca="false">IF($H$307&lt;=0,0,($H$307*'Übersicht &amp; Eingaben'!$C$8/12))</f>
        <v>0</v>
      </c>
      <c r="F308" s="26" t="n">
        <f aca="false">D308-E308</f>
        <v>0</v>
      </c>
      <c r="G308" s="27" t="n">
        <f aca="false">IF($H$307&lt;=0,0,IF(MONTH(B308)=12,MIN('Übersicht &amp; Eingaben'!$C$13,$H$307-F308),0))</f>
        <v>0</v>
      </c>
      <c r="H308" s="28" t="n">
        <f aca="false">MAX($H$307-F308-G308,0)</f>
        <v>0</v>
      </c>
    </row>
    <row r="309" customFormat="false" ht="18" hidden="false" customHeight="true" outlineLevel="0" collapsed="false">
      <c r="A309" s="29" t="str">
        <f aca="false">IF($H$308&lt;=0,"",300)</f>
        <v/>
      </c>
      <c r="B309" s="30" t="str">
        <f aca="false">IF($H$308&lt;=0,"",EDATE('Übersicht &amp; Eingaben'!$C$12,299))</f>
        <v/>
      </c>
      <c r="C309" s="31" t="str">
        <f aca="false">IF($H$308&lt;=0,"",YEAR(B309))</f>
        <v/>
      </c>
      <c r="D309" s="32" t="n">
        <f aca="false">IF($H$308&lt;=0,0,MIN($H$308+($H$308*'Übersicht &amp; Eingaben'!$C$8/12),('Übersicht &amp; Eingaben'!$C$7*('Übersicht &amp; Eingaben'!$C$8+'Übersicht &amp; Eingaben'!$C$9)/12)))</f>
        <v>0</v>
      </c>
      <c r="E309" s="32" t="n">
        <f aca="false">IF($H$308&lt;=0,0,($H$308*'Übersicht &amp; Eingaben'!$C$8/12))</f>
        <v>0</v>
      </c>
      <c r="F309" s="32" t="n">
        <f aca="false">D309-E309</f>
        <v>0</v>
      </c>
      <c r="G309" s="33" t="n">
        <f aca="false">IF($H$308&lt;=0,0,IF(MONTH(B309)=12,MIN('Übersicht &amp; Eingaben'!$C$13,$H$308-F309),0))</f>
        <v>0</v>
      </c>
      <c r="H309" s="34" t="n">
        <f aca="false">MAX($H$308-F309-G309,0)</f>
        <v>0</v>
      </c>
    </row>
    <row r="310" customFormat="false" ht="18" hidden="false" customHeight="true" outlineLevel="0" collapsed="false">
      <c r="A310" s="23" t="str">
        <f aca="false">IF($H$309&lt;=0,"",301)</f>
        <v/>
      </c>
      <c r="B310" s="24" t="str">
        <f aca="false">IF($H$309&lt;=0,"",EDATE('Übersicht &amp; Eingaben'!$C$12,300))</f>
        <v/>
      </c>
      <c r="C310" s="25" t="str">
        <f aca="false">IF($H$309&lt;=0,"",YEAR(B310))</f>
        <v/>
      </c>
      <c r="D310" s="26" t="n">
        <f aca="false">IF($H$309&lt;=0,0,MIN($H$309+($H$309*'Übersicht &amp; Eingaben'!$C$8/12),('Übersicht &amp; Eingaben'!$C$7*('Übersicht &amp; Eingaben'!$C$8+'Übersicht &amp; Eingaben'!$C$9)/12)))</f>
        <v>0</v>
      </c>
      <c r="E310" s="26" t="n">
        <f aca="false">IF($H$309&lt;=0,0,($H$309*'Übersicht &amp; Eingaben'!$C$8/12))</f>
        <v>0</v>
      </c>
      <c r="F310" s="26" t="n">
        <f aca="false">D310-E310</f>
        <v>0</v>
      </c>
      <c r="G310" s="27" t="n">
        <f aca="false">IF($H$309&lt;=0,0,IF(MONTH(B310)=12,MIN('Übersicht &amp; Eingaben'!$C$13,$H$309-F310),0))</f>
        <v>0</v>
      </c>
      <c r="H310" s="28" t="n">
        <f aca="false">MAX($H$309-F310-G310,0)</f>
        <v>0</v>
      </c>
    </row>
    <row r="311" customFormat="false" ht="18" hidden="false" customHeight="true" outlineLevel="0" collapsed="false">
      <c r="A311" s="29" t="str">
        <f aca="false">IF($H$310&lt;=0,"",302)</f>
        <v/>
      </c>
      <c r="B311" s="30" t="str">
        <f aca="false">IF($H$310&lt;=0,"",EDATE('Übersicht &amp; Eingaben'!$C$12,301))</f>
        <v/>
      </c>
      <c r="C311" s="31" t="str">
        <f aca="false">IF($H$310&lt;=0,"",YEAR(B311))</f>
        <v/>
      </c>
      <c r="D311" s="32" t="n">
        <f aca="false">IF($H$310&lt;=0,0,MIN($H$310+($H$310*'Übersicht &amp; Eingaben'!$C$8/12),('Übersicht &amp; Eingaben'!$C$7*('Übersicht &amp; Eingaben'!$C$8+'Übersicht &amp; Eingaben'!$C$9)/12)))</f>
        <v>0</v>
      </c>
      <c r="E311" s="32" t="n">
        <f aca="false">IF($H$310&lt;=0,0,($H$310*'Übersicht &amp; Eingaben'!$C$8/12))</f>
        <v>0</v>
      </c>
      <c r="F311" s="32" t="n">
        <f aca="false">D311-E311</f>
        <v>0</v>
      </c>
      <c r="G311" s="33" t="n">
        <f aca="false">IF($H$310&lt;=0,0,IF(MONTH(B311)=12,MIN('Übersicht &amp; Eingaben'!$C$13,$H$310-F311),0))</f>
        <v>0</v>
      </c>
      <c r="H311" s="34" t="n">
        <f aca="false">MAX($H$310-F311-G311,0)</f>
        <v>0</v>
      </c>
    </row>
    <row r="312" customFormat="false" ht="18" hidden="false" customHeight="true" outlineLevel="0" collapsed="false">
      <c r="A312" s="23" t="str">
        <f aca="false">IF($H$311&lt;=0,"",303)</f>
        <v/>
      </c>
      <c r="B312" s="24" t="str">
        <f aca="false">IF($H$311&lt;=0,"",EDATE('Übersicht &amp; Eingaben'!$C$12,302))</f>
        <v/>
      </c>
      <c r="C312" s="25" t="str">
        <f aca="false">IF($H$311&lt;=0,"",YEAR(B312))</f>
        <v/>
      </c>
      <c r="D312" s="26" t="n">
        <f aca="false">IF($H$311&lt;=0,0,MIN($H$311+($H$311*'Übersicht &amp; Eingaben'!$C$8/12),('Übersicht &amp; Eingaben'!$C$7*('Übersicht &amp; Eingaben'!$C$8+'Übersicht &amp; Eingaben'!$C$9)/12)))</f>
        <v>0</v>
      </c>
      <c r="E312" s="26" t="n">
        <f aca="false">IF($H$311&lt;=0,0,($H$311*'Übersicht &amp; Eingaben'!$C$8/12))</f>
        <v>0</v>
      </c>
      <c r="F312" s="26" t="n">
        <f aca="false">D312-E312</f>
        <v>0</v>
      </c>
      <c r="G312" s="27" t="n">
        <f aca="false">IF($H$311&lt;=0,0,IF(MONTH(B312)=12,MIN('Übersicht &amp; Eingaben'!$C$13,$H$311-F312),0))</f>
        <v>0</v>
      </c>
      <c r="H312" s="28" t="n">
        <f aca="false">MAX($H$311-F312-G312,0)</f>
        <v>0</v>
      </c>
    </row>
    <row r="313" customFormat="false" ht="18" hidden="false" customHeight="true" outlineLevel="0" collapsed="false">
      <c r="A313" s="29" t="str">
        <f aca="false">IF($H$312&lt;=0,"",304)</f>
        <v/>
      </c>
      <c r="B313" s="30" t="str">
        <f aca="false">IF($H$312&lt;=0,"",EDATE('Übersicht &amp; Eingaben'!$C$12,303))</f>
        <v/>
      </c>
      <c r="C313" s="31" t="str">
        <f aca="false">IF($H$312&lt;=0,"",YEAR(B313))</f>
        <v/>
      </c>
      <c r="D313" s="32" t="n">
        <f aca="false">IF($H$312&lt;=0,0,MIN($H$312+($H$312*'Übersicht &amp; Eingaben'!$C$8/12),('Übersicht &amp; Eingaben'!$C$7*('Übersicht &amp; Eingaben'!$C$8+'Übersicht &amp; Eingaben'!$C$9)/12)))</f>
        <v>0</v>
      </c>
      <c r="E313" s="32" t="n">
        <f aca="false">IF($H$312&lt;=0,0,($H$312*'Übersicht &amp; Eingaben'!$C$8/12))</f>
        <v>0</v>
      </c>
      <c r="F313" s="32" t="n">
        <f aca="false">D313-E313</f>
        <v>0</v>
      </c>
      <c r="G313" s="33" t="n">
        <f aca="false">IF($H$312&lt;=0,0,IF(MONTH(B313)=12,MIN('Übersicht &amp; Eingaben'!$C$13,$H$312-F313),0))</f>
        <v>0</v>
      </c>
      <c r="H313" s="34" t="n">
        <f aca="false">MAX($H$312-F313-G313,0)</f>
        <v>0</v>
      </c>
    </row>
    <row r="314" customFormat="false" ht="18" hidden="false" customHeight="true" outlineLevel="0" collapsed="false">
      <c r="A314" s="23" t="str">
        <f aca="false">IF($H$313&lt;=0,"",305)</f>
        <v/>
      </c>
      <c r="B314" s="24" t="str">
        <f aca="false">IF($H$313&lt;=0,"",EDATE('Übersicht &amp; Eingaben'!$C$12,304))</f>
        <v/>
      </c>
      <c r="C314" s="25" t="str">
        <f aca="false">IF($H$313&lt;=0,"",YEAR(B314))</f>
        <v/>
      </c>
      <c r="D314" s="26" t="n">
        <f aca="false">IF($H$313&lt;=0,0,MIN($H$313+($H$313*'Übersicht &amp; Eingaben'!$C$8/12),('Übersicht &amp; Eingaben'!$C$7*('Übersicht &amp; Eingaben'!$C$8+'Übersicht &amp; Eingaben'!$C$9)/12)))</f>
        <v>0</v>
      </c>
      <c r="E314" s="26" t="n">
        <f aca="false">IF($H$313&lt;=0,0,($H$313*'Übersicht &amp; Eingaben'!$C$8/12))</f>
        <v>0</v>
      </c>
      <c r="F314" s="26" t="n">
        <f aca="false">D314-E314</f>
        <v>0</v>
      </c>
      <c r="G314" s="27" t="n">
        <f aca="false">IF($H$313&lt;=0,0,IF(MONTH(B314)=12,MIN('Übersicht &amp; Eingaben'!$C$13,$H$313-F314),0))</f>
        <v>0</v>
      </c>
      <c r="H314" s="28" t="n">
        <f aca="false">MAX($H$313-F314-G314,0)</f>
        <v>0</v>
      </c>
    </row>
    <row r="315" customFormat="false" ht="18" hidden="false" customHeight="true" outlineLevel="0" collapsed="false">
      <c r="A315" s="29" t="str">
        <f aca="false">IF($H$314&lt;=0,"",306)</f>
        <v/>
      </c>
      <c r="B315" s="30" t="str">
        <f aca="false">IF($H$314&lt;=0,"",EDATE('Übersicht &amp; Eingaben'!$C$12,305))</f>
        <v/>
      </c>
      <c r="C315" s="31" t="str">
        <f aca="false">IF($H$314&lt;=0,"",YEAR(B315))</f>
        <v/>
      </c>
      <c r="D315" s="32" t="n">
        <f aca="false">IF($H$314&lt;=0,0,MIN($H$314+($H$314*'Übersicht &amp; Eingaben'!$C$8/12),('Übersicht &amp; Eingaben'!$C$7*('Übersicht &amp; Eingaben'!$C$8+'Übersicht &amp; Eingaben'!$C$9)/12)))</f>
        <v>0</v>
      </c>
      <c r="E315" s="32" t="n">
        <f aca="false">IF($H$314&lt;=0,0,($H$314*'Übersicht &amp; Eingaben'!$C$8/12))</f>
        <v>0</v>
      </c>
      <c r="F315" s="32" t="n">
        <f aca="false">D315-E315</f>
        <v>0</v>
      </c>
      <c r="G315" s="33" t="n">
        <f aca="false">IF($H$314&lt;=0,0,IF(MONTH(B315)=12,MIN('Übersicht &amp; Eingaben'!$C$13,$H$314-F315),0))</f>
        <v>0</v>
      </c>
      <c r="H315" s="34" t="n">
        <f aca="false">MAX($H$314-F315-G315,0)</f>
        <v>0</v>
      </c>
    </row>
    <row r="316" customFormat="false" ht="18" hidden="false" customHeight="true" outlineLevel="0" collapsed="false">
      <c r="A316" s="23" t="str">
        <f aca="false">IF($H$315&lt;=0,"",307)</f>
        <v/>
      </c>
      <c r="B316" s="24" t="str">
        <f aca="false">IF($H$315&lt;=0,"",EDATE('Übersicht &amp; Eingaben'!$C$12,306))</f>
        <v/>
      </c>
      <c r="C316" s="25" t="str">
        <f aca="false">IF($H$315&lt;=0,"",YEAR(B316))</f>
        <v/>
      </c>
      <c r="D316" s="26" t="n">
        <f aca="false">IF($H$315&lt;=0,0,MIN($H$315+($H$315*'Übersicht &amp; Eingaben'!$C$8/12),('Übersicht &amp; Eingaben'!$C$7*('Übersicht &amp; Eingaben'!$C$8+'Übersicht &amp; Eingaben'!$C$9)/12)))</f>
        <v>0</v>
      </c>
      <c r="E316" s="26" t="n">
        <f aca="false">IF($H$315&lt;=0,0,($H$315*'Übersicht &amp; Eingaben'!$C$8/12))</f>
        <v>0</v>
      </c>
      <c r="F316" s="26" t="n">
        <f aca="false">D316-E316</f>
        <v>0</v>
      </c>
      <c r="G316" s="27" t="n">
        <f aca="false">IF($H$315&lt;=0,0,IF(MONTH(B316)=12,MIN('Übersicht &amp; Eingaben'!$C$13,$H$315-F316),0))</f>
        <v>0</v>
      </c>
      <c r="H316" s="28" t="n">
        <f aca="false">MAX($H$315-F316-G316,0)</f>
        <v>0</v>
      </c>
    </row>
    <row r="317" customFormat="false" ht="18" hidden="false" customHeight="true" outlineLevel="0" collapsed="false">
      <c r="A317" s="29" t="str">
        <f aca="false">IF($H$316&lt;=0,"",308)</f>
        <v/>
      </c>
      <c r="B317" s="30" t="str">
        <f aca="false">IF($H$316&lt;=0,"",EDATE('Übersicht &amp; Eingaben'!$C$12,307))</f>
        <v/>
      </c>
      <c r="C317" s="31" t="str">
        <f aca="false">IF($H$316&lt;=0,"",YEAR(B317))</f>
        <v/>
      </c>
      <c r="D317" s="32" t="n">
        <f aca="false">IF($H$316&lt;=0,0,MIN($H$316+($H$316*'Übersicht &amp; Eingaben'!$C$8/12),('Übersicht &amp; Eingaben'!$C$7*('Übersicht &amp; Eingaben'!$C$8+'Übersicht &amp; Eingaben'!$C$9)/12)))</f>
        <v>0</v>
      </c>
      <c r="E317" s="32" t="n">
        <f aca="false">IF($H$316&lt;=0,0,($H$316*'Übersicht &amp; Eingaben'!$C$8/12))</f>
        <v>0</v>
      </c>
      <c r="F317" s="32" t="n">
        <f aca="false">D317-E317</f>
        <v>0</v>
      </c>
      <c r="G317" s="33" t="n">
        <f aca="false">IF($H$316&lt;=0,0,IF(MONTH(B317)=12,MIN('Übersicht &amp; Eingaben'!$C$13,$H$316-F317),0))</f>
        <v>0</v>
      </c>
      <c r="H317" s="34" t="n">
        <f aca="false">MAX($H$316-F317-G317,0)</f>
        <v>0</v>
      </c>
    </row>
    <row r="318" customFormat="false" ht="18" hidden="false" customHeight="true" outlineLevel="0" collapsed="false">
      <c r="A318" s="23" t="str">
        <f aca="false">IF($H$317&lt;=0,"",309)</f>
        <v/>
      </c>
      <c r="B318" s="24" t="str">
        <f aca="false">IF($H$317&lt;=0,"",EDATE('Übersicht &amp; Eingaben'!$C$12,308))</f>
        <v/>
      </c>
      <c r="C318" s="25" t="str">
        <f aca="false">IF($H$317&lt;=0,"",YEAR(B318))</f>
        <v/>
      </c>
      <c r="D318" s="26" t="n">
        <f aca="false">IF($H$317&lt;=0,0,MIN($H$317+($H$317*'Übersicht &amp; Eingaben'!$C$8/12),('Übersicht &amp; Eingaben'!$C$7*('Übersicht &amp; Eingaben'!$C$8+'Übersicht &amp; Eingaben'!$C$9)/12)))</f>
        <v>0</v>
      </c>
      <c r="E318" s="26" t="n">
        <f aca="false">IF($H$317&lt;=0,0,($H$317*'Übersicht &amp; Eingaben'!$C$8/12))</f>
        <v>0</v>
      </c>
      <c r="F318" s="26" t="n">
        <f aca="false">D318-E318</f>
        <v>0</v>
      </c>
      <c r="G318" s="27" t="n">
        <f aca="false">IF($H$317&lt;=0,0,IF(MONTH(B318)=12,MIN('Übersicht &amp; Eingaben'!$C$13,$H$317-F318),0))</f>
        <v>0</v>
      </c>
      <c r="H318" s="28" t="n">
        <f aca="false">MAX($H$317-F318-G318,0)</f>
        <v>0</v>
      </c>
    </row>
    <row r="319" customFormat="false" ht="18" hidden="false" customHeight="true" outlineLevel="0" collapsed="false">
      <c r="A319" s="29" t="str">
        <f aca="false">IF($H$318&lt;=0,"",310)</f>
        <v/>
      </c>
      <c r="B319" s="30" t="str">
        <f aca="false">IF($H$318&lt;=0,"",EDATE('Übersicht &amp; Eingaben'!$C$12,309))</f>
        <v/>
      </c>
      <c r="C319" s="31" t="str">
        <f aca="false">IF($H$318&lt;=0,"",YEAR(B319))</f>
        <v/>
      </c>
      <c r="D319" s="32" t="n">
        <f aca="false">IF($H$318&lt;=0,0,MIN($H$318+($H$318*'Übersicht &amp; Eingaben'!$C$8/12),('Übersicht &amp; Eingaben'!$C$7*('Übersicht &amp; Eingaben'!$C$8+'Übersicht &amp; Eingaben'!$C$9)/12)))</f>
        <v>0</v>
      </c>
      <c r="E319" s="32" t="n">
        <f aca="false">IF($H$318&lt;=0,0,($H$318*'Übersicht &amp; Eingaben'!$C$8/12))</f>
        <v>0</v>
      </c>
      <c r="F319" s="32" t="n">
        <f aca="false">D319-E319</f>
        <v>0</v>
      </c>
      <c r="G319" s="33" t="n">
        <f aca="false">IF($H$318&lt;=0,0,IF(MONTH(B319)=12,MIN('Übersicht &amp; Eingaben'!$C$13,$H$318-F319),0))</f>
        <v>0</v>
      </c>
      <c r="H319" s="34" t="n">
        <f aca="false">MAX($H$318-F319-G319,0)</f>
        <v>0</v>
      </c>
    </row>
    <row r="320" customFormat="false" ht="18" hidden="false" customHeight="true" outlineLevel="0" collapsed="false">
      <c r="A320" s="23" t="str">
        <f aca="false">IF($H$319&lt;=0,"",311)</f>
        <v/>
      </c>
      <c r="B320" s="24" t="str">
        <f aca="false">IF($H$319&lt;=0,"",EDATE('Übersicht &amp; Eingaben'!$C$12,310))</f>
        <v/>
      </c>
      <c r="C320" s="25" t="str">
        <f aca="false">IF($H$319&lt;=0,"",YEAR(B320))</f>
        <v/>
      </c>
      <c r="D320" s="26" t="n">
        <f aca="false">IF($H$319&lt;=0,0,MIN($H$319+($H$319*'Übersicht &amp; Eingaben'!$C$8/12),('Übersicht &amp; Eingaben'!$C$7*('Übersicht &amp; Eingaben'!$C$8+'Übersicht &amp; Eingaben'!$C$9)/12)))</f>
        <v>0</v>
      </c>
      <c r="E320" s="26" t="n">
        <f aca="false">IF($H$319&lt;=0,0,($H$319*'Übersicht &amp; Eingaben'!$C$8/12))</f>
        <v>0</v>
      </c>
      <c r="F320" s="26" t="n">
        <f aca="false">D320-E320</f>
        <v>0</v>
      </c>
      <c r="G320" s="27" t="n">
        <f aca="false">IF($H$319&lt;=0,0,IF(MONTH(B320)=12,MIN('Übersicht &amp; Eingaben'!$C$13,$H$319-F320),0))</f>
        <v>0</v>
      </c>
      <c r="H320" s="28" t="n">
        <f aca="false">MAX($H$319-F320-G320,0)</f>
        <v>0</v>
      </c>
    </row>
    <row r="321" customFormat="false" ht="18" hidden="false" customHeight="true" outlineLevel="0" collapsed="false">
      <c r="A321" s="29" t="str">
        <f aca="false">IF($H$320&lt;=0,"",312)</f>
        <v/>
      </c>
      <c r="B321" s="30" t="str">
        <f aca="false">IF($H$320&lt;=0,"",EDATE('Übersicht &amp; Eingaben'!$C$12,311))</f>
        <v/>
      </c>
      <c r="C321" s="31" t="str">
        <f aca="false">IF($H$320&lt;=0,"",YEAR(B321))</f>
        <v/>
      </c>
      <c r="D321" s="32" t="n">
        <f aca="false">IF($H$320&lt;=0,0,MIN($H$320+($H$320*'Übersicht &amp; Eingaben'!$C$8/12),('Übersicht &amp; Eingaben'!$C$7*('Übersicht &amp; Eingaben'!$C$8+'Übersicht &amp; Eingaben'!$C$9)/12)))</f>
        <v>0</v>
      </c>
      <c r="E321" s="32" t="n">
        <f aca="false">IF($H$320&lt;=0,0,($H$320*'Übersicht &amp; Eingaben'!$C$8/12))</f>
        <v>0</v>
      </c>
      <c r="F321" s="32" t="n">
        <f aca="false">D321-E321</f>
        <v>0</v>
      </c>
      <c r="G321" s="33" t="n">
        <f aca="false">IF($H$320&lt;=0,0,IF(MONTH(B321)=12,MIN('Übersicht &amp; Eingaben'!$C$13,$H$320-F321),0))</f>
        <v>0</v>
      </c>
      <c r="H321" s="34" t="n">
        <f aca="false">MAX($H$320-F321-G321,0)</f>
        <v>0</v>
      </c>
    </row>
    <row r="322" customFormat="false" ht="18" hidden="false" customHeight="true" outlineLevel="0" collapsed="false">
      <c r="A322" s="23" t="str">
        <f aca="false">IF($H$321&lt;=0,"",313)</f>
        <v/>
      </c>
      <c r="B322" s="24" t="str">
        <f aca="false">IF($H$321&lt;=0,"",EDATE('Übersicht &amp; Eingaben'!$C$12,312))</f>
        <v/>
      </c>
      <c r="C322" s="25" t="str">
        <f aca="false">IF($H$321&lt;=0,"",YEAR(B322))</f>
        <v/>
      </c>
      <c r="D322" s="26" t="n">
        <f aca="false">IF($H$321&lt;=0,0,MIN($H$321+($H$321*'Übersicht &amp; Eingaben'!$C$8/12),('Übersicht &amp; Eingaben'!$C$7*('Übersicht &amp; Eingaben'!$C$8+'Übersicht &amp; Eingaben'!$C$9)/12)))</f>
        <v>0</v>
      </c>
      <c r="E322" s="26" t="n">
        <f aca="false">IF($H$321&lt;=0,0,($H$321*'Übersicht &amp; Eingaben'!$C$8/12))</f>
        <v>0</v>
      </c>
      <c r="F322" s="26" t="n">
        <f aca="false">D322-E322</f>
        <v>0</v>
      </c>
      <c r="G322" s="27" t="n">
        <f aca="false">IF($H$321&lt;=0,0,IF(MONTH(B322)=12,MIN('Übersicht &amp; Eingaben'!$C$13,$H$321-F322),0))</f>
        <v>0</v>
      </c>
      <c r="H322" s="28" t="n">
        <f aca="false">MAX($H$321-F322-G322,0)</f>
        <v>0</v>
      </c>
    </row>
    <row r="323" customFormat="false" ht="18" hidden="false" customHeight="true" outlineLevel="0" collapsed="false">
      <c r="A323" s="29" t="str">
        <f aca="false">IF($H$322&lt;=0,"",314)</f>
        <v/>
      </c>
      <c r="B323" s="30" t="str">
        <f aca="false">IF($H$322&lt;=0,"",EDATE('Übersicht &amp; Eingaben'!$C$12,313))</f>
        <v/>
      </c>
      <c r="C323" s="31" t="str">
        <f aca="false">IF($H$322&lt;=0,"",YEAR(B323))</f>
        <v/>
      </c>
      <c r="D323" s="32" t="n">
        <f aca="false">IF($H$322&lt;=0,0,MIN($H$322+($H$322*'Übersicht &amp; Eingaben'!$C$8/12),('Übersicht &amp; Eingaben'!$C$7*('Übersicht &amp; Eingaben'!$C$8+'Übersicht &amp; Eingaben'!$C$9)/12)))</f>
        <v>0</v>
      </c>
      <c r="E323" s="32" t="n">
        <f aca="false">IF($H$322&lt;=0,0,($H$322*'Übersicht &amp; Eingaben'!$C$8/12))</f>
        <v>0</v>
      </c>
      <c r="F323" s="32" t="n">
        <f aca="false">D323-E323</f>
        <v>0</v>
      </c>
      <c r="G323" s="33" t="n">
        <f aca="false">IF($H$322&lt;=0,0,IF(MONTH(B323)=12,MIN('Übersicht &amp; Eingaben'!$C$13,$H$322-F323),0))</f>
        <v>0</v>
      </c>
      <c r="H323" s="34" t="n">
        <f aca="false">MAX($H$322-F323-G323,0)</f>
        <v>0</v>
      </c>
    </row>
    <row r="324" customFormat="false" ht="18" hidden="false" customHeight="true" outlineLevel="0" collapsed="false">
      <c r="A324" s="23" t="str">
        <f aca="false">IF($H$323&lt;=0,"",315)</f>
        <v/>
      </c>
      <c r="B324" s="24" t="str">
        <f aca="false">IF($H$323&lt;=0,"",EDATE('Übersicht &amp; Eingaben'!$C$12,314))</f>
        <v/>
      </c>
      <c r="C324" s="25" t="str">
        <f aca="false">IF($H$323&lt;=0,"",YEAR(B324))</f>
        <v/>
      </c>
      <c r="D324" s="26" t="n">
        <f aca="false">IF($H$323&lt;=0,0,MIN($H$323+($H$323*'Übersicht &amp; Eingaben'!$C$8/12),('Übersicht &amp; Eingaben'!$C$7*('Übersicht &amp; Eingaben'!$C$8+'Übersicht &amp; Eingaben'!$C$9)/12)))</f>
        <v>0</v>
      </c>
      <c r="E324" s="26" t="n">
        <f aca="false">IF($H$323&lt;=0,0,($H$323*'Übersicht &amp; Eingaben'!$C$8/12))</f>
        <v>0</v>
      </c>
      <c r="F324" s="26" t="n">
        <f aca="false">D324-E324</f>
        <v>0</v>
      </c>
      <c r="G324" s="27" t="n">
        <f aca="false">IF($H$323&lt;=0,0,IF(MONTH(B324)=12,MIN('Übersicht &amp; Eingaben'!$C$13,$H$323-F324),0))</f>
        <v>0</v>
      </c>
      <c r="H324" s="28" t="n">
        <f aca="false">MAX($H$323-F324-G324,0)</f>
        <v>0</v>
      </c>
    </row>
    <row r="325" customFormat="false" ht="18" hidden="false" customHeight="true" outlineLevel="0" collapsed="false">
      <c r="A325" s="29" t="str">
        <f aca="false">IF($H$324&lt;=0,"",316)</f>
        <v/>
      </c>
      <c r="B325" s="30" t="str">
        <f aca="false">IF($H$324&lt;=0,"",EDATE('Übersicht &amp; Eingaben'!$C$12,315))</f>
        <v/>
      </c>
      <c r="C325" s="31" t="str">
        <f aca="false">IF($H$324&lt;=0,"",YEAR(B325))</f>
        <v/>
      </c>
      <c r="D325" s="32" t="n">
        <f aca="false">IF($H$324&lt;=0,0,MIN($H$324+($H$324*'Übersicht &amp; Eingaben'!$C$8/12),('Übersicht &amp; Eingaben'!$C$7*('Übersicht &amp; Eingaben'!$C$8+'Übersicht &amp; Eingaben'!$C$9)/12)))</f>
        <v>0</v>
      </c>
      <c r="E325" s="32" t="n">
        <f aca="false">IF($H$324&lt;=0,0,($H$324*'Übersicht &amp; Eingaben'!$C$8/12))</f>
        <v>0</v>
      </c>
      <c r="F325" s="32" t="n">
        <f aca="false">D325-E325</f>
        <v>0</v>
      </c>
      <c r="G325" s="33" t="n">
        <f aca="false">IF($H$324&lt;=0,0,IF(MONTH(B325)=12,MIN('Übersicht &amp; Eingaben'!$C$13,$H$324-F325),0))</f>
        <v>0</v>
      </c>
      <c r="H325" s="34" t="n">
        <f aca="false">MAX($H$324-F325-G325,0)</f>
        <v>0</v>
      </c>
    </row>
    <row r="326" customFormat="false" ht="18" hidden="false" customHeight="true" outlineLevel="0" collapsed="false">
      <c r="A326" s="23" t="str">
        <f aca="false">IF($H$325&lt;=0,"",317)</f>
        <v/>
      </c>
      <c r="B326" s="24" t="str">
        <f aca="false">IF($H$325&lt;=0,"",EDATE('Übersicht &amp; Eingaben'!$C$12,316))</f>
        <v/>
      </c>
      <c r="C326" s="25" t="str">
        <f aca="false">IF($H$325&lt;=0,"",YEAR(B326))</f>
        <v/>
      </c>
      <c r="D326" s="26" t="n">
        <f aca="false">IF($H$325&lt;=0,0,MIN($H$325+($H$325*'Übersicht &amp; Eingaben'!$C$8/12),('Übersicht &amp; Eingaben'!$C$7*('Übersicht &amp; Eingaben'!$C$8+'Übersicht &amp; Eingaben'!$C$9)/12)))</f>
        <v>0</v>
      </c>
      <c r="E326" s="26" t="n">
        <f aca="false">IF($H$325&lt;=0,0,($H$325*'Übersicht &amp; Eingaben'!$C$8/12))</f>
        <v>0</v>
      </c>
      <c r="F326" s="26" t="n">
        <f aca="false">D326-E326</f>
        <v>0</v>
      </c>
      <c r="G326" s="27" t="n">
        <f aca="false">IF($H$325&lt;=0,0,IF(MONTH(B326)=12,MIN('Übersicht &amp; Eingaben'!$C$13,$H$325-F326),0))</f>
        <v>0</v>
      </c>
      <c r="H326" s="28" t="n">
        <f aca="false">MAX($H$325-F326-G326,0)</f>
        <v>0</v>
      </c>
    </row>
    <row r="327" customFormat="false" ht="18" hidden="false" customHeight="true" outlineLevel="0" collapsed="false">
      <c r="A327" s="29" t="str">
        <f aca="false">IF($H$326&lt;=0,"",318)</f>
        <v/>
      </c>
      <c r="B327" s="30" t="str">
        <f aca="false">IF($H$326&lt;=0,"",EDATE('Übersicht &amp; Eingaben'!$C$12,317))</f>
        <v/>
      </c>
      <c r="C327" s="31" t="str">
        <f aca="false">IF($H$326&lt;=0,"",YEAR(B327))</f>
        <v/>
      </c>
      <c r="D327" s="32" t="n">
        <f aca="false">IF($H$326&lt;=0,0,MIN($H$326+($H$326*'Übersicht &amp; Eingaben'!$C$8/12),('Übersicht &amp; Eingaben'!$C$7*('Übersicht &amp; Eingaben'!$C$8+'Übersicht &amp; Eingaben'!$C$9)/12)))</f>
        <v>0</v>
      </c>
      <c r="E327" s="32" t="n">
        <f aca="false">IF($H$326&lt;=0,0,($H$326*'Übersicht &amp; Eingaben'!$C$8/12))</f>
        <v>0</v>
      </c>
      <c r="F327" s="32" t="n">
        <f aca="false">D327-E327</f>
        <v>0</v>
      </c>
      <c r="G327" s="33" t="n">
        <f aca="false">IF($H$326&lt;=0,0,IF(MONTH(B327)=12,MIN('Übersicht &amp; Eingaben'!$C$13,$H$326-F327),0))</f>
        <v>0</v>
      </c>
      <c r="H327" s="34" t="n">
        <f aca="false">MAX($H$326-F327-G327,0)</f>
        <v>0</v>
      </c>
    </row>
    <row r="328" customFormat="false" ht="18" hidden="false" customHeight="true" outlineLevel="0" collapsed="false">
      <c r="A328" s="23" t="str">
        <f aca="false">IF($H$327&lt;=0,"",319)</f>
        <v/>
      </c>
      <c r="B328" s="24" t="str">
        <f aca="false">IF($H$327&lt;=0,"",EDATE('Übersicht &amp; Eingaben'!$C$12,318))</f>
        <v/>
      </c>
      <c r="C328" s="25" t="str">
        <f aca="false">IF($H$327&lt;=0,"",YEAR(B328))</f>
        <v/>
      </c>
      <c r="D328" s="26" t="n">
        <f aca="false">IF($H$327&lt;=0,0,MIN($H$327+($H$327*'Übersicht &amp; Eingaben'!$C$8/12),('Übersicht &amp; Eingaben'!$C$7*('Übersicht &amp; Eingaben'!$C$8+'Übersicht &amp; Eingaben'!$C$9)/12)))</f>
        <v>0</v>
      </c>
      <c r="E328" s="26" t="n">
        <f aca="false">IF($H$327&lt;=0,0,($H$327*'Übersicht &amp; Eingaben'!$C$8/12))</f>
        <v>0</v>
      </c>
      <c r="F328" s="26" t="n">
        <f aca="false">D328-E328</f>
        <v>0</v>
      </c>
      <c r="G328" s="27" t="n">
        <f aca="false">IF($H$327&lt;=0,0,IF(MONTH(B328)=12,MIN('Übersicht &amp; Eingaben'!$C$13,$H$327-F328),0))</f>
        <v>0</v>
      </c>
      <c r="H328" s="28" t="n">
        <f aca="false">MAX($H$327-F328-G328,0)</f>
        <v>0</v>
      </c>
    </row>
    <row r="329" customFormat="false" ht="18" hidden="false" customHeight="true" outlineLevel="0" collapsed="false">
      <c r="A329" s="29" t="str">
        <f aca="false">IF($H$328&lt;=0,"",320)</f>
        <v/>
      </c>
      <c r="B329" s="30" t="str">
        <f aca="false">IF($H$328&lt;=0,"",EDATE('Übersicht &amp; Eingaben'!$C$12,319))</f>
        <v/>
      </c>
      <c r="C329" s="31" t="str">
        <f aca="false">IF($H$328&lt;=0,"",YEAR(B329))</f>
        <v/>
      </c>
      <c r="D329" s="32" t="n">
        <f aca="false">IF($H$328&lt;=0,0,MIN($H$328+($H$328*'Übersicht &amp; Eingaben'!$C$8/12),('Übersicht &amp; Eingaben'!$C$7*('Übersicht &amp; Eingaben'!$C$8+'Übersicht &amp; Eingaben'!$C$9)/12)))</f>
        <v>0</v>
      </c>
      <c r="E329" s="32" t="n">
        <f aca="false">IF($H$328&lt;=0,0,($H$328*'Übersicht &amp; Eingaben'!$C$8/12))</f>
        <v>0</v>
      </c>
      <c r="F329" s="32" t="n">
        <f aca="false">D329-E329</f>
        <v>0</v>
      </c>
      <c r="G329" s="33" t="n">
        <f aca="false">IF($H$328&lt;=0,0,IF(MONTH(B329)=12,MIN('Übersicht &amp; Eingaben'!$C$13,$H$328-F329),0))</f>
        <v>0</v>
      </c>
      <c r="H329" s="34" t="n">
        <f aca="false">MAX($H$328-F329-G329,0)</f>
        <v>0</v>
      </c>
    </row>
    <row r="330" customFormat="false" ht="18" hidden="false" customHeight="true" outlineLevel="0" collapsed="false">
      <c r="A330" s="23" t="str">
        <f aca="false">IF($H$329&lt;=0,"",321)</f>
        <v/>
      </c>
      <c r="B330" s="24" t="str">
        <f aca="false">IF($H$329&lt;=0,"",EDATE('Übersicht &amp; Eingaben'!$C$12,320))</f>
        <v/>
      </c>
      <c r="C330" s="25" t="str">
        <f aca="false">IF($H$329&lt;=0,"",YEAR(B330))</f>
        <v/>
      </c>
      <c r="D330" s="26" t="n">
        <f aca="false">IF($H$329&lt;=0,0,MIN($H$329+($H$329*'Übersicht &amp; Eingaben'!$C$8/12),('Übersicht &amp; Eingaben'!$C$7*('Übersicht &amp; Eingaben'!$C$8+'Übersicht &amp; Eingaben'!$C$9)/12)))</f>
        <v>0</v>
      </c>
      <c r="E330" s="26" t="n">
        <f aca="false">IF($H$329&lt;=0,0,($H$329*'Übersicht &amp; Eingaben'!$C$8/12))</f>
        <v>0</v>
      </c>
      <c r="F330" s="26" t="n">
        <f aca="false">D330-E330</f>
        <v>0</v>
      </c>
      <c r="G330" s="27" t="n">
        <f aca="false">IF($H$329&lt;=0,0,IF(MONTH(B330)=12,MIN('Übersicht &amp; Eingaben'!$C$13,$H$329-F330),0))</f>
        <v>0</v>
      </c>
      <c r="H330" s="28" t="n">
        <f aca="false">MAX($H$329-F330-G330,0)</f>
        <v>0</v>
      </c>
    </row>
    <row r="331" customFormat="false" ht="18" hidden="false" customHeight="true" outlineLevel="0" collapsed="false">
      <c r="A331" s="29" t="str">
        <f aca="false">IF($H$330&lt;=0,"",322)</f>
        <v/>
      </c>
      <c r="B331" s="30" t="str">
        <f aca="false">IF($H$330&lt;=0,"",EDATE('Übersicht &amp; Eingaben'!$C$12,321))</f>
        <v/>
      </c>
      <c r="C331" s="31" t="str">
        <f aca="false">IF($H$330&lt;=0,"",YEAR(B331))</f>
        <v/>
      </c>
      <c r="D331" s="32" t="n">
        <f aca="false">IF($H$330&lt;=0,0,MIN($H$330+($H$330*'Übersicht &amp; Eingaben'!$C$8/12),('Übersicht &amp; Eingaben'!$C$7*('Übersicht &amp; Eingaben'!$C$8+'Übersicht &amp; Eingaben'!$C$9)/12)))</f>
        <v>0</v>
      </c>
      <c r="E331" s="32" t="n">
        <f aca="false">IF($H$330&lt;=0,0,($H$330*'Übersicht &amp; Eingaben'!$C$8/12))</f>
        <v>0</v>
      </c>
      <c r="F331" s="32" t="n">
        <f aca="false">D331-E331</f>
        <v>0</v>
      </c>
      <c r="G331" s="33" t="n">
        <f aca="false">IF($H$330&lt;=0,0,IF(MONTH(B331)=12,MIN('Übersicht &amp; Eingaben'!$C$13,$H$330-F331),0))</f>
        <v>0</v>
      </c>
      <c r="H331" s="34" t="n">
        <f aca="false">MAX($H$330-F331-G331,0)</f>
        <v>0</v>
      </c>
    </row>
    <row r="332" customFormat="false" ht="18" hidden="false" customHeight="true" outlineLevel="0" collapsed="false">
      <c r="A332" s="23" t="str">
        <f aca="false">IF($H$331&lt;=0,"",323)</f>
        <v/>
      </c>
      <c r="B332" s="24" t="str">
        <f aca="false">IF($H$331&lt;=0,"",EDATE('Übersicht &amp; Eingaben'!$C$12,322))</f>
        <v/>
      </c>
      <c r="C332" s="25" t="str">
        <f aca="false">IF($H$331&lt;=0,"",YEAR(B332))</f>
        <v/>
      </c>
      <c r="D332" s="26" t="n">
        <f aca="false">IF($H$331&lt;=0,0,MIN($H$331+($H$331*'Übersicht &amp; Eingaben'!$C$8/12),('Übersicht &amp; Eingaben'!$C$7*('Übersicht &amp; Eingaben'!$C$8+'Übersicht &amp; Eingaben'!$C$9)/12)))</f>
        <v>0</v>
      </c>
      <c r="E332" s="26" t="n">
        <f aca="false">IF($H$331&lt;=0,0,($H$331*'Übersicht &amp; Eingaben'!$C$8/12))</f>
        <v>0</v>
      </c>
      <c r="F332" s="26" t="n">
        <f aca="false">D332-E332</f>
        <v>0</v>
      </c>
      <c r="G332" s="27" t="n">
        <f aca="false">IF($H$331&lt;=0,0,IF(MONTH(B332)=12,MIN('Übersicht &amp; Eingaben'!$C$13,$H$331-F332),0))</f>
        <v>0</v>
      </c>
      <c r="H332" s="28" t="n">
        <f aca="false">MAX($H$331-F332-G332,0)</f>
        <v>0</v>
      </c>
    </row>
    <row r="333" customFormat="false" ht="18" hidden="false" customHeight="true" outlineLevel="0" collapsed="false">
      <c r="A333" s="29" t="str">
        <f aca="false">IF($H$332&lt;=0,"",324)</f>
        <v/>
      </c>
      <c r="B333" s="30" t="str">
        <f aca="false">IF($H$332&lt;=0,"",EDATE('Übersicht &amp; Eingaben'!$C$12,323))</f>
        <v/>
      </c>
      <c r="C333" s="31" t="str">
        <f aca="false">IF($H$332&lt;=0,"",YEAR(B333))</f>
        <v/>
      </c>
      <c r="D333" s="32" t="n">
        <f aca="false">IF($H$332&lt;=0,0,MIN($H$332+($H$332*'Übersicht &amp; Eingaben'!$C$8/12),('Übersicht &amp; Eingaben'!$C$7*('Übersicht &amp; Eingaben'!$C$8+'Übersicht &amp; Eingaben'!$C$9)/12)))</f>
        <v>0</v>
      </c>
      <c r="E333" s="32" t="n">
        <f aca="false">IF($H$332&lt;=0,0,($H$332*'Übersicht &amp; Eingaben'!$C$8/12))</f>
        <v>0</v>
      </c>
      <c r="F333" s="32" t="n">
        <f aca="false">D333-E333</f>
        <v>0</v>
      </c>
      <c r="G333" s="33" t="n">
        <f aca="false">IF($H$332&lt;=0,0,IF(MONTH(B333)=12,MIN('Übersicht &amp; Eingaben'!$C$13,$H$332-F333),0))</f>
        <v>0</v>
      </c>
      <c r="H333" s="34" t="n">
        <f aca="false">MAX($H$332-F333-G333,0)</f>
        <v>0</v>
      </c>
    </row>
    <row r="334" customFormat="false" ht="18" hidden="false" customHeight="true" outlineLevel="0" collapsed="false">
      <c r="A334" s="23" t="str">
        <f aca="false">IF($H$333&lt;=0,"",325)</f>
        <v/>
      </c>
      <c r="B334" s="24" t="str">
        <f aca="false">IF($H$333&lt;=0,"",EDATE('Übersicht &amp; Eingaben'!$C$12,324))</f>
        <v/>
      </c>
      <c r="C334" s="25" t="str">
        <f aca="false">IF($H$333&lt;=0,"",YEAR(B334))</f>
        <v/>
      </c>
      <c r="D334" s="26" t="n">
        <f aca="false">IF($H$333&lt;=0,0,MIN($H$333+($H$333*'Übersicht &amp; Eingaben'!$C$8/12),('Übersicht &amp; Eingaben'!$C$7*('Übersicht &amp; Eingaben'!$C$8+'Übersicht &amp; Eingaben'!$C$9)/12)))</f>
        <v>0</v>
      </c>
      <c r="E334" s="26" t="n">
        <f aca="false">IF($H$333&lt;=0,0,($H$333*'Übersicht &amp; Eingaben'!$C$8/12))</f>
        <v>0</v>
      </c>
      <c r="F334" s="26" t="n">
        <f aca="false">D334-E334</f>
        <v>0</v>
      </c>
      <c r="G334" s="27" t="n">
        <f aca="false">IF($H$333&lt;=0,0,IF(MONTH(B334)=12,MIN('Übersicht &amp; Eingaben'!$C$13,$H$333-F334),0))</f>
        <v>0</v>
      </c>
      <c r="H334" s="28" t="n">
        <f aca="false">MAX($H$333-F334-G334,0)</f>
        <v>0</v>
      </c>
    </row>
    <row r="335" customFormat="false" ht="18" hidden="false" customHeight="true" outlineLevel="0" collapsed="false">
      <c r="A335" s="29" t="str">
        <f aca="false">IF($H$334&lt;=0,"",326)</f>
        <v/>
      </c>
      <c r="B335" s="30" t="str">
        <f aca="false">IF($H$334&lt;=0,"",EDATE('Übersicht &amp; Eingaben'!$C$12,325))</f>
        <v/>
      </c>
      <c r="C335" s="31" t="str">
        <f aca="false">IF($H$334&lt;=0,"",YEAR(B335))</f>
        <v/>
      </c>
      <c r="D335" s="32" t="n">
        <f aca="false">IF($H$334&lt;=0,0,MIN($H$334+($H$334*'Übersicht &amp; Eingaben'!$C$8/12),('Übersicht &amp; Eingaben'!$C$7*('Übersicht &amp; Eingaben'!$C$8+'Übersicht &amp; Eingaben'!$C$9)/12)))</f>
        <v>0</v>
      </c>
      <c r="E335" s="32" t="n">
        <f aca="false">IF($H$334&lt;=0,0,($H$334*'Übersicht &amp; Eingaben'!$C$8/12))</f>
        <v>0</v>
      </c>
      <c r="F335" s="32" t="n">
        <f aca="false">D335-E335</f>
        <v>0</v>
      </c>
      <c r="G335" s="33" t="n">
        <f aca="false">IF($H$334&lt;=0,0,IF(MONTH(B335)=12,MIN('Übersicht &amp; Eingaben'!$C$13,$H$334-F335),0))</f>
        <v>0</v>
      </c>
      <c r="H335" s="34" t="n">
        <f aca="false">MAX($H$334-F335-G335,0)</f>
        <v>0</v>
      </c>
    </row>
    <row r="336" customFormat="false" ht="18" hidden="false" customHeight="true" outlineLevel="0" collapsed="false">
      <c r="A336" s="23" t="str">
        <f aca="false">IF($H$335&lt;=0,"",327)</f>
        <v/>
      </c>
      <c r="B336" s="24" t="str">
        <f aca="false">IF($H$335&lt;=0,"",EDATE('Übersicht &amp; Eingaben'!$C$12,326))</f>
        <v/>
      </c>
      <c r="C336" s="25" t="str">
        <f aca="false">IF($H$335&lt;=0,"",YEAR(B336))</f>
        <v/>
      </c>
      <c r="D336" s="26" t="n">
        <f aca="false">IF($H$335&lt;=0,0,MIN($H$335+($H$335*'Übersicht &amp; Eingaben'!$C$8/12),('Übersicht &amp; Eingaben'!$C$7*('Übersicht &amp; Eingaben'!$C$8+'Übersicht &amp; Eingaben'!$C$9)/12)))</f>
        <v>0</v>
      </c>
      <c r="E336" s="26" t="n">
        <f aca="false">IF($H$335&lt;=0,0,($H$335*'Übersicht &amp; Eingaben'!$C$8/12))</f>
        <v>0</v>
      </c>
      <c r="F336" s="26" t="n">
        <f aca="false">D336-E336</f>
        <v>0</v>
      </c>
      <c r="G336" s="27" t="n">
        <f aca="false">IF($H$335&lt;=0,0,IF(MONTH(B336)=12,MIN('Übersicht &amp; Eingaben'!$C$13,$H$335-F336),0))</f>
        <v>0</v>
      </c>
      <c r="H336" s="28" t="n">
        <f aca="false">MAX($H$335-F336-G336,0)</f>
        <v>0</v>
      </c>
    </row>
    <row r="337" customFormat="false" ht="18" hidden="false" customHeight="true" outlineLevel="0" collapsed="false">
      <c r="A337" s="29" t="str">
        <f aca="false">IF($H$336&lt;=0,"",328)</f>
        <v/>
      </c>
      <c r="B337" s="30" t="str">
        <f aca="false">IF($H$336&lt;=0,"",EDATE('Übersicht &amp; Eingaben'!$C$12,327))</f>
        <v/>
      </c>
      <c r="C337" s="31" t="str">
        <f aca="false">IF($H$336&lt;=0,"",YEAR(B337))</f>
        <v/>
      </c>
      <c r="D337" s="32" t="n">
        <f aca="false">IF($H$336&lt;=0,0,MIN($H$336+($H$336*'Übersicht &amp; Eingaben'!$C$8/12),('Übersicht &amp; Eingaben'!$C$7*('Übersicht &amp; Eingaben'!$C$8+'Übersicht &amp; Eingaben'!$C$9)/12)))</f>
        <v>0</v>
      </c>
      <c r="E337" s="32" t="n">
        <f aca="false">IF($H$336&lt;=0,0,($H$336*'Übersicht &amp; Eingaben'!$C$8/12))</f>
        <v>0</v>
      </c>
      <c r="F337" s="32" t="n">
        <f aca="false">D337-E337</f>
        <v>0</v>
      </c>
      <c r="G337" s="33" t="n">
        <f aca="false">IF($H$336&lt;=0,0,IF(MONTH(B337)=12,MIN('Übersicht &amp; Eingaben'!$C$13,$H$336-F337),0))</f>
        <v>0</v>
      </c>
      <c r="H337" s="34" t="n">
        <f aca="false">MAX($H$336-F337-G337,0)</f>
        <v>0</v>
      </c>
    </row>
    <row r="338" customFormat="false" ht="18" hidden="false" customHeight="true" outlineLevel="0" collapsed="false">
      <c r="A338" s="23" t="str">
        <f aca="false">IF($H$337&lt;=0,"",329)</f>
        <v/>
      </c>
      <c r="B338" s="24" t="str">
        <f aca="false">IF($H$337&lt;=0,"",EDATE('Übersicht &amp; Eingaben'!$C$12,328))</f>
        <v/>
      </c>
      <c r="C338" s="25" t="str">
        <f aca="false">IF($H$337&lt;=0,"",YEAR(B338))</f>
        <v/>
      </c>
      <c r="D338" s="26" t="n">
        <f aca="false">IF($H$337&lt;=0,0,MIN($H$337+($H$337*'Übersicht &amp; Eingaben'!$C$8/12),('Übersicht &amp; Eingaben'!$C$7*('Übersicht &amp; Eingaben'!$C$8+'Übersicht &amp; Eingaben'!$C$9)/12)))</f>
        <v>0</v>
      </c>
      <c r="E338" s="26" t="n">
        <f aca="false">IF($H$337&lt;=0,0,($H$337*'Übersicht &amp; Eingaben'!$C$8/12))</f>
        <v>0</v>
      </c>
      <c r="F338" s="26" t="n">
        <f aca="false">D338-E338</f>
        <v>0</v>
      </c>
      <c r="G338" s="27" t="n">
        <f aca="false">IF($H$337&lt;=0,0,IF(MONTH(B338)=12,MIN('Übersicht &amp; Eingaben'!$C$13,$H$337-F338),0))</f>
        <v>0</v>
      </c>
      <c r="H338" s="28" t="n">
        <f aca="false">MAX($H$337-F338-G338,0)</f>
        <v>0</v>
      </c>
    </row>
    <row r="339" customFormat="false" ht="18" hidden="false" customHeight="true" outlineLevel="0" collapsed="false">
      <c r="A339" s="29" t="str">
        <f aca="false">IF($H$338&lt;=0,"",330)</f>
        <v/>
      </c>
      <c r="B339" s="30" t="str">
        <f aca="false">IF($H$338&lt;=0,"",EDATE('Übersicht &amp; Eingaben'!$C$12,329))</f>
        <v/>
      </c>
      <c r="C339" s="31" t="str">
        <f aca="false">IF($H$338&lt;=0,"",YEAR(B339))</f>
        <v/>
      </c>
      <c r="D339" s="32" t="n">
        <f aca="false">IF($H$338&lt;=0,0,MIN($H$338+($H$338*'Übersicht &amp; Eingaben'!$C$8/12),('Übersicht &amp; Eingaben'!$C$7*('Übersicht &amp; Eingaben'!$C$8+'Übersicht &amp; Eingaben'!$C$9)/12)))</f>
        <v>0</v>
      </c>
      <c r="E339" s="32" t="n">
        <f aca="false">IF($H$338&lt;=0,0,($H$338*'Übersicht &amp; Eingaben'!$C$8/12))</f>
        <v>0</v>
      </c>
      <c r="F339" s="32" t="n">
        <f aca="false">D339-E339</f>
        <v>0</v>
      </c>
      <c r="G339" s="33" t="n">
        <f aca="false">IF($H$338&lt;=0,0,IF(MONTH(B339)=12,MIN('Übersicht &amp; Eingaben'!$C$13,$H$338-F339),0))</f>
        <v>0</v>
      </c>
      <c r="H339" s="34" t="n">
        <f aca="false">MAX($H$338-F339-G339,0)</f>
        <v>0</v>
      </c>
    </row>
    <row r="340" customFormat="false" ht="18" hidden="false" customHeight="true" outlineLevel="0" collapsed="false">
      <c r="A340" s="23" t="str">
        <f aca="false">IF($H$339&lt;=0,"",331)</f>
        <v/>
      </c>
      <c r="B340" s="24" t="str">
        <f aca="false">IF($H$339&lt;=0,"",EDATE('Übersicht &amp; Eingaben'!$C$12,330))</f>
        <v/>
      </c>
      <c r="C340" s="25" t="str">
        <f aca="false">IF($H$339&lt;=0,"",YEAR(B340))</f>
        <v/>
      </c>
      <c r="D340" s="26" t="n">
        <f aca="false">IF($H$339&lt;=0,0,MIN($H$339+($H$339*'Übersicht &amp; Eingaben'!$C$8/12),('Übersicht &amp; Eingaben'!$C$7*('Übersicht &amp; Eingaben'!$C$8+'Übersicht &amp; Eingaben'!$C$9)/12)))</f>
        <v>0</v>
      </c>
      <c r="E340" s="26" t="n">
        <f aca="false">IF($H$339&lt;=0,0,($H$339*'Übersicht &amp; Eingaben'!$C$8/12))</f>
        <v>0</v>
      </c>
      <c r="F340" s="26" t="n">
        <f aca="false">D340-E340</f>
        <v>0</v>
      </c>
      <c r="G340" s="27" t="n">
        <f aca="false">IF($H$339&lt;=0,0,IF(MONTH(B340)=12,MIN('Übersicht &amp; Eingaben'!$C$13,$H$339-F340),0))</f>
        <v>0</v>
      </c>
      <c r="H340" s="28" t="n">
        <f aca="false">MAX($H$339-F340-G340,0)</f>
        <v>0</v>
      </c>
    </row>
    <row r="341" customFormat="false" ht="18" hidden="false" customHeight="true" outlineLevel="0" collapsed="false">
      <c r="A341" s="29" t="str">
        <f aca="false">IF($H$340&lt;=0,"",332)</f>
        <v/>
      </c>
      <c r="B341" s="30" t="str">
        <f aca="false">IF($H$340&lt;=0,"",EDATE('Übersicht &amp; Eingaben'!$C$12,331))</f>
        <v/>
      </c>
      <c r="C341" s="31" t="str">
        <f aca="false">IF($H$340&lt;=0,"",YEAR(B341))</f>
        <v/>
      </c>
      <c r="D341" s="32" t="n">
        <f aca="false">IF($H$340&lt;=0,0,MIN($H$340+($H$340*'Übersicht &amp; Eingaben'!$C$8/12),('Übersicht &amp; Eingaben'!$C$7*('Übersicht &amp; Eingaben'!$C$8+'Übersicht &amp; Eingaben'!$C$9)/12)))</f>
        <v>0</v>
      </c>
      <c r="E341" s="32" t="n">
        <f aca="false">IF($H$340&lt;=0,0,($H$340*'Übersicht &amp; Eingaben'!$C$8/12))</f>
        <v>0</v>
      </c>
      <c r="F341" s="32" t="n">
        <f aca="false">D341-E341</f>
        <v>0</v>
      </c>
      <c r="G341" s="33" t="n">
        <f aca="false">IF($H$340&lt;=0,0,IF(MONTH(B341)=12,MIN('Übersicht &amp; Eingaben'!$C$13,$H$340-F341),0))</f>
        <v>0</v>
      </c>
      <c r="H341" s="34" t="n">
        <f aca="false">MAX($H$340-F341-G341,0)</f>
        <v>0</v>
      </c>
    </row>
    <row r="342" customFormat="false" ht="18" hidden="false" customHeight="true" outlineLevel="0" collapsed="false">
      <c r="A342" s="23" t="str">
        <f aca="false">IF($H$341&lt;=0,"",333)</f>
        <v/>
      </c>
      <c r="B342" s="24" t="str">
        <f aca="false">IF($H$341&lt;=0,"",EDATE('Übersicht &amp; Eingaben'!$C$12,332))</f>
        <v/>
      </c>
      <c r="C342" s="25" t="str">
        <f aca="false">IF($H$341&lt;=0,"",YEAR(B342))</f>
        <v/>
      </c>
      <c r="D342" s="26" t="n">
        <f aca="false">IF($H$341&lt;=0,0,MIN($H$341+($H$341*'Übersicht &amp; Eingaben'!$C$8/12),('Übersicht &amp; Eingaben'!$C$7*('Übersicht &amp; Eingaben'!$C$8+'Übersicht &amp; Eingaben'!$C$9)/12)))</f>
        <v>0</v>
      </c>
      <c r="E342" s="26" t="n">
        <f aca="false">IF($H$341&lt;=0,0,($H$341*'Übersicht &amp; Eingaben'!$C$8/12))</f>
        <v>0</v>
      </c>
      <c r="F342" s="26" t="n">
        <f aca="false">D342-E342</f>
        <v>0</v>
      </c>
      <c r="G342" s="27" t="n">
        <f aca="false">IF($H$341&lt;=0,0,IF(MONTH(B342)=12,MIN('Übersicht &amp; Eingaben'!$C$13,$H$341-F342),0))</f>
        <v>0</v>
      </c>
      <c r="H342" s="28" t="n">
        <f aca="false">MAX($H$341-F342-G342,0)</f>
        <v>0</v>
      </c>
    </row>
    <row r="343" customFormat="false" ht="18" hidden="false" customHeight="true" outlineLevel="0" collapsed="false">
      <c r="A343" s="29" t="str">
        <f aca="false">IF($H$342&lt;=0,"",334)</f>
        <v/>
      </c>
      <c r="B343" s="30" t="str">
        <f aca="false">IF($H$342&lt;=0,"",EDATE('Übersicht &amp; Eingaben'!$C$12,333))</f>
        <v/>
      </c>
      <c r="C343" s="31" t="str">
        <f aca="false">IF($H$342&lt;=0,"",YEAR(B343))</f>
        <v/>
      </c>
      <c r="D343" s="32" t="n">
        <f aca="false">IF($H$342&lt;=0,0,MIN($H$342+($H$342*'Übersicht &amp; Eingaben'!$C$8/12),('Übersicht &amp; Eingaben'!$C$7*('Übersicht &amp; Eingaben'!$C$8+'Übersicht &amp; Eingaben'!$C$9)/12)))</f>
        <v>0</v>
      </c>
      <c r="E343" s="32" t="n">
        <f aca="false">IF($H$342&lt;=0,0,($H$342*'Übersicht &amp; Eingaben'!$C$8/12))</f>
        <v>0</v>
      </c>
      <c r="F343" s="32" t="n">
        <f aca="false">D343-E343</f>
        <v>0</v>
      </c>
      <c r="G343" s="33" t="n">
        <f aca="false">IF($H$342&lt;=0,0,IF(MONTH(B343)=12,MIN('Übersicht &amp; Eingaben'!$C$13,$H$342-F343),0))</f>
        <v>0</v>
      </c>
      <c r="H343" s="34" t="n">
        <f aca="false">MAX($H$342-F343-G343,0)</f>
        <v>0</v>
      </c>
    </row>
    <row r="344" customFormat="false" ht="18" hidden="false" customHeight="true" outlineLevel="0" collapsed="false">
      <c r="A344" s="23" t="str">
        <f aca="false">IF($H$343&lt;=0,"",335)</f>
        <v/>
      </c>
      <c r="B344" s="24" t="str">
        <f aca="false">IF($H$343&lt;=0,"",EDATE('Übersicht &amp; Eingaben'!$C$12,334))</f>
        <v/>
      </c>
      <c r="C344" s="25" t="str">
        <f aca="false">IF($H$343&lt;=0,"",YEAR(B344))</f>
        <v/>
      </c>
      <c r="D344" s="26" t="n">
        <f aca="false">IF($H$343&lt;=0,0,MIN($H$343+($H$343*'Übersicht &amp; Eingaben'!$C$8/12),('Übersicht &amp; Eingaben'!$C$7*('Übersicht &amp; Eingaben'!$C$8+'Übersicht &amp; Eingaben'!$C$9)/12)))</f>
        <v>0</v>
      </c>
      <c r="E344" s="26" t="n">
        <f aca="false">IF($H$343&lt;=0,0,($H$343*'Übersicht &amp; Eingaben'!$C$8/12))</f>
        <v>0</v>
      </c>
      <c r="F344" s="26" t="n">
        <f aca="false">D344-E344</f>
        <v>0</v>
      </c>
      <c r="G344" s="27" t="n">
        <f aca="false">IF($H$343&lt;=0,0,IF(MONTH(B344)=12,MIN('Übersicht &amp; Eingaben'!$C$13,$H$343-F344),0))</f>
        <v>0</v>
      </c>
      <c r="H344" s="28" t="n">
        <f aca="false">MAX($H$343-F344-G344,0)</f>
        <v>0</v>
      </c>
    </row>
    <row r="345" customFormat="false" ht="18" hidden="false" customHeight="true" outlineLevel="0" collapsed="false">
      <c r="A345" s="29" t="str">
        <f aca="false">IF($H$344&lt;=0,"",336)</f>
        <v/>
      </c>
      <c r="B345" s="30" t="str">
        <f aca="false">IF($H$344&lt;=0,"",EDATE('Übersicht &amp; Eingaben'!$C$12,335))</f>
        <v/>
      </c>
      <c r="C345" s="31" t="str">
        <f aca="false">IF($H$344&lt;=0,"",YEAR(B345))</f>
        <v/>
      </c>
      <c r="D345" s="32" t="n">
        <f aca="false">IF($H$344&lt;=0,0,MIN($H$344+($H$344*'Übersicht &amp; Eingaben'!$C$8/12),('Übersicht &amp; Eingaben'!$C$7*('Übersicht &amp; Eingaben'!$C$8+'Übersicht &amp; Eingaben'!$C$9)/12)))</f>
        <v>0</v>
      </c>
      <c r="E345" s="32" t="n">
        <f aca="false">IF($H$344&lt;=0,0,($H$344*'Übersicht &amp; Eingaben'!$C$8/12))</f>
        <v>0</v>
      </c>
      <c r="F345" s="32" t="n">
        <f aca="false">D345-E345</f>
        <v>0</v>
      </c>
      <c r="G345" s="33" t="n">
        <f aca="false">IF($H$344&lt;=0,0,IF(MONTH(B345)=12,MIN('Übersicht &amp; Eingaben'!$C$13,$H$344-F345),0))</f>
        <v>0</v>
      </c>
      <c r="H345" s="34" t="n">
        <f aca="false">MAX($H$344-F345-G345,0)</f>
        <v>0</v>
      </c>
    </row>
    <row r="346" customFormat="false" ht="18" hidden="false" customHeight="true" outlineLevel="0" collapsed="false">
      <c r="A346" s="23" t="str">
        <f aca="false">IF($H$345&lt;=0,"",337)</f>
        <v/>
      </c>
      <c r="B346" s="24" t="str">
        <f aca="false">IF($H$345&lt;=0,"",EDATE('Übersicht &amp; Eingaben'!$C$12,336))</f>
        <v/>
      </c>
      <c r="C346" s="25" t="str">
        <f aca="false">IF($H$345&lt;=0,"",YEAR(B346))</f>
        <v/>
      </c>
      <c r="D346" s="26" t="n">
        <f aca="false">IF($H$345&lt;=0,0,MIN($H$345+($H$345*'Übersicht &amp; Eingaben'!$C$8/12),('Übersicht &amp; Eingaben'!$C$7*('Übersicht &amp; Eingaben'!$C$8+'Übersicht &amp; Eingaben'!$C$9)/12)))</f>
        <v>0</v>
      </c>
      <c r="E346" s="26" t="n">
        <f aca="false">IF($H$345&lt;=0,0,($H$345*'Übersicht &amp; Eingaben'!$C$8/12))</f>
        <v>0</v>
      </c>
      <c r="F346" s="26" t="n">
        <f aca="false">D346-E346</f>
        <v>0</v>
      </c>
      <c r="G346" s="27" t="n">
        <f aca="false">IF($H$345&lt;=0,0,IF(MONTH(B346)=12,MIN('Übersicht &amp; Eingaben'!$C$13,$H$345-F346),0))</f>
        <v>0</v>
      </c>
      <c r="H346" s="28" t="n">
        <f aca="false">MAX($H$345-F346-G346,0)</f>
        <v>0</v>
      </c>
    </row>
    <row r="347" customFormat="false" ht="18" hidden="false" customHeight="true" outlineLevel="0" collapsed="false">
      <c r="A347" s="29" t="str">
        <f aca="false">IF($H$346&lt;=0,"",338)</f>
        <v/>
      </c>
      <c r="B347" s="30" t="str">
        <f aca="false">IF($H$346&lt;=0,"",EDATE('Übersicht &amp; Eingaben'!$C$12,337))</f>
        <v/>
      </c>
      <c r="C347" s="31" t="str">
        <f aca="false">IF($H$346&lt;=0,"",YEAR(B347))</f>
        <v/>
      </c>
      <c r="D347" s="32" t="n">
        <f aca="false">IF($H$346&lt;=0,0,MIN($H$346+($H$346*'Übersicht &amp; Eingaben'!$C$8/12),('Übersicht &amp; Eingaben'!$C$7*('Übersicht &amp; Eingaben'!$C$8+'Übersicht &amp; Eingaben'!$C$9)/12)))</f>
        <v>0</v>
      </c>
      <c r="E347" s="32" t="n">
        <f aca="false">IF($H$346&lt;=0,0,($H$346*'Übersicht &amp; Eingaben'!$C$8/12))</f>
        <v>0</v>
      </c>
      <c r="F347" s="32" t="n">
        <f aca="false">D347-E347</f>
        <v>0</v>
      </c>
      <c r="G347" s="33" t="n">
        <f aca="false">IF($H$346&lt;=0,0,IF(MONTH(B347)=12,MIN('Übersicht &amp; Eingaben'!$C$13,$H$346-F347),0))</f>
        <v>0</v>
      </c>
      <c r="H347" s="34" t="n">
        <f aca="false">MAX($H$346-F347-G347,0)</f>
        <v>0</v>
      </c>
    </row>
    <row r="348" customFormat="false" ht="18" hidden="false" customHeight="true" outlineLevel="0" collapsed="false">
      <c r="A348" s="23" t="str">
        <f aca="false">IF($H$347&lt;=0,"",339)</f>
        <v/>
      </c>
      <c r="B348" s="24" t="str">
        <f aca="false">IF($H$347&lt;=0,"",EDATE('Übersicht &amp; Eingaben'!$C$12,338))</f>
        <v/>
      </c>
      <c r="C348" s="25" t="str">
        <f aca="false">IF($H$347&lt;=0,"",YEAR(B348))</f>
        <v/>
      </c>
      <c r="D348" s="26" t="n">
        <f aca="false">IF($H$347&lt;=0,0,MIN($H$347+($H$347*'Übersicht &amp; Eingaben'!$C$8/12),('Übersicht &amp; Eingaben'!$C$7*('Übersicht &amp; Eingaben'!$C$8+'Übersicht &amp; Eingaben'!$C$9)/12)))</f>
        <v>0</v>
      </c>
      <c r="E348" s="26" t="n">
        <f aca="false">IF($H$347&lt;=0,0,($H$347*'Übersicht &amp; Eingaben'!$C$8/12))</f>
        <v>0</v>
      </c>
      <c r="F348" s="26" t="n">
        <f aca="false">D348-E348</f>
        <v>0</v>
      </c>
      <c r="G348" s="27" t="n">
        <f aca="false">IF($H$347&lt;=0,0,IF(MONTH(B348)=12,MIN('Übersicht &amp; Eingaben'!$C$13,$H$347-F348),0))</f>
        <v>0</v>
      </c>
      <c r="H348" s="28" t="n">
        <f aca="false">MAX($H$347-F348-G348,0)</f>
        <v>0</v>
      </c>
    </row>
    <row r="349" customFormat="false" ht="18" hidden="false" customHeight="true" outlineLevel="0" collapsed="false">
      <c r="A349" s="29" t="str">
        <f aca="false">IF($H$348&lt;=0,"",340)</f>
        <v/>
      </c>
      <c r="B349" s="30" t="str">
        <f aca="false">IF($H$348&lt;=0,"",EDATE('Übersicht &amp; Eingaben'!$C$12,339))</f>
        <v/>
      </c>
      <c r="C349" s="31" t="str">
        <f aca="false">IF($H$348&lt;=0,"",YEAR(B349))</f>
        <v/>
      </c>
      <c r="D349" s="32" t="n">
        <f aca="false">IF($H$348&lt;=0,0,MIN($H$348+($H$348*'Übersicht &amp; Eingaben'!$C$8/12),('Übersicht &amp; Eingaben'!$C$7*('Übersicht &amp; Eingaben'!$C$8+'Übersicht &amp; Eingaben'!$C$9)/12)))</f>
        <v>0</v>
      </c>
      <c r="E349" s="32" t="n">
        <f aca="false">IF($H$348&lt;=0,0,($H$348*'Übersicht &amp; Eingaben'!$C$8/12))</f>
        <v>0</v>
      </c>
      <c r="F349" s="32" t="n">
        <f aca="false">D349-E349</f>
        <v>0</v>
      </c>
      <c r="G349" s="33" t="n">
        <f aca="false">IF($H$348&lt;=0,0,IF(MONTH(B349)=12,MIN('Übersicht &amp; Eingaben'!$C$13,$H$348-F349),0))</f>
        <v>0</v>
      </c>
      <c r="H349" s="34" t="n">
        <f aca="false">MAX($H$348-F349-G349,0)</f>
        <v>0</v>
      </c>
    </row>
    <row r="350" customFormat="false" ht="18" hidden="false" customHeight="true" outlineLevel="0" collapsed="false">
      <c r="A350" s="23" t="str">
        <f aca="false">IF($H$349&lt;=0,"",341)</f>
        <v/>
      </c>
      <c r="B350" s="24" t="str">
        <f aca="false">IF($H$349&lt;=0,"",EDATE('Übersicht &amp; Eingaben'!$C$12,340))</f>
        <v/>
      </c>
      <c r="C350" s="25" t="str">
        <f aca="false">IF($H$349&lt;=0,"",YEAR(B350))</f>
        <v/>
      </c>
      <c r="D350" s="26" t="n">
        <f aca="false">IF($H$349&lt;=0,0,MIN($H$349+($H$349*'Übersicht &amp; Eingaben'!$C$8/12),('Übersicht &amp; Eingaben'!$C$7*('Übersicht &amp; Eingaben'!$C$8+'Übersicht &amp; Eingaben'!$C$9)/12)))</f>
        <v>0</v>
      </c>
      <c r="E350" s="26" t="n">
        <f aca="false">IF($H$349&lt;=0,0,($H$349*'Übersicht &amp; Eingaben'!$C$8/12))</f>
        <v>0</v>
      </c>
      <c r="F350" s="26" t="n">
        <f aca="false">D350-E350</f>
        <v>0</v>
      </c>
      <c r="G350" s="27" t="n">
        <f aca="false">IF($H$349&lt;=0,0,IF(MONTH(B350)=12,MIN('Übersicht &amp; Eingaben'!$C$13,$H$349-F350),0))</f>
        <v>0</v>
      </c>
      <c r="H350" s="28" t="n">
        <f aca="false">MAX($H$349-F350-G350,0)</f>
        <v>0</v>
      </c>
    </row>
    <row r="351" customFormat="false" ht="18" hidden="false" customHeight="true" outlineLevel="0" collapsed="false">
      <c r="A351" s="29" t="str">
        <f aca="false">IF($H$350&lt;=0,"",342)</f>
        <v/>
      </c>
      <c r="B351" s="30" t="str">
        <f aca="false">IF($H$350&lt;=0,"",EDATE('Übersicht &amp; Eingaben'!$C$12,341))</f>
        <v/>
      </c>
      <c r="C351" s="31" t="str">
        <f aca="false">IF($H$350&lt;=0,"",YEAR(B351))</f>
        <v/>
      </c>
      <c r="D351" s="32" t="n">
        <f aca="false">IF($H$350&lt;=0,0,MIN($H$350+($H$350*'Übersicht &amp; Eingaben'!$C$8/12),('Übersicht &amp; Eingaben'!$C$7*('Übersicht &amp; Eingaben'!$C$8+'Übersicht &amp; Eingaben'!$C$9)/12)))</f>
        <v>0</v>
      </c>
      <c r="E351" s="32" t="n">
        <f aca="false">IF($H$350&lt;=0,0,($H$350*'Übersicht &amp; Eingaben'!$C$8/12))</f>
        <v>0</v>
      </c>
      <c r="F351" s="32" t="n">
        <f aca="false">D351-E351</f>
        <v>0</v>
      </c>
      <c r="G351" s="33" t="n">
        <f aca="false">IF($H$350&lt;=0,0,IF(MONTH(B351)=12,MIN('Übersicht &amp; Eingaben'!$C$13,$H$350-F351),0))</f>
        <v>0</v>
      </c>
      <c r="H351" s="34" t="n">
        <f aca="false">MAX($H$350-F351-G351,0)</f>
        <v>0</v>
      </c>
    </row>
    <row r="352" customFormat="false" ht="18" hidden="false" customHeight="true" outlineLevel="0" collapsed="false">
      <c r="A352" s="23" t="str">
        <f aca="false">IF($H$351&lt;=0,"",343)</f>
        <v/>
      </c>
      <c r="B352" s="24" t="str">
        <f aca="false">IF($H$351&lt;=0,"",EDATE('Übersicht &amp; Eingaben'!$C$12,342))</f>
        <v/>
      </c>
      <c r="C352" s="25" t="str">
        <f aca="false">IF($H$351&lt;=0,"",YEAR(B352))</f>
        <v/>
      </c>
      <c r="D352" s="26" t="n">
        <f aca="false">IF($H$351&lt;=0,0,MIN($H$351+($H$351*'Übersicht &amp; Eingaben'!$C$8/12),('Übersicht &amp; Eingaben'!$C$7*('Übersicht &amp; Eingaben'!$C$8+'Übersicht &amp; Eingaben'!$C$9)/12)))</f>
        <v>0</v>
      </c>
      <c r="E352" s="26" t="n">
        <f aca="false">IF($H$351&lt;=0,0,($H$351*'Übersicht &amp; Eingaben'!$C$8/12))</f>
        <v>0</v>
      </c>
      <c r="F352" s="26" t="n">
        <f aca="false">D352-E352</f>
        <v>0</v>
      </c>
      <c r="G352" s="27" t="n">
        <f aca="false">IF($H$351&lt;=0,0,IF(MONTH(B352)=12,MIN('Übersicht &amp; Eingaben'!$C$13,$H$351-F352),0))</f>
        <v>0</v>
      </c>
      <c r="H352" s="28" t="n">
        <f aca="false">MAX($H$351-F352-G352,0)</f>
        <v>0</v>
      </c>
    </row>
    <row r="353" customFormat="false" ht="18" hidden="false" customHeight="true" outlineLevel="0" collapsed="false">
      <c r="A353" s="29" t="str">
        <f aca="false">IF($H$352&lt;=0,"",344)</f>
        <v/>
      </c>
      <c r="B353" s="30" t="str">
        <f aca="false">IF($H$352&lt;=0,"",EDATE('Übersicht &amp; Eingaben'!$C$12,343))</f>
        <v/>
      </c>
      <c r="C353" s="31" t="str">
        <f aca="false">IF($H$352&lt;=0,"",YEAR(B353))</f>
        <v/>
      </c>
      <c r="D353" s="32" t="n">
        <f aca="false">IF($H$352&lt;=0,0,MIN($H$352+($H$352*'Übersicht &amp; Eingaben'!$C$8/12),('Übersicht &amp; Eingaben'!$C$7*('Übersicht &amp; Eingaben'!$C$8+'Übersicht &amp; Eingaben'!$C$9)/12)))</f>
        <v>0</v>
      </c>
      <c r="E353" s="32" t="n">
        <f aca="false">IF($H$352&lt;=0,0,($H$352*'Übersicht &amp; Eingaben'!$C$8/12))</f>
        <v>0</v>
      </c>
      <c r="F353" s="32" t="n">
        <f aca="false">D353-E353</f>
        <v>0</v>
      </c>
      <c r="G353" s="33" t="n">
        <f aca="false">IF($H$352&lt;=0,0,IF(MONTH(B353)=12,MIN('Übersicht &amp; Eingaben'!$C$13,$H$352-F353),0))</f>
        <v>0</v>
      </c>
      <c r="H353" s="34" t="n">
        <f aca="false">MAX($H$352-F353-G353,0)</f>
        <v>0</v>
      </c>
    </row>
    <row r="354" customFormat="false" ht="18" hidden="false" customHeight="true" outlineLevel="0" collapsed="false">
      <c r="A354" s="23" t="str">
        <f aca="false">IF($H$353&lt;=0,"",345)</f>
        <v/>
      </c>
      <c r="B354" s="24" t="str">
        <f aca="false">IF($H$353&lt;=0,"",EDATE('Übersicht &amp; Eingaben'!$C$12,344))</f>
        <v/>
      </c>
      <c r="C354" s="25" t="str">
        <f aca="false">IF($H$353&lt;=0,"",YEAR(B354))</f>
        <v/>
      </c>
      <c r="D354" s="26" t="n">
        <f aca="false">IF($H$353&lt;=0,0,MIN($H$353+($H$353*'Übersicht &amp; Eingaben'!$C$8/12),('Übersicht &amp; Eingaben'!$C$7*('Übersicht &amp; Eingaben'!$C$8+'Übersicht &amp; Eingaben'!$C$9)/12)))</f>
        <v>0</v>
      </c>
      <c r="E354" s="26" t="n">
        <f aca="false">IF($H$353&lt;=0,0,($H$353*'Übersicht &amp; Eingaben'!$C$8/12))</f>
        <v>0</v>
      </c>
      <c r="F354" s="26" t="n">
        <f aca="false">D354-E354</f>
        <v>0</v>
      </c>
      <c r="G354" s="27" t="n">
        <f aca="false">IF($H$353&lt;=0,0,IF(MONTH(B354)=12,MIN('Übersicht &amp; Eingaben'!$C$13,$H$353-F354),0))</f>
        <v>0</v>
      </c>
      <c r="H354" s="28" t="n">
        <f aca="false">MAX($H$353-F354-G354,0)</f>
        <v>0</v>
      </c>
    </row>
    <row r="355" customFormat="false" ht="18" hidden="false" customHeight="true" outlineLevel="0" collapsed="false">
      <c r="A355" s="29" t="str">
        <f aca="false">IF($H$354&lt;=0,"",346)</f>
        <v/>
      </c>
      <c r="B355" s="30" t="str">
        <f aca="false">IF($H$354&lt;=0,"",EDATE('Übersicht &amp; Eingaben'!$C$12,345))</f>
        <v/>
      </c>
      <c r="C355" s="31" t="str">
        <f aca="false">IF($H$354&lt;=0,"",YEAR(B355))</f>
        <v/>
      </c>
      <c r="D355" s="32" t="n">
        <f aca="false">IF($H$354&lt;=0,0,MIN($H$354+($H$354*'Übersicht &amp; Eingaben'!$C$8/12),('Übersicht &amp; Eingaben'!$C$7*('Übersicht &amp; Eingaben'!$C$8+'Übersicht &amp; Eingaben'!$C$9)/12)))</f>
        <v>0</v>
      </c>
      <c r="E355" s="32" t="n">
        <f aca="false">IF($H$354&lt;=0,0,($H$354*'Übersicht &amp; Eingaben'!$C$8/12))</f>
        <v>0</v>
      </c>
      <c r="F355" s="32" t="n">
        <f aca="false">D355-E355</f>
        <v>0</v>
      </c>
      <c r="G355" s="33" t="n">
        <f aca="false">IF($H$354&lt;=0,0,IF(MONTH(B355)=12,MIN('Übersicht &amp; Eingaben'!$C$13,$H$354-F355),0))</f>
        <v>0</v>
      </c>
      <c r="H355" s="34" t="n">
        <f aca="false">MAX($H$354-F355-G355,0)</f>
        <v>0</v>
      </c>
    </row>
    <row r="356" customFormat="false" ht="18" hidden="false" customHeight="true" outlineLevel="0" collapsed="false">
      <c r="A356" s="23" t="str">
        <f aca="false">IF($H$355&lt;=0,"",347)</f>
        <v/>
      </c>
      <c r="B356" s="24" t="str">
        <f aca="false">IF($H$355&lt;=0,"",EDATE('Übersicht &amp; Eingaben'!$C$12,346))</f>
        <v/>
      </c>
      <c r="C356" s="25" t="str">
        <f aca="false">IF($H$355&lt;=0,"",YEAR(B356))</f>
        <v/>
      </c>
      <c r="D356" s="26" t="n">
        <f aca="false">IF($H$355&lt;=0,0,MIN($H$355+($H$355*'Übersicht &amp; Eingaben'!$C$8/12),('Übersicht &amp; Eingaben'!$C$7*('Übersicht &amp; Eingaben'!$C$8+'Übersicht &amp; Eingaben'!$C$9)/12)))</f>
        <v>0</v>
      </c>
      <c r="E356" s="26" t="n">
        <f aca="false">IF($H$355&lt;=0,0,($H$355*'Übersicht &amp; Eingaben'!$C$8/12))</f>
        <v>0</v>
      </c>
      <c r="F356" s="26" t="n">
        <f aca="false">D356-E356</f>
        <v>0</v>
      </c>
      <c r="G356" s="27" t="n">
        <f aca="false">IF($H$355&lt;=0,0,IF(MONTH(B356)=12,MIN('Übersicht &amp; Eingaben'!$C$13,$H$355-F356),0))</f>
        <v>0</v>
      </c>
      <c r="H356" s="28" t="n">
        <f aca="false">MAX($H$355-F356-G356,0)</f>
        <v>0</v>
      </c>
    </row>
    <row r="357" customFormat="false" ht="18" hidden="false" customHeight="true" outlineLevel="0" collapsed="false">
      <c r="A357" s="29" t="str">
        <f aca="false">IF($H$356&lt;=0,"",348)</f>
        <v/>
      </c>
      <c r="B357" s="30" t="str">
        <f aca="false">IF($H$356&lt;=0,"",EDATE('Übersicht &amp; Eingaben'!$C$12,347))</f>
        <v/>
      </c>
      <c r="C357" s="31" t="str">
        <f aca="false">IF($H$356&lt;=0,"",YEAR(B357))</f>
        <v/>
      </c>
      <c r="D357" s="32" t="n">
        <f aca="false">IF($H$356&lt;=0,0,MIN($H$356+($H$356*'Übersicht &amp; Eingaben'!$C$8/12),('Übersicht &amp; Eingaben'!$C$7*('Übersicht &amp; Eingaben'!$C$8+'Übersicht &amp; Eingaben'!$C$9)/12)))</f>
        <v>0</v>
      </c>
      <c r="E357" s="32" t="n">
        <f aca="false">IF($H$356&lt;=0,0,($H$356*'Übersicht &amp; Eingaben'!$C$8/12))</f>
        <v>0</v>
      </c>
      <c r="F357" s="32" t="n">
        <f aca="false">D357-E357</f>
        <v>0</v>
      </c>
      <c r="G357" s="33" t="n">
        <f aca="false">IF($H$356&lt;=0,0,IF(MONTH(B357)=12,MIN('Übersicht &amp; Eingaben'!$C$13,$H$356-F357),0))</f>
        <v>0</v>
      </c>
      <c r="H357" s="34" t="n">
        <f aca="false">MAX($H$356-F357-G357,0)</f>
        <v>0</v>
      </c>
    </row>
    <row r="358" customFormat="false" ht="18" hidden="false" customHeight="true" outlineLevel="0" collapsed="false">
      <c r="A358" s="23" t="str">
        <f aca="false">IF($H$357&lt;=0,"",349)</f>
        <v/>
      </c>
      <c r="B358" s="24" t="str">
        <f aca="false">IF($H$357&lt;=0,"",EDATE('Übersicht &amp; Eingaben'!$C$12,348))</f>
        <v/>
      </c>
      <c r="C358" s="25" t="str">
        <f aca="false">IF($H$357&lt;=0,"",YEAR(B358))</f>
        <v/>
      </c>
      <c r="D358" s="26" t="n">
        <f aca="false">IF($H$357&lt;=0,0,MIN($H$357+($H$357*'Übersicht &amp; Eingaben'!$C$8/12),('Übersicht &amp; Eingaben'!$C$7*('Übersicht &amp; Eingaben'!$C$8+'Übersicht &amp; Eingaben'!$C$9)/12)))</f>
        <v>0</v>
      </c>
      <c r="E358" s="26" t="n">
        <f aca="false">IF($H$357&lt;=0,0,($H$357*'Übersicht &amp; Eingaben'!$C$8/12))</f>
        <v>0</v>
      </c>
      <c r="F358" s="26" t="n">
        <f aca="false">D358-E358</f>
        <v>0</v>
      </c>
      <c r="G358" s="27" t="n">
        <f aca="false">IF($H$357&lt;=0,0,IF(MONTH(B358)=12,MIN('Übersicht &amp; Eingaben'!$C$13,$H$357-F358),0))</f>
        <v>0</v>
      </c>
      <c r="H358" s="28" t="n">
        <f aca="false">MAX($H$357-F358-G358,0)</f>
        <v>0</v>
      </c>
    </row>
    <row r="359" customFormat="false" ht="18" hidden="false" customHeight="true" outlineLevel="0" collapsed="false">
      <c r="A359" s="29" t="str">
        <f aca="false">IF($H$358&lt;=0,"",350)</f>
        <v/>
      </c>
      <c r="B359" s="30" t="str">
        <f aca="false">IF($H$358&lt;=0,"",EDATE('Übersicht &amp; Eingaben'!$C$12,349))</f>
        <v/>
      </c>
      <c r="C359" s="31" t="str">
        <f aca="false">IF($H$358&lt;=0,"",YEAR(B359))</f>
        <v/>
      </c>
      <c r="D359" s="32" t="n">
        <f aca="false">IF($H$358&lt;=0,0,MIN($H$358+($H$358*'Übersicht &amp; Eingaben'!$C$8/12),('Übersicht &amp; Eingaben'!$C$7*('Übersicht &amp; Eingaben'!$C$8+'Übersicht &amp; Eingaben'!$C$9)/12)))</f>
        <v>0</v>
      </c>
      <c r="E359" s="32" t="n">
        <f aca="false">IF($H$358&lt;=0,0,($H$358*'Übersicht &amp; Eingaben'!$C$8/12))</f>
        <v>0</v>
      </c>
      <c r="F359" s="32" t="n">
        <f aca="false">D359-E359</f>
        <v>0</v>
      </c>
      <c r="G359" s="33" t="n">
        <f aca="false">IF($H$358&lt;=0,0,IF(MONTH(B359)=12,MIN('Übersicht &amp; Eingaben'!$C$13,$H$358-F359),0))</f>
        <v>0</v>
      </c>
      <c r="H359" s="34" t="n">
        <f aca="false">MAX($H$358-F359-G359,0)</f>
        <v>0</v>
      </c>
    </row>
    <row r="360" customFormat="false" ht="18" hidden="false" customHeight="true" outlineLevel="0" collapsed="false">
      <c r="A360" s="23" t="str">
        <f aca="false">IF($H$359&lt;=0,"",351)</f>
        <v/>
      </c>
      <c r="B360" s="24" t="str">
        <f aca="false">IF($H$359&lt;=0,"",EDATE('Übersicht &amp; Eingaben'!$C$12,350))</f>
        <v/>
      </c>
      <c r="C360" s="25" t="str">
        <f aca="false">IF($H$359&lt;=0,"",YEAR(B360))</f>
        <v/>
      </c>
      <c r="D360" s="26" t="n">
        <f aca="false">IF($H$359&lt;=0,0,MIN($H$359+($H$359*'Übersicht &amp; Eingaben'!$C$8/12),('Übersicht &amp; Eingaben'!$C$7*('Übersicht &amp; Eingaben'!$C$8+'Übersicht &amp; Eingaben'!$C$9)/12)))</f>
        <v>0</v>
      </c>
      <c r="E360" s="26" t="n">
        <f aca="false">IF($H$359&lt;=0,0,($H$359*'Übersicht &amp; Eingaben'!$C$8/12))</f>
        <v>0</v>
      </c>
      <c r="F360" s="26" t="n">
        <f aca="false">D360-E360</f>
        <v>0</v>
      </c>
      <c r="G360" s="27" t="n">
        <f aca="false">IF($H$359&lt;=0,0,IF(MONTH(B360)=12,MIN('Übersicht &amp; Eingaben'!$C$13,$H$359-F360),0))</f>
        <v>0</v>
      </c>
      <c r="H360" s="28" t="n">
        <f aca="false">MAX($H$359-F360-G360,0)</f>
        <v>0</v>
      </c>
    </row>
    <row r="361" customFormat="false" ht="18" hidden="false" customHeight="true" outlineLevel="0" collapsed="false">
      <c r="A361" s="29" t="str">
        <f aca="false">IF($H$360&lt;=0,"",352)</f>
        <v/>
      </c>
      <c r="B361" s="30" t="str">
        <f aca="false">IF($H$360&lt;=0,"",EDATE('Übersicht &amp; Eingaben'!$C$12,351))</f>
        <v/>
      </c>
      <c r="C361" s="31" t="str">
        <f aca="false">IF($H$360&lt;=0,"",YEAR(B361))</f>
        <v/>
      </c>
      <c r="D361" s="32" t="n">
        <f aca="false">IF($H$360&lt;=0,0,MIN($H$360+($H$360*'Übersicht &amp; Eingaben'!$C$8/12),('Übersicht &amp; Eingaben'!$C$7*('Übersicht &amp; Eingaben'!$C$8+'Übersicht &amp; Eingaben'!$C$9)/12)))</f>
        <v>0</v>
      </c>
      <c r="E361" s="32" t="n">
        <f aca="false">IF($H$360&lt;=0,0,($H$360*'Übersicht &amp; Eingaben'!$C$8/12))</f>
        <v>0</v>
      </c>
      <c r="F361" s="32" t="n">
        <f aca="false">D361-E361</f>
        <v>0</v>
      </c>
      <c r="G361" s="33" t="n">
        <f aca="false">IF($H$360&lt;=0,0,IF(MONTH(B361)=12,MIN('Übersicht &amp; Eingaben'!$C$13,$H$360-F361),0))</f>
        <v>0</v>
      </c>
      <c r="H361" s="34" t="n">
        <f aca="false">MAX($H$360-F361-G361,0)</f>
        <v>0</v>
      </c>
    </row>
    <row r="362" customFormat="false" ht="18" hidden="false" customHeight="true" outlineLevel="0" collapsed="false">
      <c r="A362" s="23" t="str">
        <f aca="false">IF($H$361&lt;=0,"",353)</f>
        <v/>
      </c>
      <c r="B362" s="24" t="str">
        <f aca="false">IF($H$361&lt;=0,"",EDATE('Übersicht &amp; Eingaben'!$C$12,352))</f>
        <v/>
      </c>
      <c r="C362" s="25" t="str">
        <f aca="false">IF($H$361&lt;=0,"",YEAR(B362))</f>
        <v/>
      </c>
      <c r="D362" s="26" t="n">
        <f aca="false">IF($H$361&lt;=0,0,MIN($H$361+($H$361*'Übersicht &amp; Eingaben'!$C$8/12),('Übersicht &amp; Eingaben'!$C$7*('Übersicht &amp; Eingaben'!$C$8+'Übersicht &amp; Eingaben'!$C$9)/12)))</f>
        <v>0</v>
      </c>
      <c r="E362" s="26" t="n">
        <f aca="false">IF($H$361&lt;=0,0,($H$361*'Übersicht &amp; Eingaben'!$C$8/12))</f>
        <v>0</v>
      </c>
      <c r="F362" s="26" t="n">
        <f aca="false">D362-E362</f>
        <v>0</v>
      </c>
      <c r="G362" s="27" t="n">
        <f aca="false">IF($H$361&lt;=0,0,IF(MONTH(B362)=12,MIN('Übersicht &amp; Eingaben'!$C$13,$H$361-F362),0))</f>
        <v>0</v>
      </c>
      <c r="H362" s="28" t="n">
        <f aca="false">MAX($H$361-F362-G362,0)</f>
        <v>0</v>
      </c>
    </row>
    <row r="363" customFormat="false" ht="18" hidden="false" customHeight="true" outlineLevel="0" collapsed="false">
      <c r="A363" s="29" t="str">
        <f aca="false">IF($H$362&lt;=0,"",354)</f>
        <v/>
      </c>
      <c r="B363" s="30" t="str">
        <f aca="false">IF($H$362&lt;=0,"",EDATE('Übersicht &amp; Eingaben'!$C$12,353))</f>
        <v/>
      </c>
      <c r="C363" s="31" t="str">
        <f aca="false">IF($H$362&lt;=0,"",YEAR(B363))</f>
        <v/>
      </c>
      <c r="D363" s="32" t="n">
        <f aca="false">IF($H$362&lt;=0,0,MIN($H$362+($H$362*'Übersicht &amp; Eingaben'!$C$8/12),('Übersicht &amp; Eingaben'!$C$7*('Übersicht &amp; Eingaben'!$C$8+'Übersicht &amp; Eingaben'!$C$9)/12)))</f>
        <v>0</v>
      </c>
      <c r="E363" s="32" t="n">
        <f aca="false">IF($H$362&lt;=0,0,($H$362*'Übersicht &amp; Eingaben'!$C$8/12))</f>
        <v>0</v>
      </c>
      <c r="F363" s="32" t="n">
        <f aca="false">D363-E363</f>
        <v>0</v>
      </c>
      <c r="G363" s="33" t="n">
        <f aca="false">IF($H$362&lt;=0,0,IF(MONTH(B363)=12,MIN('Übersicht &amp; Eingaben'!$C$13,$H$362-F363),0))</f>
        <v>0</v>
      </c>
      <c r="H363" s="34" t="n">
        <f aca="false">MAX($H$362-F363-G363,0)</f>
        <v>0</v>
      </c>
    </row>
    <row r="364" customFormat="false" ht="18" hidden="false" customHeight="true" outlineLevel="0" collapsed="false">
      <c r="A364" s="23" t="str">
        <f aca="false">IF($H$363&lt;=0,"",355)</f>
        <v/>
      </c>
      <c r="B364" s="24" t="str">
        <f aca="false">IF($H$363&lt;=0,"",EDATE('Übersicht &amp; Eingaben'!$C$12,354))</f>
        <v/>
      </c>
      <c r="C364" s="25" t="str">
        <f aca="false">IF($H$363&lt;=0,"",YEAR(B364))</f>
        <v/>
      </c>
      <c r="D364" s="26" t="n">
        <f aca="false">IF($H$363&lt;=0,0,MIN($H$363+($H$363*'Übersicht &amp; Eingaben'!$C$8/12),('Übersicht &amp; Eingaben'!$C$7*('Übersicht &amp; Eingaben'!$C$8+'Übersicht &amp; Eingaben'!$C$9)/12)))</f>
        <v>0</v>
      </c>
      <c r="E364" s="26" t="n">
        <f aca="false">IF($H$363&lt;=0,0,($H$363*'Übersicht &amp; Eingaben'!$C$8/12))</f>
        <v>0</v>
      </c>
      <c r="F364" s="26" t="n">
        <f aca="false">D364-E364</f>
        <v>0</v>
      </c>
      <c r="G364" s="27" t="n">
        <f aca="false">IF($H$363&lt;=0,0,IF(MONTH(B364)=12,MIN('Übersicht &amp; Eingaben'!$C$13,$H$363-F364),0))</f>
        <v>0</v>
      </c>
      <c r="H364" s="28" t="n">
        <f aca="false">MAX($H$363-F364-G364,0)</f>
        <v>0</v>
      </c>
    </row>
    <row r="365" customFormat="false" ht="18" hidden="false" customHeight="true" outlineLevel="0" collapsed="false">
      <c r="A365" s="29" t="str">
        <f aca="false">IF($H$364&lt;=0,"",356)</f>
        <v/>
      </c>
      <c r="B365" s="30" t="str">
        <f aca="false">IF($H$364&lt;=0,"",EDATE('Übersicht &amp; Eingaben'!$C$12,355))</f>
        <v/>
      </c>
      <c r="C365" s="31" t="str">
        <f aca="false">IF($H$364&lt;=0,"",YEAR(B365))</f>
        <v/>
      </c>
      <c r="D365" s="32" t="n">
        <f aca="false">IF($H$364&lt;=0,0,MIN($H$364+($H$364*'Übersicht &amp; Eingaben'!$C$8/12),('Übersicht &amp; Eingaben'!$C$7*('Übersicht &amp; Eingaben'!$C$8+'Übersicht &amp; Eingaben'!$C$9)/12)))</f>
        <v>0</v>
      </c>
      <c r="E365" s="32" t="n">
        <f aca="false">IF($H$364&lt;=0,0,($H$364*'Übersicht &amp; Eingaben'!$C$8/12))</f>
        <v>0</v>
      </c>
      <c r="F365" s="32" t="n">
        <f aca="false">D365-E365</f>
        <v>0</v>
      </c>
      <c r="G365" s="33" t="n">
        <f aca="false">IF($H$364&lt;=0,0,IF(MONTH(B365)=12,MIN('Übersicht &amp; Eingaben'!$C$13,$H$364-F365),0))</f>
        <v>0</v>
      </c>
      <c r="H365" s="34" t="n">
        <f aca="false">MAX($H$364-F365-G365,0)</f>
        <v>0</v>
      </c>
    </row>
    <row r="366" customFormat="false" ht="18" hidden="false" customHeight="true" outlineLevel="0" collapsed="false">
      <c r="A366" s="23" t="str">
        <f aca="false">IF($H$365&lt;=0,"",357)</f>
        <v/>
      </c>
      <c r="B366" s="24" t="str">
        <f aca="false">IF($H$365&lt;=0,"",EDATE('Übersicht &amp; Eingaben'!$C$12,356))</f>
        <v/>
      </c>
      <c r="C366" s="25" t="str">
        <f aca="false">IF($H$365&lt;=0,"",YEAR(B366))</f>
        <v/>
      </c>
      <c r="D366" s="26" t="n">
        <f aca="false">IF($H$365&lt;=0,0,MIN($H$365+($H$365*'Übersicht &amp; Eingaben'!$C$8/12),('Übersicht &amp; Eingaben'!$C$7*('Übersicht &amp; Eingaben'!$C$8+'Übersicht &amp; Eingaben'!$C$9)/12)))</f>
        <v>0</v>
      </c>
      <c r="E366" s="26" t="n">
        <f aca="false">IF($H$365&lt;=0,0,($H$365*'Übersicht &amp; Eingaben'!$C$8/12))</f>
        <v>0</v>
      </c>
      <c r="F366" s="26" t="n">
        <f aca="false">D366-E366</f>
        <v>0</v>
      </c>
      <c r="G366" s="27" t="n">
        <f aca="false">IF($H$365&lt;=0,0,IF(MONTH(B366)=12,MIN('Übersicht &amp; Eingaben'!$C$13,$H$365-F366),0))</f>
        <v>0</v>
      </c>
      <c r="H366" s="28" t="n">
        <f aca="false">MAX($H$365-F366-G366,0)</f>
        <v>0</v>
      </c>
    </row>
    <row r="367" customFormat="false" ht="18" hidden="false" customHeight="true" outlineLevel="0" collapsed="false">
      <c r="A367" s="29" t="str">
        <f aca="false">IF($H$366&lt;=0,"",358)</f>
        <v/>
      </c>
      <c r="B367" s="30" t="str">
        <f aca="false">IF($H$366&lt;=0,"",EDATE('Übersicht &amp; Eingaben'!$C$12,357))</f>
        <v/>
      </c>
      <c r="C367" s="31" t="str">
        <f aca="false">IF($H$366&lt;=0,"",YEAR(B367))</f>
        <v/>
      </c>
      <c r="D367" s="32" t="n">
        <f aca="false">IF($H$366&lt;=0,0,MIN($H$366+($H$366*'Übersicht &amp; Eingaben'!$C$8/12),('Übersicht &amp; Eingaben'!$C$7*('Übersicht &amp; Eingaben'!$C$8+'Übersicht &amp; Eingaben'!$C$9)/12)))</f>
        <v>0</v>
      </c>
      <c r="E367" s="32" t="n">
        <f aca="false">IF($H$366&lt;=0,0,($H$366*'Übersicht &amp; Eingaben'!$C$8/12))</f>
        <v>0</v>
      </c>
      <c r="F367" s="32" t="n">
        <f aca="false">D367-E367</f>
        <v>0</v>
      </c>
      <c r="G367" s="33" t="n">
        <f aca="false">IF($H$366&lt;=0,0,IF(MONTH(B367)=12,MIN('Übersicht &amp; Eingaben'!$C$13,$H$366-F367),0))</f>
        <v>0</v>
      </c>
      <c r="H367" s="34" t="n">
        <f aca="false">MAX($H$366-F367-G367,0)</f>
        <v>0</v>
      </c>
    </row>
    <row r="368" customFormat="false" ht="18" hidden="false" customHeight="true" outlineLevel="0" collapsed="false">
      <c r="A368" s="23" t="str">
        <f aca="false">IF($H$367&lt;=0,"",359)</f>
        <v/>
      </c>
      <c r="B368" s="24" t="str">
        <f aca="false">IF($H$367&lt;=0,"",EDATE('Übersicht &amp; Eingaben'!$C$12,358))</f>
        <v/>
      </c>
      <c r="C368" s="25" t="str">
        <f aca="false">IF($H$367&lt;=0,"",YEAR(B368))</f>
        <v/>
      </c>
      <c r="D368" s="26" t="n">
        <f aca="false">IF($H$367&lt;=0,0,MIN($H$367+($H$367*'Übersicht &amp; Eingaben'!$C$8/12),('Übersicht &amp; Eingaben'!$C$7*('Übersicht &amp; Eingaben'!$C$8+'Übersicht &amp; Eingaben'!$C$9)/12)))</f>
        <v>0</v>
      </c>
      <c r="E368" s="26" t="n">
        <f aca="false">IF($H$367&lt;=0,0,($H$367*'Übersicht &amp; Eingaben'!$C$8/12))</f>
        <v>0</v>
      </c>
      <c r="F368" s="26" t="n">
        <f aca="false">D368-E368</f>
        <v>0</v>
      </c>
      <c r="G368" s="27" t="n">
        <f aca="false">IF($H$367&lt;=0,0,IF(MONTH(B368)=12,MIN('Übersicht &amp; Eingaben'!$C$13,$H$367-F368),0))</f>
        <v>0</v>
      </c>
      <c r="H368" s="28" t="n">
        <f aca="false">MAX($H$367-F368-G368,0)</f>
        <v>0</v>
      </c>
    </row>
    <row r="369" customFormat="false" ht="18" hidden="false" customHeight="true" outlineLevel="0" collapsed="false">
      <c r="A369" s="29" t="str">
        <f aca="false">IF($H$368&lt;=0,"",360)</f>
        <v/>
      </c>
      <c r="B369" s="30" t="str">
        <f aca="false">IF($H$368&lt;=0,"",EDATE('Übersicht &amp; Eingaben'!$C$12,359))</f>
        <v/>
      </c>
      <c r="C369" s="31" t="str">
        <f aca="false">IF($H$368&lt;=0,"",YEAR(B369))</f>
        <v/>
      </c>
      <c r="D369" s="32" t="n">
        <f aca="false">IF($H$368&lt;=0,0,MIN($H$368+($H$368*'Übersicht &amp; Eingaben'!$C$8/12),('Übersicht &amp; Eingaben'!$C$7*('Übersicht &amp; Eingaben'!$C$8+'Übersicht &amp; Eingaben'!$C$9)/12)))</f>
        <v>0</v>
      </c>
      <c r="E369" s="32" t="n">
        <f aca="false">IF($H$368&lt;=0,0,($H$368*'Übersicht &amp; Eingaben'!$C$8/12))</f>
        <v>0</v>
      </c>
      <c r="F369" s="32" t="n">
        <f aca="false">D369-E369</f>
        <v>0</v>
      </c>
      <c r="G369" s="33" t="n">
        <f aca="false">IF($H$368&lt;=0,0,IF(MONTH(B369)=12,MIN('Übersicht &amp; Eingaben'!$C$13,$H$368-F369),0))</f>
        <v>0</v>
      </c>
      <c r="H369" s="34" t="n">
        <f aca="false">MAX($H$368-F369-G369,0)</f>
        <v>0</v>
      </c>
    </row>
  </sheetData>
  <mergeCells count="5">
    <mergeCell ref="A2:H2"/>
    <mergeCell ref="A3:H3"/>
    <mergeCell ref="A5:C5"/>
    <mergeCell ref="D5:E5"/>
    <mergeCell ref="F5:G5"/>
  </mergeCells>
  <printOptions headings="false" gridLines="false" gridLinesSet="true" horizontalCentered="true" verticalCentered="false"/>
  <pageMargins left="0.75" right="0.75" top="1" bottom="1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2026-07-21T07:09:24Z</dcterms:created>
  <dc:creator>openpyxl</dc:creator>
  <dc:description/>
  <dc:language>en-US</dc:language>
  <cp:lastModifiedBy/>
  <dcterms:modified xsi:type="dcterms:W3CDTF">2026-07-21T07:09:25Z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