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1B88FC86-ABA0-442D-8538-F89940EC5FE6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📋 Bestellrunde" sheetId="1" r:id="rId1"/>
    <sheet name="💰 Abrechnung" sheetId="2" r:id="rId2"/>
    <sheet name="⚙️ Preisliste" sheetId="3" r:id="rId3"/>
    <sheet name="📊 Auswertung" sheetId="4" r:id="rId4"/>
  </sheets>
  <externalReferences>
    <externalReference r:id="rId5"/>
  </externalReferenc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4" i="4" l="1"/>
  <c r="E14" i="4"/>
  <c r="D14" i="4"/>
  <c r="C14" i="4"/>
  <c r="B14" i="4"/>
  <c r="F13" i="4"/>
  <c r="E13" i="4"/>
  <c r="D13" i="4"/>
  <c r="C13" i="4"/>
  <c r="B13" i="4"/>
  <c r="F12" i="4"/>
  <c r="E12" i="4"/>
  <c r="D12" i="4"/>
  <c r="C12" i="4"/>
  <c r="B12" i="4"/>
  <c r="F11" i="4"/>
  <c r="E11" i="4"/>
  <c r="D11" i="4"/>
  <c r="C11" i="4"/>
  <c r="B11" i="4"/>
  <c r="F10" i="4"/>
  <c r="E10" i="4"/>
  <c r="D10" i="4"/>
  <c r="C10" i="4"/>
  <c r="B10" i="4"/>
  <c r="F9" i="4"/>
  <c r="E9" i="4"/>
  <c r="D9" i="4"/>
  <c r="C9" i="4"/>
  <c r="B9" i="4"/>
  <c r="F8" i="4"/>
  <c r="E8" i="4"/>
  <c r="D8" i="4"/>
  <c r="C8" i="4"/>
  <c r="B8" i="4"/>
  <c r="F7" i="4"/>
  <c r="E7" i="4"/>
  <c r="D7" i="4"/>
  <c r="C7" i="4"/>
  <c r="B7" i="4"/>
  <c r="F6" i="4"/>
  <c r="E6" i="4"/>
  <c r="D6" i="4"/>
  <c r="C6" i="4"/>
  <c r="B6" i="4"/>
  <c r="F5" i="4"/>
  <c r="E5" i="4"/>
  <c r="D5" i="4"/>
  <c r="C5" i="4"/>
  <c r="B5" i="4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G14" i="4" s="1"/>
  <c r="E13" i="2"/>
  <c r="F13" i="2" s="1"/>
  <c r="G13" i="4" s="1"/>
  <c r="E12" i="2"/>
  <c r="F12" i="2" s="1"/>
  <c r="G12" i="4" s="1"/>
  <c r="E11" i="2"/>
  <c r="F11" i="2" s="1"/>
  <c r="G11" i="4" s="1"/>
  <c r="E10" i="2"/>
  <c r="F10" i="2" s="1"/>
  <c r="G10" i="4" s="1"/>
  <c r="E9" i="2"/>
  <c r="F9" i="2" s="1"/>
  <c r="G9" i="4" s="1"/>
  <c r="E8" i="2"/>
  <c r="F8" i="2" s="1"/>
  <c r="G8" i="4" s="1"/>
  <c r="E7" i="2"/>
  <c r="F7" i="2" s="1"/>
  <c r="E6" i="2"/>
  <c r="F6" i="2" s="1"/>
  <c r="G6" i="4" s="1"/>
  <c r="E5" i="2"/>
  <c r="F5" i="2" s="1"/>
  <c r="H15" i="1"/>
  <c r="G15" i="1"/>
  <c r="F15" i="1"/>
  <c r="E15" i="1"/>
  <c r="D15" i="1"/>
  <c r="C15" i="1"/>
  <c r="B15" i="1"/>
  <c r="F28" i="2" l="1"/>
  <c r="G5" i="4"/>
  <c r="F26" i="2"/>
  <c r="F27" i="2"/>
  <c r="G7" i="4"/>
  <c r="G15" i="4" l="1"/>
</calcChain>
</file>

<file path=xl/sharedStrings.xml><?xml version="1.0" encoding="utf-8"?>
<sst xmlns="http://schemas.openxmlformats.org/spreadsheetml/2006/main" count="168" uniqueCount="77">
  <si>
    <t>Tragen Sie hier täglich die Bestellungen Ihres Teams ein · Summen werden automatisch berechnet</t>
  </si>
  <si>
    <t>Mitarbeiter/-in</t>
  </si>
  <si>
    <t>Espresso</t>
  </si>
  <si>
    <t>Cappuccino</t>
  </si>
  <si>
    <t>Filterkaffee</t>
  </si>
  <si>
    <t>Latte Macchiato</t>
  </si>
  <si>
    <t>Tee</t>
  </si>
  <si>
    <t>Zucker
(Stk.)</t>
  </si>
  <si>
    <t>Milch
(ml)</t>
  </si>
  <si>
    <t>Anmerkungen</t>
  </si>
  <si>
    <t>M. Hoffmann</t>
  </si>
  <si>
    <t>ohne Zucker</t>
  </si>
  <si>
    <t>S. Bergmann</t>
  </si>
  <si>
    <t>T. Schreiber</t>
  </si>
  <si>
    <t>entkoffeiniert</t>
  </si>
  <si>
    <t>A. Winkler</t>
  </si>
  <si>
    <t>Latte mit Hafermilch</t>
  </si>
  <si>
    <t>K. Fröhlich</t>
  </si>
  <si>
    <t>Kamillentee</t>
  </si>
  <si>
    <t>J. Ostermann</t>
  </si>
  <si>
    <t>Doppelter Espresso</t>
  </si>
  <si>
    <t>L. Grunewald</t>
  </si>
  <si>
    <t>R. Steinbach</t>
  </si>
  <si>
    <t>N. Blumenthal</t>
  </si>
  <si>
    <t>Grüner Tee</t>
  </si>
  <si>
    <t>P. Hausmann</t>
  </si>
  <si>
    <t>GESAMT</t>
  </si>
  <si>
    <t>💡  HINWEIS: Tragen Sie in Spalten B–H die Anzahl der gewünschten Getränke / Einheiten ein. Spalte I für besondere Wünsche.</t>
  </si>
  <si>
    <t>☕  KAFFEEKASSE — VERBRAUCHSABRECHNUNG  2026</t>
  </si>
  <si>
    <t>Erfassen Sie jeden Konsum mit Datum, Person und Getränk · Preise werden automatisch aus der Preisliste übernommen</t>
  </si>
  <si>
    <t>Datum</t>
  </si>
  <si>
    <t>Getränk</t>
  </si>
  <si>
    <t>Anzahl</t>
  </si>
  <si>
    <t>Preis/Einheit (€)</t>
  </si>
  <si>
    <t>Gesamtbetrag (€)</t>
  </si>
  <si>
    <t>Status</t>
  </si>
  <si>
    <t>Notiz</t>
  </si>
  <si>
    <t>03.01.2026</t>
  </si>
  <si>
    <t>Bezahlt</t>
  </si>
  <si>
    <t>Offen</t>
  </si>
  <si>
    <t>04.01.2026</t>
  </si>
  <si>
    <t>05.01.2026</t>
  </si>
  <si>
    <t>06.01.2026</t>
  </si>
  <si>
    <t>07.01.2026</t>
  </si>
  <si>
    <t>10.01.2026</t>
  </si>
  <si>
    <t>11.01.2026</t>
  </si>
  <si>
    <t>12.01.2026</t>
  </si>
  <si>
    <t>13.01.2026</t>
  </si>
  <si>
    <t>14.01.2026</t>
  </si>
  <si>
    <t>17.01.2026</t>
  </si>
  <si>
    <t>18.01.2026</t>
  </si>
  <si>
    <t>19.01.2026</t>
  </si>
  <si>
    <t>GESAMTUMSATZ (Monat)</t>
  </si>
  <si>
    <t>→ davon offen</t>
  </si>
  <si>
    <t>→ davon bezahlt</t>
  </si>
  <si>
    <t>💡  HINWEIS: Spalte G — Klicken Sie auf die Zelle und wählen Sie den Status über das Dropdown-Menü. Preise werden automatisch aus dem Blatt 'Preisliste' geladen.</t>
  </si>
  <si>
    <t>☕  PREISLISTE &amp; EINSTELLUNGEN</t>
  </si>
  <si>
    <t>Passen Sie hier Getränkesorten und Preise an · Änderungen wirken sich automatisch auf alle Blätter aus</t>
  </si>
  <si>
    <t>Getränkesorte</t>
  </si>
  <si>
    <t>Preis pro Einheit (€)</t>
  </si>
  <si>
    <t>Einheit</t>
  </si>
  <si>
    <t>Beschreibung</t>
  </si>
  <si>
    <t>Tasse</t>
  </si>
  <si>
    <t>Kleiner starker Kaffee</t>
  </si>
  <si>
    <t>Kaffee mit Milchschaum</t>
  </si>
  <si>
    <t>Klassischer Aufguss</t>
  </si>
  <si>
    <t>Glas</t>
  </si>
  <si>
    <t>Kaffee mit viel Milch</t>
  </si>
  <si>
    <t>Verschiedene Sorten</t>
  </si>
  <si>
    <t>Sonstige</t>
  </si>
  <si>
    <t>Einh.</t>
  </si>
  <si>
    <t>Weitere Getränke</t>
  </si>
  <si>
    <t>💡  Preise in der Spalte B (amber hinterlegt) können direkt bearbeitet werden. Die Änderungen gelten sofort im Abrechnungsblatt.</t>
  </si>
  <si>
    <t>☕  MONATLICHE AUSWERTUNG — JANUAR 2026</t>
  </si>
  <si>
    <t>Übersicht der Gesamtkosten und Tassen pro Mitarbeiter/-in für den laufenden Monat</t>
  </si>
  <si>
    <t>Latte</t>
  </si>
  <si>
    <t xml:space="preserve">☕  KAFFEELISTE — BESTELLRUNDE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</si>
</sst>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7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i/>
      <sz val="10"/>
      <color rgb="FFFFFFFF"/>
      <name val="Calibri"/>
      <charset val="1"/>
    </font>
    <font>
      <b/>
      <sz val="10"/>
      <color rgb="FFFFFFFF"/>
      <name val="Calibri"/>
      <charset val="1"/>
    </font>
    <font>
      <b/>
      <sz val="10"/>
      <color rgb="FF1C2B3A"/>
      <name val="Calibri"/>
      <charset val="1"/>
    </font>
    <font>
      <sz val="10"/>
      <color rgb="FF1C2B3A"/>
      <name val="Calibri"/>
      <charset val="1"/>
    </font>
    <font>
      <i/>
      <sz val="9"/>
      <color rgb="FF5A6E82"/>
      <name val="Calibri"/>
      <charset val="1"/>
    </font>
    <font>
      <i/>
      <sz val="9"/>
      <color rgb="FF2E6DA4"/>
      <name val="Calibri"/>
      <charset val="1"/>
    </font>
    <font>
      <sz val="10"/>
      <color rgb="FF1A5276"/>
      <name val="Calibri"/>
      <charset val="1"/>
    </font>
    <font>
      <b/>
      <sz val="9"/>
      <color rgb="FF1E7A42"/>
      <name val="Calibri"/>
      <charset val="1"/>
    </font>
    <font>
      <b/>
      <sz val="9"/>
      <color rgb="FFC0392B"/>
      <name val="Calibri"/>
      <charset val="1"/>
    </font>
    <font>
      <b/>
      <sz val="12"/>
      <color rgb="FFFFFFFF"/>
      <name val="Calibri"/>
      <charset val="1"/>
    </font>
    <font>
      <i/>
      <sz val="10"/>
      <color rgb="FFC0392B"/>
      <name val="Calibri"/>
      <charset val="1"/>
    </font>
    <font>
      <b/>
      <sz val="10"/>
      <color rgb="FFC0392B"/>
      <name val="Calibri"/>
      <charset val="1"/>
    </font>
    <font>
      <i/>
      <sz val="10"/>
      <color rgb="FF1E7A42"/>
      <name val="Calibri"/>
      <charset val="1"/>
    </font>
    <font>
      <b/>
      <sz val="10"/>
      <color rgb="FF1E7A42"/>
      <name val="Calibri"/>
      <charset val="1"/>
    </font>
    <font>
      <b/>
      <sz val="10"/>
      <color rgb="FF1A5276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C2B3A"/>
        <bgColor rgb="FF333300"/>
      </patternFill>
    </fill>
    <fill>
      <patternFill patternType="solid">
        <fgColor rgb="FF2E6DA4"/>
        <bgColor rgb="FF5A6E82"/>
      </patternFill>
    </fill>
    <fill>
      <patternFill patternType="solid">
        <fgColor rgb="FFFFFFFF"/>
        <bgColor rgb="FFF9F9F9"/>
      </patternFill>
    </fill>
    <fill>
      <patternFill patternType="solid">
        <fgColor rgb="FFF4F6F8"/>
        <bgColor rgb="FFF9F9F9"/>
      </patternFill>
    </fill>
    <fill>
      <patternFill patternType="solid">
        <fgColor rgb="FFE8A219"/>
        <bgColor rgb="FFFFCC00"/>
      </patternFill>
    </fill>
    <fill>
      <patternFill patternType="solid">
        <fgColor rgb="FFFEF3D7"/>
        <bgColor rgb="FFFEF9EC"/>
      </patternFill>
    </fill>
    <fill>
      <patternFill patternType="solid">
        <fgColor rgb="FFD5F5E3"/>
        <bgColor rgb="FFF4F6F8"/>
      </patternFill>
    </fill>
    <fill>
      <patternFill patternType="solid">
        <fgColor rgb="FFFADBD8"/>
        <bgColor rgb="FFD9D9D9"/>
      </patternFill>
    </fill>
    <fill>
      <patternFill patternType="solid">
        <fgColor rgb="FFFEF9EC"/>
        <bgColor rgb="FFF9F9F9"/>
      </patternFill>
    </fill>
  </fills>
  <borders count="4">
    <border>
      <left/>
      <right/>
      <top/>
      <bottom/>
      <diagonal/>
    </border>
    <border>
      <left style="thin">
        <color rgb="FFBFCAD6"/>
      </left>
      <right style="thin">
        <color rgb="FFBFCAD6"/>
      </right>
      <top style="thin">
        <color rgb="FFBFCAD6"/>
      </top>
      <bottom style="thin">
        <color rgb="FFBFCAD6"/>
      </bottom>
      <diagonal/>
    </border>
    <border>
      <left style="medium">
        <color rgb="FFE8A219"/>
      </left>
      <right/>
      <top style="thin">
        <color rgb="FFBFCAD6"/>
      </top>
      <bottom style="thin">
        <color rgb="FFBFCAD6"/>
      </bottom>
      <diagonal/>
    </border>
    <border>
      <left style="thin">
        <color rgb="FFBFCAD6"/>
      </left>
      <right/>
      <top style="thin">
        <color rgb="FFBFCAD6"/>
      </top>
      <bottom style="thin">
        <color rgb="FFBFCAD6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5" fillId="5" borderId="1" xfId="0" applyFont="1" applyFill="1" applyBorder="1" applyAlignment="1">
      <alignment horizontal="left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3" fillId="9" borderId="1" xfId="0" applyNumberFormat="1" applyFont="1" applyFill="1" applyBorder="1" applyAlignment="1">
      <alignment horizontal="center" vertical="center"/>
    </xf>
    <xf numFmtId="164" fontId="15" fillId="8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164" fontId="16" fillId="10" borderId="1" xfId="0" applyNumberFormat="1" applyFon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0" xfId="0" applyFill="1"/>
    <xf numFmtId="0" fontId="7" fillId="7" borderId="2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right" vertical="center"/>
    </xf>
    <xf numFmtId="0" fontId="0" fillId="9" borderId="0" xfId="0" applyFill="1"/>
    <xf numFmtId="0" fontId="14" fillId="8" borderId="3" xfId="0" applyFont="1" applyFill="1" applyBorder="1" applyAlignment="1">
      <alignment horizontal="right" vertical="center"/>
    </xf>
    <xf numFmtId="0" fontId="0" fillId="8" borderId="0" xfId="0" applyFill="1"/>
    <xf numFmtId="0" fontId="3" fillId="2" borderId="3" xfId="0" applyFont="1" applyFill="1" applyBorder="1" applyAlignment="1">
      <alignment horizontal="right" vertical="center"/>
    </xf>
    <xf numFmtId="0" fontId="0" fillId="2" borderId="0" xfId="0" applyFill="1"/>
    <xf numFmtId="0" fontId="3" fillId="6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A42"/>
      <rgbColor rgb="FFBFCAD6"/>
      <rgbColor rgb="FF878787"/>
      <rgbColor rgb="FF9999FF"/>
      <rgbColor rgb="FF8E44AD"/>
      <rgbColor rgb="FFFEF3D7"/>
      <rgbColor rgb="FFF4F6F8"/>
      <rgbColor rgb="FF660066"/>
      <rgbColor rgb="FFFF8080"/>
      <rgbColor rgb="FF2E6DA4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D5F5E3"/>
      <rgbColor rgb="FFFEF9EC"/>
      <rgbColor rgb="FF99CCFF"/>
      <rgbColor rgb="FFFF99CC"/>
      <rgbColor rgb="FFCC99FF"/>
      <rgbColor rgb="FFFADBD8"/>
      <rgbColor rgb="FF3366FF"/>
      <rgbColor rgb="FF33CCCC"/>
      <rgbColor rgb="FF99CC00"/>
      <rgbColor rgb="FFFFCC00"/>
      <rgbColor rgb="FFE8A219"/>
      <rgbColor rgb="FFFF6600"/>
      <rgbColor rgb="FF5A6E82"/>
      <rgbColor rgb="FF969696"/>
      <rgbColor rgb="FF1A5276"/>
      <rgbColor rgb="FF2E8B57"/>
      <rgbColor rgb="FF003300"/>
      <rgbColor rgb="FF333300"/>
      <rgbColor rgb="FFC0392B"/>
      <rgbColor rgb="FF993366"/>
      <rgbColor rgb="FF333399"/>
      <rgbColor rgb="FF1C2B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Gesamtkosten je Mitarbeiter/-in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'📊 Auswertung'!$G$4</c:f>
              <c:strCache>
                <c:ptCount val="1"/>
                <c:pt idx="0">
                  <c:v>Gesamtbetrag (€)</c:v>
                </c:pt>
              </c:strCache>
            </c:strRef>
          </c:tx>
          <c:spPr>
            <a:solidFill>
              <a:srgbClr val="2E6DA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Auswertung'!$A$5:$A$14</c:f>
              <c:strCache>
                <c:ptCount val="10"/>
                <c:pt idx="0">
                  <c:v>M. Hoffmann</c:v>
                </c:pt>
                <c:pt idx="1">
                  <c:v>S. Bergmann</c:v>
                </c:pt>
                <c:pt idx="2">
                  <c:v>T. Schreiber</c:v>
                </c:pt>
                <c:pt idx="3">
                  <c:v>A. Winkler</c:v>
                </c:pt>
                <c:pt idx="4">
                  <c:v>K. Fröhlich</c:v>
                </c:pt>
                <c:pt idx="5">
                  <c:v>J. Ostermann</c:v>
                </c:pt>
                <c:pt idx="6">
                  <c:v>L. Grunewald</c:v>
                </c:pt>
                <c:pt idx="7">
                  <c:v>R. Steinbach</c:v>
                </c:pt>
                <c:pt idx="8">
                  <c:v>N. Blumenthal</c:v>
                </c:pt>
                <c:pt idx="9">
                  <c:v>P. Hausmann</c:v>
                </c:pt>
              </c:strCache>
            </c:strRef>
          </c:cat>
          <c:val>
            <c:numRef>
              <c:f>'📊 Auswertung'!$G$5:$G$14</c:f>
              <c:numCache>
                <c:formatCode>#,##0.00" €"</c:formatCode>
                <c:ptCount val="10"/>
                <c:pt idx="0">
                  <c:v>0.6</c:v>
                </c:pt>
                <c:pt idx="1">
                  <c:v>0.75</c:v>
                </c:pt>
                <c:pt idx="2">
                  <c:v>0.4</c:v>
                </c:pt>
                <c:pt idx="3">
                  <c:v>1.7999999999999998</c:v>
                </c:pt>
                <c:pt idx="4">
                  <c:v>0.75</c:v>
                </c:pt>
                <c:pt idx="5">
                  <c:v>0.89999999999999991</c:v>
                </c:pt>
                <c:pt idx="6">
                  <c:v>1.5</c:v>
                </c:pt>
                <c:pt idx="7">
                  <c:v>0.60000000000000009</c:v>
                </c:pt>
                <c:pt idx="8">
                  <c:v>0.75</c:v>
                </c:pt>
                <c:pt idx="9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0-45B2-A5A9-B520D5DA5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36885"/>
        <c:axId val="17038186"/>
      </c:barChart>
      <c:catAx>
        <c:axId val="9643688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Mitarbeiter/-in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7038186"/>
        <c:crosses val="autoZero"/>
        <c:auto val="1"/>
        <c:lblAlgn val="ctr"/>
        <c:lblOffset val="100"/>
        <c:noMultiLvlLbl val="0"/>
      </c:catAx>
      <c:valAx>
        <c:axId val="170381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Kosten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64368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7</xdr:col>
      <xdr:colOff>10080</xdr:colOff>
      <xdr:row>38</xdr:row>
      <xdr:rowOff>128880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islist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islist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6DA4"/>
  </sheetPr>
  <dimension ref="A1:I17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1" sqref="K21"/>
    </sheetView>
  </sheetViews>
  <sheetFormatPr baseColWidth="10" defaultColWidth="8.7109375" defaultRowHeight="15" x14ac:dyDescent="0.25"/>
  <cols>
    <col min="1" max="1" width="22" customWidth="1"/>
    <col min="2" max="2" width="12" customWidth="1"/>
    <col min="3" max="3" width="13" customWidth="1"/>
    <col min="4" max="4" width="14" customWidth="1"/>
    <col min="5" max="5" width="17" customWidth="1"/>
    <col min="6" max="6" width="10" customWidth="1"/>
    <col min="7" max="8" width="11" customWidth="1"/>
    <col min="9" max="9" width="24" customWidth="1"/>
  </cols>
  <sheetData>
    <row r="1" spans="1:9" ht="36" customHeight="1" x14ac:dyDescent="0.25">
      <c r="A1" s="26" t="s">
        <v>76</v>
      </c>
      <c r="B1" s="26"/>
      <c r="C1" s="26"/>
      <c r="D1" s="26"/>
      <c r="E1" s="26"/>
      <c r="F1" s="26"/>
      <c r="G1" s="26"/>
      <c r="H1" s="26"/>
      <c r="I1" s="26"/>
    </row>
    <row r="2" spans="1:9" ht="19.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ht="7.5" customHeight="1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9" ht="33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19.5" customHeight="1" x14ac:dyDescent="0.25">
      <c r="A5" s="2" t="s">
        <v>10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4" t="s">
        <v>11</v>
      </c>
    </row>
    <row r="6" spans="1:9" ht="19.5" customHeight="1" x14ac:dyDescent="0.25">
      <c r="A6" s="5" t="s">
        <v>12</v>
      </c>
      <c r="B6" s="6">
        <v>0</v>
      </c>
      <c r="C6" s="6">
        <v>1</v>
      </c>
      <c r="D6" s="6">
        <v>0</v>
      </c>
      <c r="E6" s="6">
        <v>0</v>
      </c>
      <c r="F6" s="6">
        <v>0</v>
      </c>
      <c r="G6" s="6">
        <v>2</v>
      </c>
      <c r="H6" s="6">
        <v>50</v>
      </c>
      <c r="I6" s="7"/>
    </row>
    <row r="7" spans="1:9" ht="19.5" customHeight="1" x14ac:dyDescent="0.25">
      <c r="A7" s="2" t="s">
        <v>13</v>
      </c>
      <c r="B7" s="3">
        <v>0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4" t="s">
        <v>14</v>
      </c>
    </row>
    <row r="8" spans="1:9" ht="19.5" customHeight="1" x14ac:dyDescent="0.25">
      <c r="A8" s="5" t="s">
        <v>15</v>
      </c>
      <c r="B8" s="6">
        <v>1</v>
      </c>
      <c r="C8" s="6">
        <v>0</v>
      </c>
      <c r="D8" s="6">
        <v>0</v>
      </c>
      <c r="E8" s="6">
        <v>1</v>
      </c>
      <c r="F8" s="6">
        <v>0</v>
      </c>
      <c r="G8" s="6">
        <v>1</v>
      </c>
      <c r="H8" s="6">
        <v>100</v>
      </c>
      <c r="I8" s="7" t="s">
        <v>16</v>
      </c>
    </row>
    <row r="9" spans="1:9" ht="19.5" customHeight="1" x14ac:dyDescent="0.25">
      <c r="A9" s="2" t="s">
        <v>17</v>
      </c>
      <c r="B9" s="3">
        <v>0</v>
      </c>
      <c r="C9" s="3">
        <v>0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4" t="s">
        <v>18</v>
      </c>
    </row>
    <row r="10" spans="1:9" ht="19.5" customHeight="1" x14ac:dyDescent="0.25">
      <c r="A10" s="5" t="s">
        <v>19</v>
      </c>
      <c r="B10" s="6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  <c r="I10" s="7" t="s">
        <v>20</v>
      </c>
    </row>
    <row r="11" spans="1:9" ht="19.5" customHeight="1" x14ac:dyDescent="0.25">
      <c r="A11" s="2" t="s">
        <v>21</v>
      </c>
      <c r="B11" s="3">
        <v>0</v>
      </c>
      <c r="C11" s="3">
        <v>1</v>
      </c>
      <c r="D11" s="3">
        <v>0</v>
      </c>
      <c r="E11" s="3">
        <v>0</v>
      </c>
      <c r="F11" s="3">
        <v>0</v>
      </c>
      <c r="G11" s="3">
        <v>1</v>
      </c>
      <c r="H11" s="3">
        <v>30</v>
      </c>
      <c r="I11" s="4"/>
    </row>
    <row r="12" spans="1:9" ht="19.5" customHeight="1" x14ac:dyDescent="0.25">
      <c r="A12" s="5" t="s">
        <v>22</v>
      </c>
      <c r="B12" s="6">
        <v>0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7"/>
    </row>
    <row r="13" spans="1:9" ht="19.5" customHeight="1" x14ac:dyDescent="0.25">
      <c r="A13" s="2" t="s">
        <v>23</v>
      </c>
      <c r="B13" s="3">
        <v>0</v>
      </c>
      <c r="C13" s="3">
        <v>0</v>
      </c>
      <c r="D13" s="3">
        <v>0</v>
      </c>
      <c r="E13" s="3">
        <v>0</v>
      </c>
      <c r="F13" s="3">
        <v>2</v>
      </c>
      <c r="G13" s="3">
        <v>0</v>
      </c>
      <c r="H13" s="3">
        <v>0</v>
      </c>
      <c r="I13" s="4" t="s">
        <v>24</v>
      </c>
    </row>
    <row r="14" spans="1:9" ht="19.5" customHeight="1" x14ac:dyDescent="0.25">
      <c r="A14" s="5" t="s">
        <v>25</v>
      </c>
      <c r="B14" s="6">
        <v>1</v>
      </c>
      <c r="C14" s="6">
        <v>0</v>
      </c>
      <c r="D14" s="6">
        <v>0</v>
      </c>
      <c r="E14" s="6">
        <v>1</v>
      </c>
      <c r="F14" s="6">
        <v>0</v>
      </c>
      <c r="G14" s="6">
        <v>2</v>
      </c>
      <c r="H14" s="6">
        <v>80</v>
      </c>
      <c r="I14" s="7"/>
    </row>
    <row r="15" spans="1:9" ht="21.75" customHeight="1" x14ac:dyDescent="0.25">
      <c r="A15" s="8" t="s">
        <v>26</v>
      </c>
      <c r="B15" s="8">
        <f t="shared" ref="B15:H15" si="0">SUM(B5:B14)</f>
        <v>5</v>
      </c>
      <c r="C15" s="8">
        <f t="shared" si="0"/>
        <v>2</v>
      </c>
      <c r="D15" s="8">
        <f t="shared" si="0"/>
        <v>2</v>
      </c>
      <c r="E15" s="8">
        <f t="shared" si="0"/>
        <v>2</v>
      </c>
      <c r="F15" s="8">
        <f t="shared" si="0"/>
        <v>3</v>
      </c>
      <c r="G15" s="8">
        <f t="shared" si="0"/>
        <v>9</v>
      </c>
      <c r="H15" s="8">
        <f t="shared" si="0"/>
        <v>260</v>
      </c>
      <c r="I15" s="9"/>
    </row>
    <row r="17" spans="1:9" ht="24" customHeight="1" x14ac:dyDescent="0.25">
      <c r="A17" s="29" t="s">
        <v>27</v>
      </c>
      <c r="B17" s="29"/>
      <c r="C17" s="29"/>
      <c r="D17" s="29"/>
      <c r="E17" s="29"/>
      <c r="F17" s="29"/>
      <c r="G17" s="29"/>
      <c r="H17" s="29"/>
      <c r="I17" s="29"/>
    </row>
  </sheetData>
  <mergeCells count="4">
    <mergeCell ref="A1:I1"/>
    <mergeCell ref="A2:I2"/>
    <mergeCell ref="A3:I3"/>
    <mergeCell ref="A17:I1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8A219"/>
  </sheetPr>
  <dimension ref="A1:H30"/>
  <sheetViews>
    <sheetView showGridLines="0" zoomScaleNormal="100" workbookViewId="0">
      <pane ySplit="4" topLeftCell="A5" activePane="bottomLeft" state="frozen"/>
      <selection pane="bottomLeft" activeCell="E6" sqref="E6"/>
    </sheetView>
  </sheetViews>
  <sheetFormatPr baseColWidth="10" defaultColWidth="8.7109375" defaultRowHeight="15" x14ac:dyDescent="0.25"/>
  <cols>
    <col min="1" max="1" width="14" customWidth="1"/>
    <col min="2" max="2" width="22" customWidth="1"/>
    <col min="3" max="3" width="20" customWidth="1"/>
    <col min="4" max="4" width="10" customWidth="1"/>
    <col min="5" max="6" width="18" customWidth="1"/>
    <col min="7" max="7" width="14" customWidth="1"/>
    <col min="8" max="8" width="22" customWidth="1"/>
  </cols>
  <sheetData>
    <row r="1" spans="1:8" ht="36" customHeight="1" x14ac:dyDescent="0.25">
      <c r="A1" s="26" t="s">
        <v>28</v>
      </c>
      <c r="B1" s="26"/>
      <c r="C1" s="26"/>
      <c r="D1" s="26"/>
      <c r="E1" s="26"/>
      <c r="F1" s="26"/>
      <c r="G1" s="26"/>
      <c r="H1" s="26"/>
    </row>
    <row r="2" spans="1:8" ht="19.5" customHeight="1" x14ac:dyDescent="0.25">
      <c r="A2" s="27" t="s">
        <v>29</v>
      </c>
      <c r="B2" s="27"/>
      <c r="C2" s="27"/>
      <c r="D2" s="27"/>
      <c r="E2" s="27"/>
      <c r="F2" s="27"/>
      <c r="G2" s="27"/>
      <c r="H2" s="27"/>
    </row>
    <row r="3" spans="1:8" ht="7.5" customHeight="1" x14ac:dyDescent="0.25">
      <c r="A3" s="28"/>
      <c r="B3" s="28"/>
      <c r="C3" s="28"/>
      <c r="D3" s="28"/>
      <c r="E3" s="28"/>
      <c r="F3" s="28"/>
      <c r="G3" s="28"/>
      <c r="H3" s="28"/>
    </row>
    <row r="4" spans="1:8" ht="33.75" customHeight="1" x14ac:dyDescent="0.25">
      <c r="A4" s="1" t="s">
        <v>30</v>
      </c>
      <c r="B4" s="1" t="s">
        <v>1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</row>
    <row r="5" spans="1:8" ht="19.5" customHeight="1" x14ac:dyDescent="0.25">
      <c r="A5" s="3" t="s">
        <v>37</v>
      </c>
      <c r="B5" s="2" t="s">
        <v>10</v>
      </c>
      <c r="C5" s="10" t="s">
        <v>2</v>
      </c>
      <c r="D5" s="3">
        <v>1</v>
      </c>
      <c r="E5" s="11">
        <f>IFERROR(INDEX([1]preisliste!$B$5:$B$10,MATCH(C5,[1]preisliste!$A$5:$A$10,0)),0.3)</f>
        <v>0.3</v>
      </c>
      <c r="F5" s="12">
        <f t="shared" ref="F5:F24" si="0">D5*E5</f>
        <v>0.3</v>
      </c>
      <c r="G5" s="13" t="s">
        <v>38</v>
      </c>
      <c r="H5" s="4"/>
    </row>
    <row r="6" spans="1:8" ht="19.5" customHeight="1" x14ac:dyDescent="0.25">
      <c r="A6" s="6" t="s">
        <v>37</v>
      </c>
      <c r="B6" s="5" t="s">
        <v>12</v>
      </c>
      <c r="C6" s="14" t="s">
        <v>3</v>
      </c>
      <c r="D6" s="6">
        <v>1</v>
      </c>
      <c r="E6" s="15">
        <f>IFERROR(INDEX([1]preisliste!$B$5:$B$10,MATCH(C6,[1]preisliste!$A$5:$A$10,0)),0.5)</f>
        <v>0.5</v>
      </c>
      <c r="F6" s="16">
        <f t="shared" si="0"/>
        <v>0.5</v>
      </c>
      <c r="G6" s="13" t="s">
        <v>38</v>
      </c>
      <c r="H6" s="7"/>
    </row>
    <row r="7" spans="1:8" ht="19.5" customHeight="1" x14ac:dyDescent="0.25">
      <c r="A7" s="3" t="s">
        <v>37</v>
      </c>
      <c r="B7" s="2" t="s">
        <v>13</v>
      </c>
      <c r="C7" s="10" t="s">
        <v>4</v>
      </c>
      <c r="D7" s="3">
        <v>1</v>
      </c>
      <c r="E7" s="11">
        <f>IFERROR(INDEX([1]preisliste!$B$5:$B$10,MATCH(C7,[1]preisliste!$A$5:$A$10,0)),0.2)</f>
        <v>0.2</v>
      </c>
      <c r="F7" s="12">
        <f t="shared" si="0"/>
        <v>0.2</v>
      </c>
      <c r="G7" s="17" t="s">
        <v>39</v>
      </c>
      <c r="H7" s="4"/>
    </row>
    <row r="8" spans="1:8" ht="19.5" customHeight="1" x14ac:dyDescent="0.25">
      <c r="A8" s="6" t="s">
        <v>40</v>
      </c>
      <c r="B8" s="5" t="s">
        <v>15</v>
      </c>
      <c r="C8" s="14" t="s">
        <v>5</v>
      </c>
      <c r="D8" s="6">
        <v>1</v>
      </c>
      <c r="E8" s="15">
        <f>IFERROR(INDEX([1]preisliste!$B$5:$B$10,MATCH(C8,[1]preisliste!$A$5:$A$10,0)),0.6)</f>
        <v>0.6</v>
      </c>
      <c r="F8" s="16">
        <f t="shared" si="0"/>
        <v>0.6</v>
      </c>
      <c r="G8" s="13" t="s">
        <v>38</v>
      </c>
      <c r="H8" s="7"/>
    </row>
    <row r="9" spans="1:8" ht="19.5" customHeight="1" x14ac:dyDescent="0.25">
      <c r="A9" s="3" t="s">
        <v>40</v>
      </c>
      <c r="B9" s="2" t="s">
        <v>17</v>
      </c>
      <c r="C9" s="10" t="s">
        <v>6</v>
      </c>
      <c r="D9" s="3">
        <v>2</v>
      </c>
      <c r="E9" s="11">
        <f>IFERROR(INDEX([1]preisliste!$B$5:$B$10,MATCH(C9,[1]preisliste!$A$5:$A$10,0)),0.25)</f>
        <v>0.25</v>
      </c>
      <c r="F9" s="12">
        <f t="shared" si="0"/>
        <v>0.5</v>
      </c>
      <c r="G9" s="17" t="s">
        <v>39</v>
      </c>
      <c r="H9" s="4"/>
    </row>
    <row r="10" spans="1:8" ht="19.5" customHeight="1" x14ac:dyDescent="0.25">
      <c r="A10" s="6" t="s">
        <v>41</v>
      </c>
      <c r="B10" s="5" t="s">
        <v>19</v>
      </c>
      <c r="C10" s="14" t="s">
        <v>2</v>
      </c>
      <c r="D10" s="6">
        <v>2</v>
      </c>
      <c r="E10" s="15">
        <f>IFERROR(INDEX([1]preisliste!$B$5:$B$10,MATCH(C10,[1]preisliste!$A$5:$A$10,0)),0.3)</f>
        <v>0.3</v>
      </c>
      <c r="F10" s="16">
        <f t="shared" si="0"/>
        <v>0.6</v>
      </c>
      <c r="G10" s="13" t="s">
        <v>38</v>
      </c>
      <c r="H10" s="7"/>
    </row>
    <row r="11" spans="1:8" ht="19.5" customHeight="1" x14ac:dyDescent="0.25">
      <c r="A11" s="3" t="s">
        <v>41</v>
      </c>
      <c r="B11" s="2" t="s">
        <v>21</v>
      </c>
      <c r="C11" s="10" t="s">
        <v>3</v>
      </c>
      <c r="D11" s="3">
        <v>1</v>
      </c>
      <c r="E11" s="11">
        <f>IFERROR(INDEX([1]preisliste!$B$5:$B$10,MATCH(C11,[1]preisliste!$A$5:$A$10,0)),0.5)</f>
        <v>0.5</v>
      </c>
      <c r="F11" s="12">
        <f t="shared" si="0"/>
        <v>0.5</v>
      </c>
      <c r="G11" s="17" t="s">
        <v>39</v>
      </c>
      <c r="H11" s="4"/>
    </row>
    <row r="12" spans="1:8" ht="19.5" customHeight="1" x14ac:dyDescent="0.25">
      <c r="A12" s="6" t="s">
        <v>42</v>
      </c>
      <c r="B12" s="5" t="s">
        <v>22</v>
      </c>
      <c r="C12" s="14" t="s">
        <v>4</v>
      </c>
      <c r="D12" s="6">
        <v>2</v>
      </c>
      <c r="E12" s="15">
        <f>IFERROR(INDEX([1]preisliste!$B$5:$B$10,MATCH(C12,[1]preisliste!$A$5:$A$10,0)),0.2)</f>
        <v>0.2</v>
      </c>
      <c r="F12" s="16">
        <f t="shared" si="0"/>
        <v>0.4</v>
      </c>
      <c r="G12" s="13" t="s">
        <v>38</v>
      </c>
      <c r="H12" s="7"/>
    </row>
    <row r="13" spans="1:8" ht="19.5" customHeight="1" x14ac:dyDescent="0.25">
      <c r="A13" s="3" t="s">
        <v>42</v>
      </c>
      <c r="B13" s="2" t="s">
        <v>23</v>
      </c>
      <c r="C13" s="10" t="s">
        <v>6</v>
      </c>
      <c r="D13" s="3">
        <v>1</v>
      </c>
      <c r="E13" s="11">
        <f>IFERROR(INDEX([1]preisliste!$B$5:$B$10,MATCH(C13,[1]preisliste!$A$5:$A$10,0)),0.25)</f>
        <v>0.25</v>
      </c>
      <c r="F13" s="12">
        <f t="shared" si="0"/>
        <v>0.25</v>
      </c>
      <c r="G13" s="13" t="s">
        <v>38</v>
      </c>
      <c r="H13" s="4"/>
    </row>
    <row r="14" spans="1:8" ht="19.5" customHeight="1" x14ac:dyDescent="0.25">
      <c r="A14" s="6" t="s">
        <v>43</v>
      </c>
      <c r="B14" s="5" t="s">
        <v>25</v>
      </c>
      <c r="C14" s="14" t="s">
        <v>5</v>
      </c>
      <c r="D14" s="6">
        <v>1</v>
      </c>
      <c r="E14" s="15">
        <f>IFERROR(INDEX([1]preisliste!$B$5:$B$10,MATCH(C14,[1]preisliste!$A$5:$A$10,0)),0.6)</f>
        <v>0.6</v>
      </c>
      <c r="F14" s="16">
        <f t="shared" si="0"/>
        <v>0.6</v>
      </c>
      <c r="G14" s="17" t="s">
        <v>39</v>
      </c>
      <c r="H14" s="7"/>
    </row>
    <row r="15" spans="1:8" ht="19.5" customHeight="1" x14ac:dyDescent="0.25">
      <c r="A15" s="3" t="s">
        <v>44</v>
      </c>
      <c r="B15" s="2" t="s">
        <v>10</v>
      </c>
      <c r="C15" s="10" t="s">
        <v>2</v>
      </c>
      <c r="D15" s="3">
        <v>1</v>
      </c>
      <c r="E15" s="11">
        <f>IFERROR(INDEX([1]preisliste!$B$5:$B$10,MATCH(C15,[1]preisliste!$A$5:$A$10,0)),0.3)</f>
        <v>0.3</v>
      </c>
      <c r="F15" s="12">
        <f t="shared" si="0"/>
        <v>0.3</v>
      </c>
      <c r="G15" s="13" t="s">
        <v>38</v>
      </c>
      <c r="H15" s="4"/>
    </row>
    <row r="16" spans="1:8" ht="19.5" customHeight="1" x14ac:dyDescent="0.25">
      <c r="A16" s="6" t="s">
        <v>44</v>
      </c>
      <c r="B16" s="5" t="s">
        <v>12</v>
      </c>
      <c r="C16" s="14" t="s">
        <v>6</v>
      </c>
      <c r="D16" s="6">
        <v>1</v>
      </c>
      <c r="E16" s="15">
        <f>IFERROR(INDEX([1]preisliste!$B$5:$B$10,MATCH(C16,[1]preisliste!$A$5:$A$10,0)),0.25)</f>
        <v>0.25</v>
      </c>
      <c r="F16" s="16">
        <f t="shared" si="0"/>
        <v>0.25</v>
      </c>
      <c r="G16" s="13" t="s">
        <v>38</v>
      </c>
      <c r="H16" s="7"/>
    </row>
    <row r="17" spans="1:8" ht="19.5" customHeight="1" x14ac:dyDescent="0.25">
      <c r="A17" s="3" t="s">
        <v>45</v>
      </c>
      <c r="B17" s="2" t="s">
        <v>13</v>
      </c>
      <c r="C17" s="10" t="s">
        <v>4</v>
      </c>
      <c r="D17" s="3">
        <v>1</v>
      </c>
      <c r="E17" s="11">
        <f>IFERROR(INDEX([1]preisliste!$B$5:$B$10,MATCH(C17,[1]preisliste!$A$5:$A$10,0)),0.2)</f>
        <v>0.2</v>
      </c>
      <c r="F17" s="12">
        <f t="shared" si="0"/>
        <v>0.2</v>
      </c>
      <c r="G17" s="17" t="s">
        <v>39</v>
      </c>
      <c r="H17" s="4"/>
    </row>
    <row r="18" spans="1:8" ht="19.5" customHeight="1" x14ac:dyDescent="0.25">
      <c r="A18" s="6" t="s">
        <v>46</v>
      </c>
      <c r="B18" s="5" t="s">
        <v>19</v>
      </c>
      <c r="C18" s="14" t="s">
        <v>2</v>
      </c>
      <c r="D18" s="6">
        <v>1</v>
      </c>
      <c r="E18" s="15">
        <f>IFERROR(INDEX([1]preisliste!$B$5:$B$10,MATCH(C18,[1]preisliste!$A$5:$A$10,0)),0.3)</f>
        <v>0.3</v>
      </c>
      <c r="F18" s="16">
        <f t="shared" si="0"/>
        <v>0.3</v>
      </c>
      <c r="G18" s="13" t="s">
        <v>38</v>
      </c>
      <c r="H18" s="7"/>
    </row>
    <row r="19" spans="1:8" ht="19.5" customHeight="1" x14ac:dyDescent="0.25">
      <c r="A19" s="3" t="s">
        <v>47</v>
      </c>
      <c r="B19" s="2" t="s">
        <v>21</v>
      </c>
      <c r="C19" s="10" t="s">
        <v>3</v>
      </c>
      <c r="D19" s="3">
        <v>2</v>
      </c>
      <c r="E19" s="11">
        <f>IFERROR(INDEX([1]preisliste!$B$5:$B$10,MATCH(C19,[1]preisliste!$A$5:$A$10,0)),0.5)</f>
        <v>0.5</v>
      </c>
      <c r="F19" s="12">
        <f t="shared" si="0"/>
        <v>1</v>
      </c>
      <c r="G19" s="13" t="s">
        <v>38</v>
      </c>
      <c r="H19" s="4"/>
    </row>
    <row r="20" spans="1:8" ht="19.5" customHeight="1" x14ac:dyDescent="0.25">
      <c r="A20" s="6" t="s">
        <v>48</v>
      </c>
      <c r="B20" s="5" t="s">
        <v>15</v>
      </c>
      <c r="C20" s="14" t="s">
        <v>5</v>
      </c>
      <c r="D20" s="6">
        <v>2</v>
      </c>
      <c r="E20" s="15">
        <f>IFERROR(INDEX([1]preisliste!$B$5:$B$10,MATCH(C20,[1]preisliste!$A$5:$A$10,0)),0.6)</f>
        <v>0.6</v>
      </c>
      <c r="F20" s="16">
        <f t="shared" si="0"/>
        <v>1.2</v>
      </c>
      <c r="G20" s="17" t="s">
        <v>39</v>
      </c>
      <c r="H20" s="7"/>
    </row>
    <row r="21" spans="1:8" ht="19.5" customHeight="1" x14ac:dyDescent="0.25">
      <c r="A21" s="3" t="s">
        <v>49</v>
      </c>
      <c r="B21" s="2" t="s">
        <v>17</v>
      </c>
      <c r="C21" s="10" t="s">
        <v>6</v>
      </c>
      <c r="D21" s="3">
        <v>1</v>
      </c>
      <c r="E21" s="11">
        <f>IFERROR(INDEX([1]preisliste!$B$5:$B$10,MATCH(C21,[1]preisliste!$A$5:$A$10,0)),0.25)</f>
        <v>0.25</v>
      </c>
      <c r="F21" s="12">
        <f t="shared" si="0"/>
        <v>0.25</v>
      </c>
      <c r="G21" s="13" t="s">
        <v>38</v>
      </c>
      <c r="H21" s="4"/>
    </row>
    <row r="22" spans="1:8" ht="19.5" customHeight="1" x14ac:dyDescent="0.25">
      <c r="A22" s="6" t="s">
        <v>49</v>
      </c>
      <c r="B22" s="5" t="s">
        <v>22</v>
      </c>
      <c r="C22" s="14" t="s">
        <v>4</v>
      </c>
      <c r="D22" s="6">
        <v>1</v>
      </c>
      <c r="E22" s="15">
        <f>IFERROR(INDEX([1]preisliste!$B$5:$B$10,MATCH(C22,[1]preisliste!$A$5:$A$10,0)),0.2)</f>
        <v>0.2</v>
      </c>
      <c r="F22" s="16">
        <f t="shared" si="0"/>
        <v>0.2</v>
      </c>
      <c r="G22" s="17" t="s">
        <v>39</v>
      </c>
      <c r="H22" s="7"/>
    </row>
    <row r="23" spans="1:8" ht="19.5" customHeight="1" x14ac:dyDescent="0.25">
      <c r="A23" s="3" t="s">
        <v>50</v>
      </c>
      <c r="B23" s="2" t="s">
        <v>23</v>
      </c>
      <c r="C23" s="10" t="s">
        <v>3</v>
      </c>
      <c r="D23" s="3">
        <v>1</v>
      </c>
      <c r="E23" s="11">
        <f>IFERROR(INDEX([1]preisliste!$B$5:$B$10,MATCH(C23,[1]preisliste!$A$5:$A$10,0)),0.5)</f>
        <v>0.5</v>
      </c>
      <c r="F23" s="12">
        <f t="shared" si="0"/>
        <v>0.5</v>
      </c>
      <c r="G23" s="13" t="s">
        <v>38</v>
      </c>
      <c r="H23" s="4"/>
    </row>
    <row r="24" spans="1:8" ht="19.5" customHeight="1" x14ac:dyDescent="0.25">
      <c r="A24" s="6" t="s">
        <v>51</v>
      </c>
      <c r="B24" s="5" t="s">
        <v>25</v>
      </c>
      <c r="C24" s="14" t="s">
        <v>2</v>
      </c>
      <c r="D24" s="6">
        <v>2</v>
      </c>
      <c r="E24" s="15">
        <f>IFERROR(INDEX([1]preisliste!$B$5:$B$10,MATCH(C24,[1]preisliste!$A$5:$A$10,0)),0.3)</f>
        <v>0.3</v>
      </c>
      <c r="F24" s="16">
        <f t="shared" si="0"/>
        <v>0.6</v>
      </c>
      <c r="G24" s="13" t="s">
        <v>38</v>
      </c>
      <c r="H24" s="7"/>
    </row>
    <row r="25" spans="1:8" ht="7.5" customHeight="1" x14ac:dyDescent="0.25"/>
    <row r="26" spans="1:8" ht="25.5" customHeight="1" x14ac:dyDescent="0.25">
      <c r="A26" s="34" t="s">
        <v>52</v>
      </c>
      <c r="B26" s="34"/>
      <c r="C26" s="34"/>
      <c r="D26" s="34"/>
      <c r="E26" s="34"/>
      <c r="F26" s="18">
        <f>SUM(F5:F24)</f>
        <v>9.25</v>
      </c>
      <c r="G26" s="35"/>
      <c r="H26" s="35"/>
    </row>
    <row r="27" spans="1:8" ht="19.5" customHeight="1" x14ac:dyDescent="0.25">
      <c r="A27" s="30" t="s">
        <v>53</v>
      </c>
      <c r="B27" s="30"/>
      <c r="C27" s="30"/>
      <c r="D27" s="30"/>
      <c r="E27" s="30"/>
      <c r="F27" s="19">
        <f>SUMIF(G5:G24,"Offen",F5:F24)</f>
        <v>3.4</v>
      </c>
      <c r="G27" s="31"/>
      <c r="H27" s="31"/>
    </row>
    <row r="28" spans="1:8" ht="19.5" customHeight="1" x14ac:dyDescent="0.25">
      <c r="A28" s="32" t="s">
        <v>54</v>
      </c>
      <c r="B28" s="32"/>
      <c r="C28" s="32"/>
      <c r="D28" s="32"/>
      <c r="E28" s="32"/>
      <c r="F28" s="20">
        <f>SUMIF(G5:G24,"Bezahlt",F5:F24)</f>
        <v>5.85</v>
      </c>
      <c r="G28" s="33"/>
      <c r="H28" s="33"/>
    </row>
    <row r="30" spans="1:8" ht="24" customHeight="1" x14ac:dyDescent="0.25">
      <c r="A30" s="29" t="s">
        <v>55</v>
      </c>
      <c r="B30" s="29"/>
      <c r="C30" s="29"/>
      <c r="D30" s="29"/>
      <c r="E30" s="29"/>
      <c r="F30" s="29"/>
      <c r="G30" s="29"/>
      <c r="H30" s="29"/>
    </row>
  </sheetData>
  <mergeCells count="10">
    <mergeCell ref="A1:H1"/>
    <mergeCell ref="A2:H2"/>
    <mergeCell ref="A3:H3"/>
    <mergeCell ref="A26:E26"/>
    <mergeCell ref="G26:H26"/>
    <mergeCell ref="A27:E27"/>
    <mergeCell ref="G27:H27"/>
    <mergeCell ref="A28:E28"/>
    <mergeCell ref="G28:H28"/>
    <mergeCell ref="A30:H30"/>
  </mergeCells>
  <dataValidations count="1">
    <dataValidation type="list" showErrorMessage="1" errorTitle="Ungültiger Status" error="Bitte 'Bezahlt' oder 'Offen' auswählen." sqref="G5:G200" xr:uid="{00000000-0002-0000-0100-000000000000}">
      <formula1>"Bezahlt,Offen"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8B57"/>
  </sheetPr>
  <dimension ref="A1:D12"/>
  <sheetViews>
    <sheetView showGridLines="0" zoomScaleNormal="100" workbookViewId="0"/>
  </sheetViews>
  <sheetFormatPr baseColWidth="10" defaultColWidth="8.7109375" defaultRowHeight="15" x14ac:dyDescent="0.25"/>
  <cols>
    <col min="1" max="2" width="22" customWidth="1"/>
    <col min="3" max="3" width="16" customWidth="1"/>
    <col min="4" max="4" width="30" customWidth="1"/>
  </cols>
  <sheetData>
    <row r="1" spans="1:4" ht="36" customHeight="1" x14ac:dyDescent="0.25">
      <c r="A1" s="26" t="s">
        <v>56</v>
      </c>
      <c r="B1" s="26"/>
      <c r="C1" s="26"/>
      <c r="D1" s="26"/>
    </row>
    <row r="2" spans="1:4" ht="19.5" customHeight="1" x14ac:dyDescent="0.25">
      <c r="A2" s="27" t="s">
        <v>57</v>
      </c>
      <c r="B2" s="27"/>
      <c r="C2" s="27"/>
      <c r="D2" s="27"/>
    </row>
    <row r="3" spans="1:4" ht="7.5" customHeight="1" x14ac:dyDescent="0.25">
      <c r="A3" s="28"/>
      <c r="B3" s="28"/>
      <c r="C3" s="28"/>
      <c r="D3" s="28"/>
    </row>
    <row r="4" spans="1:4" ht="30" customHeight="1" x14ac:dyDescent="0.25">
      <c r="A4" s="21" t="s">
        <v>58</v>
      </c>
      <c r="B4" s="21" t="s">
        <v>59</v>
      </c>
      <c r="C4" s="21" t="s">
        <v>60</v>
      </c>
      <c r="D4" s="21" t="s">
        <v>61</v>
      </c>
    </row>
    <row r="5" spans="1:4" ht="19.5" customHeight="1" x14ac:dyDescent="0.25">
      <c r="A5" s="2" t="s">
        <v>2</v>
      </c>
      <c r="B5" s="22">
        <v>0.3</v>
      </c>
      <c r="C5" s="3" t="s">
        <v>62</v>
      </c>
      <c r="D5" s="4" t="s">
        <v>63</v>
      </c>
    </row>
    <row r="6" spans="1:4" ht="19.5" customHeight="1" x14ac:dyDescent="0.25">
      <c r="A6" s="5" t="s">
        <v>3</v>
      </c>
      <c r="B6" s="22">
        <v>0.5</v>
      </c>
      <c r="C6" s="6" t="s">
        <v>62</v>
      </c>
      <c r="D6" s="7" t="s">
        <v>64</v>
      </c>
    </row>
    <row r="7" spans="1:4" ht="19.5" customHeight="1" x14ac:dyDescent="0.25">
      <c r="A7" s="2" t="s">
        <v>4</v>
      </c>
      <c r="B7" s="22">
        <v>0.2</v>
      </c>
      <c r="C7" s="3" t="s">
        <v>62</v>
      </c>
      <c r="D7" s="4" t="s">
        <v>65</v>
      </c>
    </row>
    <row r="8" spans="1:4" ht="19.5" customHeight="1" x14ac:dyDescent="0.25">
      <c r="A8" s="5" t="s">
        <v>5</v>
      </c>
      <c r="B8" s="22">
        <v>0.6</v>
      </c>
      <c r="C8" s="6" t="s">
        <v>66</v>
      </c>
      <c r="D8" s="7" t="s">
        <v>67</v>
      </c>
    </row>
    <row r="9" spans="1:4" ht="19.5" customHeight="1" x14ac:dyDescent="0.25">
      <c r="A9" s="2" t="s">
        <v>6</v>
      </c>
      <c r="B9" s="22">
        <v>0.25</v>
      </c>
      <c r="C9" s="3" t="s">
        <v>62</v>
      </c>
      <c r="D9" s="4" t="s">
        <v>68</v>
      </c>
    </row>
    <row r="10" spans="1:4" ht="19.5" customHeight="1" x14ac:dyDescent="0.25">
      <c r="A10" s="5" t="s">
        <v>69</v>
      </c>
      <c r="B10" s="22">
        <v>0.35</v>
      </c>
      <c r="C10" s="6" t="s">
        <v>70</v>
      </c>
      <c r="D10" s="7" t="s">
        <v>71</v>
      </c>
    </row>
    <row r="12" spans="1:4" ht="27.75" customHeight="1" x14ac:dyDescent="0.25">
      <c r="A12" s="29" t="s">
        <v>72</v>
      </c>
      <c r="B12" s="29"/>
      <c r="C12" s="29"/>
      <c r="D12" s="29"/>
    </row>
  </sheetData>
  <mergeCells count="4">
    <mergeCell ref="A1:D1"/>
    <mergeCell ref="A2:D2"/>
    <mergeCell ref="A3:D3"/>
    <mergeCell ref="A12:D1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E44AD"/>
  </sheetPr>
  <dimension ref="A1:G15"/>
  <sheetViews>
    <sheetView showGridLines="0" zoomScaleNormal="100" workbookViewId="0"/>
  </sheetViews>
  <sheetFormatPr baseColWidth="10" defaultColWidth="8.7109375" defaultRowHeight="15" x14ac:dyDescent="0.25"/>
  <cols>
    <col min="1" max="1" width="22" customWidth="1"/>
    <col min="2" max="3" width="13" customWidth="1"/>
    <col min="4" max="4" width="14" customWidth="1"/>
    <col min="5" max="5" width="12" customWidth="1"/>
    <col min="6" max="6" width="10" customWidth="1"/>
    <col min="7" max="7" width="18" customWidth="1"/>
  </cols>
  <sheetData>
    <row r="1" spans="1:7" ht="36" customHeight="1" x14ac:dyDescent="0.25">
      <c r="A1" s="26" t="s">
        <v>73</v>
      </c>
      <c r="B1" s="26"/>
      <c r="C1" s="26"/>
      <c r="D1" s="26"/>
      <c r="E1" s="26"/>
      <c r="F1" s="26"/>
      <c r="G1" s="26"/>
    </row>
    <row r="2" spans="1:7" ht="19.5" customHeight="1" x14ac:dyDescent="0.25">
      <c r="A2" s="27" t="s">
        <v>74</v>
      </c>
      <c r="B2" s="27"/>
      <c r="C2" s="27"/>
      <c r="D2" s="27"/>
      <c r="E2" s="27"/>
      <c r="F2" s="27"/>
      <c r="G2" s="27"/>
    </row>
    <row r="3" spans="1:7" ht="7.5" customHeight="1" x14ac:dyDescent="0.25">
      <c r="A3" s="28"/>
      <c r="B3" s="28"/>
      <c r="C3" s="28"/>
      <c r="D3" s="28"/>
      <c r="E3" s="28"/>
      <c r="F3" s="28"/>
      <c r="G3" s="28"/>
    </row>
    <row r="4" spans="1:7" ht="30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75</v>
      </c>
      <c r="F4" s="1" t="s">
        <v>6</v>
      </c>
      <c r="G4" s="1" t="s">
        <v>34</v>
      </c>
    </row>
    <row r="5" spans="1:7" ht="19.5" customHeight="1" x14ac:dyDescent="0.25">
      <c r="A5" s="2" t="s">
        <v>10</v>
      </c>
      <c r="B5" s="3">
        <f>SUMPRODUCT(('💰 Abrechnung'!B$5:B$24="M. Hoffmann")*('💰 Abrechnung'!C$5:C$24="Espresso")*'💰 Abrechnung'!D$5:D$24)</f>
        <v>2</v>
      </c>
      <c r="C5" s="3">
        <f>SUMPRODUCT(('💰 Abrechnung'!B$5:B$24="M. Hoffmann")*('💰 Abrechnung'!C$5:C$24="Cappuccino")*'💰 Abrechnung'!D$5:D$24)</f>
        <v>0</v>
      </c>
      <c r="D5" s="3">
        <f>SUMPRODUCT(('💰 Abrechnung'!B$5:B$24="M. Hoffmann")*('💰 Abrechnung'!C$5:C$24="Filterkaffee")*'💰 Abrechnung'!D$5:D$24)</f>
        <v>0</v>
      </c>
      <c r="E5" s="3">
        <f>SUMPRODUCT(('💰 Abrechnung'!B$5:B$24="M. Hoffmann")*('💰 Abrechnung'!C$5:C$24="Latte Macchiato")*'💰 Abrechnung'!D$5:D$24)</f>
        <v>0</v>
      </c>
      <c r="F5" s="3">
        <f>SUMPRODUCT(('💰 Abrechnung'!B$5:B$24="M. Hoffmann")*('💰 Abrechnung'!C$5:C$24="Tee")*'💰 Abrechnung'!D$5:D$24)</f>
        <v>0</v>
      </c>
      <c r="G5" s="23">
        <f>SUMIF('💰 Abrechnung'!B$5:B$24,A5,'💰 Abrechnung'!F$5:F$24)</f>
        <v>0.6</v>
      </c>
    </row>
    <row r="6" spans="1:7" ht="19.5" customHeight="1" x14ac:dyDescent="0.25">
      <c r="A6" s="5" t="s">
        <v>12</v>
      </c>
      <c r="B6" s="6">
        <f>SUMPRODUCT(('💰 Abrechnung'!B$5:B$24="S. Bergmann")*('💰 Abrechnung'!C$5:C$24="Espresso")*'💰 Abrechnung'!D$5:D$24)</f>
        <v>0</v>
      </c>
      <c r="C6" s="6">
        <f>SUMPRODUCT(('💰 Abrechnung'!B$5:B$24="S. Bergmann")*('💰 Abrechnung'!C$5:C$24="Cappuccino")*'💰 Abrechnung'!D$5:D$24)</f>
        <v>1</v>
      </c>
      <c r="D6" s="6">
        <f>SUMPRODUCT(('💰 Abrechnung'!B$5:B$24="S. Bergmann")*('💰 Abrechnung'!C$5:C$24="Filterkaffee")*'💰 Abrechnung'!D$5:D$24)</f>
        <v>0</v>
      </c>
      <c r="E6" s="6">
        <f>SUMPRODUCT(('💰 Abrechnung'!B$5:B$24="S. Bergmann")*('💰 Abrechnung'!C$5:C$24="Latte Macchiato")*'💰 Abrechnung'!D$5:D$24)</f>
        <v>0</v>
      </c>
      <c r="F6" s="6">
        <f>SUMPRODUCT(('💰 Abrechnung'!B$5:B$24="S. Bergmann")*('💰 Abrechnung'!C$5:C$24="Tee")*'💰 Abrechnung'!D$5:D$24)</f>
        <v>1</v>
      </c>
      <c r="G6" s="24">
        <f>SUMIF('💰 Abrechnung'!B$5:B$24,A6,'💰 Abrechnung'!F$5:F$24)</f>
        <v>0.75</v>
      </c>
    </row>
    <row r="7" spans="1:7" ht="19.5" customHeight="1" x14ac:dyDescent="0.25">
      <c r="A7" s="2" t="s">
        <v>13</v>
      </c>
      <c r="B7" s="3">
        <f>SUMPRODUCT(('💰 Abrechnung'!B$5:B$24="T. Schreiber")*('💰 Abrechnung'!C$5:C$24="Espresso")*'💰 Abrechnung'!D$5:D$24)</f>
        <v>0</v>
      </c>
      <c r="C7" s="3">
        <f>SUMPRODUCT(('💰 Abrechnung'!B$5:B$24="T. Schreiber")*('💰 Abrechnung'!C$5:C$24="Cappuccino")*'💰 Abrechnung'!D$5:D$24)</f>
        <v>0</v>
      </c>
      <c r="D7" s="3">
        <f>SUMPRODUCT(('💰 Abrechnung'!B$5:B$24="T. Schreiber")*('💰 Abrechnung'!C$5:C$24="Filterkaffee")*'💰 Abrechnung'!D$5:D$24)</f>
        <v>2</v>
      </c>
      <c r="E7" s="3">
        <f>SUMPRODUCT(('💰 Abrechnung'!B$5:B$24="T. Schreiber")*('💰 Abrechnung'!C$5:C$24="Latte Macchiato")*'💰 Abrechnung'!D$5:D$24)</f>
        <v>0</v>
      </c>
      <c r="F7" s="3">
        <f>SUMPRODUCT(('💰 Abrechnung'!B$5:B$24="T. Schreiber")*('💰 Abrechnung'!C$5:C$24="Tee")*'💰 Abrechnung'!D$5:D$24)</f>
        <v>0</v>
      </c>
      <c r="G7" s="23">
        <f>SUMIF('💰 Abrechnung'!B$5:B$24,A7,'💰 Abrechnung'!F$5:F$24)</f>
        <v>0.4</v>
      </c>
    </row>
    <row r="8" spans="1:7" ht="19.5" customHeight="1" x14ac:dyDescent="0.25">
      <c r="A8" s="5" t="s">
        <v>15</v>
      </c>
      <c r="B8" s="6">
        <f>SUMPRODUCT(('💰 Abrechnung'!B$5:B$24="A. Winkler")*('💰 Abrechnung'!C$5:C$24="Espresso")*'💰 Abrechnung'!D$5:D$24)</f>
        <v>0</v>
      </c>
      <c r="C8" s="6">
        <f>SUMPRODUCT(('💰 Abrechnung'!B$5:B$24="A. Winkler")*('💰 Abrechnung'!C$5:C$24="Cappuccino")*'💰 Abrechnung'!D$5:D$24)</f>
        <v>0</v>
      </c>
      <c r="D8" s="6">
        <f>SUMPRODUCT(('💰 Abrechnung'!B$5:B$24="A. Winkler")*('💰 Abrechnung'!C$5:C$24="Filterkaffee")*'💰 Abrechnung'!D$5:D$24)</f>
        <v>0</v>
      </c>
      <c r="E8" s="6">
        <f>SUMPRODUCT(('💰 Abrechnung'!B$5:B$24="A. Winkler")*('💰 Abrechnung'!C$5:C$24="Latte Macchiato")*'💰 Abrechnung'!D$5:D$24)</f>
        <v>3</v>
      </c>
      <c r="F8" s="6">
        <f>SUMPRODUCT(('💰 Abrechnung'!B$5:B$24="A. Winkler")*('💰 Abrechnung'!C$5:C$24="Tee")*'💰 Abrechnung'!D$5:D$24)</f>
        <v>0</v>
      </c>
      <c r="G8" s="24">
        <f>SUMIF('💰 Abrechnung'!B$5:B$24,A8,'💰 Abrechnung'!F$5:F$24)</f>
        <v>1.7999999999999998</v>
      </c>
    </row>
    <row r="9" spans="1:7" ht="19.5" customHeight="1" x14ac:dyDescent="0.25">
      <c r="A9" s="2" t="s">
        <v>17</v>
      </c>
      <c r="B9" s="3">
        <f>SUMPRODUCT(('💰 Abrechnung'!B$5:B$24="K. Fröhlich")*('💰 Abrechnung'!C$5:C$24="Espresso")*'💰 Abrechnung'!D$5:D$24)</f>
        <v>0</v>
      </c>
      <c r="C9" s="3">
        <f>SUMPRODUCT(('💰 Abrechnung'!B$5:B$24="K. Fröhlich")*('💰 Abrechnung'!C$5:C$24="Cappuccino")*'💰 Abrechnung'!D$5:D$24)</f>
        <v>0</v>
      </c>
      <c r="D9" s="3">
        <f>SUMPRODUCT(('💰 Abrechnung'!B$5:B$24="K. Fröhlich")*('💰 Abrechnung'!C$5:C$24="Filterkaffee")*'💰 Abrechnung'!D$5:D$24)</f>
        <v>0</v>
      </c>
      <c r="E9" s="3">
        <f>SUMPRODUCT(('💰 Abrechnung'!B$5:B$24="K. Fröhlich")*('💰 Abrechnung'!C$5:C$24="Latte Macchiato")*'💰 Abrechnung'!D$5:D$24)</f>
        <v>0</v>
      </c>
      <c r="F9" s="3">
        <f>SUMPRODUCT(('💰 Abrechnung'!B$5:B$24="K. Fröhlich")*('💰 Abrechnung'!C$5:C$24="Tee")*'💰 Abrechnung'!D$5:D$24)</f>
        <v>3</v>
      </c>
      <c r="G9" s="23">
        <f>SUMIF('💰 Abrechnung'!B$5:B$24,A9,'💰 Abrechnung'!F$5:F$24)</f>
        <v>0.75</v>
      </c>
    </row>
    <row r="10" spans="1:7" ht="19.5" customHeight="1" x14ac:dyDescent="0.25">
      <c r="A10" s="5" t="s">
        <v>19</v>
      </c>
      <c r="B10" s="6">
        <f>SUMPRODUCT(('💰 Abrechnung'!B$5:B$24="J. Ostermann")*('💰 Abrechnung'!C$5:C$24="Espresso")*'💰 Abrechnung'!D$5:D$24)</f>
        <v>3</v>
      </c>
      <c r="C10" s="6">
        <f>SUMPRODUCT(('💰 Abrechnung'!B$5:B$24="J. Ostermann")*('💰 Abrechnung'!C$5:C$24="Cappuccino")*'💰 Abrechnung'!D$5:D$24)</f>
        <v>0</v>
      </c>
      <c r="D10" s="6">
        <f>SUMPRODUCT(('💰 Abrechnung'!B$5:B$24="J. Ostermann")*('💰 Abrechnung'!C$5:C$24="Filterkaffee")*'💰 Abrechnung'!D$5:D$24)</f>
        <v>0</v>
      </c>
      <c r="E10" s="6">
        <f>SUMPRODUCT(('💰 Abrechnung'!B$5:B$24="J. Ostermann")*('💰 Abrechnung'!C$5:C$24="Latte Macchiato")*'💰 Abrechnung'!D$5:D$24)</f>
        <v>0</v>
      </c>
      <c r="F10" s="6">
        <f>SUMPRODUCT(('💰 Abrechnung'!B$5:B$24="J. Ostermann")*('💰 Abrechnung'!C$5:C$24="Tee")*'💰 Abrechnung'!D$5:D$24)</f>
        <v>0</v>
      </c>
      <c r="G10" s="24">
        <f>SUMIF('💰 Abrechnung'!B$5:B$24,A10,'💰 Abrechnung'!F$5:F$24)</f>
        <v>0.89999999999999991</v>
      </c>
    </row>
    <row r="11" spans="1:7" ht="19.5" customHeight="1" x14ac:dyDescent="0.25">
      <c r="A11" s="2" t="s">
        <v>21</v>
      </c>
      <c r="B11" s="3">
        <f>SUMPRODUCT(('💰 Abrechnung'!B$5:B$24="L. Grunewald")*('💰 Abrechnung'!C$5:C$24="Espresso")*'💰 Abrechnung'!D$5:D$24)</f>
        <v>0</v>
      </c>
      <c r="C11" s="3">
        <f>SUMPRODUCT(('💰 Abrechnung'!B$5:B$24="L. Grunewald")*('💰 Abrechnung'!C$5:C$24="Cappuccino")*'💰 Abrechnung'!D$5:D$24)</f>
        <v>3</v>
      </c>
      <c r="D11" s="3">
        <f>SUMPRODUCT(('💰 Abrechnung'!B$5:B$24="L. Grunewald")*('💰 Abrechnung'!C$5:C$24="Filterkaffee")*'💰 Abrechnung'!D$5:D$24)</f>
        <v>0</v>
      </c>
      <c r="E11" s="3">
        <f>SUMPRODUCT(('💰 Abrechnung'!B$5:B$24="L. Grunewald")*('💰 Abrechnung'!C$5:C$24="Latte Macchiato")*'💰 Abrechnung'!D$5:D$24)</f>
        <v>0</v>
      </c>
      <c r="F11" s="3">
        <f>SUMPRODUCT(('💰 Abrechnung'!B$5:B$24="L. Grunewald")*('💰 Abrechnung'!C$5:C$24="Tee")*'💰 Abrechnung'!D$5:D$24)</f>
        <v>0</v>
      </c>
      <c r="G11" s="23">
        <f>SUMIF('💰 Abrechnung'!B$5:B$24,A11,'💰 Abrechnung'!F$5:F$24)</f>
        <v>1.5</v>
      </c>
    </row>
    <row r="12" spans="1:7" ht="19.5" customHeight="1" x14ac:dyDescent="0.25">
      <c r="A12" s="5" t="s">
        <v>22</v>
      </c>
      <c r="B12" s="6">
        <f>SUMPRODUCT(('💰 Abrechnung'!B$5:B$24="R. Steinbach")*('💰 Abrechnung'!C$5:C$24="Espresso")*'💰 Abrechnung'!D$5:D$24)</f>
        <v>0</v>
      </c>
      <c r="C12" s="6">
        <f>SUMPRODUCT(('💰 Abrechnung'!B$5:B$24="R. Steinbach")*('💰 Abrechnung'!C$5:C$24="Cappuccino")*'💰 Abrechnung'!D$5:D$24)</f>
        <v>0</v>
      </c>
      <c r="D12" s="6">
        <f>SUMPRODUCT(('💰 Abrechnung'!B$5:B$24="R. Steinbach")*('💰 Abrechnung'!C$5:C$24="Filterkaffee")*'💰 Abrechnung'!D$5:D$24)</f>
        <v>3</v>
      </c>
      <c r="E12" s="6">
        <f>SUMPRODUCT(('💰 Abrechnung'!B$5:B$24="R. Steinbach")*('💰 Abrechnung'!C$5:C$24="Latte Macchiato")*'💰 Abrechnung'!D$5:D$24)</f>
        <v>0</v>
      </c>
      <c r="F12" s="6">
        <f>SUMPRODUCT(('💰 Abrechnung'!B$5:B$24="R. Steinbach")*('💰 Abrechnung'!C$5:C$24="Tee")*'💰 Abrechnung'!D$5:D$24)</f>
        <v>0</v>
      </c>
      <c r="G12" s="24">
        <f>SUMIF('💰 Abrechnung'!B$5:B$24,A12,'💰 Abrechnung'!F$5:F$24)</f>
        <v>0.60000000000000009</v>
      </c>
    </row>
    <row r="13" spans="1:7" ht="19.5" customHeight="1" x14ac:dyDescent="0.25">
      <c r="A13" s="2" t="s">
        <v>23</v>
      </c>
      <c r="B13" s="3">
        <f>SUMPRODUCT(('💰 Abrechnung'!B$5:B$24="N. Blumenthal")*('💰 Abrechnung'!C$5:C$24="Espresso")*'💰 Abrechnung'!D$5:D$24)</f>
        <v>0</v>
      </c>
      <c r="C13" s="3">
        <f>SUMPRODUCT(('💰 Abrechnung'!B$5:B$24="N. Blumenthal")*('💰 Abrechnung'!C$5:C$24="Cappuccino")*'💰 Abrechnung'!D$5:D$24)</f>
        <v>1</v>
      </c>
      <c r="D13" s="3">
        <f>SUMPRODUCT(('💰 Abrechnung'!B$5:B$24="N. Blumenthal")*('💰 Abrechnung'!C$5:C$24="Filterkaffee")*'💰 Abrechnung'!D$5:D$24)</f>
        <v>0</v>
      </c>
      <c r="E13" s="3">
        <f>SUMPRODUCT(('💰 Abrechnung'!B$5:B$24="N. Blumenthal")*('💰 Abrechnung'!C$5:C$24="Latte Macchiato")*'💰 Abrechnung'!D$5:D$24)</f>
        <v>0</v>
      </c>
      <c r="F13" s="3">
        <f>SUMPRODUCT(('💰 Abrechnung'!B$5:B$24="N. Blumenthal")*('💰 Abrechnung'!C$5:C$24="Tee")*'💰 Abrechnung'!D$5:D$24)</f>
        <v>1</v>
      </c>
      <c r="G13" s="23">
        <f>SUMIF('💰 Abrechnung'!B$5:B$24,A13,'💰 Abrechnung'!F$5:F$24)</f>
        <v>0.75</v>
      </c>
    </row>
    <row r="14" spans="1:7" ht="19.5" customHeight="1" x14ac:dyDescent="0.25">
      <c r="A14" s="5" t="s">
        <v>25</v>
      </c>
      <c r="B14" s="6">
        <f>SUMPRODUCT(('💰 Abrechnung'!B$5:B$24="P. Hausmann")*('💰 Abrechnung'!C$5:C$24="Espresso")*'💰 Abrechnung'!D$5:D$24)</f>
        <v>2</v>
      </c>
      <c r="C14" s="6">
        <f>SUMPRODUCT(('💰 Abrechnung'!B$5:B$24="P. Hausmann")*('💰 Abrechnung'!C$5:C$24="Cappuccino")*'💰 Abrechnung'!D$5:D$24)</f>
        <v>0</v>
      </c>
      <c r="D14" s="6">
        <f>SUMPRODUCT(('💰 Abrechnung'!B$5:B$24="P. Hausmann")*('💰 Abrechnung'!C$5:C$24="Filterkaffee")*'💰 Abrechnung'!D$5:D$24)</f>
        <v>0</v>
      </c>
      <c r="E14" s="6">
        <f>SUMPRODUCT(('💰 Abrechnung'!B$5:B$24="P. Hausmann")*('💰 Abrechnung'!C$5:C$24="Latte Macchiato")*'💰 Abrechnung'!D$5:D$24)</f>
        <v>1</v>
      </c>
      <c r="F14" s="6">
        <f>SUMPRODUCT(('💰 Abrechnung'!B$5:B$24="P. Hausmann")*('💰 Abrechnung'!C$5:C$24="Tee")*'💰 Abrechnung'!D$5:D$24)</f>
        <v>0</v>
      </c>
      <c r="G14" s="24">
        <f>SUMIF('💰 Abrechnung'!B$5:B$24,A14,'💰 Abrechnung'!F$5:F$24)</f>
        <v>1.2</v>
      </c>
    </row>
    <row r="15" spans="1:7" ht="25.5" customHeight="1" x14ac:dyDescent="0.25">
      <c r="A15" s="36" t="s">
        <v>26</v>
      </c>
      <c r="B15" s="36"/>
      <c r="C15" s="36"/>
      <c r="D15" s="36"/>
      <c r="E15" s="36"/>
      <c r="F15" s="36"/>
      <c r="G15" s="25">
        <f>SUM(G5:G14)</f>
        <v>9.2499999999999982</v>
      </c>
    </row>
  </sheetData>
  <mergeCells count="4">
    <mergeCell ref="A1:G1"/>
    <mergeCell ref="A2:G2"/>
    <mergeCell ref="A3:G3"/>
    <mergeCell ref="A15:F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📋 Bestellrunde</vt:lpstr>
      <vt:lpstr>💰 Abrechnung</vt:lpstr>
      <vt:lpstr>⚙️ Preisliste</vt:lpstr>
      <vt:lpstr>📊 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2026-07-23T08:55:32Z</dcterms:created>
  <dcterms:modified xsi:type="dcterms:W3CDTF">2026-07-23T09:46:21Z</dcterms:modified>
  <dc:language>en-US</dc:language>
</cp:coreProperties>
</file>