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043FDDFC-C36B-4F0F-B63A-F6B4002EF2FE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Kaffeeliste" sheetId="1" r:id="rId1"/>
    <sheet name="Auswertung" sheetId="2" r:id="rId2"/>
    <sheet name="Stammdaten" sheetId="3" r:id="rId3"/>
  </sheets>
  <definedNames>
    <definedName name="_xlnm._FilterDatabase" localSheetId="0" hidden="1">Kaffeeliste!$B$17:$N$87</definedName>
    <definedName name="_xlnm.Print_Area" localSheetId="0">Kaffeeliste!$A$1:$N$88</definedName>
    <definedName name="_xlnm.Print_Area" localSheetId="2">Stammdaten!$A$1:$J$114</definedName>
    <definedName name="_xlnm.Print_Titles" localSheetId="0">Kaffeeliste!$17:$17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1" i="3" l="1"/>
  <c r="E58" i="2" s="1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F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G39" i="3"/>
  <c r="F39" i="3"/>
  <c r="E39" i="3"/>
  <c r="H38" i="3"/>
  <c r="G38" i="3"/>
  <c r="B38" i="3"/>
  <c r="H37" i="3"/>
  <c r="G37" i="3"/>
  <c r="B37" i="3"/>
  <c r="H36" i="3"/>
  <c r="G36" i="3"/>
  <c r="B36" i="3"/>
  <c r="G35" i="3"/>
  <c r="H35" i="3" s="1"/>
  <c r="B35" i="3"/>
  <c r="G34" i="3"/>
  <c r="H34" i="3" s="1"/>
  <c r="B34" i="3"/>
  <c r="G33" i="3"/>
  <c r="H33" i="3" s="1"/>
  <c r="B33" i="3"/>
  <c r="G32" i="3"/>
  <c r="H32" i="3" s="1"/>
  <c r="B32" i="3"/>
  <c r="G31" i="3"/>
  <c r="H31" i="3" s="1"/>
  <c r="H39" i="3" s="1"/>
  <c r="B31" i="3"/>
  <c r="G30" i="3"/>
  <c r="H30" i="3" s="1"/>
  <c r="B30" i="3"/>
  <c r="G29" i="3"/>
  <c r="H29" i="3" s="1"/>
  <c r="B29" i="3"/>
  <c r="G28" i="3"/>
  <c r="H28" i="3" s="1"/>
  <c r="B28" i="3"/>
  <c r="G27" i="3"/>
  <c r="H27" i="3" s="1"/>
  <c r="B27" i="3"/>
  <c r="B23" i="3"/>
  <c r="B22" i="3"/>
  <c r="B21" i="3"/>
  <c r="B20" i="3"/>
  <c r="B19" i="3"/>
  <c r="B18" i="3"/>
  <c r="B17" i="3"/>
  <c r="B16" i="3"/>
  <c r="B15" i="3"/>
  <c r="B14" i="3"/>
  <c r="G70" i="2"/>
  <c r="F70" i="2"/>
  <c r="G67" i="2"/>
  <c r="F67" i="2"/>
  <c r="G65" i="2"/>
  <c r="F65" i="2"/>
  <c r="E61" i="2"/>
  <c r="G66" i="2" s="1"/>
  <c r="E59" i="2"/>
  <c r="E57" i="2"/>
  <c r="E56" i="2"/>
  <c r="C35" i="2"/>
  <c r="B35" i="2"/>
  <c r="C34" i="2"/>
  <c r="B34" i="2"/>
  <c r="C33" i="2"/>
  <c r="B33" i="2"/>
  <c r="C32" i="2"/>
  <c r="B32" i="2"/>
  <c r="G31" i="2"/>
  <c r="C31" i="2"/>
  <c r="C30" i="2"/>
  <c r="B30" i="2"/>
  <c r="G29" i="2"/>
  <c r="E29" i="2"/>
  <c r="D29" i="2"/>
  <c r="C29" i="2"/>
  <c r="B29" i="2"/>
  <c r="C28" i="2"/>
  <c r="B28" i="2"/>
  <c r="I27" i="2"/>
  <c r="G27" i="2"/>
  <c r="C27" i="2"/>
  <c r="C26" i="2"/>
  <c r="B26" i="2"/>
  <c r="C20" i="2"/>
  <c r="B20" i="2"/>
  <c r="I19" i="2"/>
  <c r="E19" i="2"/>
  <c r="D19" i="2"/>
  <c r="C19" i="2"/>
  <c r="B19" i="2"/>
  <c r="C18" i="2"/>
  <c r="C17" i="2"/>
  <c r="I17" i="2" s="1"/>
  <c r="B17" i="2"/>
  <c r="C16" i="2"/>
  <c r="D16" i="2" s="1"/>
  <c r="B16" i="2"/>
  <c r="C15" i="2"/>
  <c r="B15" i="2"/>
  <c r="C14" i="2"/>
  <c r="C13" i="2"/>
  <c r="B13" i="2"/>
  <c r="L8" i="2"/>
  <c r="B8" i="2"/>
  <c r="N88" i="1"/>
  <c r="I88" i="1"/>
  <c r="L87" i="1"/>
  <c r="J87" i="1"/>
  <c r="K87" i="1" s="1"/>
  <c r="M87" i="1" s="1"/>
  <c r="H87" i="1"/>
  <c r="F87" i="1"/>
  <c r="D87" i="1"/>
  <c r="B87" i="1"/>
  <c r="L86" i="1"/>
  <c r="J86" i="1"/>
  <c r="K86" i="1" s="1"/>
  <c r="M86" i="1" s="1"/>
  <c r="H86" i="1"/>
  <c r="F86" i="1"/>
  <c r="D86" i="1"/>
  <c r="B86" i="1"/>
  <c r="L85" i="1"/>
  <c r="J85" i="1"/>
  <c r="K85" i="1" s="1"/>
  <c r="M85" i="1" s="1"/>
  <c r="H85" i="1"/>
  <c r="F85" i="1"/>
  <c r="D85" i="1"/>
  <c r="B85" i="1"/>
  <c r="L84" i="1"/>
  <c r="J84" i="1"/>
  <c r="K84" i="1" s="1"/>
  <c r="M84" i="1" s="1"/>
  <c r="H84" i="1"/>
  <c r="F84" i="1"/>
  <c r="D84" i="1"/>
  <c r="B84" i="1"/>
  <c r="L83" i="1"/>
  <c r="J83" i="1"/>
  <c r="K83" i="1" s="1"/>
  <c r="M83" i="1" s="1"/>
  <c r="H83" i="1"/>
  <c r="F83" i="1"/>
  <c r="D83" i="1"/>
  <c r="B83" i="1"/>
  <c r="L82" i="1"/>
  <c r="J82" i="1"/>
  <c r="K82" i="1" s="1"/>
  <c r="M82" i="1" s="1"/>
  <c r="H82" i="1"/>
  <c r="F82" i="1"/>
  <c r="D82" i="1"/>
  <c r="B82" i="1"/>
  <c r="L81" i="1"/>
  <c r="J81" i="1"/>
  <c r="K81" i="1" s="1"/>
  <c r="M81" i="1" s="1"/>
  <c r="H81" i="1"/>
  <c r="F81" i="1"/>
  <c r="D81" i="1"/>
  <c r="B81" i="1"/>
  <c r="L80" i="1"/>
  <c r="J80" i="1"/>
  <c r="K80" i="1" s="1"/>
  <c r="M80" i="1" s="1"/>
  <c r="H80" i="1"/>
  <c r="F80" i="1"/>
  <c r="D80" i="1"/>
  <c r="B80" i="1"/>
  <c r="L79" i="1"/>
  <c r="J79" i="1"/>
  <c r="K79" i="1" s="1"/>
  <c r="M79" i="1" s="1"/>
  <c r="H79" i="1"/>
  <c r="F79" i="1"/>
  <c r="D79" i="1"/>
  <c r="B79" i="1"/>
  <c r="L78" i="1"/>
  <c r="J78" i="1"/>
  <c r="K78" i="1" s="1"/>
  <c r="M78" i="1" s="1"/>
  <c r="H78" i="1"/>
  <c r="F78" i="1"/>
  <c r="D78" i="1"/>
  <c r="B78" i="1"/>
  <c r="L77" i="1"/>
  <c r="J77" i="1"/>
  <c r="K77" i="1" s="1"/>
  <c r="M77" i="1" s="1"/>
  <c r="H77" i="1"/>
  <c r="F77" i="1"/>
  <c r="D77" i="1"/>
  <c r="B77" i="1"/>
  <c r="L76" i="1"/>
  <c r="J76" i="1"/>
  <c r="K76" i="1" s="1"/>
  <c r="M76" i="1" s="1"/>
  <c r="H76" i="1"/>
  <c r="F76" i="1"/>
  <c r="D76" i="1"/>
  <c r="B76" i="1"/>
  <c r="L75" i="1"/>
  <c r="J75" i="1"/>
  <c r="K75" i="1" s="1"/>
  <c r="M75" i="1" s="1"/>
  <c r="H75" i="1"/>
  <c r="F75" i="1"/>
  <c r="D75" i="1"/>
  <c r="B75" i="1"/>
  <c r="L74" i="1"/>
  <c r="J74" i="1"/>
  <c r="K74" i="1" s="1"/>
  <c r="M74" i="1" s="1"/>
  <c r="H74" i="1"/>
  <c r="F74" i="1"/>
  <c r="D74" i="1"/>
  <c r="B74" i="1"/>
  <c r="L73" i="1"/>
  <c r="J73" i="1"/>
  <c r="K73" i="1" s="1"/>
  <c r="M73" i="1" s="1"/>
  <c r="H73" i="1"/>
  <c r="F73" i="1"/>
  <c r="D73" i="1"/>
  <c r="B73" i="1"/>
  <c r="L72" i="1"/>
  <c r="J72" i="1"/>
  <c r="K72" i="1" s="1"/>
  <c r="M72" i="1" s="1"/>
  <c r="H72" i="1"/>
  <c r="F72" i="1"/>
  <c r="D72" i="1"/>
  <c r="B72" i="1"/>
  <c r="L71" i="1"/>
  <c r="J71" i="1"/>
  <c r="K71" i="1" s="1"/>
  <c r="M71" i="1" s="1"/>
  <c r="H71" i="1"/>
  <c r="F71" i="1"/>
  <c r="D71" i="1"/>
  <c r="B71" i="1"/>
  <c r="L70" i="1"/>
  <c r="J70" i="1"/>
  <c r="K70" i="1" s="1"/>
  <c r="M70" i="1" s="1"/>
  <c r="H70" i="1"/>
  <c r="F70" i="1"/>
  <c r="D70" i="1"/>
  <c r="B70" i="1"/>
  <c r="L69" i="1"/>
  <c r="J69" i="1"/>
  <c r="K69" i="1" s="1"/>
  <c r="M69" i="1" s="1"/>
  <c r="H69" i="1"/>
  <c r="F69" i="1"/>
  <c r="D69" i="1"/>
  <c r="B69" i="1"/>
  <c r="L68" i="1"/>
  <c r="J68" i="1"/>
  <c r="K68" i="1" s="1"/>
  <c r="M68" i="1" s="1"/>
  <c r="H68" i="1"/>
  <c r="F68" i="1"/>
  <c r="D68" i="1"/>
  <c r="B68" i="1"/>
  <c r="L67" i="1"/>
  <c r="J67" i="1"/>
  <c r="K67" i="1" s="1"/>
  <c r="M67" i="1" s="1"/>
  <c r="H67" i="1"/>
  <c r="F67" i="1"/>
  <c r="D67" i="1"/>
  <c r="B67" i="1"/>
  <c r="L66" i="1"/>
  <c r="J66" i="1"/>
  <c r="K66" i="1" s="1"/>
  <c r="M66" i="1" s="1"/>
  <c r="H66" i="1"/>
  <c r="F66" i="1"/>
  <c r="D66" i="1"/>
  <c r="B66" i="1"/>
  <c r="L65" i="1"/>
  <c r="J65" i="1"/>
  <c r="K65" i="1" s="1"/>
  <c r="M65" i="1" s="1"/>
  <c r="H65" i="1"/>
  <c r="F65" i="1"/>
  <c r="D65" i="1"/>
  <c r="B65" i="1"/>
  <c r="L64" i="1"/>
  <c r="J64" i="1"/>
  <c r="K64" i="1" s="1"/>
  <c r="M64" i="1" s="1"/>
  <c r="H64" i="1"/>
  <c r="F64" i="1"/>
  <c r="D64" i="1"/>
  <c r="B64" i="1"/>
  <c r="L63" i="1"/>
  <c r="J63" i="1"/>
  <c r="K63" i="1" s="1"/>
  <c r="M63" i="1" s="1"/>
  <c r="H63" i="1"/>
  <c r="F63" i="1"/>
  <c r="D63" i="1"/>
  <c r="B63" i="1"/>
  <c r="L62" i="1"/>
  <c r="J62" i="1"/>
  <c r="K62" i="1" s="1"/>
  <c r="M62" i="1" s="1"/>
  <c r="H62" i="1"/>
  <c r="F62" i="1"/>
  <c r="D62" i="1"/>
  <c r="B62" i="1"/>
  <c r="L61" i="1"/>
  <c r="J61" i="1"/>
  <c r="K61" i="1" s="1"/>
  <c r="M61" i="1" s="1"/>
  <c r="H61" i="1"/>
  <c r="F61" i="1"/>
  <c r="D61" i="1"/>
  <c r="B61" i="1"/>
  <c r="L60" i="1"/>
  <c r="J60" i="1"/>
  <c r="K60" i="1" s="1"/>
  <c r="M60" i="1" s="1"/>
  <c r="H60" i="1"/>
  <c r="F60" i="1"/>
  <c r="D60" i="1"/>
  <c r="B60" i="1"/>
  <c r="L59" i="1"/>
  <c r="J59" i="1"/>
  <c r="K59" i="1" s="1"/>
  <c r="M59" i="1" s="1"/>
  <c r="H59" i="1"/>
  <c r="F59" i="1"/>
  <c r="D59" i="1"/>
  <c r="B59" i="1"/>
  <c r="L58" i="1"/>
  <c r="J58" i="1"/>
  <c r="K58" i="1" s="1"/>
  <c r="M58" i="1" s="1"/>
  <c r="H58" i="1"/>
  <c r="F58" i="1"/>
  <c r="D58" i="1"/>
  <c r="B58" i="1"/>
  <c r="L57" i="1"/>
  <c r="J57" i="1"/>
  <c r="K57" i="1" s="1"/>
  <c r="M57" i="1" s="1"/>
  <c r="H57" i="1"/>
  <c r="F57" i="1"/>
  <c r="D57" i="1"/>
  <c r="B57" i="1"/>
  <c r="L56" i="1"/>
  <c r="J56" i="1"/>
  <c r="K56" i="1" s="1"/>
  <c r="M56" i="1" s="1"/>
  <c r="H56" i="1"/>
  <c r="F56" i="1"/>
  <c r="D56" i="1"/>
  <c r="B56" i="1"/>
  <c r="L55" i="1"/>
  <c r="J55" i="1"/>
  <c r="K55" i="1" s="1"/>
  <c r="M55" i="1" s="1"/>
  <c r="H55" i="1"/>
  <c r="F55" i="1"/>
  <c r="D55" i="1"/>
  <c r="B55" i="1"/>
  <c r="L54" i="1"/>
  <c r="J54" i="1"/>
  <c r="K54" i="1" s="1"/>
  <c r="M54" i="1" s="1"/>
  <c r="H54" i="1"/>
  <c r="F54" i="1"/>
  <c r="D54" i="1"/>
  <c r="B54" i="1"/>
  <c r="L53" i="1"/>
  <c r="J53" i="1"/>
  <c r="K53" i="1" s="1"/>
  <c r="M53" i="1" s="1"/>
  <c r="H53" i="1"/>
  <c r="F53" i="1"/>
  <c r="D53" i="1"/>
  <c r="B53" i="1"/>
  <c r="L52" i="1"/>
  <c r="J52" i="1"/>
  <c r="K52" i="1" s="1"/>
  <c r="M52" i="1" s="1"/>
  <c r="H52" i="1"/>
  <c r="F52" i="1"/>
  <c r="D52" i="1"/>
  <c r="B52" i="1"/>
  <c r="L51" i="1"/>
  <c r="J51" i="1"/>
  <c r="K51" i="1" s="1"/>
  <c r="M51" i="1" s="1"/>
  <c r="H51" i="1"/>
  <c r="F51" i="1"/>
  <c r="D51" i="1"/>
  <c r="B51" i="1"/>
  <c r="L50" i="1"/>
  <c r="J50" i="1"/>
  <c r="K50" i="1" s="1"/>
  <c r="M50" i="1" s="1"/>
  <c r="H50" i="1"/>
  <c r="F50" i="1"/>
  <c r="D50" i="1"/>
  <c r="B50" i="1"/>
  <c r="L49" i="1"/>
  <c r="J49" i="1"/>
  <c r="K49" i="1" s="1"/>
  <c r="M49" i="1" s="1"/>
  <c r="H49" i="1"/>
  <c r="F49" i="1"/>
  <c r="D49" i="1"/>
  <c r="B49" i="1"/>
  <c r="L48" i="1"/>
  <c r="J48" i="1"/>
  <c r="K48" i="1" s="1"/>
  <c r="H48" i="1"/>
  <c r="F48" i="1"/>
  <c r="D48" i="1"/>
  <c r="B48" i="1"/>
  <c r="L47" i="1"/>
  <c r="J47" i="1"/>
  <c r="K47" i="1" s="1"/>
  <c r="M47" i="1" s="1"/>
  <c r="H47" i="1"/>
  <c r="F47" i="1"/>
  <c r="D47" i="1"/>
  <c r="B47" i="1"/>
  <c r="L46" i="1"/>
  <c r="J46" i="1"/>
  <c r="K46" i="1" s="1"/>
  <c r="M46" i="1" s="1"/>
  <c r="H46" i="1"/>
  <c r="F46" i="1"/>
  <c r="D46" i="1"/>
  <c r="B46" i="1"/>
  <c r="L45" i="1"/>
  <c r="J45" i="1"/>
  <c r="K45" i="1" s="1"/>
  <c r="M45" i="1" s="1"/>
  <c r="H45" i="1"/>
  <c r="F45" i="1"/>
  <c r="D45" i="1"/>
  <c r="B45" i="1"/>
  <c r="L44" i="1"/>
  <c r="J44" i="1"/>
  <c r="K44" i="1" s="1"/>
  <c r="M44" i="1" s="1"/>
  <c r="H44" i="1"/>
  <c r="F44" i="1"/>
  <c r="D44" i="1"/>
  <c r="B44" i="1"/>
  <c r="L43" i="1"/>
  <c r="J43" i="1"/>
  <c r="K43" i="1" s="1"/>
  <c r="M43" i="1" s="1"/>
  <c r="H43" i="1"/>
  <c r="F43" i="1"/>
  <c r="D43" i="1"/>
  <c r="B43" i="1"/>
  <c r="L42" i="1"/>
  <c r="J42" i="1"/>
  <c r="K42" i="1" s="1"/>
  <c r="M42" i="1" s="1"/>
  <c r="H42" i="1"/>
  <c r="F42" i="1"/>
  <c r="D42" i="1"/>
  <c r="B42" i="1"/>
  <c r="L41" i="1"/>
  <c r="J41" i="1"/>
  <c r="K41" i="1" s="1"/>
  <c r="M41" i="1" s="1"/>
  <c r="H41" i="1"/>
  <c r="F41" i="1"/>
  <c r="D41" i="1"/>
  <c r="B41" i="1"/>
  <c r="L40" i="1"/>
  <c r="J40" i="1"/>
  <c r="K40" i="1" s="1"/>
  <c r="M40" i="1" s="1"/>
  <c r="H40" i="1"/>
  <c r="F40" i="1"/>
  <c r="D40" i="1"/>
  <c r="B40" i="1"/>
  <c r="L39" i="1"/>
  <c r="J39" i="1"/>
  <c r="K39" i="1" s="1"/>
  <c r="M39" i="1" s="1"/>
  <c r="H39" i="1"/>
  <c r="F39" i="1"/>
  <c r="D39" i="1"/>
  <c r="B39" i="1"/>
  <c r="L38" i="1"/>
  <c r="J38" i="1"/>
  <c r="K38" i="1" s="1"/>
  <c r="M38" i="1" s="1"/>
  <c r="H38" i="1"/>
  <c r="F38" i="1"/>
  <c r="D38" i="1"/>
  <c r="B38" i="1"/>
  <c r="L37" i="1"/>
  <c r="J37" i="1"/>
  <c r="K37" i="1" s="1"/>
  <c r="M37" i="1" s="1"/>
  <c r="H37" i="1"/>
  <c r="F37" i="1"/>
  <c r="D37" i="1"/>
  <c r="B37" i="1"/>
  <c r="L36" i="1"/>
  <c r="J36" i="1"/>
  <c r="K36" i="1" s="1"/>
  <c r="M36" i="1" s="1"/>
  <c r="H36" i="1"/>
  <c r="F36" i="1"/>
  <c r="D36" i="1"/>
  <c r="B36" i="1"/>
  <c r="L35" i="1"/>
  <c r="J35" i="1"/>
  <c r="K35" i="1" s="1"/>
  <c r="M35" i="1" s="1"/>
  <c r="H35" i="1"/>
  <c r="F35" i="1"/>
  <c r="D35" i="1"/>
  <c r="B35" i="1"/>
  <c r="L34" i="1"/>
  <c r="J34" i="1"/>
  <c r="K34" i="1" s="1"/>
  <c r="M34" i="1" s="1"/>
  <c r="H34" i="1"/>
  <c r="F34" i="1"/>
  <c r="D34" i="1"/>
  <c r="B34" i="1"/>
  <c r="L33" i="1"/>
  <c r="J33" i="1"/>
  <c r="K33" i="1" s="1"/>
  <c r="M33" i="1" s="1"/>
  <c r="H33" i="1"/>
  <c r="F33" i="1"/>
  <c r="D33" i="1"/>
  <c r="B33" i="1"/>
  <c r="L32" i="1"/>
  <c r="J32" i="1"/>
  <c r="K32" i="1" s="1"/>
  <c r="M32" i="1" s="1"/>
  <c r="H32" i="1"/>
  <c r="F32" i="1"/>
  <c r="D32" i="1"/>
  <c r="B32" i="1"/>
  <c r="L31" i="1"/>
  <c r="J31" i="1"/>
  <c r="K31" i="1" s="1"/>
  <c r="M31" i="1" s="1"/>
  <c r="H31" i="1"/>
  <c r="F31" i="1"/>
  <c r="D31" i="1"/>
  <c r="B31" i="1"/>
  <c r="L30" i="1"/>
  <c r="J30" i="1"/>
  <c r="K30" i="1" s="1"/>
  <c r="M30" i="1" s="1"/>
  <c r="H30" i="1"/>
  <c r="F30" i="1"/>
  <c r="D30" i="1"/>
  <c r="B30" i="1"/>
  <c r="L29" i="1"/>
  <c r="J29" i="1"/>
  <c r="K29" i="1" s="1"/>
  <c r="M29" i="1" s="1"/>
  <c r="H29" i="1"/>
  <c r="F29" i="1"/>
  <c r="D29" i="1"/>
  <c r="B29" i="1"/>
  <c r="L28" i="1"/>
  <c r="J28" i="1"/>
  <c r="K28" i="1" s="1"/>
  <c r="M28" i="1" s="1"/>
  <c r="H28" i="1"/>
  <c r="F28" i="1"/>
  <c r="D28" i="1"/>
  <c r="B28" i="1"/>
  <c r="L27" i="1"/>
  <c r="J27" i="1"/>
  <c r="K27" i="1" s="1"/>
  <c r="M27" i="1" s="1"/>
  <c r="H27" i="1"/>
  <c r="F27" i="1"/>
  <c r="D27" i="1"/>
  <c r="B27" i="1"/>
  <c r="L26" i="1"/>
  <c r="J26" i="1"/>
  <c r="K26" i="1" s="1"/>
  <c r="M26" i="1" s="1"/>
  <c r="H26" i="1"/>
  <c r="F26" i="1"/>
  <c r="D26" i="1"/>
  <c r="B26" i="1"/>
  <c r="L25" i="1"/>
  <c r="J25" i="1"/>
  <c r="K25" i="1" s="1"/>
  <c r="M25" i="1" s="1"/>
  <c r="H25" i="1"/>
  <c r="F25" i="1"/>
  <c r="D25" i="1"/>
  <c r="B25" i="1"/>
  <c r="L24" i="1"/>
  <c r="J24" i="1"/>
  <c r="K24" i="1" s="1"/>
  <c r="M24" i="1" s="1"/>
  <c r="H24" i="1"/>
  <c r="F24" i="1"/>
  <c r="D24" i="1"/>
  <c r="B24" i="1"/>
  <c r="L23" i="1"/>
  <c r="J23" i="1"/>
  <c r="K23" i="1" s="1"/>
  <c r="H23" i="1"/>
  <c r="F23" i="1"/>
  <c r="D23" i="1"/>
  <c r="B23" i="1"/>
  <c r="L22" i="1"/>
  <c r="J22" i="1"/>
  <c r="K22" i="1" s="1"/>
  <c r="M22" i="1" s="1"/>
  <c r="H22" i="1"/>
  <c r="F22" i="1"/>
  <c r="D22" i="1"/>
  <c r="B22" i="1"/>
  <c r="L21" i="1"/>
  <c r="J21" i="1"/>
  <c r="K21" i="1" s="1"/>
  <c r="M21" i="1" s="1"/>
  <c r="H21" i="1"/>
  <c r="F21" i="1"/>
  <c r="D21" i="1"/>
  <c r="D49" i="2" s="1"/>
  <c r="B21" i="1"/>
  <c r="L20" i="1"/>
  <c r="J20" i="1"/>
  <c r="K20" i="1" s="1"/>
  <c r="M20" i="1" s="1"/>
  <c r="H20" i="1"/>
  <c r="F20" i="1"/>
  <c r="D20" i="1"/>
  <c r="B20" i="1"/>
  <c r="L19" i="1"/>
  <c r="J19" i="1"/>
  <c r="K19" i="1" s="1"/>
  <c r="M19" i="1" s="1"/>
  <c r="H19" i="1"/>
  <c r="F19" i="1"/>
  <c r="D19" i="1"/>
  <c r="B19" i="1"/>
  <c r="L18" i="1"/>
  <c r="I29" i="2" s="1"/>
  <c r="J18" i="1"/>
  <c r="K18" i="1" s="1"/>
  <c r="H18" i="1"/>
  <c r="F18" i="1"/>
  <c r="D18" i="1"/>
  <c r="B18" i="1"/>
  <c r="B13" i="1"/>
  <c r="I8" i="1"/>
  <c r="E8" i="1"/>
  <c r="I7" i="1"/>
  <c r="E7" i="1"/>
  <c r="K88" i="1" l="1"/>
  <c r="E13" i="1"/>
  <c r="I13" i="1"/>
  <c r="H29" i="2"/>
  <c r="E41" i="2"/>
  <c r="M18" i="1"/>
  <c r="D8" i="2"/>
  <c r="H27" i="2"/>
  <c r="M48" i="1"/>
  <c r="J17" i="2"/>
  <c r="K17" i="2" s="1"/>
  <c r="M23" i="1"/>
  <c r="J34" i="2" s="1"/>
  <c r="H19" i="2"/>
  <c r="E43" i="2"/>
  <c r="J19" i="2"/>
  <c r="K19" i="2" s="1"/>
  <c r="J27" i="2"/>
  <c r="B14" i="2"/>
  <c r="H14" i="2"/>
  <c r="J14" i="2" s="1"/>
  <c r="K14" i="2" s="1"/>
  <c r="I14" i="2"/>
  <c r="F51" i="2"/>
  <c r="D43" i="2"/>
  <c r="D14" i="2"/>
  <c r="H33" i="2"/>
  <c r="I33" i="2"/>
  <c r="G33" i="2"/>
  <c r="J33" i="2"/>
  <c r="K33" i="2" s="1"/>
  <c r="F48" i="2"/>
  <c r="I35" i="2"/>
  <c r="J35" i="2"/>
  <c r="K35" i="2" s="1"/>
  <c r="G35" i="2"/>
  <c r="D35" i="2"/>
  <c r="H35" i="2"/>
  <c r="E35" i="2"/>
  <c r="L35" i="2" s="1"/>
  <c r="B31" i="2"/>
  <c r="H31" i="2"/>
  <c r="K31" i="2" s="1"/>
  <c r="I31" i="2"/>
  <c r="J31" i="2"/>
  <c r="F43" i="2"/>
  <c r="D33" i="2"/>
  <c r="E33" i="2"/>
  <c r="L33" i="2" s="1"/>
  <c r="L88" i="1"/>
  <c r="G13" i="1"/>
  <c r="D47" i="2"/>
  <c r="F8" i="2"/>
  <c r="J26" i="2"/>
  <c r="D31" i="2"/>
  <c r="D41" i="2"/>
  <c r="F66" i="2"/>
  <c r="I18" i="2"/>
  <c r="D18" i="2"/>
  <c r="E18" i="2"/>
  <c r="H18" i="2"/>
  <c r="J18" i="2" s="1"/>
  <c r="K18" i="2" s="1"/>
  <c r="K13" i="2"/>
  <c r="E51" i="2"/>
  <c r="H50" i="2"/>
  <c r="J50" i="2" s="1"/>
  <c r="D52" i="2"/>
  <c r="D45" i="2"/>
  <c r="F17" i="2" s="1"/>
  <c r="E45" i="2"/>
  <c r="I34" i="2"/>
  <c r="J16" i="2"/>
  <c r="K16" i="2" s="1"/>
  <c r="I16" i="2"/>
  <c r="H16" i="2"/>
  <c r="M16" i="2" s="1"/>
  <c r="E16" i="2"/>
  <c r="F16" i="2" s="1"/>
  <c r="E47" i="2"/>
  <c r="E31" i="2"/>
  <c r="E49" i="2"/>
  <c r="I52" i="2"/>
  <c r="I50" i="2"/>
  <c r="I48" i="2"/>
  <c r="I46" i="2"/>
  <c r="I44" i="2"/>
  <c r="I42" i="2"/>
  <c r="I49" i="2"/>
  <c r="I41" i="2"/>
  <c r="I45" i="2"/>
  <c r="I47" i="2"/>
  <c r="I51" i="2"/>
  <c r="I43" i="2"/>
  <c r="D51" i="2"/>
  <c r="E14" i="2"/>
  <c r="F45" i="2"/>
  <c r="H20" i="2"/>
  <c r="M20" i="2" s="1"/>
  <c r="D46" i="2"/>
  <c r="F47" i="2"/>
  <c r="B18" i="2"/>
  <c r="F41" i="2"/>
  <c r="F49" i="2"/>
  <c r="D20" i="2"/>
  <c r="E26" i="2"/>
  <c r="E36" i="2" s="1"/>
  <c r="F26" i="2"/>
  <c r="G26" i="2"/>
  <c r="H28" i="2"/>
  <c r="D32" i="2"/>
  <c r="D44" i="2"/>
  <c r="F14" i="2" s="1"/>
  <c r="E32" i="2"/>
  <c r="E52" i="2"/>
  <c r="H45" i="2"/>
  <c r="H49" i="2"/>
  <c r="D13" i="2"/>
  <c r="E30" i="2"/>
  <c r="L30" i="2" s="1"/>
  <c r="D15" i="2"/>
  <c r="D48" i="2"/>
  <c r="E15" i="2"/>
  <c r="F15" i="2" s="1"/>
  <c r="I28" i="2"/>
  <c r="E44" i="2"/>
  <c r="E48" i="2"/>
  <c r="H13" i="2"/>
  <c r="D17" i="2"/>
  <c r="J28" i="2"/>
  <c r="H30" i="2"/>
  <c r="D34" i="2"/>
  <c r="F42" i="2"/>
  <c r="F44" i="2"/>
  <c r="F46" i="2"/>
  <c r="F50" i="2"/>
  <c r="F52" i="2"/>
  <c r="H41" i="2"/>
  <c r="H47" i="2"/>
  <c r="J47" i="2" s="1"/>
  <c r="I20" i="2"/>
  <c r="J20" i="2" s="1"/>
  <c r="K20" i="2" s="1"/>
  <c r="D50" i="2"/>
  <c r="M50" i="2" s="1"/>
  <c r="G30" i="2"/>
  <c r="E42" i="2"/>
  <c r="E46" i="2"/>
  <c r="E50" i="2"/>
  <c r="I13" i="2"/>
  <c r="E17" i="2"/>
  <c r="B27" i="2"/>
  <c r="K28" i="2"/>
  <c r="L28" i="2" s="1"/>
  <c r="I30" i="2"/>
  <c r="G32" i="2"/>
  <c r="E34" i="2"/>
  <c r="D28" i="2"/>
  <c r="H26" i="2"/>
  <c r="H36" i="2" s="1"/>
  <c r="E13" i="2"/>
  <c r="F13" i="2" s="1"/>
  <c r="I26" i="2"/>
  <c r="G28" i="2"/>
  <c r="D42" i="2"/>
  <c r="D26" i="2"/>
  <c r="H43" i="2"/>
  <c r="J43" i="2" s="1"/>
  <c r="H51" i="2"/>
  <c r="J51" i="2" s="1"/>
  <c r="E20" i="2"/>
  <c r="E28" i="2"/>
  <c r="D30" i="2"/>
  <c r="J13" i="2"/>
  <c r="H15" i="2"/>
  <c r="J30" i="2"/>
  <c r="H32" i="2"/>
  <c r="K32" i="2" s="1"/>
  <c r="H42" i="2"/>
  <c r="H44" i="2"/>
  <c r="H46" i="2"/>
  <c r="J46" i="2" s="1"/>
  <c r="H48" i="2"/>
  <c r="J48" i="2" s="1"/>
  <c r="D27" i="2"/>
  <c r="K30" i="2"/>
  <c r="I32" i="2"/>
  <c r="G34" i="2"/>
  <c r="H52" i="2"/>
  <c r="I15" i="2"/>
  <c r="H17" i="2"/>
  <c r="E27" i="2"/>
  <c r="J32" i="2"/>
  <c r="H34" i="2"/>
  <c r="L31" i="2" l="1"/>
  <c r="F36" i="2"/>
  <c r="F29" i="2"/>
  <c r="M48" i="2"/>
  <c r="J36" i="2"/>
  <c r="K36" i="2" s="1"/>
  <c r="I53" i="2"/>
  <c r="G36" i="2"/>
  <c r="G43" i="2"/>
  <c r="L43" i="2"/>
  <c r="F34" i="2"/>
  <c r="F32" i="2"/>
  <c r="I21" i="2"/>
  <c r="L60" i="2" s="1"/>
  <c r="K26" i="2"/>
  <c r="M17" i="2"/>
  <c r="M51" i="2"/>
  <c r="F35" i="2"/>
  <c r="M43" i="2"/>
  <c r="G45" i="2"/>
  <c r="L45" i="2"/>
  <c r="M45" i="2"/>
  <c r="J44" i="2"/>
  <c r="L51" i="2"/>
  <c r="G51" i="2"/>
  <c r="F18" i="2"/>
  <c r="F21" i="2" s="1"/>
  <c r="J49" i="2"/>
  <c r="J45" i="2"/>
  <c r="M15" i="2"/>
  <c r="K27" i="2"/>
  <c r="L59" i="2"/>
  <c r="L58" i="2"/>
  <c r="G68" i="2"/>
  <c r="F68" i="2"/>
  <c r="J8" i="2"/>
  <c r="L57" i="2"/>
  <c r="L56" i="2"/>
  <c r="J21" i="2"/>
  <c r="K21" i="2" s="1"/>
  <c r="G47" i="2"/>
  <c r="L47" i="2"/>
  <c r="L41" i="2"/>
  <c r="G41" i="2"/>
  <c r="E53" i="2"/>
  <c r="J15" i="2"/>
  <c r="K15" i="2" s="1"/>
  <c r="H21" i="2"/>
  <c r="I36" i="2"/>
  <c r="M47" i="2"/>
  <c r="M52" i="2"/>
  <c r="F31" i="2"/>
  <c r="M46" i="2"/>
  <c r="K34" i="2"/>
  <c r="L34" i="2" s="1"/>
  <c r="G52" i="2"/>
  <c r="L52" i="2"/>
  <c r="L27" i="2"/>
  <c r="L26" i="2"/>
  <c r="G50" i="2"/>
  <c r="L50" i="2"/>
  <c r="G42" i="2"/>
  <c r="L42" i="2"/>
  <c r="G48" i="2"/>
  <c r="L48" i="2"/>
  <c r="M41" i="2"/>
  <c r="D53" i="2"/>
  <c r="M14" i="2"/>
  <c r="E21" i="2"/>
  <c r="J41" i="2"/>
  <c r="H53" i="2"/>
  <c r="F30" i="2"/>
  <c r="F53" i="2"/>
  <c r="J42" i="2"/>
  <c r="F28" i="2"/>
  <c r="M19" i="2"/>
  <c r="F20" i="2"/>
  <c r="G49" i="2"/>
  <c r="L49" i="2"/>
  <c r="F27" i="2"/>
  <c r="L32" i="2"/>
  <c r="M18" i="2"/>
  <c r="F33" i="2"/>
  <c r="M88" i="1"/>
  <c r="L13" i="1"/>
  <c r="H9" i="2"/>
  <c r="J29" i="2"/>
  <c r="K29" i="2" s="1"/>
  <c r="L29" i="2" s="1"/>
  <c r="H8" i="2"/>
  <c r="M44" i="2"/>
  <c r="F19" i="2"/>
  <c r="G46" i="2"/>
  <c r="L46" i="2"/>
  <c r="M13" i="2"/>
  <c r="J52" i="2"/>
  <c r="M42" i="2"/>
  <c r="G44" i="2"/>
  <c r="L44" i="2"/>
  <c r="M49" i="2"/>
  <c r="M21" i="2" l="1"/>
  <c r="L61" i="2" s="1"/>
  <c r="K41" i="2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J53" i="2"/>
  <c r="G19" i="2"/>
  <c r="G21" i="2"/>
  <c r="G16" i="2"/>
  <c r="G13" i="2"/>
  <c r="G18" i="2"/>
  <c r="G17" i="2"/>
  <c r="G20" i="2"/>
  <c r="G15" i="2"/>
  <c r="G14" i="2"/>
  <c r="G69" i="2"/>
  <c r="F69" i="2"/>
  <c r="L36" i="2"/>
  <c r="L53" i="2"/>
  <c r="G53" i="2"/>
</calcChain>
</file>

<file path=xl/sharedStrings.xml><?xml version="1.0" encoding="utf-8"?>
<sst xmlns="http://schemas.openxmlformats.org/spreadsheetml/2006/main" count="576" uniqueCount="278">
  <si>
    <t>Muster Verwaltungs- und Servicegesellschaft mbH</t>
  </si>
  <si>
    <t>Verbrauchserfassung je Teilnehmer — Preise und Kosten werden automatisch gezogen</t>
  </si>
  <si>
    <t>Erfassungszeitraum 01.01.–31.12.2026</t>
  </si>
  <si>
    <t>01</t>
  </si>
  <si>
    <t>KOPFDATEN</t>
  </si>
  <si>
    <t>verknüpft mit dem Blatt Stammdaten</t>
  </si>
  <si>
    <t>Unternehmen</t>
  </si>
  <si>
    <t>Standort</t>
  </si>
  <si>
    <t>Kassenführung</t>
  </si>
  <si>
    <t>Abrechnungsjahr</t>
  </si>
  <si>
    <t>Erfassung geführt von</t>
  </si>
  <si>
    <t>N. Lehmann</t>
  </si>
  <si>
    <t>Stand der Liste</t>
  </si>
  <si>
    <t>02</t>
  </si>
  <si>
    <t>KENNZAHLEN DER ERFASSUNG</t>
  </si>
  <si>
    <t>aktualisieren sich mit jeder Zeile</t>
  </si>
  <si>
    <t>TASSEN GESAMT</t>
  </si>
  <si>
    <t>UMSATZ VERBRAUCH</t>
  </si>
  <si>
    <t>WARENEINSATZ</t>
  </si>
  <si>
    <t>Ø PREIS JE TASSE</t>
  </si>
  <si>
    <t>DECKUNGSBEITRAG</t>
  </si>
  <si>
    <t>Summe aller erfassten Einheiten</t>
  </si>
  <si>
    <t>Forderung gegenüber dem Team</t>
  </si>
  <si>
    <t>kalkulatorische Kosten je Tasse</t>
  </si>
  <si>
    <t>Mischpreis über alle Getränke</t>
  </si>
  <si>
    <t>Umsatz abzüglich Wareneinsatz</t>
  </si>
  <si>
    <t>03</t>
  </si>
  <si>
    <t>VERBRAUCHSERFASSUNG</t>
  </si>
  <si>
    <t>gelbe Spalten ausfüllen · graue Spalten rechnen selbst</t>
  </si>
  <si>
    <t>Nr.</t>
  </si>
  <si>
    <t>Datum</t>
  </si>
  <si>
    <t>Monat</t>
  </si>
  <si>
    <t>Teilnehmer</t>
  </si>
  <si>
    <t>Abteilung</t>
  </si>
  <si>
    <t>Getränk</t>
  </si>
  <si>
    <t>Kategorie</t>
  </si>
  <si>
    <t>Anzahl</t>
  </si>
  <si>
    <t>Preis je
Einheit</t>
  </si>
  <si>
    <t>Betrag</t>
  </si>
  <si>
    <t>Waren-
einsatz</t>
  </si>
  <si>
    <t>Deckungs-
beitrag</t>
  </si>
  <si>
    <t>Bemerkung</t>
  </si>
  <si>
    <t>Anna Berger</t>
  </si>
  <si>
    <t>Cappuccino</t>
  </si>
  <si>
    <t>Monatserfassung Januar</t>
  </si>
  <si>
    <t>Christoph Sailer</t>
  </si>
  <si>
    <t>Espresso</t>
  </si>
  <si>
    <t>Daniel Krause</t>
  </si>
  <si>
    <t>Milchkaffee</t>
  </si>
  <si>
    <t>Julia Osterkamp</t>
  </si>
  <si>
    <t>Latte Macchiato</t>
  </si>
  <si>
    <t>Markus Feldmann</t>
  </si>
  <si>
    <t>Filterkaffee</t>
  </si>
  <si>
    <t>Nina Lehmann</t>
  </si>
  <si>
    <t>Tee</t>
  </si>
  <si>
    <t>Sandra Vogt</t>
  </si>
  <si>
    <t>Tobias Reinhardt</t>
  </si>
  <si>
    <t>Nacherfassung Besprechungsraum</t>
  </si>
  <si>
    <t>Kakao</t>
  </si>
  <si>
    <t>Nacherfassung</t>
  </si>
  <si>
    <t>Monatserfassung Februar</t>
  </si>
  <si>
    <t>Kundentermine vor Ort</t>
  </si>
  <si>
    <t>Workshop-Tag</t>
  </si>
  <si>
    <t>Monatserfassung März</t>
  </si>
  <si>
    <t>Chai Latte</t>
  </si>
  <si>
    <t>Aktionswoche neues Getränk</t>
  </si>
  <si>
    <t>Monatserfassung April</t>
  </si>
  <si>
    <t>Wasser</t>
  </si>
  <si>
    <t>Sommermonate</t>
  </si>
  <si>
    <t>Bereitschaftswoche</t>
  </si>
  <si>
    <t>Monatserfassung Mai</t>
  </si>
  <si>
    <t>Espresso Macchiato</t>
  </si>
  <si>
    <t>Probierangebot</t>
  </si>
  <si>
    <t>Monatserfassung Juni</t>
  </si>
  <si>
    <t>SUMME ERFASSTER VERBRAUCH</t>
  </si>
  <si>
    <t>Auswertung &amp; Kassenspiegel</t>
  </si>
  <si>
    <t>Kennzahlen, Teilnehmersalden, Getränkeanalyse und Monatsverlauf</t>
  </si>
  <si>
    <t>Auswertungsjahr 2026</t>
  </si>
  <si>
    <t>KENNZAHLEN IM ÜBERBLICK</t>
  </si>
  <si>
    <t>alle Werte berechnen sich automatisch</t>
  </si>
  <si>
    <t>VERBRAUCH (UMSATZ)</t>
  </si>
  <si>
    <t>OFFENE SALDEN</t>
  </si>
  <si>
    <t>KASSENBESTAND</t>
  </si>
  <si>
    <t>erfasste Einheiten im Jahr</t>
  </si>
  <si>
    <t>Forderung an das Team</t>
  </si>
  <si>
    <t>kalkulatorisch je Tasse</t>
  </si>
  <si>
    <t>Summe negativer Teilnehmersalden</t>
  </si>
  <si>
    <t>Anfangsbestand + Einzahlungen − Einkäufe</t>
  </si>
  <si>
    <t>TEILNEHMERSPIEGEL &amp; SALDEN</t>
  </si>
  <si>
    <t>Saldo = Einzahlungen − Verbrauch</t>
  </si>
  <si>
    <t>Name</t>
  </si>
  <si>
    <t>Tassen</t>
  </si>
  <si>
    <t>Ø Tassen
je Monat</t>
  </si>
  <si>
    <t>Anteil</t>
  </si>
  <si>
    <t>Verbrauch</t>
  </si>
  <si>
    <t>Einzahlungen</t>
  </si>
  <si>
    <t>Saldo</t>
  </si>
  <si>
    <t>Status</t>
  </si>
  <si>
    <t>Ø € je Monat</t>
  </si>
  <si>
    <t>SUMME TEAM</t>
  </si>
  <si>
    <t>GETRÄNKEANALYSE</t>
  </si>
  <si>
    <t>Mengen, Erlöse und Deckungsbeiträge je Getränk</t>
  </si>
  <si>
    <t>Ø Preis</t>
  </si>
  <si>
    <t>Umsatz</t>
  </si>
  <si>
    <t>Wareneinsatz</t>
  </si>
  <si>
    <t>DB-Quote</t>
  </si>
  <si>
    <t>Bewertung</t>
  </si>
  <si>
    <t>GESAMT ÜBER ALLE GETRÄNKE</t>
  </si>
  <si>
    <t>04</t>
  </si>
  <si>
    <t>MONATSVERLAUF UND KASSENENTWICKLUNG 2026</t>
  </si>
  <si>
    <t>Verbrauch, Zahlungen und Bestand je Monat</t>
  </si>
  <si>
    <t>Einkäufe</t>
  </si>
  <si>
    <t>Kassen-
bewegung</t>
  </si>
  <si>
    <t>Kassenbestand</t>
  </si>
  <si>
    <t>Ø Preis
je Tasse</t>
  </si>
  <si>
    <t>Auslastung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</si>
  <si>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</si>
  <si>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</si>
  <si>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</si>
  <si>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</si>
  <si>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</si>
  <si>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</si>
  <si>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</si>
  <si>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</si>
  <si>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</si>
  <si>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</si>
  <si>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</si>
  <si>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</si>
  <si>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 2026</t>
  </si>
  <si>
    <t>05</t>
  </si>
  <si>
    <t>KASSENSPIEGEL &amp; OFFENE POSTEN</t>
  </si>
  <si>
    <t>Herleitung des Bestands und Stand der Forderungen</t>
  </si>
  <si>
    <t>Kassenbestand am 01.01.2026</t>
  </si>
  <si>
    <t>Teilnehmer mit offenem Betrag</t>
  </si>
  <si>
    <t>zuzüglich Einzahlungen der Teilnehmer</t>
  </si>
  <si>
    <t>Summe offener Beträge</t>
  </si>
  <si>
    <t>abzüglich Einkäufe und Ausgaben</t>
  </si>
  <si>
    <t>Summe vorhandener Guthaben</t>
  </si>
  <si>
    <t>Kassenbestand rechnerisch</t>
  </si>
  <si>
    <t>höchster offener Einzelbetrag</t>
  </si>
  <si>
    <t>Kassenbestand gezählt (Eingabe)</t>
  </si>
  <si>
    <t>Deckungsgrad Einzahlungen zu Verbrauch</t>
  </si>
  <si>
    <t>Kassendifferenz (gezählt − rechnerisch)</t>
  </si>
  <si>
    <t>Ø Verbrauch je Teilnehmer und Monat</t>
  </si>
  <si>
    <t>06</t>
  </si>
  <si>
    <t>PRÜFHINWEISE</t>
  </si>
  <si>
    <t>automatische Plausibilitätskontrollen</t>
  </si>
  <si>
    <t>Kassenbestand nicht negativ</t>
  </si>
  <si>
    <t>Kassendifferenz ausgeglichen</t>
  </si>
  <si>
    <t>Buchungen vollständig</t>
  </si>
  <si>
    <t>Offene Salden im Rahmen</t>
  </si>
  <si>
    <t>Ziel-Deckungsbeitragsquote</t>
  </si>
  <si>
    <t>Preisliste vollständig</t>
  </si>
  <si>
    <t>07</t>
  </si>
  <si>
    <t>GRAFISCHE AUSWERTUNG</t>
  </si>
  <si>
    <t>Mengenverteilung und Jahresverlauf</t>
  </si>
  <si>
    <t>Stammdaten &amp; Kassenbuch</t>
  </si>
  <si>
    <t>Team · Preisliste · Einzahlungen · Einkäufe — die Basis aller Auswertungen</t>
  </si>
  <si>
    <t>Geschäftsjahr 2026</t>
  </si>
  <si>
    <t>ORGANISATION &amp; RAHMENDATEN</t>
  </si>
  <si>
    <t>gelb hinterlegte Felder ausfüllen</t>
  </si>
  <si>
    <t>Musterstadt · Haus B</t>
  </si>
  <si>
    <t>Abteilung / Bereich</t>
  </si>
  <si>
    <t>Standortübergreifend</t>
  </si>
  <si>
    <t>S. Vogt</t>
  </si>
  <si>
    <t>Kassenbestand am 01.01.</t>
  </si>
  <si>
    <t>Preisstand gültig ab</t>
  </si>
  <si>
    <t>TEAM / TEILNEHMERLISTE</t>
  </si>
  <si>
    <t>Namen speisen die Auswahllisten</t>
  </si>
  <si>
    <t>Teilnehmer seit</t>
  </si>
  <si>
    <t>Zahlungsweise</t>
  </si>
  <si>
    <t>Verwaltung</t>
  </si>
  <si>
    <t>Bar</t>
  </si>
  <si>
    <t>aktiv</t>
  </si>
  <si>
    <t>Vertrieb</t>
  </si>
  <si>
    <t>Überweisung</t>
  </si>
  <si>
    <t>Marketing</t>
  </si>
  <si>
    <t>IT</t>
  </si>
  <si>
    <t>Buchhaltung</t>
  </si>
  <si>
    <t>Personal</t>
  </si>
  <si>
    <t>PREISLISTE &amp; KALKULATION JE GETRÄNK</t>
  </si>
  <si>
    <t>Verkaufspreis und Wareneinsatz je Tasse</t>
  </si>
  <si>
    <t>Preis je Tasse</t>
  </si>
  <si>
    <t>Kaffee</t>
  </si>
  <si>
    <t>Kaffeespezialität</t>
  </si>
  <si>
    <t>Heißgetränk</t>
  </si>
  <si>
    <t>Kaltgetränk</t>
  </si>
  <si>
    <t>Ø-Werte der Preisliste</t>
  </si>
  <si>
    <t>EINZAHLUNGEN IN DIE KAFFEEKASSE</t>
  </si>
  <si>
    <t>Zahlungseingänge je Teilnehmer</t>
  </si>
  <si>
    <t>Zahlungsart</t>
  </si>
  <si>
    <t>Beleg-Nr.</t>
  </si>
  <si>
    <t>EZ-2026-001</t>
  </si>
  <si>
    <t>EZ-2026-002</t>
  </si>
  <si>
    <t>EZ-2026-003</t>
  </si>
  <si>
    <t>EZ-2026-004</t>
  </si>
  <si>
    <t>EZ-2026-005</t>
  </si>
  <si>
    <t>EZ-2026-006</t>
  </si>
  <si>
    <t>EZ-2026-007</t>
  </si>
  <si>
    <t>EZ-2026-008</t>
  </si>
  <si>
    <t>EZ-2026-009</t>
  </si>
  <si>
    <t>EZ-2026-010</t>
  </si>
  <si>
    <t>EZ-2026-011</t>
  </si>
  <si>
    <t>EZ-2026-012</t>
  </si>
  <si>
    <t>EZ-2026-013</t>
  </si>
  <si>
    <t>EZ-2026-014</t>
  </si>
  <si>
    <t>EZ-2026-015</t>
  </si>
  <si>
    <t>EZ-2026-016</t>
  </si>
  <si>
    <t>EZ-2026-017</t>
  </si>
  <si>
    <t>EZ-2026-018</t>
  </si>
  <si>
    <t>EZ-2026-019</t>
  </si>
  <si>
    <t>EZ-2026-020</t>
  </si>
  <si>
    <t>EZ-2026-021</t>
  </si>
  <si>
    <t>EZ-2026-022</t>
  </si>
  <si>
    <t>EZ-2026-023</t>
  </si>
  <si>
    <t>EZ-2026-024</t>
  </si>
  <si>
    <t>EZ-2026-025</t>
  </si>
  <si>
    <t>Summe Einzahlungen</t>
  </si>
  <si>
    <t>EINKÄUFE &amp; AUSGABEN DER KAFFEEKASSE</t>
  </si>
  <si>
    <t>Wareneinkauf, Zubehör und Wartung</t>
  </si>
  <si>
    <t>Position</t>
  </si>
  <si>
    <t>Kaffeebohnen 4 kg</t>
  </si>
  <si>
    <t>EK-2026-001</t>
  </si>
  <si>
    <t>H-Milch 24 Liter</t>
  </si>
  <si>
    <t>Milch</t>
  </si>
  <si>
    <t>EK-2026-002</t>
  </si>
  <si>
    <t>EK-2026-003</t>
  </si>
  <si>
    <t>Teesortiment / Kakao</t>
  </si>
  <si>
    <t>Sonstige Getränke</t>
  </si>
  <si>
    <t>EK-2026-004</t>
  </si>
  <si>
    <t>EK-2026-005</t>
  </si>
  <si>
    <t>EK-2026-006</t>
  </si>
  <si>
    <t>Entkalker / Reinigung</t>
  </si>
  <si>
    <t>Wartung</t>
  </si>
  <si>
    <t>EK-2026-007</t>
  </si>
  <si>
    <t>EK-2026-008</t>
  </si>
  <si>
    <t>Mehrwegbecher (Ersatz)</t>
  </si>
  <si>
    <t>Zubehör</t>
  </si>
  <si>
    <t>EK-2026-009</t>
  </si>
  <si>
    <t>EK-2026-010</t>
  </si>
  <si>
    <t>EK-2026-011</t>
  </si>
  <si>
    <t>Mineralwasser 6 Kästen</t>
  </si>
  <si>
    <t>EK-2026-012</t>
  </si>
  <si>
    <t>EK-2026-013</t>
  </si>
  <si>
    <t>Wartung Kaffeevollautomat</t>
  </si>
  <si>
    <t>EK-2026-014</t>
  </si>
  <si>
    <t>Zucker / Filterpapier</t>
  </si>
  <si>
    <t>EK-2026-015</t>
  </si>
  <si>
    <t>Summe Einkäufe</t>
  </si>
  <si>
    <t>ANLEITUNG IN SECHS SCHRITTEN</t>
  </si>
  <si>
    <t>so wird die Vorlage gepflegt</t>
  </si>
  <si>
    <t>1</t>
  </si>
  <si>
    <t>Team pflegen</t>
  </si>
  <si>
    <t>Teilnehmer in Abschnitt 02 eintragen — die Namen erscheinen automatisch als Auswahlliste auf dem Blatt Kaffeeliste.</t>
  </si>
  <si>
    <t>2</t>
  </si>
  <si>
    <t>Preise festlegen</t>
  </si>
  <si>
    <t>Getränke, Verkaufspreis je Tasse und Wareneinsatz in Abschnitt 03 hinterlegen. Deckungsbeitrag und DB-Quote berechnen sich selbst.</t>
  </si>
  <si>
    <t>3</t>
  </si>
  <si>
    <t>Verbrauch erfassen</t>
  </si>
  <si>
    <t>Auf dem Blatt Kaffeeliste je Zeile Datum, Teilnehmer, Getränk und Anzahl eintragen. Preis, Wareneinsatz und Betrag werden gezogen.</t>
  </si>
  <si>
    <t>4</t>
  </si>
  <si>
    <t>Einzahlungen buchen</t>
  </si>
  <si>
    <t>Jede Zahlung in Abschnitt 04 erfassen. Der Saldo je Teilnehmer ergibt sich aus Einzahlungen abzüglich Verbrauch.</t>
  </si>
  <si>
    <t>5</t>
  </si>
  <si>
    <t>Einkäufe buchen</t>
  </si>
  <si>
    <t>Alle Ausgaben der Kasse in Abschnitt 05 eintragen — sie fließen in den Kassenbestand und in den Monatsverlauf ein.</t>
  </si>
  <si>
    <t>6</t>
  </si>
  <si>
    <t>Auswerten</t>
  </si>
  <si>
    <t>Das Blatt Auswertung zeigt Kennzahlen, Teilnehmerspiegel, Getränkeanalyse, Monatsverlauf und Prüfhinweise ohne weiteres Zutun.</t>
  </si>
  <si>
    <t>FARBLEGENDE &amp; HINWEIS</t>
  </si>
  <si>
    <t>Orientierung im Arbeitsblatt</t>
  </si>
  <si>
    <t>Eingabefeld</t>
  </si>
  <si>
    <t>Formel / automatisch</t>
  </si>
  <si>
    <t>hervorgehobene Kennzahl</t>
  </si>
  <si>
    <t>im grünen Bereich</t>
  </si>
  <si>
    <t>Prüfung erforderlich</t>
  </si>
  <si>
    <t>Hinweis: Alle Namen, Preise und Beträge sind frei erfundene Beispielwerte und dienen ausschließlich der Veranschaulichung. Die Vorlage ersetzt keine steuerliche oder arbeitsrechtliche Beratung; Getränkeabgaben an Beschäftigte können je nach Ausgestaltung lohnsteuerlich relevant sein.</t>
  </si>
  <si>
    <t>Kaffeeliste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</si>
</sst>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&quot; €&quot;"/>
    <numFmt numFmtId="166" formatCode="#,##0.0"/>
    <numFmt numFmtId="167" formatCode="0.0%"/>
  </numFmts>
  <fonts count="27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2"/>
      <color rgb="FF3D3A36"/>
      <name val="Calibri"/>
      <charset val="1"/>
    </font>
    <font>
      <i/>
      <sz val="10"/>
      <color rgb="FFDDE6EE"/>
      <name val="Calibri"/>
      <charset val="1"/>
    </font>
    <font>
      <i/>
      <sz val="9.5"/>
      <color rgb="FF3D3A36"/>
      <name val="Calibri"/>
      <charset val="1"/>
    </font>
    <font>
      <b/>
      <sz val="10"/>
      <color rgb="FFFFFFFF"/>
      <name val="Calibri"/>
      <charset val="1"/>
    </font>
    <font>
      <b/>
      <sz val="11"/>
      <color rgb="FF3D3A36"/>
      <name val="Calibri"/>
      <charset val="1"/>
    </font>
    <font>
      <i/>
      <sz val="8.5"/>
      <color rgb="FF8A8378"/>
      <name val="Calibri"/>
      <charset val="1"/>
    </font>
    <font>
      <b/>
      <sz val="8.5"/>
      <color rgb="FF8A8378"/>
      <name val="Calibri"/>
      <charset val="1"/>
    </font>
    <font>
      <b/>
      <sz val="10"/>
      <color rgb="FF55738C"/>
      <name val="Calibri"/>
      <charset val="1"/>
    </font>
    <font>
      <b/>
      <sz val="10"/>
      <color rgb="FF3D3A36"/>
      <name val="Calibri"/>
      <charset val="1"/>
    </font>
    <font>
      <b/>
      <sz val="7.5"/>
      <color rgb="FF8A8378"/>
      <name val="Calibri"/>
      <charset val="1"/>
    </font>
    <font>
      <b/>
      <sz val="15"/>
      <color rgb="FF55738C"/>
      <name val="Calibri"/>
      <charset val="1"/>
    </font>
    <font>
      <b/>
      <sz val="15"/>
      <color rgb="FF3D3A36"/>
      <name val="Calibri"/>
      <charset val="1"/>
    </font>
    <font>
      <b/>
      <sz val="15"/>
      <color rgb="FF5E584F"/>
      <name val="Calibri"/>
      <charset val="1"/>
    </font>
    <font>
      <b/>
      <sz val="17"/>
      <color rgb="FFD99A2B"/>
      <name val="Calibri"/>
      <charset val="1"/>
    </font>
    <font>
      <i/>
      <sz val="8"/>
      <color rgb="FF8A8378"/>
      <name val="Calibri"/>
      <charset val="1"/>
    </font>
    <font>
      <b/>
      <sz val="9"/>
      <color rgb="FFFFFFFF"/>
      <name val="Calibri"/>
      <charset val="1"/>
    </font>
    <font>
      <sz val="9.5"/>
      <color rgb="FF8A8378"/>
      <name val="Calibri"/>
      <charset val="1"/>
    </font>
    <font>
      <sz val="10"/>
      <color rgb="FF3D3A36"/>
      <name val="Calibri"/>
      <charset val="1"/>
    </font>
    <font>
      <i/>
      <sz val="9"/>
      <color rgb="FFE7B85C"/>
      <name val="Calibri"/>
      <charset val="1"/>
    </font>
    <font>
      <b/>
      <sz val="15"/>
      <color rgb="FF3F7A5E"/>
      <name val="Calibri"/>
      <charset val="1"/>
    </font>
    <font>
      <b/>
      <sz val="15"/>
      <color rgb="FFB2453A"/>
      <name val="Calibri"/>
      <charset val="1"/>
    </font>
    <font>
      <b/>
      <sz val="9.5"/>
      <color rgb="FFE7B85C"/>
      <name val="Calibri"/>
      <charset val="1"/>
    </font>
    <font>
      <sz val="9.5"/>
      <color rgb="FF3D3A36"/>
      <name val="Calibri"/>
      <charset val="1"/>
    </font>
    <font>
      <b/>
      <sz val="9.5"/>
      <color rgb="FF3D3A36"/>
      <name val="Calibri"/>
      <charset val="1"/>
    </font>
    <font>
      <sz val="9"/>
      <color rgb="FF3D3A36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3D3A36"/>
        <bgColor rgb="FF333300"/>
      </patternFill>
    </fill>
    <fill>
      <patternFill patternType="solid">
        <fgColor rgb="FFD99A2B"/>
        <bgColor rgb="FFE7B85C"/>
      </patternFill>
    </fill>
    <fill>
      <patternFill patternType="solid">
        <fgColor rgb="FF55738C"/>
        <bgColor rgb="FF3F7A5E"/>
      </patternFill>
    </fill>
    <fill>
      <patternFill patternType="solid">
        <fgColor rgb="FFEFEDE9"/>
        <bgColor rgb="FFF5F3F0"/>
      </patternFill>
    </fill>
    <fill>
      <patternFill patternType="solid">
        <fgColor rgb="FFFFF6E2"/>
        <bgColor rgb="FFFBEFD5"/>
      </patternFill>
    </fill>
    <fill>
      <patternFill patternType="solid">
        <fgColor rgb="FFF5F3F0"/>
        <bgColor rgb="FFEFEDE9"/>
      </patternFill>
    </fill>
    <fill>
      <patternFill patternType="solid">
        <fgColor rgb="FFFBEFD5"/>
        <bgColor rgb="FFFFF6E2"/>
      </patternFill>
    </fill>
    <fill>
      <patternFill patternType="solid">
        <fgColor rgb="FFDDE6EE"/>
        <bgColor rgb="FFE2EFE8"/>
      </patternFill>
    </fill>
    <fill>
      <patternFill patternType="solid">
        <fgColor rgb="FFE2EFE8"/>
        <bgColor rgb="FFEFEDE9"/>
      </patternFill>
    </fill>
    <fill>
      <patternFill patternType="solid">
        <fgColor rgb="FFF8E2DE"/>
        <bgColor rgb="FFEFEDE9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3D3A36"/>
      </bottom>
      <diagonal/>
    </border>
    <border>
      <left style="thin">
        <color rgb="FFC9C3BA"/>
      </left>
      <right style="thin">
        <color rgb="FFC9C3BA"/>
      </right>
      <top style="thin">
        <color rgb="FFC9C3BA"/>
      </top>
      <bottom style="thin">
        <color rgb="FFC9C3BA"/>
      </bottom>
      <diagonal/>
    </border>
    <border>
      <left style="thick">
        <color rgb="FF55738C"/>
      </left>
      <right style="thin">
        <color rgb="FFC9C3BA"/>
      </right>
      <top style="thin">
        <color rgb="FFC9C3BA"/>
      </top>
      <bottom/>
      <diagonal/>
    </border>
    <border>
      <left style="thick">
        <color rgb="FF3D3A36"/>
      </left>
      <right style="thin">
        <color rgb="FFC9C3BA"/>
      </right>
      <top style="thin">
        <color rgb="FFC9C3BA"/>
      </top>
      <bottom/>
      <diagonal/>
    </border>
    <border>
      <left style="thick">
        <color rgb="FF5E584F"/>
      </left>
      <right style="thin">
        <color rgb="FFC9C3BA"/>
      </right>
      <top style="thin">
        <color rgb="FFC9C3BA"/>
      </top>
      <bottom/>
      <diagonal/>
    </border>
    <border>
      <left style="thick">
        <color rgb="FFD99A2B"/>
      </left>
      <right style="thin">
        <color rgb="FFC9C3BA"/>
      </right>
      <top style="thin">
        <color rgb="FFC9C3BA"/>
      </top>
      <bottom/>
      <diagonal/>
    </border>
    <border>
      <left style="thick">
        <color rgb="FF55738C"/>
      </left>
      <right style="thin">
        <color rgb="FFC9C3BA"/>
      </right>
      <top/>
      <bottom/>
      <diagonal/>
    </border>
    <border>
      <left style="thick">
        <color rgb="FF3D3A36"/>
      </left>
      <right style="thin">
        <color rgb="FFC9C3BA"/>
      </right>
      <top/>
      <bottom/>
      <diagonal/>
    </border>
    <border>
      <left style="thick">
        <color rgb="FF5E584F"/>
      </left>
      <right style="thin">
        <color rgb="FFC9C3BA"/>
      </right>
      <top/>
      <bottom/>
      <diagonal/>
    </border>
    <border>
      <left style="thick">
        <color rgb="FFD99A2B"/>
      </left>
      <right style="thin">
        <color rgb="FFC9C3BA"/>
      </right>
      <top/>
      <bottom/>
      <diagonal/>
    </border>
    <border>
      <left style="thick">
        <color rgb="FF55738C"/>
      </left>
      <right style="thin">
        <color rgb="FFC9C3BA"/>
      </right>
      <top/>
      <bottom style="thin">
        <color rgb="FFC9C3BA"/>
      </bottom>
      <diagonal/>
    </border>
    <border>
      <left style="thick">
        <color rgb="FF3D3A36"/>
      </left>
      <right style="thin">
        <color rgb="FFC9C3BA"/>
      </right>
      <top/>
      <bottom style="thin">
        <color rgb="FFC9C3BA"/>
      </bottom>
      <diagonal/>
    </border>
    <border>
      <left style="thick">
        <color rgb="FF5E584F"/>
      </left>
      <right style="thin">
        <color rgb="FFC9C3BA"/>
      </right>
      <top/>
      <bottom style="thin">
        <color rgb="FFC9C3BA"/>
      </bottom>
      <diagonal/>
    </border>
    <border>
      <left style="thick">
        <color rgb="FFD99A2B"/>
      </left>
      <right style="thin">
        <color rgb="FFC9C3BA"/>
      </right>
      <top/>
      <bottom style="thin">
        <color rgb="FFC9C3BA"/>
      </bottom>
      <diagonal/>
    </border>
    <border>
      <left/>
      <right/>
      <top/>
      <bottom style="medium">
        <color rgb="FFD99A2B"/>
      </bottom>
      <diagonal/>
    </border>
    <border>
      <left/>
      <right/>
      <top style="medium">
        <color rgb="FFD99A2B"/>
      </top>
      <bottom/>
      <diagonal/>
    </border>
    <border>
      <left style="thick">
        <color rgb="FF3F7A5E"/>
      </left>
      <right style="thin">
        <color rgb="FFC9C3BA"/>
      </right>
      <top style="thin">
        <color rgb="FFC9C3BA"/>
      </top>
      <bottom/>
      <diagonal/>
    </border>
    <border>
      <left style="thick">
        <color rgb="FFB2453A"/>
      </left>
      <right style="thin">
        <color rgb="FFC9C3BA"/>
      </right>
      <top style="thin">
        <color rgb="FFC9C3BA"/>
      </top>
      <bottom/>
      <diagonal/>
    </border>
    <border>
      <left style="thick">
        <color rgb="FF3F7A5E"/>
      </left>
      <right style="thin">
        <color rgb="FFC9C3BA"/>
      </right>
      <top/>
      <bottom/>
      <diagonal/>
    </border>
    <border>
      <left style="thick">
        <color rgb="FFB2453A"/>
      </left>
      <right style="thin">
        <color rgb="FFC9C3BA"/>
      </right>
      <top/>
      <bottom/>
      <diagonal/>
    </border>
    <border>
      <left style="thick">
        <color rgb="FF3F7A5E"/>
      </left>
      <right style="thin">
        <color rgb="FFC9C3BA"/>
      </right>
      <top/>
      <bottom style="thin">
        <color rgb="FFC9C3BA"/>
      </bottom>
      <diagonal/>
    </border>
    <border>
      <left style="thick">
        <color rgb="FFB2453A"/>
      </left>
      <right style="thin">
        <color rgb="FFC9C3BA"/>
      </right>
      <top/>
      <bottom style="thin">
        <color rgb="FFC9C3BA"/>
      </bottom>
      <diagonal/>
    </border>
    <border>
      <left style="thin">
        <color rgb="FF55738C"/>
      </left>
      <right style="thin">
        <color rgb="FF55738C"/>
      </right>
      <top style="thin">
        <color rgb="FF55738C"/>
      </top>
      <bottom style="thin">
        <color rgb="FF55738C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1" fillId="7" borderId="5" xfId="0" applyFont="1" applyFill="1" applyBorder="1" applyAlignment="1">
      <alignment horizontal="left" indent="1"/>
    </xf>
    <xf numFmtId="0" fontId="11" fillId="7" borderId="4" xfId="0" applyFont="1" applyFill="1" applyBorder="1" applyAlignment="1">
      <alignment horizontal="left" indent="1"/>
    </xf>
    <xf numFmtId="0" fontId="11" fillId="7" borderId="3" xfId="0" applyFont="1" applyFill="1" applyBorder="1" applyAlignment="1">
      <alignment horizontal="left" indent="1"/>
    </xf>
    <xf numFmtId="164" fontId="10" fillId="6" borderId="2" xfId="0" applyNumberFormat="1" applyFont="1" applyFill="1" applyBorder="1" applyAlignment="1">
      <alignment horizontal="left" vertical="center" indent="1"/>
    </xf>
    <xf numFmtId="0" fontId="10" fillId="6" borderId="2" xfId="0" applyFont="1" applyFill="1" applyBorder="1" applyAlignment="1">
      <alignment horizontal="left" vertical="center" indent="1"/>
    </xf>
    <xf numFmtId="1" fontId="9" fillId="5" borderId="2" xfId="0" applyNumberFormat="1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left" vertical="center" indent="1"/>
    </xf>
    <xf numFmtId="0" fontId="8" fillId="0" borderId="0" xfId="0" applyFont="1" applyAlignment="1">
      <alignment horizontal="right" vertical="center" indent="1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0" fontId="4" fillId="3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4" borderId="0" xfId="0" applyFill="1"/>
    <xf numFmtId="0" fontId="5" fillId="3" borderId="1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 wrapText="1"/>
    </xf>
    <xf numFmtId="1" fontId="18" fillId="0" borderId="2" xfId="0" applyNumberFormat="1" applyFont="1" applyBorder="1" applyAlignment="1">
      <alignment horizontal="center" vertical="center"/>
    </xf>
    <xf numFmtId="164" fontId="19" fillId="6" borderId="2" xfId="0" applyNumberFormat="1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left" vertical="center"/>
    </xf>
    <xf numFmtId="0" fontId="19" fillId="5" borderId="2" xfId="0" applyFont="1" applyFill="1" applyBorder="1" applyAlignment="1">
      <alignment horizontal="left" vertical="center"/>
    </xf>
    <xf numFmtId="3" fontId="19" fillId="6" borderId="2" xfId="0" applyNumberFormat="1" applyFont="1" applyFill="1" applyBorder="1" applyAlignment="1">
      <alignment horizontal="center" vertical="center"/>
    </xf>
    <xf numFmtId="165" fontId="19" fillId="5" borderId="2" xfId="0" applyNumberFormat="1" applyFont="1" applyFill="1" applyBorder="1" applyAlignment="1">
      <alignment horizontal="right" vertical="center"/>
    </xf>
    <xf numFmtId="165" fontId="10" fillId="5" borderId="2" xfId="0" applyNumberFormat="1" applyFont="1" applyFill="1" applyBorder="1" applyAlignment="1">
      <alignment horizontal="right" vertical="center"/>
    </xf>
    <xf numFmtId="3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/>
    <xf numFmtId="165" fontId="5" fillId="2" borderId="16" xfId="0" applyNumberFormat="1" applyFont="1" applyFill="1" applyBorder="1" applyAlignment="1">
      <alignment horizontal="right" vertical="center"/>
    </xf>
    <xf numFmtId="0" fontId="20" fillId="2" borderId="1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3" fontId="19" fillId="5" borderId="2" xfId="0" applyNumberFormat="1" applyFont="1" applyFill="1" applyBorder="1" applyAlignment="1">
      <alignment horizontal="center" vertical="center"/>
    </xf>
    <xf numFmtId="166" fontId="19" fillId="5" borderId="2" xfId="0" applyNumberFormat="1" applyFont="1" applyFill="1" applyBorder="1" applyAlignment="1">
      <alignment horizontal="center" vertical="center"/>
    </xf>
    <xf numFmtId="167" fontId="19" fillId="5" borderId="2" xfId="0" applyNumberFormat="1" applyFont="1" applyFill="1" applyBorder="1" applyAlignment="1">
      <alignment horizontal="center" vertical="center"/>
    </xf>
    <xf numFmtId="166" fontId="5" fillId="2" borderId="16" xfId="0" applyNumberFormat="1" applyFont="1" applyFill="1" applyBorder="1" applyAlignment="1">
      <alignment horizontal="center" vertical="center"/>
    </xf>
    <xf numFmtId="167" fontId="5" fillId="2" borderId="16" xfId="0" applyNumberFormat="1" applyFont="1" applyFill="1" applyBorder="1" applyAlignment="1">
      <alignment horizontal="center" vertical="center"/>
    </xf>
    <xf numFmtId="167" fontId="10" fillId="5" borderId="2" xfId="0" applyNumberFormat="1" applyFont="1" applyFill="1" applyBorder="1" applyAlignment="1">
      <alignment horizontal="center" vertical="center"/>
    </xf>
    <xf numFmtId="165" fontId="10" fillId="7" borderId="2" xfId="0" applyNumberFormat="1" applyFont="1" applyFill="1" applyBorder="1" applyAlignment="1">
      <alignment horizontal="right" vertical="center"/>
    </xf>
    <xf numFmtId="165" fontId="10" fillId="9" borderId="2" xfId="0" applyNumberFormat="1" applyFont="1" applyFill="1" applyBorder="1" applyAlignment="1">
      <alignment horizontal="right" vertical="center"/>
    </xf>
    <xf numFmtId="165" fontId="10" fillId="6" borderId="2" xfId="0" applyNumberFormat="1" applyFont="1" applyFill="1" applyBorder="1" applyAlignment="1">
      <alignment horizontal="right" vertical="center"/>
    </xf>
    <xf numFmtId="165" fontId="10" fillId="8" borderId="2" xfId="0" applyNumberFormat="1" applyFont="1" applyFill="1" applyBorder="1" applyAlignment="1">
      <alignment horizontal="right" vertical="center"/>
    </xf>
    <xf numFmtId="0" fontId="25" fillId="7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165" fontId="19" fillId="6" borderId="2" xfId="0" applyNumberFormat="1" applyFont="1" applyFill="1" applyBorder="1" applyAlignment="1">
      <alignment horizontal="right" vertical="center"/>
    </xf>
    <xf numFmtId="167" fontId="19" fillId="5" borderId="2" xfId="0" applyNumberFormat="1" applyFont="1" applyFill="1" applyBorder="1" applyAlignment="1">
      <alignment horizontal="right" vertical="center"/>
    </xf>
    <xf numFmtId="165" fontId="5" fillId="4" borderId="23" xfId="0" applyNumberFormat="1" applyFont="1" applyFill="1" applyBorder="1" applyAlignment="1">
      <alignment horizontal="right" vertical="center"/>
    </xf>
    <xf numFmtId="167" fontId="5" fillId="4" borderId="23" xfId="0" applyNumberFormat="1" applyFont="1" applyFill="1" applyBorder="1" applyAlignment="1">
      <alignment horizontal="right" vertical="center"/>
    </xf>
    <xf numFmtId="0" fontId="5" fillId="4" borderId="23" xfId="0" applyFont="1" applyFill="1" applyBorder="1"/>
    <xf numFmtId="0" fontId="5" fillId="4" borderId="2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6" borderId="2" xfId="0" applyFill="1" applyBorder="1"/>
    <xf numFmtId="0" fontId="26" fillId="0" borderId="0" xfId="0" applyFont="1" applyAlignment="1">
      <alignment horizontal="left" vertical="center"/>
    </xf>
    <xf numFmtId="0" fontId="0" fillId="5" borderId="2" xfId="0" applyFill="1" applyBorder="1"/>
    <xf numFmtId="0" fontId="0" fillId="8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11" fillId="8" borderId="6" xfId="0" applyFont="1" applyFill="1" applyBorder="1" applyAlignment="1">
      <alignment horizontal="left" indent="1"/>
    </xf>
    <xf numFmtId="3" fontId="12" fillId="7" borderId="7" xfId="0" applyNumberFormat="1" applyFont="1" applyFill="1" applyBorder="1" applyAlignment="1">
      <alignment horizontal="left" vertical="center" indent="1"/>
    </xf>
    <xf numFmtId="165" fontId="13" fillId="7" borderId="8" xfId="0" applyNumberFormat="1" applyFont="1" applyFill="1" applyBorder="1" applyAlignment="1">
      <alignment horizontal="left" vertical="center" indent="1"/>
    </xf>
    <xf numFmtId="165" fontId="14" fillId="7" borderId="9" xfId="0" applyNumberFormat="1" applyFont="1" applyFill="1" applyBorder="1" applyAlignment="1">
      <alignment horizontal="left" vertical="center" indent="1"/>
    </xf>
    <xf numFmtId="165" fontId="12" fillId="7" borderId="7" xfId="0" applyNumberFormat="1" applyFont="1" applyFill="1" applyBorder="1" applyAlignment="1">
      <alignment horizontal="left" vertical="center" indent="1"/>
    </xf>
    <xf numFmtId="165" fontId="15" fillId="8" borderId="10" xfId="0" applyNumberFormat="1" applyFont="1" applyFill="1" applyBorder="1" applyAlignment="1">
      <alignment horizontal="left" vertical="center" indent="1"/>
    </xf>
    <xf numFmtId="0" fontId="16" fillId="7" borderId="11" xfId="0" applyFont="1" applyFill="1" applyBorder="1" applyAlignment="1">
      <alignment horizontal="left" vertical="top" indent="1"/>
    </xf>
    <xf numFmtId="0" fontId="16" fillId="7" borderId="12" xfId="0" applyFont="1" applyFill="1" applyBorder="1" applyAlignment="1">
      <alignment horizontal="left" vertical="top" indent="1"/>
    </xf>
    <xf numFmtId="0" fontId="16" fillId="7" borderId="13" xfId="0" applyFont="1" applyFill="1" applyBorder="1" applyAlignment="1">
      <alignment horizontal="left" vertical="top" indent="1"/>
    </xf>
    <xf numFmtId="0" fontId="16" fillId="8" borderId="14" xfId="0" applyFont="1" applyFill="1" applyBorder="1" applyAlignment="1">
      <alignment horizontal="left" vertical="top" indent="1"/>
    </xf>
    <xf numFmtId="0" fontId="5" fillId="2" borderId="16" xfId="0" applyFont="1" applyFill="1" applyBorder="1" applyAlignment="1">
      <alignment horizontal="left" vertical="center" indent="1"/>
    </xf>
    <xf numFmtId="0" fontId="11" fillId="7" borderId="17" xfId="0" applyFont="1" applyFill="1" applyBorder="1" applyAlignment="1">
      <alignment horizontal="left" indent="1"/>
    </xf>
    <xf numFmtId="0" fontId="11" fillId="7" borderId="18" xfId="0" applyFont="1" applyFill="1" applyBorder="1" applyAlignment="1">
      <alignment horizontal="left" indent="1"/>
    </xf>
    <xf numFmtId="165" fontId="21" fillId="7" borderId="19" xfId="0" applyNumberFormat="1" applyFont="1" applyFill="1" applyBorder="1" applyAlignment="1">
      <alignment horizontal="left" vertical="center" indent="1"/>
    </xf>
    <xf numFmtId="165" fontId="22" fillId="7" borderId="20" xfId="0" applyNumberFormat="1" applyFont="1" applyFill="1" applyBorder="1" applyAlignment="1">
      <alignment horizontal="left" vertical="center" indent="1"/>
    </xf>
    <xf numFmtId="0" fontId="16" fillId="7" borderId="21" xfId="0" applyFont="1" applyFill="1" applyBorder="1" applyAlignment="1">
      <alignment horizontal="left" vertical="top" indent="1"/>
    </xf>
    <xf numFmtId="0" fontId="16" fillId="7" borderId="22" xfId="0" applyFont="1" applyFill="1" applyBorder="1" applyAlignment="1">
      <alignment horizontal="left" vertical="top" indent="1"/>
    </xf>
    <xf numFmtId="0" fontId="17" fillId="2" borderId="15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left" vertical="center" indent="1"/>
    </xf>
    <xf numFmtId="3" fontId="9" fillId="7" borderId="2" xfId="0" applyNumberFormat="1" applyFont="1" applyFill="1" applyBorder="1" applyAlignment="1">
      <alignment horizontal="right" vertical="center"/>
    </xf>
    <xf numFmtId="165" fontId="9" fillId="7" borderId="2" xfId="0" applyNumberFormat="1" applyFont="1" applyFill="1" applyBorder="1" applyAlignment="1">
      <alignment horizontal="right" vertical="center"/>
    </xf>
    <xf numFmtId="0" fontId="25" fillId="9" borderId="2" xfId="0" applyFont="1" applyFill="1" applyBorder="1" applyAlignment="1">
      <alignment horizontal="left" vertical="center" indent="1"/>
    </xf>
    <xf numFmtId="167" fontId="9" fillId="7" borderId="2" xfId="0" applyNumberFormat="1" applyFont="1" applyFill="1" applyBorder="1" applyAlignment="1">
      <alignment horizontal="right" vertical="center"/>
    </xf>
    <xf numFmtId="0" fontId="25" fillId="8" borderId="2" xfId="0" applyFont="1" applyFill="1" applyBorder="1" applyAlignment="1">
      <alignment horizontal="left" vertical="center" indent="1"/>
    </xf>
    <xf numFmtId="0" fontId="25" fillId="7" borderId="2" xfId="0" applyFont="1" applyFill="1" applyBorder="1" applyAlignment="1">
      <alignment horizontal="left" vertical="center" indent="1"/>
    </xf>
    <xf numFmtId="0" fontId="24" fillId="7" borderId="2" xfId="0" applyFont="1" applyFill="1" applyBorder="1" applyAlignment="1">
      <alignment horizontal="left" vertical="center" wrapText="1"/>
    </xf>
    <xf numFmtId="1" fontId="10" fillId="6" borderId="2" xfId="0" applyNumberFormat="1" applyFont="1" applyFill="1" applyBorder="1" applyAlignment="1">
      <alignment horizontal="left" vertical="center" indent="1"/>
    </xf>
    <xf numFmtId="165" fontId="10" fillId="6" borderId="2" xfId="0" applyNumberFormat="1" applyFont="1" applyFill="1" applyBorder="1" applyAlignment="1">
      <alignment horizontal="left" vertical="center" indent="1"/>
    </xf>
    <xf numFmtId="167" fontId="10" fillId="6" borderId="2" xfId="0" applyNumberFormat="1" applyFont="1" applyFill="1" applyBorder="1" applyAlignment="1">
      <alignment horizontal="left" vertical="center" indent="1"/>
    </xf>
    <xf numFmtId="0" fontId="5" fillId="4" borderId="23" xfId="0" applyFont="1" applyFill="1" applyBorder="1" applyAlignment="1">
      <alignment horizontal="left" vertical="center" indent="1"/>
    </xf>
    <xf numFmtId="0" fontId="24" fillId="0" borderId="0" xfId="0" applyFont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</cellXfs>
  <cellStyles count="1">
    <cellStyle name="Standard" xfId="0" builtinId="0"/>
  </cellStyles>
  <dxfs count="15">
    <dxf>
      <font>
        <b/>
        <sz val="10"/>
        <color rgb="FFB2453A"/>
        <name val="Calibri"/>
        <charset val="1"/>
      </font>
      <fill>
        <patternFill>
          <bgColor rgb="FFF8E2DE"/>
        </patternFill>
      </fill>
    </dxf>
    <dxf>
      <font>
        <b/>
        <sz val="10"/>
        <color rgb="FF3F7A5E"/>
        <name val="Calibri"/>
        <charset val="1"/>
      </font>
      <fill>
        <patternFill>
          <bgColor rgb="FFE2EFE8"/>
        </patternFill>
      </fill>
    </dxf>
    <dxf>
      <font>
        <b/>
        <sz val="10"/>
        <color rgb="FF3F7A5E"/>
        <name val="Calibri"/>
        <charset val="1"/>
      </font>
      <fill>
        <patternFill>
          <bgColor rgb="FFE2EFE8"/>
        </patternFill>
      </fill>
    </dxf>
    <dxf>
      <font>
        <b/>
        <sz val="10"/>
        <color rgb="FFB2453A"/>
        <name val="Calibri"/>
        <charset val="1"/>
      </font>
      <fill>
        <patternFill>
          <bgColor rgb="FFF8E2DE"/>
        </patternFill>
      </fill>
    </dxf>
    <dxf>
      <font>
        <b/>
        <sz val="10"/>
        <color rgb="FFB2453A"/>
        <name val="Calibri"/>
        <charset val="1"/>
      </font>
      <fill>
        <patternFill>
          <bgColor rgb="FFF8E2DE"/>
        </patternFill>
      </fill>
    </dxf>
    <dxf>
      <font>
        <b/>
        <sz val="10"/>
        <color rgb="FF3F7A5E"/>
        <name val="Calibri"/>
        <charset val="1"/>
      </font>
      <fill>
        <patternFill>
          <bgColor rgb="FFE2EFE8"/>
        </patternFill>
      </fill>
    </dxf>
    <dxf>
      <font>
        <b/>
        <sz val="10"/>
        <color rgb="FFB2453A"/>
        <name val="Calibri"/>
        <charset val="1"/>
      </font>
      <fill>
        <patternFill>
          <bgColor rgb="FFF8E2DE"/>
        </patternFill>
      </fill>
    </dxf>
    <dxf>
      <font>
        <b/>
        <sz val="9"/>
        <color rgb="FFD99A2B"/>
        <name val="Calibri"/>
        <charset val="1"/>
      </font>
      <fill>
        <patternFill>
          <bgColor rgb="FFFBEFD5"/>
        </patternFill>
      </fill>
    </dxf>
    <dxf>
      <font>
        <b/>
        <sz val="9"/>
        <color rgb="FFB2453A"/>
        <name val="Calibri"/>
        <charset val="1"/>
      </font>
      <fill>
        <patternFill>
          <bgColor rgb="FFF8E2DE"/>
        </patternFill>
      </fill>
    </dxf>
    <dxf>
      <font>
        <b/>
        <sz val="9"/>
        <color rgb="FF3F7A5E"/>
        <name val="Calibri"/>
        <charset val="1"/>
      </font>
      <fill>
        <patternFill>
          <bgColor rgb="FFE2EFE8"/>
        </patternFill>
      </fill>
    </dxf>
    <dxf>
      <font>
        <b/>
        <sz val="10"/>
        <color rgb="FFB2453A"/>
        <name val="Calibri"/>
        <charset val="1"/>
      </font>
      <fill>
        <patternFill>
          <bgColor rgb="FFF8E2DE"/>
        </patternFill>
      </fill>
    </dxf>
    <dxf>
      <font>
        <b/>
        <sz val="10"/>
        <color rgb="FFB2453A"/>
        <name val="Calibri"/>
        <charset val="1"/>
      </font>
      <fill>
        <patternFill>
          <bgColor rgb="FFF8E2DE"/>
        </patternFill>
      </fill>
    </dxf>
    <dxf>
      <font>
        <b/>
        <sz val="10"/>
        <color rgb="FFB2453A"/>
        <name val="Calibri"/>
        <charset val="1"/>
      </font>
      <fill>
        <patternFill>
          <bgColor rgb="FFF8E2DE"/>
        </patternFill>
      </fill>
    </dxf>
    <dxf>
      <font>
        <b/>
        <sz val="10"/>
        <color rgb="FFB2453A"/>
        <name val="Calibri"/>
        <charset val="1"/>
      </font>
      <fill>
        <patternFill>
          <bgColor rgb="FFF8E2DE"/>
        </patternFill>
      </fill>
    </dxf>
    <dxf>
      <font>
        <b/>
        <sz val="10"/>
        <color rgb="FFB2453A"/>
        <name val="Calibri"/>
        <charset val="1"/>
      </font>
      <fill>
        <patternFill>
          <bgColor rgb="FFF8E2D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3BA"/>
      <rgbColor rgb="FF8A8378"/>
      <rgbColor rgb="FF9999FF"/>
      <rgbColor rgb="FFB2453A"/>
      <rgbColor rgb="FFFFF6E2"/>
      <rgbColor rgb="FFE2EF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6EE"/>
      <rgbColor rgb="FFEFEDE9"/>
      <rgbColor rgb="FFFBEFD5"/>
      <rgbColor rgb="FFF8E2DE"/>
      <rgbColor rgb="FFF5F3F0"/>
      <rgbColor rgb="FFCC99FF"/>
      <rgbColor rgb="FFE7B85C"/>
      <rgbColor rgb="FF3366FF"/>
      <rgbColor rgb="FF33CCCC"/>
      <rgbColor rgb="FF99CC00"/>
      <rgbColor rgb="FFFFCC00"/>
      <rgbColor rgb="FFD99A2B"/>
      <rgbColor rgb="FFFF6600"/>
      <rgbColor rgb="FF55738C"/>
      <rgbColor rgb="FF878787"/>
      <rgbColor rgb="FF003366"/>
      <rgbColor rgb="FF3F7A5E"/>
      <rgbColor rgb="FF003300"/>
      <rgbColor rgb="FF333300"/>
      <rgbColor rgb="FF993300"/>
      <rgbColor rgb="FF5E584F"/>
      <rgbColor rgb="FF333399"/>
      <rgbColor rgb="FF3D3A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Tassen je Getränk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Auswertung!$E$25</c:f>
              <c:strCache>
                <c:ptCount val="1"/>
                <c:pt idx="0">
                  <c:v>Tassen</c:v>
                </c:pt>
              </c:strCache>
            </c:strRef>
          </c:tx>
          <c:spPr>
            <a:solidFill>
              <a:srgbClr val="55738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Auswertung!$C$26:$C$35</c:f>
              <c:strCache>
                <c:ptCount val="10"/>
                <c:pt idx="0">
                  <c:v>Filterkaffee</c:v>
                </c:pt>
                <c:pt idx="1">
                  <c:v>Espresso</c:v>
                </c:pt>
                <c:pt idx="2">
                  <c:v>Espresso Macchiato</c:v>
                </c:pt>
                <c:pt idx="3">
                  <c:v>Cappuccino</c:v>
                </c:pt>
                <c:pt idx="4">
                  <c:v>Latte Macchiato</c:v>
                </c:pt>
                <c:pt idx="5">
                  <c:v>Milchkaffee</c:v>
                </c:pt>
                <c:pt idx="6">
                  <c:v>Chai Latte</c:v>
                </c:pt>
                <c:pt idx="7">
                  <c:v>Kakao</c:v>
                </c:pt>
                <c:pt idx="8">
                  <c:v>Tee</c:v>
                </c:pt>
                <c:pt idx="9">
                  <c:v>Wasser</c:v>
                </c:pt>
              </c:strCache>
            </c:strRef>
          </c:cat>
          <c:val>
            <c:numRef>
              <c:f>Auswertung!$E$26:$E$35</c:f>
              <c:numCache>
                <c:formatCode>#,##0</c:formatCode>
                <c:ptCount val="10"/>
                <c:pt idx="0">
                  <c:v>568</c:v>
                </c:pt>
                <c:pt idx="1">
                  <c:v>643</c:v>
                </c:pt>
                <c:pt idx="2">
                  <c:v>12</c:v>
                </c:pt>
                <c:pt idx="3">
                  <c:v>231</c:v>
                </c:pt>
                <c:pt idx="4">
                  <c:v>171</c:v>
                </c:pt>
                <c:pt idx="5">
                  <c:v>135</c:v>
                </c:pt>
                <c:pt idx="6">
                  <c:v>11</c:v>
                </c:pt>
                <c:pt idx="7">
                  <c:v>7</c:v>
                </c:pt>
                <c:pt idx="8">
                  <c:v>208</c:v>
                </c:pt>
                <c:pt idx="9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8C-4B75-862B-B6E80A37E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45883"/>
        <c:axId val="62368509"/>
      </c:barChart>
      <c:catAx>
        <c:axId val="212458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2368509"/>
        <c:crosses val="autoZero"/>
        <c:auto val="1"/>
        <c:lblAlgn val="ctr"/>
        <c:lblOffset val="100"/>
        <c:noMultiLvlLbl val="0"/>
      </c:catAx>
      <c:valAx>
        <c:axId val="62368509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124588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Umsatz, Einzahlungen und Einkäufe je Monat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Auswertung!$E$40</c:f>
              <c:strCache>
                <c:ptCount val="1"/>
                <c:pt idx="0">
                  <c:v>Umsatz</c:v>
                </c:pt>
              </c:strCache>
            </c:strRef>
          </c:tx>
          <c:spPr>
            <a:solidFill>
              <a:srgbClr val="3D3A3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Auswertung!$C$41:$C$52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Auswertung!$E$41:$E$52</c:f>
              <c:numCache>
                <c:formatCode>#,##0.00" €"</c:formatCode>
                <c:ptCount val="12"/>
                <c:pt idx="0">
                  <c:v>167.3</c:v>
                </c:pt>
                <c:pt idx="1">
                  <c:v>168.8</c:v>
                </c:pt>
                <c:pt idx="2">
                  <c:v>185.1</c:v>
                </c:pt>
                <c:pt idx="3">
                  <c:v>171</c:v>
                </c:pt>
                <c:pt idx="4">
                  <c:v>175.7</c:v>
                </c:pt>
                <c:pt idx="5">
                  <c:v>164.3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8-42BB-A47F-B4AA74402E93}"/>
            </c:ext>
          </c:extLst>
        </c:ser>
        <c:ser>
          <c:idx val="1"/>
          <c:order val="1"/>
          <c:tx>
            <c:strRef>
              <c:f>Auswertung!$H$40</c:f>
              <c:strCache>
                <c:ptCount val="1"/>
                <c:pt idx="0">
                  <c:v>Einzahlungen</c:v>
                </c:pt>
              </c:strCache>
            </c:strRef>
          </c:tx>
          <c:spPr>
            <a:solidFill>
              <a:srgbClr val="3F7A5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Auswertung!$C$41:$C$52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Auswertung!$H$41:$H$52</c:f>
              <c:numCache>
                <c:formatCode>#,##0.00" €"</c:formatCode>
                <c:ptCount val="12"/>
                <c:pt idx="0">
                  <c:v>165</c:v>
                </c:pt>
                <c:pt idx="1">
                  <c:v>170</c:v>
                </c:pt>
                <c:pt idx="2">
                  <c:v>165</c:v>
                </c:pt>
                <c:pt idx="3">
                  <c:v>175</c:v>
                </c:pt>
                <c:pt idx="4">
                  <c:v>165</c:v>
                </c:pt>
                <c:pt idx="5">
                  <c:v>165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B8-42BB-A47F-B4AA74402E93}"/>
            </c:ext>
          </c:extLst>
        </c:ser>
        <c:ser>
          <c:idx val="2"/>
          <c:order val="2"/>
          <c:tx>
            <c:strRef>
              <c:f>Auswertung!$I$40</c:f>
              <c:strCache>
                <c:ptCount val="1"/>
                <c:pt idx="0">
                  <c:v>Einkäufe</c:v>
                </c:pt>
              </c:strCache>
            </c:strRef>
          </c:tx>
          <c:spPr>
            <a:solidFill>
              <a:srgbClr val="D99A2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Auswertung!$C$41:$C$52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Auswertung!$I$41:$I$52</c:f>
              <c:numCache>
                <c:formatCode>#,##0.00" €"</c:formatCode>
                <c:ptCount val="12"/>
                <c:pt idx="0">
                  <c:v>104.56</c:v>
                </c:pt>
                <c:pt idx="1">
                  <c:v>113.30000000000001</c:v>
                </c:pt>
                <c:pt idx="2">
                  <c:v>150.06</c:v>
                </c:pt>
                <c:pt idx="3">
                  <c:v>120.35</c:v>
                </c:pt>
                <c:pt idx="4">
                  <c:v>143.33999999999997</c:v>
                </c:pt>
                <c:pt idx="5">
                  <c:v>222.04999999999998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B8-42BB-A47F-B4AA74402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973184"/>
        <c:axId val="35950076"/>
      </c:barChart>
      <c:catAx>
        <c:axId val="6397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5950076"/>
        <c:crosses val="autoZero"/>
        <c:auto val="1"/>
        <c:lblAlgn val="ctr"/>
        <c:lblOffset val="100"/>
        <c:noMultiLvlLbl val="0"/>
      </c:catAx>
      <c:valAx>
        <c:axId val="359500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397318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6</xdr:col>
      <xdr:colOff>574560</xdr:colOff>
      <xdr:row>89</xdr:row>
      <xdr:rowOff>181440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72</xdr:row>
      <xdr:rowOff>0</xdr:rowOff>
    </xdr:from>
    <xdr:to>
      <xdr:col>13</xdr:col>
      <xdr:colOff>124560</xdr:colOff>
      <xdr:row>89</xdr:row>
      <xdr:rowOff>181440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88"/>
  <sheetViews>
    <sheetView showGridLines="0" tabSelected="1" zoomScaleNormal="100" workbookViewId="0">
      <pane xSplit="4" ySplit="17" topLeftCell="E18" activePane="bottomRight" state="frozen"/>
      <selection pane="topRight" activeCell="E1" sqref="E1"/>
      <selection pane="bottomLeft" activeCell="A18" sqref="A18"/>
      <selection pane="bottomRight" activeCell="Q46" sqref="Q46"/>
    </sheetView>
  </sheetViews>
  <sheetFormatPr baseColWidth="10" defaultColWidth="8.7109375" defaultRowHeight="15" x14ac:dyDescent="0.25"/>
  <cols>
    <col min="1" max="1" width="2.140625" customWidth="1"/>
    <col min="2" max="2" width="7.7109375" bestFit="1" customWidth="1"/>
    <col min="3" max="3" width="10.42578125" bestFit="1" customWidth="1"/>
    <col min="4" max="4" width="10.140625" bestFit="1" customWidth="1"/>
    <col min="5" max="5" width="15.140625" bestFit="1" customWidth="1"/>
    <col min="6" max="6" width="12.28515625" bestFit="1" customWidth="1"/>
    <col min="7" max="7" width="17" bestFit="1" customWidth="1"/>
    <col min="8" max="8" width="14.140625" bestFit="1" customWidth="1"/>
    <col min="9" max="9" width="10.28515625" bestFit="1" customWidth="1"/>
    <col min="10" max="10" width="10.7109375" bestFit="1" customWidth="1"/>
    <col min="11" max="11" width="10.28515625" bestFit="1" customWidth="1"/>
    <col min="12" max="12" width="10.85546875" bestFit="1" customWidth="1"/>
    <col min="13" max="13" width="13" bestFit="1" customWidth="1"/>
    <col min="14" max="14" width="28.5703125" bestFit="1" customWidth="1"/>
    <col min="15" max="15" width="3" customWidth="1"/>
  </cols>
  <sheetData>
    <row r="2" spans="2:14" ht="30" customHeight="1" x14ac:dyDescent="0.25">
      <c r="B2" s="14" t="s">
        <v>277</v>
      </c>
      <c r="C2" s="14"/>
      <c r="D2" s="14"/>
      <c r="E2" s="14"/>
      <c r="F2" s="14"/>
      <c r="G2" s="14"/>
      <c r="H2" s="14"/>
      <c r="I2" s="13" t="s">
        <v>0</v>
      </c>
      <c r="J2" s="13"/>
      <c r="K2" s="13"/>
      <c r="L2" s="13"/>
      <c r="M2" s="13"/>
      <c r="N2" s="13"/>
    </row>
    <row r="3" spans="2:14" ht="16.5" customHeight="1" x14ac:dyDescent="0.25">
      <c r="B3" s="12" t="s">
        <v>1</v>
      </c>
      <c r="C3" s="12"/>
      <c r="D3" s="12"/>
      <c r="E3" s="12"/>
      <c r="F3" s="12"/>
      <c r="G3" s="12"/>
      <c r="H3" s="12"/>
      <c r="I3" s="11" t="s">
        <v>2</v>
      </c>
      <c r="J3" s="11"/>
      <c r="K3" s="11"/>
      <c r="L3" s="11"/>
      <c r="M3" s="11"/>
      <c r="N3" s="11"/>
    </row>
    <row r="4" spans="2:14" ht="3.7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6" spans="2:14" ht="19.5" customHeight="1" x14ac:dyDescent="0.25">
      <c r="B6" s="16" t="s">
        <v>3</v>
      </c>
      <c r="C6" s="10" t="s">
        <v>4</v>
      </c>
      <c r="D6" s="10"/>
      <c r="E6" s="10"/>
      <c r="F6" s="10"/>
      <c r="G6" s="10"/>
      <c r="H6" s="10"/>
      <c r="I6" s="10"/>
      <c r="J6" s="10"/>
      <c r="K6" s="9" t="s">
        <v>5</v>
      </c>
      <c r="L6" s="9"/>
      <c r="M6" s="9"/>
      <c r="N6" s="9"/>
    </row>
    <row r="7" spans="2:14" x14ac:dyDescent="0.25">
      <c r="B7" s="8" t="s">
        <v>6</v>
      </c>
      <c r="C7" s="8"/>
      <c r="D7" s="8"/>
      <c r="E7" s="7" t="str">
        <f>Stammdaten!$D$7</f>
        <v>Muster Verwaltungs- und Servicegesellschaft mbH</v>
      </c>
      <c r="F7" s="7"/>
      <c r="G7" s="8" t="s">
        <v>7</v>
      </c>
      <c r="H7" s="8"/>
      <c r="I7" s="7">
        <f>Stammdaten!$G$7</f>
        <v>0</v>
      </c>
      <c r="J7" s="7"/>
      <c r="K7" s="7"/>
    </row>
    <row r="8" spans="2:14" x14ac:dyDescent="0.25">
      <c r="B8" s="8" t="s">
        <v>8</v>
      </c>
      <c r="C8" s="8"/>
      <c r="D8" s="8"/>
      <c r="E8" s="7">
        <f>Stammdaten!$G$8</f>
        <v>0</v>
      </c>
      <c r="F8" s="7"/>
      <c r="G8" s="8" t="s">
        <v>9</v>
      </c>
      <c r="H8" s="8"/>
      <c r="I8" s="6">
        <f>Stammdaten!$D$9</f>
        <v>2026</v>
      </c>
      <c r="J8" s="6"/>
      <c r="K8" s="6"/>
    </row>
    <row r="9" spans="2:14" x14ac:dyDescent="0.25">
      <c r="B9" s="8" t="s">
        <v>10</v>
      </c>
      <c r="C9" s="8"/>
      <c r="D9" s="8"/>
      <c r="E9" s="5" t="s">
        <v>11</v>
      </c>
      <c r="F9" s="5"/>
      <c r="G9" s="8" t="s">
        <v>12</v>
      </c>
      <c r="H9" s="8"/>
      <c r="I9" s="4">
        <v>46218</v>
      </c>
      <c r="J9" s="4"/>
      <c r="K9" s="4"/>
    </row>
    <row r="11" spans="2:14" ht="19.5" customHeight="1" x14ac:dyDescent="0.25">
      <c r="B11" s="16" t="s">
        <v>13</v>
      </c>
      <c r="C11" s="10" t="s">
        <v>14</v>
      </c>
      <c r="D11" s="10"/>
      <c r="E11" s="10"/>
      <c r="F11" s="10"/>
      <c r="G11" s="10"/>
      <c r="H11" s="10"/>
      <c r="I11" s="10"/>
      <c r="J11" s="10"/>
      <c r="K11" s="9" t="s">
        <v>15</v>
      </c>
      <c r="L11" s="9"/>
      <c r="M11" s="9"/>
      <c r="N11" s="9"/>
    </row>
    <row r="12" spans="2:14" ht="13.5" customHeight="1" x14ac:dyDescent="0.25">
      <c r="B12" s="3" t="s">
        <v>16</v>
      </c>
      <c r="C12" s="3"/>
      <c r="D12" s="3"/>
      <c r="E12" s="2" t="s">
        <v>17</v>
      </c>
      <c r="F12" s="2"/>
      <c r="G12" s="1" t="s">
        <v>18</v>
      </c>
      <c r="H12" s="1"/>
      <c r="I12" s="3" t="s">
        <v>19</v>
      </c>
      <c r="J12" s="3"/>
      <c r="K12" s="3"/>
      <c r="L12" s="56" t="s">
        <v>20</v>
      </c>
      <c r="M12" s="56"/>
      <c r="N12" s="56"/>
    </row>
    <row r="13" spans="2:14" ht="24" customHeight="1" x14ac:dyDescent="0.25">
      <c r="B13" s="57">
        <f>SUM($I$18:$I$87)</f>
        <v>2004</v>
      </c>
      <c r="C13" s="57"/>
      <c r="D13" s="57"/>
      <c r="E13" s="58">
        <f>SUM($K$18:$K$87)</f>
        <v>1032.2000000000003</v>
      </c>
      <c r="F13" s="58"/>
      <c r="G13" s="59">
        <f>SUM($L$18:$L$87)</f>
        <v>341.77</v>
      </c>
      <c r="H13" s="59"/>
      <c r="I13" s="60">
        <f>IFERROR(SUM($K$18:$K$87)/SUM($I$18:$I$87),0)</f>
        <v>0.51506986027944124</v>
      </c>
      <c r="J13" s="60"/>
      <c r="K13" s="60"/>
      <c r="L13" s="61">
        <f>SUM($M$18:$M$87)</f>
        <v>690.43000000000006</v>
      </c>
      <c r="M13" s="61"/>
      <c r="N13" s="61"/>
    </row>
    <row r="14" spans="2:14" ht="13.5" customHeight="1" x14ac:dyDescent="0.25">
      <c r="B14" s="62" t="s">
        <v>21</v>
      </c>
      <c r="C14" s="62"/>
      <c r="D14" s="62"/>
      <c r="E14" s="63" t="s">
        <v>22</v>
      </c>
      <c r="F14" s="63"/>
      <c r="G14" s="64" t="s">
        <v>23</v>
      </c>
      <c r="H14" s="64"/>
      <c r="I14" s="62" t="s">
        <v>24</v>
      </c>
      <c r="J14" s="62"/>
      <c r="K14" s="62"/>
      <c r="L14" s="65" t="s">
        <v>25</v>
      </c>
      <c r="M14" s="65"/>
      <c r="N14" s="65"/>
    </row>
    <row r="16" spans="2:14" ht="19.5" customHeight="1" x14ac:dyDescent="0.25">
      <c r="B16" s="16" t="s">
        <v>26</v>
      </c>
      <c r="C16" s="10" t="s">
        <v>27</v>
      </c>
      <c r="D16" s="10"/>
      <c r="E16" s="10"/>
      <c r="F16" s="10"/>
      <c r="G16" s="10"/>
      <c r="H16" s="10"/>
      <c r="I16" s="10"/>
      <c r="J16" s="10"/>
      <c r="K16" s="9" t="s">
        <v>28</v>
      </c>
      <c r="L16" s="9"/>
      <c r="M16" s="9"/>
      <c r="N16" s="9"/>
    </row>
    <row r="17" spans="2:14" ht="27.75" customHeight="1" x14ac:dyDescent="0.25">
      <c r="B17" s="17" t="s">
        <v>29</v>
      </c>
      <c r="C17" s="17" t="s">
        <v>30</v>
      </c>
      <c r="D17" s="17" t="s">
        <v>31</v>
      </c>
      <c r="E17" s="17" t="s">
        <v>32</v>
      </c>
      <c r="F17" s="17" t="s">
        <v>33</v>
      </c>
      <c r="G17" s="17" t="s">
        <v>34</v>
      </c>
      <c r="H17" s="17" t="s">
        <v>35</v>
      </c>
      <c r="I17" s="17" t="s">
        <v>36</v>
      </c>
      <c r="J17" s="17" t="s">
        <v>37</v>
      </c>
      <c r="K17" s="17" t="s">
        <v>38</v>
      </c>
      <c r="L17" s="17" t="s">
        <v>39</v>
      </c>
      <c r="M17" s="17" t="s">
        <v>40</v>
      </c>
      <c r="N17" s="17" t="s">
        <v>41</v>
      </c>
    </row>
    <row r="18" spans="2:14" x14ac:dyDescent="0.25">
      <c r="B18" s="18">
        <f>IF($C18="","",COUNT($C$18:$C18))</f>
        <v>1</v>
      </c>
      <c r="C18" s="19">
        <v>46052</v>
      </c>
      <c r="D18" s="20" t="str">
        <f>IF($C18="","",INDEX({"Januar","Februar","März","April","Mai","Juni","Juli","August","September","Oktober","November","Dezember"},MONTH($C18)))</f>
        <v>Januar</v>
      </c>
      <c r="E18" s="21" t="s">
        <v>42</v>
      </c>
      <c r="F18" s="22" t="str">
        <f>IF($E18="","",IFERROR(INDEX(Stammdaten!$D$14:$D$23,MATCH($E18,Stammdaten!$C$14:$C$23,0)),"?"))</f>
        <v>Verwaltung</v>
      </c>
      <c r="G18" s="21" t="s">
        <v>43</v>
      </c>
      <c r="H18" s="22" t="str">
        <f>IF($G18="","",IFERROR(INDEX(Stammdaten!$D$27:$D$38,MATCH($G18,Stammdaten!$C$27:$C$38,0)),"?"))</f>
        <v>Kaffeespezialität</v>
      </c>
      <c r="I18" s="23">
        <v>38</v>
      </c>
      <c r="J18" s="24">
        <f>IF($G18="","",IFERROR(INDEX(Stammdaten!$E$27:$E$38,MATCH($G18,Stammdaten!$C$27:$C$38,0)),0))</f>
        <v>0.7</v>
      </c>
      <c r="K18" s="25">
        <f t="shared" ref="K18:K49" si="0">IF(OR($I18="",$J18=""),"",ROUND($I18*$J18,2))</f>
        <v>26.6</v>
      </c>
      <c r="L18" s="24">
        <f>IF(OR($I18="",$G18=""),"",ROUND($I18*IFERROR(INDEX(Stammdaten!$F$27:$F$38,MATCH($G18,Stammdaten!$C$27:$C$38,0)),0),2))</f>
        <v>9.8800000000000008</v>
      </c>
      <c r="M18" s="24">
        <f t="shared" ref="M18:M49" si="1">IF($K18="","",$K18-$L18)</f>
        <v>16.72</v>
      </c>
      <c r="N18" s="21" t="s">
        <v>44</v>
      </c>
    </row>
    <row r="19" spans="2:14" x14ac:dyDescent="0.25">
      <c r="B19" s="18">
        <f>IF($C19="","",COUNT($C$18:$C19))</f>
        <v>2</v>
      </c>
      <c r="C19" s="19">
        <v>46052</v>
      </c>
      <c r="D19" s="20" t="str">
        <f>IF($C19="","",INDEX({"Januar","Februar","März","April","Mai","Juni","Juli","August","September","Oktober","November","Dezember"},MONTH($C19)))</f>
        <v>Januar</v>
      </c>
      <c r="E19" s="21" t="s">
        <v>45</v>
      </c>
      <c r="F19" s="22" t="str">
        <f>IF($E19="","",IFERROR(INDEX(Stammdaten!$D$14:$D$23,MATCH($E19,Stammdaten!$C$14:$C$23,0)),"?"))</f>
        <v>IT</v>
      </c>
      <c r="G19" s="21" t="s">
        <v>46</v>
      </c>
      <c r="H19" s="22" t="str">
        <f>IF($G19="","",IFERROR(INDEX(Stammdaten!$D$27:$D$38,MATCH($G19,Stammdaten!$C$27:$C$38,0)),"?"))</f>
        <v>Kaffee</v>
      </c>
      <c r="I19" s="23">
        <v>47</v>
      </c>
      <c r="J19" s="24">
        <f>IF($G19="","",IFERROR(INDEX(Stammdaten!$E$27:$E$38,MATCH($G19,Stammdaten!$C$27:$C$38,0)),0))</f>
        <v>0.5</v>
      </c>
      <c r="K19" s="25">
        <f t="shared" si="0"/>
        <v>23.5</v>
      </c>
      <c r="L19" s="24">
        <f>IF(OR($I19="",$G19=""),"",ROUND($I19*IFERROR(INDEX(Stammdaten!$F$27:$F$38,MATCH($G19,Stammdaten!$C$27:$C$38,0)),0),2))</f>
        <v>7.05</v>
      </c>
      <c r="M19" s="24">
        <f t="shared" si="1"/>
        <v>16.45</v>
      </c>
      <c r="N19" s="21" t="s">
        <v>44</v>
      </c>
    </row>
    <row r="20" spans="2:14" x14ac:dyDescent="0.25">
      <c r="B20" s="18">
        <f>IF($C20="","",COUNT($C$18:$C20))</f>
        <v>3</v>
      </c>
      <c r="C20" s="19">
        <v>46052</v>
      </c>
      <c r="D20" s="20" t="str">
        <f>IF($C20="","",INDEX({"Januar","Februar","März","April","Mai","Juni","Juli","August","September","Oktober","November","Dezember"},MONTH($C20)))</f>
        <v>Januar</v>
      </c>
      <c r="E20" s="21" t="s">
        <v>47</v>
      </c>
      <c r="F20" s="22" t="str">
        <f>IF($E20="","",IFERROR(INDEX(Stammdaten!$D$14:$D$23,MATCH($E20,Stammdaten!$C$14:$C$23,0)),"?"))</f>
        <v>Vertrieb</v>
      </c>
      <c r="G20" s="21" t="s">
        <v>48</v>
      </c>
      <c r="H20" s="22" t="str">
        <f>IF($G20="","",IFERROR(INDEX(Stammdaten!$D$27:$D$38,MATCH($G20,Stammdaten!$C$27:$C$38,0)),"?"))</f>
        <v>Kaffeespezialität</v>
      </c>
      <c r="I20" s="23">
        <v>22</v>
      </c>
      <c r="J20" s="24">
        <f>IF($G20="","",IFERROR(INDEX(Stammdaten!$E$27:$E$38,MATCH($G20,Stammdaten!$C$27:$C$38,0)),0))</f>
        <v>0.7</v>
      </c>
      <c r="K20" s="25">
        <f t="shared" si="0"/>
        <v>15.4</v>
      </c>
      <c r="L20" s="24">
        <f>IF(OR($I20="",$G20=""),"",ROUND($I20*IFERROR(INDEX(Stammdaten!$F$27:$F$38,MATCH($G20,Stammdaten!$C$27:$C$38,0)),0),2))</f>
        <v>5.94</v>
      </c>
      <c r="M20" s="24">
        <f t="shared" si="1"/>
        <v>9.4600000000000009</v>
      </c>
      <c r="N20" s="21" t="s">
        <v>44</v>
      </c>
    </row>
    <row r="21" spans="2:14" x14ac:dyDescent="0.25">
      <c r="B21" s="18">
        <f>IF($C21="","",COUNT($C$18:$C21))</f>
        <v>4</v>
      </c>
      <c r="C21" s="19">
        <v>46052</v>
      </c>
      <c r="D21" s="20" t="str">
        <f>IF($C21="","",INDEX({"Januar","Februar","März","April","Mai","Juni","Juli","August","September","Oktober","November","Dezember"},MONTH($C21)))</f>
        <v>Januar</v>
      </c>
      <c r="E21" s="21" t="s">
        <v>49</v>
      </c>
      <c r="F21" s="22" t="str">
        <f>IF($E21="","",IFERROR(INDEX(Stammdaten!$D$14:$D$23,MATCH($E21,Stammdaten!$C$14:$C$23,0)),"?"))</f>
        <v>Marketing</v>
      </c>
      <c r="G21" s="21" t="s">
        <v>50</v>
      </c>
      <c r="H21" s="22" t="str">
        <f>IF($G21="","",IFERROR(INDEX(Stammdaten!$D$27:$D$38,MATCH($G21,Stammdaten!$C$27:$C$38,0)),"?"))</f>
        <v>Kaffeespezialität</v>
      </c>
      <c r="I21" s="23">
        <v>28</v>
      </c>
      <c r="J21" s="24">
        <f>IF($G21="","",IFERROR(INDEX(Stammdaten!$E$27:$E$38,MATCH($G21,Stammdaten!$C$27:$C$38,0)),0))</f>
        <v>0.8</v>
      </c>
      <c r="K21" s="25">
        <f t="shared" si="0"/>
        <v>22.4</v>
      </c>
      <c r="L21" s="24">
        <f>IF(OR($I21="",$G21=""),"",ROUND($I21*IFERROR(INDEX(Stammdaten!$F$27:$F$38,MATCH($G21,Stammdaten!$C$27:$C$38,0)),0),2))</f>
        <v>8.68</v>
      </c>
      <c r="M21" s="24">
        <f t="shared" si="1"/>
        <v>13.719999999999999</v>
      </c>
      <c r="N21" s="21" t="s">
        <v>44</v>
      </c>
    </row>
    <row r="22" spans="2:14" x14ac:dyDescent="0.25">
      <c r="B22" s="18">
        <f>IF($C22="","",COUNT($C$18:$C22))</f>
        <v>5</v>
      </c>
      <c r="C22" s="19">
        <v>46052</v>
      </c>
      <c r="D22" s="20" t="str">
        <f>IF($C22="","",INDEX({"Januar","Februar","März","April","Mai","Juni","Juli","August","September","Oktober","November","Dezember"},MONTH($C22)))</f>
        <v>Januar</v>
      </c>
      <c r="E22" s="21" t="s">
        <v>51</v>
      </c>
      <c r="F22" s="22" t="str">
        <f>IF($E22="","",IFERROR(INDEX(Stammdaten!$D$14:$D$23,MATCH($E22,Stammdaten!$C$14:$C$23,0)),"?"))</f>
        <v>Vertrieb</v>
      </c>
      <c r="G22" s="21" t="s">
        <v>52</v>
      </c>
      <c r="H22" s="22" t="str">
        <f>IF($G22="","",IFERROR(INDEX(Stammdaten!$D$27:$D$38,MATCH($G22,Stammdaten!$C$27:$C$38,0)),"?"))</f>
        <v>Kaffee</v>
      </c>
      <c r="I22" s="23">
        <v>52</v>
      </c>
      <c r="J22" s="24">
        <f>IF($G22="","",IFERROR(INDEX(Stammdaten!$E$27:$E$38,MATCH($G22,Stammdaten!$C$27:$C$38,0)),0))</f>
        <v>0.4</v>
      </c>
      <c r="K22" s="25">
        <f t="shared" si="0"/>
        <v>20.8</v>
      </c>
      <c r="L22" s="24">
        <f>IF(OR($I22="",$G22=""),"",ROUND($I22*IFERROR(INDEX(Stammdaten!$F$27:$F$38,MATCH($G22,Stammdaten!$C$27:$C$38,0)),0),2))</f>
        <v>6.24</v>
      </c>
      <c r="M22" s="24">
        <f t="shared" si="1"/>
        <v>14.56</v>
      </c>
      <c r="N22" s="21" t="s">
        <v>44</v>
      </c>
    </row>
    <row r="23" spans="2:14" x14ac:dyDescent="0.25">
      <c r="B23" s="18">
        <f>IF($C23="","",COUNT($C$18:$C23))</f>
        <v>6</v>
      </c>
      <c r="C23" s="19">
        <v>46052</v>
      </c>
      <c r="D23" s="20" t="str">
        <f>IF($C23="","",INDEX({"Januar","Februar","März","April","Mai","Juni","Juli","August","September","Oktober","November","Dezember"},MONTH($C23)))</f>
        <v>Januar</v>
      </c>
      <c r="E23" s="21" t="s">
        <v>53</v>
      </c>
      <c r="F23" s="22" t="str">
        <f>IF($E23="","",IFERROR(INDEX(Stammdaten!$D$14:$D$23,MATCH($E23,Stammdaten!$C$14:$C$23,0)),"?"))</f>
        <v>Personal</v>
      </c>
      <c r="G23" s="21" t="s">
        <v>54</v>
      </c>
      <c r="H23" s="22" t="str">
        <f>IF($G23="","",IFERROR(INDEX(Stammdaten!$D$27:$D$38,MATCH($G23,Stammdaten!$C$27:$C$38,0)),"?"))</f>
        <v>Heißgetränk</v>
      </c>
      <c r="I23" s="23">
        <v>35</v>
      </c>
      <c r="J23" s="24">
        <f>IF($G23="","",IFERROR(INDEX(Stammdaten!$E$27:$E$38,MATCH($G23,Stammdaten!$C$27:$C$38,0)),0))</f>
        <v>0.3</v>
      </c>
      <c r="K23" s="25">
        <f t="shared" si="0"/>
        <v>10.5</v>
      </c>
      <c r="L23" s="24">
        <f>IF(OR($I23="",$G23=""),"",ROUND($I23*IFERROR(INDEX(Stammdaten!$F$27:$F$38,MATCH($G23,Stammdaten!$C$27:$C$38,0)),0),2))</f>
        <v>2.8</v>
      </c>
      <c r="M23" s="24">
        <f t="shared" si="1"/>
        <v>7.7</v>
      </c>
      <c r="N23" s="21" t="s">
        <v>44</v>
      </c>
    </row>
    <row r="24" spans="2:14" x14ac:dyDescent="0.25">
      <c r="B24" s="18">
        <f>IF($C24="","",COUNT($C$18:$C24))</f>
        <v>7</v>
      </c>
      <c r="C24" s="19">
        <v>46052</v>
      </c>
      <c r="D24" s="20" t="str">
        <f>IF($C24="","",INDEX({"Januar","Februar","März","April","Mai","Juni","Juli","August","September","Oktober","November","Dezember"},MONTH($C24)))</f>
        <v>Januar</v>
      </c>
      <c r="E24" s="21" t="s">
        <v>55</v>
      </c>
      <c r="F24" s="22" t="str">
        <f>IF($E24="","",IFERROR(INDEX(Stammdaten!$D$14:$D$23,MATCH($E24,Stammdaten!$C$14:$C$23,0)),"?"))</f>
        <v>Buchhaltung</v>
      </c>
      <c r="G24" s="21" t="s">
        <v>52</v>
      </c>
      <c r="H24" s="22" t="str">
        <f>IF($G24="","",IFERROR(INDEX(Stammdaten!$D$27:$D$38,MATCH($G24,Stammdaten!$C$27:$C$38,0)),"?"))</f>
        <v>Kaffee</v>
      </c>
      <c r="I24" s="23">
        <v>44</v>
      </c>
      <c r="J24" s="24">
        <f>IF($G24="","",IFERROR(INDEX(Stammdaten!$E$27:$E$38,MATCH($G24,Stammdaten!$C$27:$C$38,0)),0))</f>
        <v>0.4</v>
      </c>
      <c r="K24" s="25">
        <f t="shared" si="0"/>
        <v>17.600000000000001</v>
      </c>
      <c r="L24" s="24">
        <f>IF(OR($I24="",$G24=""),"",ROUND($I24*IFERROR(INDEX(Stammdaten!$F$27:$F$38,MATCH($G24,Stammdaten!$C$27:$C$38,0)),0),2))</f>
        <v>5.28</v>
      </c>
      <c r="M24" s="24">
        <f t="shared" si="1"/>
        <v>12.32</v>
      </c>
      <c r="N24" s="21" t="s">
        <v>44</v>
      </c>
    </row>
    <row r="25" spans="2:14" x14ac:dyDescent="0.25">
      <c r="B25" s="18">
        <f>IF($C25="","",COUNT($C$18:$C25))</f>
        <v>8</v>
      </c>
      <c r="C25" s="19">
        <v>46052</v>
      </c>
      <c r="D25" s="20" t="str">
        <f>IF($C25="","",INDEX({"Januar","Februar","März","April","Mai","Juni","Juli","August","September","Oktober","November","Dezember"},MONTH($C25)))</f>
        <v>Januar</v>
      </c>
      <c r="E25" s="21" t="s">
        <v>56</v>
      </c>
      <c r="F25" s="22" t="str">
        <f>IF($E25="","",IFERROR(INDEX(Stammdaten!$D$14:$D$23,MATCH($E25,Stammdaten!$C$14:$C$23,0)),"?"))</f>
        <v>IT</v>
      </c>
      <c r="G25" s="21" t="s">
        <v>46</v>
      </c>
      <c r="H25" s="22" t="str">
        <f>IF($G25="","",IFERROR(INDEX(Stammdaten!$D$27:$D$38,MATCH($G25,Stammdaten!$C$27:$C$38,0)),"?"))</f>
        <v>Kaffee</v>
      </c>
      <c r="I25" s="23">
        <v>61</v>
      </c>
      <c r="J25" s="24">
        <f>IF($G25="","",IFERROR(INDEX(Stammdaten!$E$27:$E$38,MATCH($G25,Stammdaten!$C$27:$C$38,0)),0))</f>
        <v>0.5</v>
      </c>
      <c r="K25" s="25">
        <f t="shared" si="0"/>
        <v>30.5</v>
      </c>
      <c r="L25" s="24">
        <f>IF(OR($I25="",$G25=""),"",ROUND($I25*IFERROR(INDEX(Stammdaten!$F$27:$F$38,MATCH($G25,Stammdaten!$C$27:$C$38,0)),0),2))</f>
        <v>9.15</v>
      </c>
      <c r="M25" s="24">
        <f t="shared" si="1"/>
        <v>21.35</v>
      </c>
      <c r="N25" s="21" t="s">
        <v>44</v>
      </c>
    </row>
    <row r="26" spans="2:14" x14ac:dyDescent="0.25">
      <c r="B26" s="18">
        <f>IF($C26="","",COUNT($C$18:$C26))</f>
        <v>9</v>
      </c>
      <c r="C26" s="19">
        <v>46065</v>
      </c>
      <c r="D26" s="20" t="str">
        <f>IF($C26="","",INDEX({"Januar","Februar","März","April","Mai","Juni","Juli","August","September","Oktober","November","Dezember"},MONTH($C26)))</f>
        <v>Februar</v>
      </c>
      <c r="E26" s="21" t="s">
        <v>42</v>
      </c>
      <c r="F26" s="22" t="str">
        <f>IF($E26="","",IFERROR(INDEX(Stammdaten!$D$14:$D$23,MATCH($E26,Stammdaten!$C$14:$C$23,0)),"?"))</f>
        <v>Verwaltung</v>
      </c>
      <c r="G26" s="21" t="s">
        <v>54</v>
      </c>
      <c r="H26" s="22" t="str">
        <f>IF($G26="","",IFERROR(INDEX(Stammdaten!$D$27:$D$38,MATCH($G26,Stammdaten!$C$27:$C$38,0)),"?"))</f>
        <v>Heißgetränk</v>
      </c>
      <c r="I26" s="23">
        <v>9</v>
      </c>
      <c r="J26" s="24">
        <f>IF($G26="","",IFERROR(INDEX(Stammdaten!$E$27:$E$38,MATCH($G26,Stammdaten!$C$27:$C$38,0)),0))</f>
        <v>0.3</v>
      </c>
      <c r="K26" s="25">
        <f t="shared" si="0"/>
        <v>2.7</v>
      </c>
      <c r="L26" s="24">
        <f>IF(OR($I26="",$G26=""),"",ROUND($I26*IFERROR(INDEX(Stammdaten!$F$27:$F$38,MATCH($G26,Stammdaten!$C$27:$C$38,0)),0),2))</f>
        <v>0.72</v>
      </c>
      <c r="M26" s="24">
        <f t="shared" si="1"/>
        <v>1.9800000000000002</v>
      </c>
      <c r="N26" s="21" t="s">
        <v>57</v>
      </c>
    </row>
    <row r="27" spans="2:14" x14ac:dyDescent="0.25">
      <c r="B27" s="18">
        <f>IF($C27="","",COUNT($C$18:$C27))</f>
        <v>10</v>
      </c>
      <c r="C27" s="19">
        <v>46070</v>
      </c>
      <c r="D27" s="20" t="str">
        <f>IF($C27="","",INDEX({"Januar","Februar","März","April","Mai","Juni","Juli","August","September","Oktober","November","Dezember"},MONTH($C27)))</f>
        <v>Februar</v>
      </c>
      <c r="E27" s="21" t="s">
        <v>55</v>
      </c>
      <c r="F27" s="22" t="str">
        <f>IF($E27="","",IFERROR(INDEX(Stammdaten!$D$14:$D$23,MATCH($E27,Stammdaten!$C$14:$C$23,0)),"?"))</f>
        <v>Buchhaltung</v>
      </c>
      <c r="G27" s="21" t="s">
        <v>58</v>
      </c>
      <c r="H27" s="22" t="str">
        <f>IF($G27="","",IFERROR(INDEX(Stammdaten!$D$27:$D$38,MATCH($G27,Stammdaten!$C$27:$C$38,0)),"?"))</f>
        <v>Heißgetränk</v>
      </c>
      <c r="I27" s="23">
        <v>7</v>
      </c>
      <c r="J27" s="24">
        <f>IF($G27="","",IFERROR(INDEX(Stammdaten!$E$27:$E$38,MATCH($G27,Stammdaten!$C$27:$C$38,0)),0))</f>
        <v>0.6</v>
      </c>
      <c r="K27" s="25">
        <f t="shared" si="0"/>
        <v>4.2</v>
      </c>
      <c r="L27" s="24">
        <f>IF(OR($I27="",$G27=""),"",ROUND($I27*IFERROR(INDEX(Stammdaten!$F$27:$F$38,MATCH($G27,Stammdaten!$C$27:$C$38,0)),0),2))</f>
        <v>1.68</v>
      </c>
      <c r="M27" s="24">
        <f t="shared" si="1"/>
        <v>2.5200000000000005</v>
      </c>
      <c r="N27" s="21" t="s">
        <v>59</v>
      </c>
    </row>
    <row r="28" spans="2:14" x14ac:dyDescent="0.25">
      <c r="B28" s="18">
        <f>IF($C28="","",COUNT($C$18:$C28))</f>
        <v>11</v>
      </c>
      <c r="C28" s="19">
        <v>46080</v>
      </c>
      <c r="D28" s="20" t="str">
        <f>IF($C28="","",INDEX({"Januar","Februar","März","April","Mai","Juni","Juli","August","September","Oktober","November","Dezember"},MONTH($C28)))</f>
        <v>Februar</v>
      </c>
      <c r="E28" s="21" t="s">
        <v>42</v>
      </c>
      <c r="F28" s="22" t="str">
        <f>IF($E28="","",IFERROR(INDEX(Stammdaten!$D$14:$D$23,MATCH($E28,Stammdaten!$C$14:$C$23,0)),"?"))</f>
        <v>Verwaltung</v>
      </c>
      <c r="G28" s="21" t="s">
        <v>43</v>
      </c>
      <c r="H28" s="22" t="str">
        <f>IF($G28="","",IFERROR(INDEX(Stammdaten!$D$27:$D$38,MATCH($G28,Stammdaten!$C$27:$C$38,0)),"?"))</f>
        <v>Kaffeespezialität</v>
      </c>
      <c r="I28" s="23">
        <v>34</v>
      </c>
      <c r="J28" s="24">
        <f>IF($G28="","",IFERROR(INDEX(Stammdaten!$E$27:$E$38,MATCH($G28,Stammdaten!$C$27:$C$38,0)),0))</f>
        <v>0.7</v>
      </c>
      <c r="K28" s="25">
        <f t="shared" si="0"/>
        <v>23.8</v>
      </c>
      <c r="L28" s="24">
        <f>IF(OR($I28="",$G28=""),"",ROUND($I28*IFERROR(INDEX(Stammdaten!$F$27:$F$38,MATCH($G28,Stammdaten!$C$27:$C$38,0)),0),2))</f>
        <v>8.84</v>
      </c>
      <c r="M28" s="24">
        <f t="shared" si="1"/>
        <v>14.96</v>
      </c>
      <c r="N28" s="21" t="s">
        <v>60</v>
      </c>
    </row>
    <row r="29" spans="2:14" x14ac:dyDescent="0.25">
      <c r="B29" s="18">
        <f>IF($C29="","",COUNT($C$18:$C29))</f>
        <v>12</v>
      </c>
      <c r="C29" s="19">
        <v>46080</v>
      </c>
      <c r="D29" s="20" t="str">
        <f>IF($C29="","",INDEX({"Januar","Februar","März","April","Mai","Juni","Juli","August","September","Oktober","November","Dezember"},MONTH($C29)))</f>
        <v>Februar</v>
      </c>
      <c r="E29" s="21" t="s">
        <v>45</v>
      </c>
      <c r="F29" s="22" t="str">
        <f>IF($E29="","",IFERROR(INDEX(Stammdaten!$D$14:$D$23,MATCH($E29,Stammdaten!$C$14:$C$23,0)),"?"))</f>
        <v>IT</v>
      </c>
      <c r="G29" s="21" t="s">
        <v>46</v>
      </c>
      <c r="H29" s="22" t="str">
        <f>IF($G29="","",IFERROR(INDEX(Stammdaten!$D$27:$D$38,MATCH($G29,Stammdaten!$C$27:$C$38,0)),"?"))</f>
        <v>Kaffee</v>
      </c>
      <c r="I29" s="23">
        <v>44</v>
      </c>
      <c r="J29" s="24">
        <f>IF($G29="","",IFERROR(INDEX(Stammdaten!$E$27:$E$38,MATCH($G29,Stammdaten!$C$27:$C$38,0)),0))</f>
        <v>0.5</v>
      </c>
      <c r="K29" s="25">
        <f t="shared" si="0"/>
        <v>22</v>
      </c>
      <c r="L29" s="24">
        <f>IF(OR($I29="",$G29=""),"",ROUND($I29*IFERROR(INDEX(Stammdaten!$F$27:$F$38,MATCH($G29,Stammdaten!$C$27:$C$38,0)),0),2))</f>
        <v>6.6</v>
      </c>
      <c r="M29" s="24">
        <f t="shared" si="1"/>
        <v>15.4</v>
      </c>
      <c r="N29" s="21" t="s">
        <v>60</v>
      </c>
    </row>
    <row r="30" spans="2:14" x14ac:dyDescent="0.25">
      <c r="B30" s="18">
        <f>IF($C30="","",COUNT($C$18:$C30))</f>
        <v>13</v>
      </c>
      <c r="C30" s="19">
        <v>46080</v>
      </c>
      <c r="D30" s="20" t="str">
        <f>IF($C30="","",INDEX({"Januar","Februar","März","April","Mai","Juni","Juli","August","September","Oktober","November","Dezember"},MONTH($C30)))</f>
        <v>Februar</v>
      </c>
      <c r="E30" s="21" t="s">
        <v>47</v>
      </c>
      <c r="F30" s="22" t="str">
        <f>IF($E30="","",IFERROR(INDEX(Stammdaten!$D$14:$D$23,MATCH($E30,Stammdaten!$C$14:$C$23,0)),"?"))</f>
        <v>Vertrieb</v>
      </c>
      <c r="G30" s="21" t="s">
        <v>48</v>
      </c>
      <c r="H30" s="22" t="str">
        <f>IF($G30="","",IFERROR(INDEX(Stammdaten!$D$27:$D$38,MATCH($G30,Stammdaten!$C$27:$C$38,0)),"?"))</f>
        <v>Kaffeespezialität</v>
      </c>
      <c r="I30" s="23">
        <v>25</v>
      </c>
      <c r="J30" s="24">
        <f>IF($G30="","",IFERROR(INDEX(Stammdaten!$E$27:$E$38,MATCH($G30,Stammdaten!$C$27:$C$38,0)),0))</f>
        <v>0.7</v>
      </c>
      <c r="K30" s="25">
        <f t="shared" si="0"/>
        <v>17.5</v>
      </c>
      <c r="L30" s="24">
        <f>IF(OR($I30="",$G30=""),"",ROUND($I30*IFERROR(INDEX(Stammdaten!$F$27:$F$38,MATCH($G30,Stammdaten!$C$27:$C$38,0)),0),2))</f>
        <v>6.75</v>
      </c>
      <c r="M30" s="24">
        <f t="shared" si="1"/>
        <v>10.75</v>
      </c>
      <c r="N30" s="21" t="s">
        <v>60</v>
      </c>
    </row>
    <row r="31" spans="2:14" x14ac:dyDescent="0.25">
      <c r="B31" s="18">
        <f>IF($C31="","",COUNT($C$18:$C31))</f>
        <v>14</v>
      </c>
      <c r="C31" s="19">
        <v>46080</v>
      </c>
      <c r="D31" s="20" t="str">
        <f>IF($C31="","",INDEX({"Januar","Februar","März","April","Mai","Juni","Juli","August","September","Oktober","November","Dezember"},MONTH($C31)))</f>
        <v>Februar</v>
      </c>
      <c r="E31" s="21" t="s">
        <v>49</v>
      </c>
      <c r="F31" s="22" t="str">
        <f>IF($E31="","",IFERROR(INDEX(Stammdaten!$D$14:$D$23,MATCH($E31,Stammdaten!$C$14:$C$23,0)),"?"))</f>
        <v>Marketing</v>
      </c>
      <c r="G31" s="21" t="s">
        <v>50</v>
      </c>
      <c r="H31" s="22" t="str">
        <f>IF($G31="","",IFERROR(INDEX(Stammdaten!$D$27:$D$38,MATCH($G31,Stammdaten!$C$27:$C$38,0)),"?"))</f>
        <v>Kaffeespezialität</v>
      </c>
      <c r="I31" s="23">
        <v>31</v>
      </c>
      <c r="J31" s="24">
        <f>IF($G31="","",IFERROR(INDEX(Stammdaten!$E$27:$E$38,MATCH($G31,Stammdaten!$C$27:$C$38,0)),0))</f>
        <v>0.8</v>
      </c>
      <c r="K31" s="25">
        <f t="shared" si="0"/>
        <v>24.8</v>
      </c>
      <c r="L31" s="24">
        <f>IF(OR($I31="",$G31=""),"",ROUND($I31*IFERROR(INDEX(Stammdaten!$F$27:$F$38,MATCH($G31,Stammdaten!$C$27:$C$38,0)),0),2))</f>
        <v>9.61</v>
      </c>
      <c r="M31" s="24">
        <f t="shared" si="1"/>
        <v>15.190000000000001</v>
      </c>
      <c r="N31" s="21" t="s">
        <v>60</v>
      </c>
    </row>
    <row r="32" spans="2:14" x14ac:dyDescent="0.25">
      <c r="B32" s="18">
        <f>IF($C32="","",COUNT($C$18:$C32))</f>
        <v>15</v>
      </c>
      <c r="C32" s="19">
        <v>46080</v>
      </c>
      <c r="D32" s="20" t="str">
        <f>IF($C32="","",INDEX({"Januar","Februar","März","April","Mai","Juni","Juli","August","September","Oktober","November","Dezember"},MONTH($C32)))</f>
        <v>Februar</v>
      </c>
      <c r="E32" s="21" t="s">
        <v>51</v>
      </c>
      <c r="F32" s="22" t="str">
        <f>IF($E32="","",IFERROR(INDEX(Stammdaten!$D$14:$D$23,MATCH($E32,Stammdaten!$C$14:$C$23,0)),"?"))</f>
        <v>Vertrieb</v>
      </c>
      <c r="G32" s="21" t="s">
        <v>52</v>
      </c>
      <c r="H32" s="22" t="str">
        <f>IF($G32="","",IFERROR(INDEX(Stammdaten!$D$27:$D$38,MATCH($G32,Stammdaten!$C$27:$C$38,0)),"?"))</f>
        <v>Kaffee</v>
      </c>
      <c r="I32" s="23">
        <v>48</v>
      </c>
      <c r="J32" s="24">
        <f>IF($G32="","",IFERROR(INDEX(Stammdaten!$E$27:$E$38,MATCH($G32,Stammdaten!$C$27:$C$38,0)),0))</f>
        <v>0.4</v>
      </c>
      <c r="K32" s="25">
        <f t="shared" si="0"/>
        <v>19.2</v>
      </c>
      <c r="L32" s="24">
        <f>IF(OR($I32="",$G32=""),"",ROUND($I32*IFERROR(INDEX(Stammdaten!$F$27:$F$38,MATCH($G32,Stammdaten!$C$27:$C$38,0)),0),2))</f>
        <v>5.76</v>
      </c>
      <c r="M32" s="24">
        <f t="shared" si="1"/>
        <v>13.44</v>
      </c>
      <c r="N32" s="21" t="s">
        <v>60</v>
      </c>
    </row>
    <row r="33" spans="2:14" x14ac:dyDescent="0.25">
      <c r="B33" s="18">
        <f>IF($C33="","",COUNT($C$18:$C33))</f>
        <v>16</v>
      </c>
      <c r="C33" s="19">
        <v>46080</v>
      </c>
      <c r="D33" s="20" t="str">
        <f>IF($C33="","",INDEX({"Januar","Februar","März","April","Mai","Juni","Juli","August","September","Oktober","November","Dezember"},MONTH($C33)))</f>
        <v>Februar</v>
      </c>
      <c r="E33" s="21" t="s">
        <v>53</v>
      </c>
      <c r="F33" s="22" t="str">
        <f>IF($E33="","",IFERROR(INDEX(Stammdaten!$D$14:$D$23,MATCH($E33,Stammdaten!$C$14:$C$23,0)),"?"))</f>
        <v>Personal</v>
      </c>
      <c r="G33" s="21" t="s">
        <v>54</v>
      </c>
      <c r="H33" s="22" t="str">
        <f>IF($G33="","",IFERROR(INDEX(Stammdaten!$D$27:$D$38,MATCH($G33,Stammdaten!$C$27:$C$38,0)),"?"))</f>
        <v>Heißgetränk</v>
      </c>
      <c r="I33" s="23">
        <v>32</v>
      </c>
      <c r="J33" s="24">
        <f>IF($G33="","",IFERROR(INDEX(Stammdaten!$E$27:$E$38,MATCH($G33,Stammdaten!$C$27:$C$38,0)),0))</f>
        <v>0.3</v>
      </c>
      <c r="K33" s="25">
        <f t="shared" si="0"/>
        <v>9.6</v>
      </c>
      <c r="L33" s="24">
        <f>IF(OR($I33="",$G33=""),"",ROUND($I33*IFERROR(INDEX(Stammdaten!$F$27:$F$38,MATCH($G33,Stammdaten!$C$27:$C$38,0)),0),2))</f>
        <v>2.56</v>
      </c>
      <c r="M33" s="24">
        <f t="shared" si="1"/>
        <v>7.0399999999999991</v>
      </c>
      <c r="N33" s="21" t="s">
        <v>60</v>
      </c>
    </row>
    <row r="34" spans="2:14" x14ac:dyDescent="0.25">
      <c r="B34" s="18">
        <f>IF($C34="","",COUNT($C$18:$C34))</f>
        <v>17</v>
      </c>
      <c r="C34" s="19">
        <v>46080</v>
      </c>
      <c r="D34" s="20" t="str">
        <f>IF($C34="","",INDEX({"Januar","Februar","März","April","Mai","Juni","Juli","August","September","Oktober","November","Dezember"},MONTH($C34)))</f>
        <v>Februar</v>
      </c>
      <c r="E34" s="21" t="s">
        <v>55</v>
      </c>
      <c r="F34" s="22" t="str">
        <f>IF($E34="","",IFERROR(INDEX(Stammdaten!$D$14:$D$23,MATCH($E34,Stammdaten!$C$14:$C$23,0)),"?"))</f>
        <v>Buchhaltung</v>
      </c>
      <c r="G34" s="21" t="s">
        <v>52</v>
      </c>
      <c r="H34" s="22" t="str">
        <f>IF($G34="","",IFERROR(INDEX(Stammdaten!$D$27:$D$38,MATCH($G34,Stammdaten!$C$27:$C$38,0)),"?"))</f>
        <v>Kaffee</v>
      </c>
      <c r="I34" s="23">
        <v>40</v>
      </c>
      <c r="J34" s="24">
        <f>IF($G34="","",IFERROR(INDEX(Stammdaten!$E$27:$E$38,MATCH($G34,Stammdaten!$C$27:$C$38,0)),0))</f>
        <v>0.4</v>
      </c>
      <c r="K34" s="25">
        <f t="shared" si="0"/>
        <v>16</v>
      </c>
      <c r="L34" s="24">
        <f>IF(OR($I34="",$G34=""),"",ROUND($I34*IFERROR(INDEX(Stammdaten!$F$27:$F$38,MATCH($G34,Stammdaten!$C$27:$C$38,0)),0),2))</f>
        <v>4.8</v>
      </c>
      <c r="M34" s="24">
        <f t="shared" si="1"/>
        <v>11.2</v>
      </c>
      <c r="N34" s="21" t="s">
        <v>60</v>
      </c>
    </row>
    <row r="35" spans="2:14" x14ac:dyDescent="0.25">
      <c r="B35" s="18">
        <f>IF($C35="","",COUNT($C$18:$C35))</f>
        <v>18</v>
      </c>
      <c r="C35" s="19">
        <v>46080</v>
      </c>
      <c r="D35" s="20" t="str">
        <f>IF($C35="","",INDEX({"Januar","Februar","März","April","Mai","Juni","Juli","August","September","Oktober","November","Dezember"},MONTH($C35)))</f>
        <v>Februar</v>
      </c>
      <c r="E35" s="21" t="s">
        <v>56</v>
      </c>
      <c r="F35" s="22" t="str">
        <f>IF($E35="","",IFERROR(INDEX(Stammdaten!$D$14:$D$23,MATCH($E35,Stammdaten!$C$14:$C$23,0)),"?"))</f>
        <v>IT</v>
      </c>
      <c r="G35" s="21" t="s">
        <v>46</v>
      </c>
      <c r="H35" s="22" t="str">
        <f>IF($G35="","",IFERROR(INDEX(Stammdaten!$D$27:$D$38,MATCH($G35,Stammdaten!$C$27:$C$38,0)),"?"))</f>
        <v>Kaffee</v>
      </c>
      <c r="I35" s="23">
        <v>58</v>
      </c>
      <c r="J35" s="24">
        <f>IF($G35="","",IFERROR(INDEX(Stammdaten!$E$27:$E$38,MATCH($G35,Stammdaten!$C$27:$C$38,0)),0))</f>
        <v>0.5</v>
      </c>
      <c r="K35" s="25">
        <f t="shared" si="0"/>
        <v>29</v>
      </c>
      <c r="L35" s="24">
        <f>IF(OR($I35="",$G35=""),"",ROUND($I35*IFERROR(INDEX(Stammdaten!$F$27:$F$38,MATCH($G35,Stammdaten!$C$27:$C$38,0)),0),2))</f>
        <v>8.6999999999999993</v>
      </c>
      <c r="M35" s="24">
        <f t="shared" si="1"/>
        <v>20.3</v>
      </c>
      <c r="N35" s="21" t="s">
        <v>60</v>
      </c>
    </row>
    <row r="36" spans="2:14" x14ac:dyDescent="0.25">
      <c r="B36" s="18">
        <f>IF($C36="","",COUNT($C$18:$C36))</f>
        <v>19</v>
      </c>
      <c r="C36" s="19">
        <v>46091</v>
      </c>
      <c r="D36" s="20" t="str">
        <f>IF($C36="","",INDEX({"Januar","Februar","März","April","Mai","Juni","Juli","August","September","Oktober","November","Dezember"},MONTH($C36)))</f>
        <v>März</v>
      </c>
      <c r="E36" s="21" t="s">
        <v>51</v>
      </c>
      <c r="F36" s="22" t="str">
        <f>IF($E36="","",IFERROR(INDEX(Stammdaten!$D$14:$D$23,MATCH($E36,Stammdaten!$C$14:$C$23,0)),"?"))</f>
        <v>Vertrieb</v>
      </c>
      <c r="G36" s="21" t="s">
        <v>46</v>
      </c>
      <c r="H36" s="22" t="str">
        <f>IF($G36="","",IFERROR(INDEX(Stammdaten!$D$27:$D$38,MATCH($G36,Stammdaten!$C$27:$C$38,0)),"?"))</f>
        <v>Kaffee</v>
      </c>
      <c r="I36" s="23">
        <v>14</v>
      </c>
      <c r="J36" s="24">
        <f>IF($G36="","",IFERROR(INDEX(Stammdaten!$E$27:$E$38,MATCH($G36,Stammdaten!$C$27:$C$38,0)),0))</f>
        <v>0.5</v>
      </c>
      <c r="K36" s="25">
        <f t="shared" si="0"/>
        <v>7</v>
      </c>
      <c r="L36" s="24">
        <f>IF(OR($I36="",$G36=""),"",ROUND($I36*IFERROR(INDEX(Stammdaten!$F$27:$F$38,MATCH($G36,Stammdaten!$C$27:$C$38,0)),0),2))</f>
        <v>2.1</v>
      </c>
      <c r="M36" s="24">
        <f t="shared" si="1"/>
        <v>4.9000000000000004</v>
      </c>
      <c r="N36" s="21" t="s">
        <v>61</v>
      </c>
    </row>
    <row r="37" spans="2:14" x14ac:dyDescent="0.25">
      <c r="B37" s="18">
        <f>IF($C37="","",COUNT($C$18:$C37))</f>
        <v>20</v>
      </c>
      <c r="C37" s="19">
        <v>46098</v>
      </c>
      <c r="D37" s="20" t="str">
        <f>IF($C37="","",INDEX({"Januar","Februar","März","April","Mai","Juni","Juli","August","September","Oktober","November","Dezember"},MONTH($C37)))</f>
        <v>März</v>
      </c>
      <c r="E37" s="21" t="s">
        <v>53</v>
      </c>
      <c r="F37" s="22" t="str">
        <f>IF($E37="","",IFERROR(INDEX(Stammdaten!$D$14:$D$23,MATCH($E37,Stammdaten!$C$14:$C$23,0)),"?"))</f>
        <v>Personal</v>
      </c>
      <c r="G37" s="21" t="s">
        <v>43</v>
      </c>
      <c r="H37" s="22" t="str">
        <f>IF($G37="","",IFERROR(INDEX(Stammdaten!$D$27:$D$38,MATCH($G37,Stammdaten!$C$27:$C$38,0)),"?"))</f>
        <v>Kaffeespezialität</v>
      </c>
      <c r="I37" s="23">
        <v>10</v>
      </c>
      <c r="J37" s="24">
        <f>IF($G37="","",IFERROR(INDEX(Stammdaten!$E$27:$E$38,MATCH($G37,Stammdaten!$C$27:$C$38,0)),0))</f>
        <v>0.7</v>
      </c>
      <c r="K37" s="25">
        <f t="shared" si="0"/>
        <v>7</v>
      </c>
      <c r="L37" s="24">
        <f>IF(OR($I37="",$G37=""),"",ROUND($I37*IFERROR(INDEX(Stammdaten!$F$27:$F$38,MATCH($G37,Stammdaten!$C$27:$C$38,0)),0),2))</f>
        <v>2.6</v>
      </c>
      <c r="M37" s="24">
        <f t="shared" si="1"/>
        <v>4.4000000000000004</v>
      </c>
      <c r="N37" s="21" t="s">
        <v>62</v>
      </c>
    </row>
    <row r="38" spans="2:14" x14ac:dyDescent="0.25">
      <c r="B38" s="18">
        <f>IF($C38="","",COUNT($C$18:$C38))</f>
        <v>21</v>
      </c>
      <c r="C38" s="19">
        <v>46112</v>
      </c>
      <c r="D38" s="20" t="str">
        <f>IF($C38="","",INDEX({"Januar","Februar","März","April","Mai","Juni","Juli","August","September","Oktober","November","Dezember"},MONTH($C38)))</f>
        <v>März</v>
      </c>
      <c r="E38" s="21" t="s">
        <v>42</v>
      </c>
      <c r="F38" s="22" t="str">
        <f>IF($E38="","",IFERROR(INDEX(Stammdaten!$D$14:$D$23,MATCH($E38,Stammdaten!$C$14:$C$23,0)),"?"))</f>
        <v>Verwaltung</v>
      </c>
      <c r="G38" s="21" t="s">
        <v>43</v>
      </c>
      <c r="H38" s="22" t="str">
        <f>IF($G38="","",IFERROR(INDEX(Stammdaten!$D$27:$D$38,MATCH($G38,Stammdaten!$C$27:$C$38,0)),"?"))</f>
        <v>Kaffeespezialität</v>
      </c>
      <c r="I38" s="23">
        <v>41</v>
      </c>
      <c r="J38" s="24">
        <f>IF($G38="","",IFERROR(INDEX(Stammdaten!$E$27:$E$38,MATCH($G38,Stammdaten!$C$27:$C$38,0)),0))</f>
        <v>0.7</v>
      </c>
      <c r="K38" s="25">
        <f t="shared" si="0"/>
        <v>28.7</v>
      </c>
      <c r="L38" s="24">
        <f>IF(OR($I38="",$G38=""),"",ROUND($I38*IFERROR(INDEX(Stammdaten!$F$27:$F$38,MATCH($G38,Stammdaten!$C$27:$C$38,0)),0),2))</f>
        <v>10.66</v>
      </c>
      <c r="M38" s="24">
        <f t="shared" si="1"/>
        <v>18.04</v>
      </c>
      <c r="N38" s="21" t="s">
        <v>63</v>
      </c>
    </row>
    <row r="39" spans="2:14" x14ac:dyDescent="0.25">
      <c r="B39" s="18">
        <f>IF($C39="","",COUNT($C$18:$C39))</f>
        <v>22</v>
      </c>
      <c r="C39" s="19">
        <v>46112</v>
      </c>
      <c r="D39" s="20" t="str">
        <f>IF($C39="","",INDEX({"Januar","Februar","März","April","Mai","Juni","Juli","August","September","Oktober","November","Dezember"},MONTH($C39)))</f>
        <v>März</v>
      </c>
      <c r="E39" s="21" t="s">
        <v>45</v>
      </c>
      <c r="F39" s="22" t="str">
        <f>IF($E39="","",IFERROR(INDEX(Stammdaten!$D$14:$D$23,MATCH($E39,Stammdaten!$C$14:$C$23,0)),"?"))</f>
        <v>IT</v>
      </c>
      <c r="G39" s="21" t="s">
        <v>46</v>
      </c>
      <c r="H39" s="22" t="str">
        <f>IF($G39="","",IFERROR(INDEX(Stammdaten!$D$27:$D$38,MATCH($G39,Stammdaten!$C$27:$C$38,0)),"?"))</f>
        <v>Kaffee</v>
      </c>
      <c r="I39" s="23">
        <v>50</v>
      </c>
      <c r="J39" s="24">
        <f>IF($G39="","",IFERROR(INDEX(Stammdaten!$E$27:$E$38,MATCH($G39,Stammdaten!$C$27:$C$38,0)),0))</f>
        <v>0.5</v>
      </c>
      <c r="K39" s="25">
        <f t="shared" si="0"/>
        <v>25</v>
      </c>
      <c r="L39" s="24">
        <f>IF(OR($I39="",$G39=""),"",ROUND($I39*IFERROR(INDEX(Stammdaten!$F$27:$F$38,MATCH($G39,Stammdaten!$C$27:$C$38,0)),0),2))</f>
        <v>7.5</v>
      </c>
      <c r="M39" s="24">
        <f t="shared" si="1"/>
        <v>17.5</v>
      </c>
      <c r="N39" s="21" t="s">
        <v>63</v>
      </c>
    </row>
    <row r="40" spans="2:14" x14ac:dyDescent="0.25">
      <c r="B40" s="18">
        <f>IF($C40="","",COUNT($C$18:$C40))</f>
        <v>23</v>
      </c>
      <c r="C40" s="19">
        <v>46112</v>
      </c>
      <c r="D40" s="20" t="str">
        <f>IF($C40="","",INDEX({"Januar","Februar","März","April","Mai","Juni","Juli","August","September","Oktober","November","Dezember"},MONTH($C40)))</f>
        <v>März</v>
      </c>
      <c r="E40" s="21" t="s">
        <v>47</v>
      </c>
      <c r="F40" s="22" t="str">
        <f>IF($E40="","",IFERROR(INDEX(Stammdaten!$D$14:$D$23,MATCH($E40,Stammdaten!$C$14:$C$23,0)),"?"))</f>
        <v>Vertrieb</v>
      </c>
      <c r="G40" s="21" t="s">
        <v>48</v>
      </c>
      <c r="H40" s="22" t="str">
        <f>IF($G40="","",IFERROR(INDEX(Stammdaten!$D$27:$D$38,MATCH($G40,Stammdaten!$C$27:$C$38,0)),"?"))</f>
        <v>Kaffeespezialität</v>
      </c>
      <c r="I40" s="23">
        <v>20</v>
      </c>
      <c r="J40" s="24">
        <f>IF($G40="","",IFERROR(INDEX(Stammdaten!$E$27:$E$38,MATCH($G40,Stammdaten!$C$27:$C$38,0)),0))</f>
        <v>0.7</v>
      </c>
      <c r="K40" s="25">
        <f t="shared" si="0"/>
        <v>14</v>
      </c>
      <c r="L40" s="24">
        <f>IF(OR($I40="",$G40=""),"",ROUND($I40*IFERROR(INDEX(Stammdaten!$F$27:$F$38,MATCH($G40,Stammdaten!$C$27:$C$38,0)),0),2))</f>
        <v>5.4</v>
      </c>
      <c r="M40" s="24">
        <f t="shared" si="1"/>
        <v>8.6</v>
      </c>
      <c r="N40" s="21" t="s">
        <v>63</v>
      </c>
    </row>
    <row r="41" spans="2:14" x14ac:dyDescent="0.25">
      <c r="B41" s="18">
        <f>IF($C41="","",COUNT($C$18:$C41))</f>
        <v>24</v>
      </c>
      <c r="C41" s="19">
        <v>46112</v>
      </c>
      <c r="D41" s="20" t="str">
        <f>IF($C41="","",INDEX({"Januar","Februar","März","April","Mai","Juni","Juli","August","September","Oktober","November","Dezember"},MONTH($C41)))</f>
        <v>März</v>
      </c>
      <c r="E41" s="21" t="s">
        <v>49</v>
      </c>
      <c r="F41" s="22" t="str">
        <f>IF($E41="","",IFERROR(INDEX(Stammdaten!$D$14:$D$23,MATCH($E41,Stammdaten!$C$14:$C$23,0)),"?"))</f>
        <v>Marketing</v>
      </c>
      <c r="G41" s="21" t="s">
        <v>50</v>
      </c>
      <c r="H41" s="22" t="str">
        <f>IF($G41="","",IFERROR(INDEX(Stammdaten!$D$27:$D$38,MATCH($G41,Stammdaten!$C$27:$C$38,0)),"?"))</f>
        <v>Kaffeespezialität</v>
      </c>
      <c r="I41" s="23">
        <v>26</v>
      </c>
      <c r="J41" s="24">
        <f>IF($G41="","",IFERROR(INDEX(Stammdaten!$E$27:$E$38,MATCH($G41,Stammdaten!$C$27:$C$38,0)),0))</f>
        <v>0.8</v>
      </c>
      <c r="K41" s="25">
        <f t="shared" si="0"/>
        <v>20.8</v>
      </c>
      <c r="L41" s="24">
        <f>IF(OR($I41="",$G41=""),"",ROUND($I41*IFERROR(INDEX(Stammdaten!$F$27:$F$38,MATCH($G41,Stammdaten!$C$27:$C$38,0)),0),2))</f>
        <v>8.06</v>
      </c>
      <c r="M41" s="24">
        <f t="shared" si="1"/>
        <v>12.74</v>
      </c>
      <c r="N41" s="21" t="s">
        <v>63</v>
      </c>
    </row>
    <row r="42" spans="2:14" x14ac:dyDescent="0.25">
      <c r="B42" s="18">
        <f>IF($C42="","",COUNT($C$18:$C42))</f>
        <v>25</v>
      </c>
      <c r="C42" s="19">
        <v>46112</v>
      </c>
      <c r="D42" s="20" t="str">
        <f>IF($C42="","",INDEX({"Januar","Februar","März","April","Mai","Juni","Juli","August","September","Oktober","November","Dezember"},MONTH($C42)))</f>
        <v>März</v>
      </c>
      <c r="E42" s="21" t="s">
        <v>51</v>
      </c>
      <c r="F42" s="22" t="str">
        <f>IF($E42="","",IFERROR(INDEX(Stammdaten!$D$14:$D$23,MATCH($E42,Stammdaten!$C$14:$C$23,0)),"?"))</f>
        <v>Vertrieb</v>
      </c>
      <c r="G42" s="21" t="s">
        <v>52</v>
      </c>
      <c r="H42" s="22" t="str">
        <f>IF($G42="","",IFERROR(INDEX(Stammdaten!$D$27:$D$38,MATCH($G42,Stammdaten!$C$27:$C$38,0)),"?"))</f>
        <v>Kaffee</v>
      </c>
      <c r="I42" s="23">
        <v>55</v>
      </c>
      <c r="J42" s="24">
        <f>IF($G42="","",IFERROR(INDEX(Stammdaten!$E$27:$E$38,MATCH($G42,Stammdaten!$C$27:$C$38,0)),0))</f>
        <v>0.4</v>
      </c>
      <c r="K42" s="25">
        <f t="shared" si="0"/>
        <v>22</v>
      </c>
      <c r="L42" s="24">
        <f>IF(OR($I42="",$G42=""),"",ROUND($I42*IFERROR(INDEX(Stammdaten!$F$27:$F$38,MATCH($G42,Stammdaten!$C$27:$C$38,0)),0),2))</f>
        <v>6.6</v>
      </c>
      <c r="M42" s="24">
        <f t="shared" si="1"/>
        <v>15.4</v>
      </c>
      <c r="N42" s="21" t="s">
        <v>63</v>
      </c>
    </row>
    <row r="43" spans="2:14" x14ac:dyDescent="0.25">
      <c r="B43" s="18">
        <f>IF($C43="","",COUNT($C$18:$C43))</f>
        <v>26</v>
      </c>
      <c r="C43" s="19">
        <v>46112</v>
      </c>
      <c r="D43" s="20" t="str">
        <f>IF($C43="","",INDEX({"Januar","Februar","März","April","Mai","Juni","Juli","August","September","Oktober","November","Dezember"},MONTH($C43)))</f>
        <v>März</v>
      </c>
      <c r="E43" s="21" t="s">
        <v>53</v>
      </c>
      <c r="F43" s="22" t="str">
        <f>IF($E43="","",IFERROR(INDEX(Stammdaten!$D$14:$D$23,MATCH($E43,Stammdaten!$C$14:$C$23,0)),"?"))</f>
        <v>Personal</v>
      </c>
      <c r="G43" s="21" t="s">
        <v>54</v>
      </c>
      <c r="H43" s="22" t="str">
        <f>IF($G43="","",IFERROR(INDEX(Stammdaten!$D$27:$D$38,MATCH($G43,Stammdaten!$C$27:$C$38,0)),"?"))</f>
        <v>Heißgetränk</v>
      </c>
      <c r="I43" s="23">
        <v>37</v>
      </c>
      <c r="J43" s="24">
        <f>IF($G43="","",IFERROR(INDEX(Stammdaten!$E$27:$E$38,MATCH($G43,Stammdaten!$C$27:$C$38,0)),0))</f>
        <v>0.3</v>
      </c>
      <c r="K43" s="25">
        <f t="shared" si="0"/>
        <v>11.1</v>
      </c>
      <c r="L43" s="24">
        <f>IF(OR($I43="",$G43=""),"",ROUND($I43*IFERROR(INDEX(Stammdaten!$F$27:$F$38,MATCH($G43,Stammdaten!$C$27:$C$38,0)),0),2))</f>
        <v>2.96</v>
      </c>
      <c r="M43" s="24">
        <f t="shared" si="1"/>
        <v>8.14</v>
      </c>
      <c r="N43" s="21" t="s">
        <v>63</v>
      </c>
    </row>
    <row r="44" spans="2:14" x14ac:dyDescent="0.25">
      <c r="B44" s="18">
        <f>IF($C44="","",COUNT($C$18:$C44))</f>
        <v>27</v>
      </c>
      <c r="C44" s="19">
        <v>46112</v>
      </c>
      <c r="D44" s="20" t="str">
        <f>IF($C44="","",INDEX({"Januar","Februar","März","April","Mai","Juni","Juli","August","September","Oktober","November","Dezember"},MONTH($C44)))</f>
        <v>März</v>
      </c>
      <c r="E44" s="21" t="s">
        <v>55</v>
      </c>
      <c r="F44" s="22" t="str">
        <f>IF($E44="","",IFERROR(INDEX(Stammdaten!$D$14:$D$23,MATCH($E44,Stammdaten!$C$14:$C$23,0)),"?"))</f>
        <v>Buchhaltung</v>
      </c>
      <c r="G44" s="21" t="s">
        <v>52</v>
      </c>
      <c r="H44" s="22" t="str">
        <f>IF($G44="","",IFERROR(INDEX(Stammdaten!$D$27:$D$38,MATCH($G44,Stammdaten!$C$27:$C$38,0)),"?"))</f>
        <v>Kaffee</v>
      </c>
      <c r="I44" s="23">
        <v>45</v>
      </c>
      <c r="J44" s="24">
        <f>IF($G44="","",IFERROR(INDEX(Stammdaten!$E$27:$E$38,MATCH($G44,Stammdaten!$C$27:$C$38,0)),0))</f>
        <v>0.4</v>
      </c>
      <c r="K44" s="25">
        <f t="shared" si="0"/>
        <v>18</v>
      </c>
      <c r="L44" s="24">
        <f>IF(OR($I44="",$G44=""),"",ROUND($I44*IFERROR(INDEX(Stammdaten!$F$27:$F$38,MATCH($G44,Stammdaten!$C$27:$C$38,0)),0),2))</f>
        <v>5.4</v>
      </c>
      <c r="M44" s="24">
        <f t="shared" si="1"/>
        <v>12.6</v>
      </c>
      <c r="N44" s="21" t="s">
        <v>63</v>
      </c>
    </row>
    <row r="45" spans="2:14" x14ac:dyDescent="0.25">
      <c r="B45" s="18">
        <f>IF($C45="","",COUNT($C$18:$C45))</f>
        <v>28</v>
      </c>
      <c r="C45" s="19">
        <v>46112</v>
      </c>
      <c r="D45" s="20" t="str">
        <f>IF($C45="","",INDEX({"Januar","Februar","März","April","Mai","Juni","Juli","August","September","Oktober","November","Dezember"},MONTH($C45)))</f>
        <v>März</v>
      </c>
      <c r="E45" s="21" t="s">
        <v>56</v>
      </c>
      <c r="F45" s="22" t="str">
        <f>IF($E45="","",IFERROR(INDEX(Stammdaten!$D$14:$D$23,MATCH($E45,Stammdaten!$C$14:$C$23,0)),"?"))</f>
        <v>IT</v>
      </c>
      <c r="G45" s="21" t="s">
        <v>46</v>
      </c>
      <c r="H45" s="22" t="str">
        <f>IF($G45="","",IFERROR(INDEX(Stammdaten!$D$27:$D$38,MATCH($G45,Stammdaten!$C$27:$C$38,0)),"?"))</f>
        <v>Kaffee</v>
      </c>
      <c r="I45" s="23">
        <v>63</v>
      </c>
      <c r="J45" s="24">
        <f>IF($G45="","",IFERROR(INDEX(Stammdaten!$E$27:$E$38,MATCH($G45,Stammdaten!$C$27:$C$38,0)),0))</f>
        <v>0.5</v>
      </c>
      <c r="K45" s="25">
        <f t="shared" si="0"/>
        <v>31.5</v>
      </c>
      <c r="L45" s="24">
        <f>IF(OR($I45="",$G45=""),"",ROUND($I45*IFERROR(INDEX(Stammdaten!$F$27:$F$38,MATCH($G45,Stammdaten!$C$27:$C$38,0)),0),2))</f>
        <v>9.4499999999999993</v>
      </c>
      <c r="M45" s="24">
        <f t="shared" si="1"/>
        <v>22.05</v>
      </c>
      <c r="N45" s="21" t="s">
        <v>63</v>
      </c>
    </row>
    <row r="46" spans="2:14" x14ac:dyDescent="0.25">
      <c r="B46" s="18">
        <f>IF($C46="","",COUNT($C$18:$C46))</f>
        <v>29</v>
      </c>
      <c r="C46" s="19">
        <v>46126</v>
      </c>
      <c r="D46" s="20" t="str">
        <f>IF($C46="","",INDEX({"Januar","Februar","März","April","Mai","Juni","Juli","August","September","Oktober","November","Dezember"},MONTH($C46)))</f>
        <v>April</v>
      </c>
      <c r="E46" s="21" t="s">
        <v>49</v>
      </c>
      <c r="F46" s="22" t="str">
        <f>IF($E46="","",IFERROR(INDEX(Stammdaten!$D$14:$D$23,MATCH($E46,Stammdaten!$C$14:$C$23,0)),"?"))</f>
        <v>Marketing</v>
      </c>
      <c r="G46" s="21" t="s">
        <v>64</v>
      </c>
      <c r="H46" s="22" t="str">
        <f>IF($G46="","",IFERROR(INDEX(Stammdaten!$D$27:$D$38,MATCH($G46,Stammdaten!$C$27:$C$38,0)),"?"))</f>
        <v>Kaffeespezialität</v>
      </c>
      <c r="I46" s="23">
        <v>11</v>
      </c>
      <c r="J46" s="24">
        <f>IF($G46="","",IFERROR(INDEX(Stammdaten!$E$27:$E$38,MATCH($G46,Stammdaten!$C$27:$C$38,0)),0))</f>
        <v>0.7</v>
      </c>
      <c r="K46" s="25">
        <f t="shared" si="0"/>
        <v>7.7</v>
      </c>
      <c r="L46" s="24">
        <f>IF(OR($I46="",$G46=""),"",ROUND($I46*IFERROR(INDEX(Stammdaten!$F$27:$F$38,MATCH($G46,Stammdaten!$C$27:$C$38,0)),0),2))</f>
        <v>3.08</v>
      </c>
      <c r="M46" s="24">
        <f t="shared" si="1"/>
        <v>4.62</v>
      </c>
      <c r="N46" s="21" t="s">
        <v>65</v>
      </c>
    </row>
    <row r="47" spans="2:14" x14ac:dyDescent="0.25">
      <c r="B47" s="18">
        <f>IF($C47="","",COUNT($C$18:$C47))</f>
        <v>30</v>
      </c>
      <c r="C47" s="19">
        <v>46142</v>
      </c>
      <c r="D47" s="20" t="str">
        <f>IF($C47="","",INDEX({"Januar","Februar","März","April","Mai","Juni","Juli","August","September","Oktober","November","Dezember"},MONTH($C47)))</f>
        <v>April</v>
      </c>
      <c r="E47" s="21" t="s">
        <v>42</v>
      </c>
      <c r="F47" s="22" t="str">
        <f>IF($E47="","",IFERROR(INDEX(Stammdaten!$D$14:$D$23,MATCH($E47,Stammdaten!$C$14:$C$23,0)),"?"))</f>
        <v>Verwaltung</v>
      </c>
      <c r="G47" s="21" t="s">
        <v>43</v>
      </c>
      <c r="H47" s="22" t="str">
        <f>IF($G47="","",IFERROR(INDEX(Stammdaten!$D$27:$D$38,MATCH($G47,Stammdaten!$C$27:$C$38,0)),"?"))</f>
        <v>Kaffeespezialität</v>
      </c>
      <c r="I47" s="23">
        <v>36</v>
      </c>
      <c r="J47" s="24">
        <f>IF($G47="","",IFERROR(INDEX(Stammdaten!$E$27:$E$38,MATCH($G47,Stammdaten!$C$27:$C$38,0)),0))</f>
        <v>0.7</v>
      </c>
      <c r="K47" s="25">
        <f t="shared" si="0"/>
        <v>25.2</v>
      </c>
      <c r="L47" s="24">
        <f>IF(OR($I47="",$G47=""),"",ROUND($I47*IFERROR(INDEX(Stammdaten!$F$27:$F$38,MATCH($G47,Stammdaten!$C$27:$C$38,0)),0),2))</f>
        <v>9.36</v>
      </c>
      <c r="M47" s="24">
        <f t="shared" si="1"/>
        <v>15.84</v>
      </c>
      <c r="N47" s="21" t="s">
        <v>66</v>
      </c>
    </row>
    <row r="48" spans="2:14" x14ac:dyDescent="0.25">
      <c r="B48" s="18">
        <f>IF($C48="","",COUNT($C$18:$C48))</f>
        <v>31</v>
      </c>
      <c r="C48" s="19">
        <v>46142</v>
      </c>
      <c r="D48" s="20" t="str">
        <f>IF($C48="","",INDEX({"Januar","Februar","März","April","Mai","Juni","Juli","August","September","Oktober","November","Dezember"},MONTH($C48)))</f>
        <v>April</v>
      </c>
      <c r="E48" s="21" t="s">
        <v>45</v>
      </c>
      <c r="F48" s="22" t="str">
        <f>IF($E48="","",IFERROR(INDEX(Stammdaten!$D$14:$D$23,MATCH($E48,Stammdaten!$C$14:$C$23,0)),"?"))</f>
        <v>IT</v>
      </c>
      <c r="G48" s="21" t="s">
        <v>46</v>
      </c>
      <c r="H48" s="22" t="str">
        <f>IF($G48="","",IFERROR(INDEX(Stammdaten!$D$27:$D$38,MATCH($G48,Stammdaten!$C$27:$C$38,0)),"?"))</f>
        <v>Kaffee</v>
      </c>
      <c r="I48" s="23">
        <v>46</v>
      </c>
      <c r="J48" s="24">
        <f>IF($G48="","",IFERROR(INDEX(Stammdaten!$E$27:$E$38,MATCH($G48,Stammdaten!$C$27:$C$38,0)),0))</f>
        <v>0.5</v>
      </c>
      <c r="K48" s="25">
        <f t="shared" si="0"/>
        <v>23</v>
      </c>
      <c r="L48" s="24">
        <f>IF(OR($I48="",$G48=""),"",ROUND($I48*IFERROR(INDEX(Stammdaten!$F$27:$F$38,MATCH($G48,Stammdaten!$C$27:$C$38,0)),0),2))</f>
        <v>6.9</v>
      </c>
      <c r="M48" s="24">
        <f t="shared" si="1"/>
        <v>16.100000000000001</v>
      </c>
      <c r="N48" s="21" t="s">
        <v>66</v>
      </c>
    </row>
    <row r="49" spans="2:14" x14ac:dyDescent="0.25">
      <c r="B49" s="18">
        <f>IF($C49="","",COUNT($C$18:$C49))</f>
        <v>32</v>
      </c>
      <c r="C49" s="19">
        <v>46142</v>
      </c>
      <c r="D49" s="20" t="str">
        <f>IF($C49="","",INDEX({"Januar","Februar","März","April","Mai","Juni","Juli","August","September","Oktober","November","Dezember"},MONTH($C49)))</f>
        <v>April</v>
      </c>
      <c r="E49" s="21" t="s">
        <v>47</v>
      </c>
      <c r="F49" s="22" t="str">
        <f>IF($E49="","",IFERROR(INDEX(Stammdaten!$D$14:$D$23,MATCH($E49,Stammdaten!$C$14:$C$23,0)),"?"))</f>
        <v>Vertrieb</v>
      </c>
      <c r="G49" s="21" t="s">
        <v>48</v>
      </c>
      <c r="H49" s="22" t="str">
        <f>IF($G49="","",IFERROR(INDEX(Stammdaten!$D$27:$D$38,MATCH($G49,Stammdaten!$C$27:$C$38,0)),"?"))</f>
        <v>Kaffeespezialität</v>
      </c>
      <c r="I49" s="23">
        <v>24</v>
      </c>
      <c r="J49" s="24">
        <f>IF($G49="","",IFERROR(INDEX(Stammdaten!$E$27:$E$38,MATCH($G49,Stammdaten!$C$27:$C$38,0)),0))</f>
        <v>0.7</v>
      </c>
      <c r="K49" s="25">
        <f t="shared" si="0"/>
        <v>16.8</v>
      </c>
      <c r="L49" s="24">
        <f>IF(OR($I49="",$G49=""),"",ROUND($I49*IFERROR(INDEX(Stammdaten!$F$27:$F$38,MATCH($G49,Stammdaten!$C$27:$C$38,0)),0),2))</f>
        <v>6.48</v>
      </c>
      <c r="M49" s="24">
        <f t="shared" si="1"/>
        <v>10.32</v>
      </c>
      <c r="N49" s="21" t="s">
        <v>66</v>
      </c>
    </row>
    <row r="50" spans="2:14" x14ac:dyDescent="0.25">
      <c r="B50" s="18">
        <f>IF($C50="","",COUNT($C$18:$C50))</f>
        <v>33</v>
      </c>
      <c r="C50" s="19">
        <v>46142</v>
      </c>
      <c r="D50" s="20" t="str">
        <f>IF($C50="","",INDEX({"Januar","Februar","März","April","Mai","Juni","Juli","August","September","Oktober","November","Dezember"},MONTH($C50)))</f>
        <v>April</v>
      </c>
      <c r="E50" s="21" t="s">
        <v>49</v>
      </c>
      <c r="F50" s="22" t="str">
        <f>IF($E50="","",IFERROR(INDEX(Stammdaten!$D$14:$D$23,MATCH($E50,Stammdaten!$C$14:$C$23,0)),"?"))</f>
        <v>Marketing</v>
      </c>
      <c r="G50" s="21" t="s">
        <v>50</v>
      </c>
      <c r="H50" s="22" t="str">
        <f>IF($G50="","",IFERROR(INDEX(Stammdaten!$D$27:$D$38,MATCH($G50,Stammdaten!$C$27:$C$38,0)),"?"))</f>
        <v>Kaffeespezialität</v>
      </c>
      <c r="I50" s="23">
        <v>30</v>
      </c>
      <c r="J50" s="24">
        <f>IF($G50="","",IFERROR(INDEX(Stammdaten!$E$27:$E$38,MATCH($G50,Stammdaten!$C$27:$C$38,0)),0))</f>
        <v>0.8</v>
      </c>
      <c r="K50" s="25">
        <f t="shared" ref="K50:K81" si="2">IF(OR($I50="",$J50=""),"",ROUND($I50*$J50,2))</f>
        <v>24</v>
      </c>
      <c r="L50" s="24">
        <f>IF(OR($I50="",$G50=""),"",ROUND($I50*IFERROR(INDEX(Stammdaten!$F$27:$F$38,MATCH($G50,Stammdaten!$C$27:$C$38,0)),0),2))</f>
        <v>9.3000000000000007</v>
      </c>
      <c r="M50" s="24">
        <f t="shared" ref="M50:M81" si="3">IF($K50="","",$K50-$L50)</f>
        <v>14.7</v>
      </c>
      <c r="N50" s="21" t="s">
        <v>66</v>
      </c>
    </row>
    <row r="51" spans="2:14" x14ac:dyDescent="0.25">
      <c r="B51" s="18">
        <f>IF($C51="","",COUNT($C$18:$C51))</f>
        <v>34</v>
      </c>
      <c r="C51" s="19">
        <v>46142</v>
      </c>
      <c r="D51" s="20" t="str">
        <f>IF($C51="","",INDEX({"Januar","Februar","März","April","Mai","Juni","Juli","August","September","Oktober","November","Dezember"},MONTH($C51)))</f>
        <v>April</v>
      </c>
      <c r="E51" s="21" t="s">
        <v>51</v>
      </c>
      <c r="F51" s="22" t="str">
        <f>IF($E51="","",IFERROR(INDEX(Stammdaten!$D$14:$D$23,MATCH($E51,Stammdaten!$C$14:$C$23,0)),"?"))</f>
        <v>Vertrieb</v>
      </c>
      <c r="G51" s="21" t="s">
        <v>52</v>
      </c>
      <c r="H51" s="22" t="str">
        <f>IF($G51="","",IFERROR(INDEX(Stammdaten!$D$27:$D$38,MATCH($G51,Stammdaten!$C$27:$C$38,0)),"?"))</f>
        <v>Kaffee</v>
      </c>
      <c r="I51" s="23">
        <v>50</v>
      </c>
      <c r="J51" s="24">
        <f>IF($G51="","",IFERROR(INDEX(Stammdaten!$E$27:$E$38,MATCH($G51,Stammdaten!$C$27:$C$38,0)),0))</f>
        <v>0.4</v>
      </c>
      <c r="K51" s="25">
        <f t="shared" si="2"/>
        <v>20</v>
      </c>
      <c r="L51" s="24">
        <f>IF(OR($I51="",$G51=""),"",ROUND($I51*IFERROR(INDEX(Stammdaten!$F$27:$F$38,MATCH($G51,Stammdaten!$C$27:$C$38,0)),0),2))</f>
        <v>6</v>
      </c>
      <c r="M51" s="24">
        <f t="shared" si="3"/>
        <v>14</v>
      </c>
      <c r="N51" s="21" t="s">
        <v>66</v>
      </c>
    </row>
    <row r="52" spans="2:14" x14ac:dyDescent="0.25">
      <c r="B52" s="18">
        <f>IF($C52="","",COUNT($C$18:$C52))</f>
        <v>35</v>
      </c>
      <c r="C52" s="19">
        <v>46142</v>
      </c>
      <c r="D52" s="20" t="str">
        <f>IF($C52="","",INDEX({"Januar","Februar","März","April","Mai","Juni","Juli","August","September","Oktober","November","Dezember"},MONTH($C52)))</f>
        <v>April</v>
      </c>
      <c r="E52" s="21" t="s">
        <v>53</v>
      </c>
      <c r="F52" s="22" t="str">
        <f>IF($E52="","",IFERROR(INDEX(Stammdaten!$D$14:$D$23,MATCH($E52,Stammdaten!$C$14:$C$23,0)),"?"))</f>
        <v>Personal</v>
      </c>
      <c r="G52" s="21" t="s">
        <v>54</v>
      </c>
      <c r="H52" s="22" t="str">
        <f>IF($G52="","",IFERROR(INDEX(Stammdaten!$D$27:$D$38,MATCH($G52,Stammdaten!$C$27:$C$38,0)),"?"))</f>
        <v>Heißgetränk</v>
      </c>
      <c r="I52" s="23">
        <v>30</v>
      </c>
      <c r="J52" s="24">
        <f>IF($G52="","",IFERROR(INDEX(Stammdaten!$E$27:$E$38,MATCH($G52,Stammdaten!$C$27:$C$38,0)),0))</f>
        <v>0.3</v>
      </c>
      <c r="K52" s="25">
        <f t="shared" si="2"/>
        <v>9</v>
      </c>
      <c r="L52" s="24">
        <f>IF(OR($I52="",$G52=""),"",ROUND($I52*IFERROR(INDEX(Stammdaten!$F$27:$F$38,MATCH($G52,Stammdaten!$C$27:$C$38,0)),0),2))</f>
        <v>2.4</v>
      </c>
      <c r="M52" s="24">
        <f t="shared" si="3"/>
        <v>6.6</v>
      </c>
      <c r="N52" s="21" t="s">
        <v>66</v>
      </c>
    </row>
    <row r="53" spans="2:14" x14ac:dyDescent="0.25">
      <c r="B53" s="18">
        <f>IF($C53="","",COUNT($C$18:$C53))</f>
        <v>36</v>
      </c>
      <c r="C53" s="19">
        <v>46142</v>
      </c>
      <c r="D53" s="20" t="str">
        <f>IF($C53="","",INDEX({"Januar","Februar","März","April","Mai","Juni","Juli","August","September","Oktober","November","Dezember"},MONTH($C53)))</f>
        <v>April</v>
      </c>
      <c r="E53" s="21" t="s">
        <v>55</v>
      </c>
      <c r="F53" s="22" t="str">
        <f>IF($E53="","",IFERROR(INDEX(Stammdaten!$D$14:$D$23,MATCH($E53,Stammdaten!$C$14:$C$23,0)),"?"))</f>
        <v>Buchhaltung</v>
      </c>
      <c r="G53" s="21" t="s">
        <v>52</v>
      </c>
      <c r="H53" s="22" t="str">
        <f>IF($G53="","",IFERROR(INDEX(Stammdaten!$D$27:$D$38,MATCH($G53,Stammdaten!$C$27:$C$38,0)),"?"))</f>
        <v>Kaffee</v>
      </c>
      <c r="I53" s="23">
        <v>42</v>
      </c>
      <c r="J53" s="24">
        <f>IF($G53="","",IFERROR(INDEX(Stammdaten!$E$27:$E$38,MATCH($G53,Stammdaten!$C$27:$C$38,0)),0))</f>
        <v>0.4</v>
      </c>
      <c r="K53" s="25">
        <f t="shared" si="2"/>
        <v>16.8</v>
      </c>
      <c r="L53" s="24">
        <f>IF(OR($I53="",$G53=""),"",ROUND($I53*IFERROR(INDEX(Stammdaten!$F$27:$F$38,MATCH($G53,Stammdaten!$C$27:$C$38,0)),0),2))</f>
        <v>5.04</v>
      </c>
      <c r="M53" s="24">
        <f t="shared" si="3"/>
        <v>11.760000000000002</v>
      </c>
      <c r="N53" s="21" t="s">
        <v>66</v>
      </c>
    </row>
    <row r="54" spans="2:14" x14ac:dyDescent="0.25">
      <c r="B54" s="18">
        <f>IF($C54="","",COUNT($C$18:$C54))</f>
        <v>37</v>
      </c>
      <c r="C54" s="19">
        <v>46142</v>
      </c>
      <c r="D54" s="20" t="str">
        <f>IF($C54="","",INDEX({"Januar","Februar","März","April","Mai","Juni","Juli","August","September","Oktober","November","Dezember"},MONTH($C54)))</f>
        <v>April</v>
      </c>
      <c r="E54" s="21" t="s">
        <v>56</v>
      </c>
      <c r="F54" s="22" t="str">
        <f>IF($E54="","",IFERROR(INDEX(Stammdaten!$D$14:$D$23,MATCH($E54,Stammdaten!$C$14:$C$23,0)),"?"))</f>
        <v>IT</v>
      </c>
      <c r="G54" s="21" t="s">
        <v>46</v>
      </c>
      <c r="H54" s="22" t="str">
        <f>IF($G54="","",IFERROR(INDEX(Stammdaten!$D$27:$D$38,MATCH($G54,Stammdaten!$C$27:$C$38,0)),"?"))</f>
        <v>Kaffee</v>
      </c>
      <c r="I54" s="23">
        <v>57</v>
      </c>
      <c r="J54" s="24">
        <f>IF($G54="","",IFERROR(INDEX(Stammdaten!$E$27:$E$38,MATCH($G54,Stammdaten!$C$27:$C$38,0)),0))</f>
        <v>0.5</v>
      </c>
      <c r="K54" s="25">
        <f t="shared" si="2"/>
        <v>28.5</v>
      </c>
      <c r="L54" s="24">
        <f>IF(OR($I54="",$G54=""),"",ROUND($I54*IFERROR(INDEX(Stammdaten!$F$27:$F$38,MATCH($G54,Stammdaten!$C$27:$C$38,0)),0),2))</f>
        <v>8.5500000000000007</v>
      </c>
      <c r="M54" s="24">
        <f t="shared" si="3"/>
        <v>19.95</v>
      </c>
      <c r="N54" s="21" t="s">
        <v>66</v>
      </c>
    </row>
    <row r="55" spans="2:14" x14ac:dyDescent="0.25">
      <c r="B55" s="18">
        <f>IF($C55="","",COUNT($C$18:$C55))</f>
        <v>38</v>
      </c>
      <c r="C55" s="19">
        <v>46154</v>
      </c>
      <c r="D55" s="20" t="str">
        <f>IF($C55="","",INDEX({"Januar","Februar","März","April","Mai","Juni","Juli","August","September","Oktober","November","Dezember"},MONTH($C55)))</f>
        <v>Mai</v>
      </c>
      <c r="E55" s="21" t="s">
        <v>56</v>
      </c>
      <c r="F55" s="22" t="str">
        <f>IF($E55="","",IFERROR(INDEX(Stammdaten!$D$14:$D$23,MATCH($E55,Stammdaten!$C$14:$C$23,0)),"?"))</f>
        <v>IT</v>
      </c>
      <c r="G55" s="21" t="s">
        <v>67</v>
      </c>
      <c r="H55" s="22" t="str">
        <f>IF($G55="","",IFERROR(INDEX(Stammdaten!$D$27:$D$38,MATCH($G55,Stammdaten!$C$27:$C$38,0)),"?"))</f>
        <v>Kaltgetränk</v>
      </c>
      <c r="I55" s="23">
        <v>18</v>
      </c>
      <c r="J55" s="24">
        <f>IF($G55="","",IFERROR(INDEX(Stammdaten!$E$27:$E$38,MATCH($G55,Stammdaten!$C$27:$C$38,0)),0))</f>
        <v>0.5</v>
      </c>
      <c r="K55" s="25">
        <f t="shared" si="2"/>
        <v>9</v>
      </c>
      <c r="L55" s="24">
        <f>IF(OR($I55="",$G55=""),"",ROUND($I55*IFERROR(INDEX(Stammdaten!$F$27:$F$38,MATCH($G55,Stammdaten!$C$27:$C$38,0)),0),2))</f>
        <v>3.96</v>
      </c>
      <c r="M55" s="24">
        <f t="shared" si="3"/>
        <v>5.04</v>
      </c>
      <c r="N55" s="21" t="s">
        <v>68</v>
      </c>
    </row>
    <row r="56" spans="2:14" x14ac:dyDescent="0.25">
      <c r="B56" s="18">
        <f>IF($C56="","",COUNT($C$18:$C56))</f>
        <v>39</v>
      </c>
      <c r="C56" s="19">
        <v>46161</v>
      </c>
      <c r="D56" s="20" t="str">
        <f>IF($C56="","",INDEX({"Januar","Februar","März","April","Mai","Juni","Juli","August","September","Oktober","November","Dezember"},MONTH($C56)))</f>
        <v>Mai</v>
      </c>
      <c r="E56" s="21" t="s">
        <v>45</v>
      </c>
      <c r="F56" s="22" t="str">
        <f>IF($E56="","",IFERROR(INDEX(Stammdaten!$D$14:$D$23,MATCH($E56,Stammdaten!$C$14:$C$23,0)),"?"))</f>
        <v>IT</v>
      </c>
      <c r="G56" s="21" t="s">
        <v>52</v>
      </c>
      <c r="H56" s="22" t="str">
        <f>IF($G56="","",IFERROR(INDEX(Stammdaten!$D$27:$D$38,MATCH($G56,Stammdaten!$C$27:$C$38,0)),"?"))</f>
        <v>Kaffee</v>
      </c>
      <c r="I56" s="23">
        <v>16</v>
      </c>
      <c r="J56" s="24">
        <f>IF($G56="","",IFERROR(INDEX(Stammdaten!$E$27:$E$38,MATCH($G56,Stammdaten!$C$27:$C$38,0)),0))</f>
        <v>0.4</v>
      </c>
      <c r="K56" s="25">
        <f t="shared" si="2"/>
        <v>6.4</v>
      </c>
      <c r="L56" s="24">
        <f>IF(OR($I56="",$G56=""),"",ROUND($I56*IFERROR(INDEX(Stammdaten!$F$27:$F$38,MATCH($G56,Stammdaten!$C$27:$C$38,0)),0),2))</f>
        <v>1.92</v>
      </c>
      <c r="M56" s="24">
        <f t="shared" si="3"/>
        <v>4.4800000000000004</v>
      </c>
      <c r="N56" s="21" t="s">
        <v>69</v>
      </c>
    </row>
    <row r="57" spans="2:14" x14ac:dyDescent="0.25">
      <c r="B57" s="18">
        <f>IF($C57="","",COUNT($C$18:$C57))</f>
        <v>40</v>
      </c>
      <c r="C57" s="19">
        <v>46171</v>
      </c>
      <c r="D57" s="20" t="str">
        <f>IF($C57="","",INDEX({"Januar","Februar","März","April","Mai","Juni","Juli","August","September","Oktober","November","Dezember"},MONTH($C57)))</f>
        <v>Mai</v>
      </c>
      <c r="E57" s="21" t="s">
        <v>42</v>
      </c>
      <c r="F57" s="22" t="str">
        <f>IF($E57="","",IFERROR(INDEX(Stammdaten!$D$14:$D$23,MATCH($E57,Stammdaten!$C$14:$C$23,0)),"?"))</f>
        <v>Verwaltung</v>
      </c>
      <c r="G57" s="21" t="s">
        <v>43</v>
      </c>
      <c r="H57" s="22" t="str">
        <f>IF($G57="","",IFERROR(INDEX(Stammdaten!$D$27:$D$38,MATCH($G57,Stammdaten!$C$27:$C$38,0)),"?"))</f>
        <v>Kaffeespezialität</v>
      </c>
      <c r="I57" s="23">
        <v>39</v>
      </c>
      <c r="J57" s="24">
        <f>IF($G57="","",IFERROR(INDEX(Stammdaten!$E$27:$E$38,MATCH($G57,Stammdaten!$C$27:$C$38,0)),0))</f>
        <v>0.7</v>
      </c>
      <c r="K57" s="25">
        <f t="shared" si="2"/>
        <v>27.3</v>
      </c>
      <c r="L57" s="24">
        <f>IF(OR($I57="",$G57=""),"",ROUND($I57*IFERROR(INDEX(Stammdaten!$F$27:$F$38,MATCH($G57,Stammdaten!$C$27:$C$38,0)),0),2))</f>
        <v>10.14</v>
      </c>
      <c r="M57" s="24">
        <f t="shared" si="3"/>
        <v>17.16</v>
      </c>
      <c r="N57" s="21" t="s">
        <v>70</v>
      </c>
    </row>
    <row r="58" spans="2:14" x14ac:dyDescent="0.25">
      <c r="B58" s="18">
        <f>IF($C58="","",COUNT($C$18:$C58))</f>
        <v>41</v>
      </c>
      <c r="C58" s="19">
        <v>46171</v>
      </c>
      <c r="D58" s="20" t="str">
        <f>IF($C58="","",INDEX({"Januar","Februar","März","April","Mai","Juni","Juli","August","September","Oktober","November","Dezember"},MONTH($C58)))</f>
        <v>Mai</v>
      </c>
      <c r="E58" s="21" t="s">
        <v>45</v>
      </c>
      <c r="F58" s="22" t="str">
        <f>IF($E58="","",IFERROR(INDEX(Stammdaten!$D$14:$D$23,MATCH($E58,Stammdaten!$C$14:$C$23,0)),"?"))</f>
        <v>IT</v>
      </c>
      <c r="G58" s="21" t="s">
        <v>46</v>
      </c>
      <c r="H58" s="22" t="str">
        <f>IF($G58="","",IFERROR(INDEX(Stammdaten!$D$27:$D$38,MATCH($G58,Stammdaten!$C$27:$C$38,0)),"?"))</f>
        <v>Kaffee</v>
      </c>
      <c r="I58" s="23">
        <v>43</v>
      </c>
      <c r="J58" s="24">
        <f>IF($G58="","",IFERROR(INDEX(Stammdaten!$E$27:$E$38,MATCH($G58,Stammdaten!$C$27:$C$38,0)),0))</f>
        <v>0.5</v>
      </c>
      <c r="K58" s="25">
        <f t="shared" si="2"/>
        <v>21.5</v>
      </c>
      <c r="L58" s="24">
        <f>IF(OR($I58="",$G58=""),"",ROUND($I58*IFERROR(INDEX(Stammdaten!$F$27:$F$38,MATCH($G58,Stammdaten!$C$27:$C$38,0)),0),2))</f>
        <v>6.45</v>
      </c>
      <c r="M58" s="24">
        <f t="shared" si="3"/>
        <v>15.05</v>
      </c>
      <c r="N58" s="21" t="s">
        <v>70</v>
      </c>
    </row>
    <row r="59" spans="2:14" x14ac:dyDescent="0.25">
      <c r="B59" s="18">
        <f>IF($C59="","",COUNT($C$18:$C59))</f>
        <v>42</v>
      </c>
      <c r="C59" s="19">
        <v>46171</v>
      </c>
      <c r="D59" s="20" t="str">
        <f>IF($C59="","",INDEX({"Januar","Februar","März","April","Mai","Juni","Juli","August","September","Oktober","November","Dezember"},MONTH($C59)))</f>
        <v>Mai</v>
      </c>
      <c r="E59" s="21" t="s">
        <v>47</v>
      </c>
      <c r="F59" s="22" t="str">
        <f>IF($E59="","",IFERROR(INDEX(Stammdaten!$D$14:$D$23,MATCH($E59,Stammdaten!$C$14:$C$23,0)),"?"))</f>
        <v>Vertrieb</v>
      </c>
      <c r="G59" s="21" t="s">
        <v>48</v>
      </c>
      <c r="H59" s="22" t="str">
        <f>IF($G59="","",IFERROR(INDEX(Stammdaten!$D$27:$D$38,MATCH($G59,Stammdaten!$C$27:$C$38,0)),"?"))</f>
        <v>Kaffeespezialität</v>
      </c>
      <c r="I59" s="23">
        <v>23</v>
      </c>
      <c r="J59" s="24">
        <f>IF($G59="","",IFERROR(INDEX(Stammdaten!$E$27:$E$38,MATCH($G59,Stammdaten!$C$27:$C$38,0)),0))</f>
        <v>0.7</v>
      </c>
      <c r="K59" s="25">
        <f t="shared" si="2"/>
        <v>16.100000000000001</v>
      </c>
      <c r="L59" s="24">
        <f>IF(OR($I59="",$G59=""),"",ROUND($I59*IFERROR(INDEX(Stammdaten!$F$27:$F$38,MATCH($G59,Stammdaten!$C$27:$C$38,0)),0),2))</f>
        <v>6.21</v>
      </c>
      <c r="M59" s="24">
        <f t="shared" si="3"/>
        <v>9.89</v>
      </c>
      <c r="N59" s="21" t="s">
        <v>70</v>
      </c>
    </row>
    <row r="60" spans="2:14" x14ac:dyDescent="0.25">
      <c r="B60" s="18">
        <f>IF($C60="","",COUNT($C$18:$C60))</f>
        <v>43</v>
      </c>
      <c r="C60" s="19">
        <v>46171</v>
      </c>
      <c r="D60" s="20" t="str">
        <f>IF($C60="","",INDEX({"Januar","Februar","März","April","Mai","Juni","Juli","August","September","Oktober","November","Dezember"},MONTH($C60)))</f>
        <v>Mai</v>
      </c>
      <c r="E60" s="21" t="s">
        <v>49</v>
      </c>
      <c r="F60" s="22" t="str">
        <f>IF($E60="","",IFERROR(INDEX(Stammdaten!$D$14:$D$23,MATCH($E60,Stammdaten!$C$14:$C$23,0)),"?"))</f>
        <v>Marketing</v>
      </c>
      <c r="G60" s="21" t="s">
        <v>50</v>
      </c>
      <c r="H60" s="22" t="str">
        <f>IF($G60="","",IFERROR(INDEX(Stammdaten!$D$27:$D$38,MATCH($G60,Stammdaten!$C$27:$C$38,0)),"?"))</f>
        <v>Kaffeespezialität</v>
      </c>
      <c r="I60" s="23">
        <v>27</v>
      </c>
      <c r="J60" s="24">
        <f>IF($G60="","",IFERROR(INDEX(Stammdaten!$E$27:$E$38,MATCH($G60,Stammdaten!$C$27:$C$38,0)),0))</f>
        <v>0.8</v>
      </c>
      <c r="K60" s="25">
        <f t="shared" si="2"/>
        <v>21.6</v>
      </c>
      <c r="L60" s="24">
        <f>IF(OR($I60="",$G60=""),"",ROUND($I60*IFERROR(INDEX(Stammdaten!$F$27:$F$38,MATCH($G60,Stammdaten!$C$27:$C$38,0)),0),2))</f>
        <v>8.3699999999999992</v>
      </c>
      <c r="M60" s="24">
        <f t="shared" si="3"/>
        <v>13.230000000000002</v>
      </c>
      <c r="N60" s="21" t="s">
        <v>70</v>
      </c>
    </row>
    <row r="61" spans="2:14" x14ac:dyDescent="0.25">
      <c r="B61" s="18">
        <f>IF($C61="","",COUNT($C$18:$C61))</f>
        <v>44</v>
      </c>
      <c r="C61" s="19">
        <v>46171</v>
      </c>
      <c r="D61" s="20" t="str">
        <f>IF($C61="","",INDEX({"Januar","Februar","März","April","Mai","Juni","Juli","August","September","Oktober","November","Dezember"},MONTH($C61)))</f>
        <v>Mai</v>
      </c>
      <c r="E61" s="21" t="s">
        <v>51</v>
      </c>
      <c r="F61" s="22" t="str">
        <f>IF($E61="","",IFERROR(INDEX(Stammdaten!$D$14:$D$23,MATCH($E61,Stammdaten!$C$14:$C$23,0)),"?"))</f>
        <v>Vertrieb</v>
      </c>
      <c r="G61" s="21" t="s">
        <v>52</v>
      </c>
      <c r="H61" s="22" t="str">
        <f>IF($G61="","",IFERROR(INDEX(Stammdaten!$D$27:$D$38,MATCH($G61,Stammdaten!$C$27:$C$38,0)),"?"))</f>
        <v>Kaffee</v>
      </c>
      <c r="I61" s="23">
        <v>46</v>
      </c>
      <c r="J61" s="24">
        <f>IF($G61="","",IFERROR(INDEX(Stammdaten!$E$27:$E$38,MATCH($G61,Stammdaten!$C$27:$C$38,0)),0))</f>
        <v>0.4</v>
      </c>
      <c r="K61" s="25">
        <f t="shared" si="2"/>
        <v>18.399999999999999</v>
      </c>
      <c r="L61" s="24">
        <f>IF(OR($I61="",$G61=""),"",ROUND($I61*IFERROR(INDEX(Stammdaten!$F$27:$F$38,MATCH($G61,Stammdaten!$C$27:$C$38,0)),0),2))</f>
        <v>5.52</v>
      </c>
      <c r="M61" s="24">
        <f t="shared" si="3"/>
        <v>12.879999999999999</v>
      </c>
      <c r="N61" s="21" t="s">
        <v>70</v>
      </c>
    </row>
    <row r="62" spans="2:14" x14ac:dyDescent="0.25">
      <c r="B62" s="18">
        <f>IF($C62="","",COUNT($C$18:$C62))</f>
        <v>45</v>
      </c>
      <c r="C62" s="19">
        <v>46171</v>
      </c>
      <c r="D62" s="20" t="str">
        <f>IF($C62="","",INDEX({"Januar","Februar","März","April","Mai","Juni","Juli","August","September","Oktober","November","Dezember"},MONTH($C62)))</f>
        <v>Mai</v>
      </c>
      <c r="E62" s="21" t="s">
        <v>53</v>
      </c>
      <c r="F62" s="22" t="str">
        <f>IF($E62="","",IFERROR(INDEX(Stammdaten!$D$14:$D$23,MATCH($E62,Stammdaten!$C$14:$C$23,0)),"?"))</f>
        <v>Personal</v>
      </c>
      <c r="G62" s="21" t="s">
        <v>54</v>
      </c>
      <c r="H62" s="22" t="str">
        <f>IF($G62="","",IFERROR(INDEX(Stammdaten!$D$27:$D$38,MATCH($G62,Stammdaten!$C$27:$C$38,0)),"?"))</f>
        <v>Heißgetränk</v>
      </c>
      <c r="I62" s="23">
        <v>34</v>
      </c>
      <c r="J62" s="24">
        <f>IF($G62="","",IFERROR(INDEX(Stammdaten!$E$27:$E$38,MATCH($G62,Stammdaten!$C$27:$C$38,0)),0))</f>
        <v>0.3</v>
      </c>
      <c r="K62" s="25">
        <f t="shared" si="2"/>
        <v>10.199999999999999</v>
      </c>
      <c r="L62" s="24">
        <f>IF(OR($I62="",$G62=""),"",ROUND($I62*IFERROR(INDEX(Stammdaten!$F$27:$F$38,MATCH($G62,Stammdaten!$C$27:$C$38,0)),0),2))</f>
        <v>2.72</v>
      </c>
      <c r="M62" s="24">
        <f t="shared" si="3"/>
        <v>7.4799999999999986</v>
      </c>
      <c r="N62" s="21" t="s">
        <v>70</v>
      </c>
    </row>
    <row r="63" spans="2:14" x14ac:dyDescent="0.25">
      <c r="B63" s="18">
        <f>IF($C63="","",COUNT($C$18:$C63))</f>
        <v>46</v>
      </c>
      <c r="C63" s="19">
        <v>46171</v>
      </c>
      <c r="D63" s="20" t="str">
        <f>IF($C63="","",INDEX({"Januar","Februar","März","April","Mai","Juni","Juli","August","September","Oktober","November","Dezember"},MONTH($C63)))</f>
        <v>Mai</v>
      </c>
      <c r="E63" s="21" t="s">
        <v>55</v>
      </c>
      <c r="F63" s="22" t="str">
        <f>IF($E63="","",IFERROR(INDEX(Stammdaten!$D$14:$D$23,MATCH($E63,Stammdaten!$C$14:$C$23,0)),"?"))</f>
        <v>Buchhaltung</v>
      </c>
      <c r="G63" s="21" t="s">
        <v>52</v>
      </c>
      <c r="H63" s="22" t="str">
        <f>IF($G63="","",IFERROR(INDEX(Stammdaten!$D$27:$D$38,MATCH($G63,Stammdaten!$C$27:$C$38,0)),"?"))</f>
        <v>Kaffee</v>
      </c>
      <c r="I63" s="23">
        <v>38</v>
      </c>
      <c r="J63" s="24">
        <f>IF($G63="","",IFERROR(INDEX(Stammdaten!$E$27:$E$38,MATCH($G63,Stammdaten!$C$27:$C$38,0)),0))</f>
        <v>0.4</v>
      </c>
      <c r="K63" s="25">
        <f t="shared" si="2"/>
        <v>15.2</v>
      </c>
      <c r="L63" s="24">
        <f>IF(OR($I63="",$G63=""),"",ROUND($I63*IFERROR(INDEX(Stammdaten!$F$27:$F$38,MATCH($G63,Stammdaten!$C$27:$C$38,0)),0),2))</f>
        <v>4.5599999999999996</v>
      </c>
      <c r="M63" s="24">
        <f t="shared" si="3"/>
        <v>10.64</v>
      </c>
      <c r="N63" s="21" t="s">
        <v>70</v>
      </c>
    </row>
    <row r="64" spans="2:14" x14ac:dyDescent="0.25">
      <c r="B64" s="18">
        <f>IF($C64="","",COUNT($C$18:$C64))</f>
        <v>47</v>
      </c>
      <c r="C64" s="19">
        <v>46171</v>
      </c>
      <c r="D64" s="20" t="str">
        <f>IF($C64="","",INDEX({"Januar","Februar","März","April","Mai","Juni","Juli","August","September","Oktober","November","Dezember"},MONTH($C64)))</f>
        <v>Mai</v>
      </c>
      <c r="E64" s="21" t="s">
        <v>56</v>
      </c>
      <c r="F64" s="22" t="str">
        <f>IF($E64="","",IFERROR(INDEX(Stammdaten!$D$14:$D$23,MATCH($E64,Stammdaten!$C$14:$C$23,0)),"?"))</f>
        <v>IT</v>
      </c>
      <c r="G64" s="21" t="s">
        <v>46</v>
      </c>
      <c r="H64" s="22" t="str">
        <f>IF($G64="","",IFERROR(INDEX(Stammdaten!$D$27:$D$38,MATCH($G64,Stammdaten!$C$27:$C$38,0)),"?"))</f>
        <v>Kaffee</v>
      </c>
      <c r="I64" s="23">
        <v>60</v>
      </c>
      <c r="J64" s="24">
        <f>IF($G64="","",IFERROR(INDEX(Stammdaten!$E$27:$E$38,MATCH($G64,Stammdaten!$C$27:$C$38,0)),0))</f>
        <v>0.5</v>
      </c>
      <c r="K64" s="25">
        <f t="shared" si="2"/>
        <v>30</v>
      </c>
      <c r="L64" s="24">
        <f>IF(OR($I64="",$G64=""),"",ROUND($I64*IFERROR(INDEX(Stammdaten!$F$27:$F$38,MATCH($G64,Stammdaten!$C$27:$C$38,0)),0),2))</f>
        <v>9</v>
      </c>
      <c r="M64" s="24">
        <f t="shared" si="3"/>
        <v>21</v>
      </c>
      <c r="N64" s="21" t="s">
        <v>70</v>
      </c>
    </row>
    <row r="65" spans="2:14" x14ac:dyDescent="0.25">
      <c r="B65" s="18">
        <f>IF($C65="","",COUNT($C$18:$C65))</f>
        <v>48</v>
      </c>
      <c r="C65" s="19">
        <v>46189</v>
      </c>
      <c r="D65" s="20" t="str">
        <f>IF($C65="","",INDEX({"Januar","Februar","März","April","Mai","Juni","Juli","August","September","Oktober","November","Dezember"},MONTH($C65)))</f>
        <v>Juni</v>
      </c>
      <c r="E65" s="21" t="s">
        <v>47</v>
      </c>
      <c r="F65" s="22" t="str">
        <f>IF($E65="","",IFERROR(INDEX(Stammdaten!$D$14:$D$23,MATCH($E65,Stammdaten!$C$14:$C$23,0)),"?"))</f>
        <v>Vertrieb</v>
      </c>
      <c r="G65" s="21" t="s">
        <v>71</v>
      </c>
      <c r="H65" s="22" t="str">
        <f>IF($G65="","",IFERROR(INDEX(Stammdaten!$D$27:$D$38,MATCH($G65,Stammdaten!$C$27:$C$38,0)),"?"))</f>
        <v>Kaffee</v>
      </c>
      <c r="I65" s="23">
        <v>12</v>
      </c>
      <c r="J65" s="24">
        <f>IF($G65="","",IFERROR(INDEX(Stammdaten!$E$27:$E$38,MATCH($G65,Stammdaten!$C$27:$C$38,0)),0))</f>
        <v>0.6</v>
      </c>
      <c r="K65" s="25">
        <f t="shared" si="2"/>
        <v>7.2</v>
      </c>
      <c r="L65" s="24">
        <f>IF(OR($I65="",$G65=""),"",ROUND($I65*IFERROR(INDEX(Stammdaten!$F$27:$F$38,MATCH($G65,Stammdaten!$C$27:$C$38,0)),0),2))</f>
        <v>2.2799999999999998</v>
      </c>
      <c r="M65" s="24">
        <f t="shared" si="3"/>
        <v>4.92</v>
      </c>
      <c r="N65" s="21" t="s">
        <v>72</v>
      </c>
    </row>
    <row r="66" spans="2:14" x14ac:dyDescent="0.25">
      <c r="B66" s="18">
        <f>IF($C66="","",COUNT($C$18:$C66))</f>
        <v>49</v>
      </c>
      <c r="C66" s="19">
        <v>46203</v>
      </c>
      <c r="D66" s="20" t="str">
        <f>IF($C66="","",INDEX({"Januar","Februar","März","April","Mai","Juni","Juli","August","September","Oktober","November","Dezember"},MONTH($C66)))</f>
        <v>Juni</v>
      </c>
      <c r="E66" s="21" t="s">
        <v>42</v>
      </c>
      <c r="F66" s="22" t="str">
        <f>IF($E66="","",IFERROR(INDEX(Stammdaten!$D$14:$D$23,MATCH($E66,Stammdaten!$C$14:$C$23,0)),"?"))</f>
        <v>Verwaltung</v>
      </c>
      <c r="G66" s="21" t="s">
        <v>43</v>
      </c>
      <c r="H66" s="22" t="str">
        <f>IF($G66="","",IFERROR(INDEX(Stammdaten!$D$27:$D$38,MATCH($G66,Stammdaten!$C$27:$C$38,0)),"?"))</f>
        <v>Kaffeespezialität</v>
      </c>
      <c r="I66" s="23">
        <v>33</v>
      </c>
      <c r="J66" s="24">
        <f>IF($G66="","",IFERROR(INDEX(Stammdaten!$E$27:$E$38,MATCH($G66,Stammdaten!$C$27:$C$38,0)),0))</f>
        <v>0.7</v>
      </c>
      <c r="K66" s="25">
        <f t="shared" si="2"/>
        <v>23.1</v>
      </c>
      <c r="L66" s="24">
        <f>IF(OR($I66="",$G66=""),"",ROUND($I66*IFERROR(INDEX(Stammdaten!$F$27:$F$38,MATCH($G66,Stammdaten!$C$27:$C$38,0)),0),2))</f>
        <v>8.58</v>
      </c>
      <c r="M66" s="24">
        <f t="shared" si="3"/>
        <v>14.520000000000001</v>
      </c>
      <c r="N66" s="21" t="s">
        <v>73</v>
      </c>
    </row>
    <row r="67" spans="2:14" x14ac:dyDescent="0.25">
      <c r="B67" s="18">
        <f>IF($C67="","",COUNT($C$18:$C67))</f>
        <v>50</v>
      </c>
      <c r="C67" s="19">
        <v>46203</v>
      </c>
      <c r="D67" s="20" t="str">
        <f>IF($C67="","",INDEX({"Januar","Februar","März","April","Mai","Juni","Juli","August","September","Oktober","November","Dezember"},MONTH($C67)))</f>
        <v>Juni</v>
      </c>
      <c r="E67" s="21" t="s">
        <v>45</v>
      </c>
      <c r="F67" s="22" t="str">
        <f>IF($E67="","",IFERROR(INDEX(Stammdaten!$D$14:$D$23,MATCH($E67,Stammdaten!$C$14:$C$23,0)),"?"))</f>
        <v>IT</v>
      </c>
      <c r="G67" s="21" t="s">
        <v>46</v>
      </c>
      <c r="H67" s="22" t="str">
        <f>IF($G67="","",IFERROR(INDEX(Stammdaten!$D$27:$D$38,MATCH($G67,Stammdaten!$C$27:$C$38,0)),"?"))</f>
        <v>Kaffee</v>
      </c>
      <c r="I67" s="23">
        <v>45</v>
      </c>
      <c r="J67" s="24">
        <f>IF($G67="","",IFERROR(INDEX(Stammdaten!$E$27:$E$38,MATCH($G67,Stammdaten!$C$27:$C$38,0)),0))</f>
        <v>0.5</v>
      </c>
      <c r="K67" s="25">
        <f t="shared" si="2"/>
        <v>22.5</v>
      </c>
      <c r="L67" s="24">
        <f>IF(OR($I67="",$G67=""),"",ROUND($I67*IFERROR(INDEX(Stammdaten!$F$27:$F$38,MATCH($G67,Stammdaten!$C$27:$C$38,0)),0),2))</f>
        <v>6.75</v>
      </c>
      <c r="M67" s="24">
        <f t="shared" si="3"/>
        <v>15.75</v>
      </c>
      <c r="N67" s="21" t="s">
        <v>73</v>
      </c>
    </row>
    <row r="68" spans="2:14" x14ac:dyDescent="0.25">
      <c r="B68" s="18">
        <f>IF($C68="","",COUNT($C$18:$C68))</f>
        <v>51</v>
      </c>
      <c r="C68" s="19">
        <v>46203</v>
      </c>
      <c r="D68" s="20" t="str">
        <f>IF($C68="","",INDEX({"Januar","Februar","März","April","Mai","Juni","Juli","August","September","Oktober","November","Dezember"},MONTH($C68)))</f>
        <v>Juni</v>
      </c>
      <c r="E68" s="21" t="s">
        <v>47</v>
      </c>
      <c r="F68" s="22" t="str">
        <f>IF($E68="","",IFERROR(INDEX(Stammdaten!$D$14:$D$23,MATCH($E68,Stammdaten!$C$14:$C$23,0)),"?"))</f>
        <v>Vertrieb</v>
      </c>
      <c r="G68" s="21" t="s">
        <v>48</v>
      </c>
      <c r="H68" s="22" t="str">
        <f>IF($G68="","",IFERROR(INDEX(Stammdaten!$D$27:$D$38,MATCH($G68,Stammdaten!$C$27:$C$38,0)),"?"))</f>
        <v>Kaffeespezialität</v>
      </c>
      <c r="I68" s="23">
        <v>21</v>
      </c>
      <c r="J68" s="24">
        <f>IF($G68="","",IFERROR(INDEX(Stammdaten!$E$27:$E$38,MATCH($G68,Stammdaten!$C$27:$C$38,0)),0))</f>
        <v>0.7</v>
      </c>
      <c r="K68" s="25">
        <f t="shared" si="2"/>
        <v>14.7</v>
      </c>
      <c r="L68" s="24">
        <f>IF(OR($I68="",$G68=""),"",ROUND($I68*IFERROR(INDEX(Stammdaten!$F$27:$F$38,MATCH($G68,Stammdaten!$C$27:$C$38,0)),0),2))</f>
        <v>5.67</v>
      </c>
      <c r="M68" s="24">
        <f t="shared" si="3"/>
        <v>9.0299999999999994</v>
      </c>
      <c r="N68" s="21" t="s">
        <v>73</v>
      </c>
    </row>
    <row r="69" spans="2:14" x14ac:dyDescent="0.25">
      <c r="B69" s="18">
        <f>IF($C69="","",COUNT($C$18:$C69))</f>
        <v>52</v>
      </c>
      <c r="C69" s="19">
        <v>46203</v>
      </c>
      <c r="D69" s="20" t="str">
        <f>IF($C69="","",INDEX({"Januar","Februar","März","April","Mai","Juni","Juli","August","September","Oktober","November","Dezember"},MONTH($C69)))</f>
        <v>Juni</v>
      </c>
      <c r="E69" s="21" t="s">
        <v>49</v>
      </c>
      <c r="F69" s="22" t="str">
        <f>IF($E69="","",IFERROR(INDEX(Stammdaten!$D$14:$D$23,MATCH($E69,Stammdaten!$C$14:$C$23,0)),"?"))</f>
        <v>Marketing</v>
      </c>
      <c r="G69" s="21" t="s">
        <v>50</v>
      </c>
      <c r="H69" s="22" t="str">
        <f>IF($G69="","",IFERROR(INDEX(Stammdaten!$D$27:$D$38,MATCH($G69,Stammdaten!$C$27:$C$38,0)),"?"))</f>
        <v>Kaffeespezialität</v>
      </c>
      <c r="I69" s="23">
        <v>29</v>
      </c>
      <c r="J69" s="24">
        <f>IF($G69="","",IFERROR(INDEX(Stammdaten!$E$27:$E$38,MATCH($G69,Stammdaten!$C$27:$C$38,0)),0))</f>
        <v>0.8</v>
      </c>
      <c r="K69" s="25">
        <f t="shared" si="2"/>
        <v>23.2</v>
      </c>
      <c r="L69" s="24">
        <f>IF(OR($I69="",$G69=""),"",ROUND($I69*IFERROR(INDEX(Stammdaten!$F$27:$F$38,MATCH($G69,Stammdaten!$C$27:$C$38,0)),0),2))</f>
        <v>8.99</v>
      </c>
      <c r="M69" s="24">
        <f t="shared" si="3"/>
        <v>14.209999999999999</v>
      </c>
      <c r="N69" s="21" t="s">
        <v>73</v>
      </c>
    </row>
    <row r="70" spans="2:14" x14ac:dyDescent="0.25">
      <c r="B70" s="18">
        <f>IF($C70="","",COUNT($C$18:$C70))</f>
        <v>53</v>
      </c>
      <c r="C70" s="19">
        <v>46203</v>
      </c>
      <c r="D70" s="20" t="str">
        <f>IF($C70="","",INDEX({"Januar","Februar","März","April","Mai","Juni","Juli","August","September","Oktober","November","Dezember"},MONTH($C70)))</f>
        <v>Juni</v>
      </c>
      <c r="E70" s="21" t="s">
        <v>51</v>
      </c>
      <c r="F70" s="22" t="str">
        <f>IF($E70="","",IFERROR(INDEX(Stammdaten!$D$14:$D$23,MATCH($E70,Stammdaten!$C$14:$C$23,0)),"?"))</f>
        <v>Vertrieb</v>
      </c>
      <c r="G70" s="21" t="s">
        <v>52</v>
      </c>
      <c r="H70" s="22" t="str">
        <f>IF($G70="","",IFERROR(INDEX(Stammdaten!$D$27:$D$38,MATCH($G70,Stammdaten!$C$27:$C$38,0)),"?"))</f>
        <v>Kaffee</v>
      </c>
      <c r="I70" s="23">
        <v>49</v>
      </c>
      <c r="J70" s="24">
        <f>IF($G70="","",IFERROR(INDEX(Stammdaten!$E$27:$E$38,MATCH($G70,Stammdaten!$C$27:$C$38,0)),0))</f>
        <v>0.4</v>
      </c>
      <c r="K70" s="25">
        <f t="shared" si="2"/>
        <v>19.600000000000001</v>
      </c>
      <c r="L70" s="24">
        <f>IF(OR($I70="",$G70=""),"",ROUND($I70*IFERROR(INDEX(Stammdaten!$F$27:$F$38,MATCH($G70,Stammdaten!$C$27:$C$38,0)),0),2))</f>
        <v>5.88</v>
      </c>
      <c r="M70" s="24">
        <f t="shared" si="3"/>
        <v>13.720000000000002</v>
      </c>
      <c r="N70" s="21" t="s">
        <v>73</v>
      </c>
    </row>
    <row r="71" spans="2:14" x14ac:dyDescent="0.25">
      <c r="B71" s="18">
        <f>IF($C71="","",COUNT($C$18:$C71))</f>
        <v>54</v>
      </c>
      <c r="C71" s="19">
        <v>46203</v>
      </c>
      <c r="D71" s="20" t="str">
        <f>IF($C71="","",INDEX({"Januar","Februar","März","April","Mai","Juni","Juli","August","September","Oktober","November","Dezember"},MONTH($C71)))</f>
        <v>Juni</v>
      </c>
      <c r="E71" s="21" t="s">
        <v>53</v>
      </c>
      <c r="F71" s="22" t="str">
        <f>IF($E71="","",IFERROR(INDEX(Stammdaten!$D$14:$D$23,MATCH($E71,Stammdaten!$C$14:$C$23,0)),"?"))</f>
        <v>Personal</v>
      </c>
      <c r="G71" s="21" t="s">
        <v>54</v>
      </c>
      <c r="H71" s="22" t="str">
        <f>IF($G71="","",IFERROR(INDEX(Stammdaten!$D$27:$D$38,MATCH($G71,Stammdaten!$C$27:$C$38,0)),"?"))</f>
        <v>Heißgetränk</v>
      </c>
      <c r="I71" s="23">
        <v>31</v>
      </c>
      <c r="J71" s="24">
        <f>IF($G71="","",IFERROR(INDEX(Stammdaten!$E$27:$E$38,MATCH($G71,Stammdaten!$C$27:$C$38,0)),0))</f>
        <v>0.3</v>
      </c>
      <c r="K71" s="25">
        <f t="shared" si="2"/>
        <v>9.3000000000000007</v>
      </c>
      <c r="L71" s="24">
        <f>IF(OR($I71="",$G71=""),"",ROUND($I71*IFERROR(INDEX(Stammdaten!$F$27:$F$38,MATCH($G71,Stammdaten!$C$27:$C$38,0)),0),2))</f>
        <v>2.48</v>
      </c>
      <c r="M71" s="24">
        <f t="shared" si="3"/>
        <v>6.82</v>
      </c>
      <c r="N71" s="21" t="s">
        <v>73</v>
      </c>
    </row>
    <row r="72" spans="2:14" x14ac:dyDescent="0.25">
      <c r="B72" s="18">
        <f>IF($C72="","",COUNT($C$18:$C72))</f>
        <v>55</v>
      </c>
      <c r="C72" s="19">
        <v>46203</v>
      </c>
      <c r="D72" s="20" t="str">
        <f>IF($C72="","",INDEX({"Januar","Februar","März","April","Mai","Juni","Juli","August","September","Oktober","November","Dezember"},MONTH($C72)))</f>
        <v>Juni</v>
      </c>
      <c r="E72" s="21" t="s">
        <v>55</v>
      </c>
      <c r="F72" s="22" t="str">
        <f>IF($E72="","",IFERROR(INDEX(Stammdaten!$D$14:$D$23,MATCH($E72,Stammdaten!$C$14:$C$23,0)),"?"))</f>
        <v>Buchhaltung</v>
      </c>
      <c r="G72" s="21" t="s">
        <v>52</v>
      </c>
      <c r="H72" s="22" t="str">
        <f>IF($G72="","",IFERROR(INDEX(Stammdaten!$D$27:$D$38,MATCH($G72,Stammdaten!$C$27:$C$38,0)),"?"))</f>
        <v>Kaffee</v>
      </c>
      <c r="I72" s="23">
        <v>43</v>
      </c>
      <c r="J72" s="24">
        <f>IF($G72="","",IFERROR(INDEX(Stammdaten!$E$27:$E$38,MATCH($G72,Stammdaten!$C$27:$C$38,0)),0))</f>
        <v>0.4</v>
      </c>
      <c r="K72" s="25">
        <f t="shared" si="2"/>
        <v>17.2</v>
      </c>
      <c r="L72" s="24">
        <f>IF(OR($I72="",$G72=""),"",ROUND($I72*IFERROR(INDEX(Stammdaten!$F$27:$F$38,MATCH($G72,Stammdaten!$C$27:$C$38,0)),0),2))</f>
        <v>5.16</v>
      </c>
      <c r="M72" s="24">
        <f t="shared" si="3"/>
        <v>12.04</v>
      </c>
      <c r="N72" s="21" t="s">
        <v>73</v>
      </c>
    </row>
    <row r="73" spans="2:14" x14ac:dyDescent="0.25">
      <c r="B73" s="18">
        <f>IF($C73="","",COUNT($C$18:$C73))</f>
        <v>56</v>
      </c>
      <c r="C73" s="19">
        <v>46203</v>
      </c>
      <c r="D73" s="20" t="str">
        <f>IF($C73="","",INDEX({"Januar","Februar","März","April","Mai","Juni","Juli","August","September","Oktober","November","Dezember"},MONTH($C73)))</f>
        <v>Juni</v>
      </c>
      <c r="E73" s="21" t="s">
        <v>56</v>
      </c>
      <c r="F73" s="22" t="str">
        <f>IF($E73="","",IFERROR(INDEX(Stammdaten!$D$14:$D$23,MATCH($E73,Stammdaten!$C$14:$C$23,0)),"?"))</f>
        <v>IT</v>
      </c>
      <c r="G73" s="21" t="s">
        <v>46</v>
      </c>
      <c r="H73" s="22" t="str">
        <f>IF($G73="","",IFERROR(INDEX(Stammdaten!$D$27:$D$38,MATCH($G73,Stammdaten!$C$27:$C$38,0)),"?"))</f>
        <v>Kaffee</v>
      </c>
      <c r="I73" s="23">
        <v>55</v>
      </c>
      <c r="J73" s="24">
        <f>IF($G73="","",IFERROR(INDEX(Stammdaten!$E$27:$E$38,MATCH($G73,Stammdaten!$C$27:$C$38,0)),0))</f>
        <v>0.5</v>
      </c>
      <c r="K73" s="25">
        <f t="shared" si="2"/>
        <v>27.5</v>
      </c>
      <c r="L73" s="24">
        <f>IF(OR($I73="",$G73=""),"",ROUND($I73*IFERROR(INDEX(Stammdaten!$F$27:$F$38,MATCH($G73,Stammdaten!$C$27:$C$38,0)),0),2))</f>
        <v>8.25</v>
      </c>
      <c r="M73" s="24">
        <f t="shared" si="3"/>
        <v>19.25</v>
      </c>
      <c r="N73" s="21" t="s">
        <v>73</v>
      </c>
    </row>
    <row r="74" spans="2:14" x14ac:dyDescent="0.25">
      <c r="B74" s="18" t="str">
        <f>IF($C74="","",COUNT($C$18:$C74))</f>
        <v/>
      </c>
      <c r="C74" s="19"/>
      <c r="D74" s="20" t="str">
        <f>IF($C74="","",INDEX({"Januar","Februar","März","April","Mai","Juni","Juli","August","September","Oktober","November","Dezember"},MONTH($C74)))</f>
        <v/>
      </c>
      <c r="E74" s="21"/>
      <c r="F74" s="22" t="str">
        <f>IF($E74="","",IFERROR(INDEX(Stammdaten!$D$14:$D$23,MATCH($E74,Stammdaten!$C$14:$C$23,0)),"?"))</f>
        <v/>
      </c>
      <c r="G74" s="21"/>
      <c r="H74" s="22" t="str">
        <f>IF($G74="","",IFERROR(INDEX(Stammdaten!$D$27:$D$38,MATCH($G74,Stammdaten!$C$27:$C$38,0)),"?"))</f>
        <v/>
      </c>
      <c r="I74" s="23"/>
      <c r="J74" s="24" t="str">
        <f>IF($G74="","",IFERROR(INDEX(Stammdaten!$E$27:$E$38,MATCH($G74,Stammdaten!$C$27:$C$38,0)),0))</f>
        <v/>
      </c>
      <c r="K74" s="25" t="str">
        <f t="shared" si="2"/>
        <v/>
      </c>
      <c r="L74" s="24" t="str">
        <f>IF(OR($I74="",$G74=""),"",ROUND($I74*IFERROR(INDEX(Stammdaten!$F$27:$F$38,MATCH($G74,Stammdaten!$C$27:$C$38,0)),0),2))</f>
        <v/>
      </c>
      <c r="M74" s="24" t="str">
        <f t="shared" si="3"/>
        <v/>
      </c>
      <c r="N74" s="21"/>
    </row>
    <row r="75" spans="2:14" x14ac:dyDescent="0.25">
      <c r="B75" s="18" t="str">
        <f>IF($C75="","",COUNT($C$18:$C75))</f>
        <v/>
      </c>
      <c r="C75" s="19"/>
      <c r="D75" s="20" t="str">
        <f>IF($C75="","",INDEX({"Januar","Februar","März","April","Mai","Juni","Juli","August","September","Oktober","November","Dezember"},MONTH($C75)))</f>
        <v/>
      </c>
      <c r="E75" s="21"/>
      <c r="F75" s="22" t="str">
        <f>IF($E75="","",IFERROR(INDEX(Stammdaten!$D$14:$D$23,MATCH($E75,Stammdaten!$C$14:$C$23,0)),"?"))</f>
        <v/>
      </c>
      <c r="G75" s="21"/>
      <c r="H75" s="22" t="str">
        <f>IF($G75="","",IFERROR(INDEX(Stammdaten!$D$27:$D$38,MATCH($G75,Stammdaten!$C$27:$C$38,0)),"?"))</f>
        <v/>
      </c>
      <c r="I75" s="23"/>
      <c r="J75" s="24" t="str">
        <f>IF($G75="","",IFERROR(INDEX(Stammdaten!$E$27:$E$38,MATCH($G75,Stammdaten!$C$27:$C$38,0)),0))</f>
        <v/>
      </c>
      <c r="K75" s="25" t="str">
        <f t="shared" si="2"/>
        <v/>
      </c>
      <c r="L75" s="24" t="str">
        <f>IF(OR($I75="",$G75=""),"",ROUND($I75*IFERROR(INDEX(Stammdaten!$F$27:$F$38,MATCH($G75,Stammdaten!$C$27:$C$38,0)),0),2))</f>
        <v/>
      </c>
      <c r="M75" s="24" t="str">
        <f t="shared" si="3"/>
        <v/>
      </c>
      <c r="N75" s="21"/>
    </row>
    <row r="76" spans="2:14" x14ac:dyDescent="0.25">
      <c r="B76" s="18" t="str">
        <f>IF($C76="","",COUNT($C$18:$C76))</f>
        <v/>
      </c>
      <c r="C76" s="19"/>
      <c r="D76" s="20" t="str">
        <f>IF($C76="","",INDEX({"Januar","Februar","März","April","Mai","Juni","Juli","August","September","Oktober","November","Dezember"},MONTH($C76)))</f>
        <v/>
      </c>
      <c r="E76" s="21"/>
      <c r="F76" s="22" t="str">
        <f>IF($E76="","",IFERROR(INDEX(Stammdaten!$D$14:$D$23,MATCH($E76,Stammdaten!$C$14:$C$23,0)),"?"))</f>
        <v/>
      </c>
      <c r="G76" s="21"/>
      <c r="H76" s="22" t="str">
        <f>IF($G76="","",IFERROR(INDEX(Stammdaten!$D$27:$D$38,MATCH($G76,Stammdaten!$C$27:$C$38,0)),"?"))</f>
        <v/>
      </c>
      <c r="I76" s="23"/>
      <c r="J76" s="24" t="str">
        <f>IF($G76="","",IFERROR(INDEX(Stammdaten!$E$27:$E$38,MATCH($G76,Stammdaten!$C$27:$C$38,0)),0))</f>
        <v/>
      </c>
      <c r="K76" s="25" t="str">
        <f t="shared" si="2"/>
        <v/>
      </c>
      <c r="L76" s="24" t="str">
        <f>IF(OR($I76="",$G76=""),"",ROUND($I76*IFERROR(INDEX(Stammdaten!$F$27:$F$38,MATCH($G76,Stammdaten!$C$27:$C$38,0)),0),2))</f>
        <v/>
      </c>
      <c r="M76" s="24" t="str">
        <f t="shared" si="3"/>
        <v/>
      </c>
      <c r="N76" s="21"/>
    </row>
    <row r="77" spans="2:14" x14ac:dyDescent="0.25">
      <c r="B77" s="18" t="str">
        <f>IF($C77="","",COUNT($C$18:$C77))</f>
        <v/>
      </c>
      <c r="C77" s="19"/>
      <c r="D77" s="20" t="str">
        <f>IF($C77="","",INDEX({"Januar","Februar","März","April","Mai","Juni","Juli","August","September","Oktober","November","Dezember"},MONTH($C77)))</f>
        <v/>
      </c>
      <c r="E77" s="21"/>
      <c r="F77" s="22" t="str">
        <f>IF($E77="","",IFERROR(INDEX(Stammdaten!$D$14:$D$23,MATCH($E77,Stammdaten!$C$14:$C$23,0)),"?"))</f>
        <v/>
      </c>
      <c r="G77" s="21"/>
      <c r="H77" s="22" t="str">
        <f>IF($G77="","",IFERROR(INDEX(Stammdaten!$D$27:$D$38,MATCH($G77,Stammdaten!$C$27:$C$38,0)),"?"))</f>
        <v/>
      </c>
      <c r="I77" s="23"/>
      <c r="J77" s="24" t="str">
        <f>IF($G77="","",IFERROR(INDEX(Stammdaten!$E$27:$E$38,MATCH($G77,Stammdaten!$C$27:$C$38,0)),0))</f>
        <v/>
      </c>
      <c r="K77" s="25" t="str">
        <f t="shared" si="2"/>
        <v/>
      </c>
      <c r="L77" s="24" t="str">
        <f>IF(OR($I77="",$G77=""),"",ROUND($I77*IFERROR(INDEX(Stammdaten!$F$27:$F$38,MATCH($G77,Stammdaten!$C$27:$C$38,0)),0),2))</f>
        <v/>
      </c>
      <c r="M77" s="24" t="str">
        <f t="shared" si="3"/>
        <v/>
      </c>
      <c r="N77" s="21"/>
    </row>
    <row r="78" spans="2:14" x14ac:dyDescent="0.25">
      <c r="B78" s="18" t="str">
        <f>IF($C78="","",COUNT($C$18:$C78))</f>
        <v/>
      </c>
      <c r="C78" s="19"/>
      <c r="D78" s="20" t="str">
        <f>IF($C78="","",INDEX({"Januar","Februar","März","April","Mai","Juni","Juli","August","September","Oktober","November","Dezember"},MONTH($C78)))</f>
        <v/>
      </c>
      <c r="E78" s="21"/>
      <c r="F78" s="22" t="str">
        <f>IF($E78="","",IFERROR(INDEX(Stammdaten!$D$14:$D$23,MATCH($E78,Stammdaten!$C$14:$C$23,0)),"?"))</f>
        <v/>
      </c>
      <c r="G78" s="21"/>
      <c r="H78" s="22" t="str">
        <f>IF($G78="","",IFERROR(INDEX(Stammdaten!$D$27:$D$38,MATCH($G78,Stammdaten!$C$27:$C$38,0)),"?"))</f>
        <v/>
      </c>
      <c r="I78" s="23"/>
      <c r="J78" s="24" t="str">
        <f>IF($G78="","",IFERROR(INDEX(Stammdaten!$E$27:$E$38,MATCH($G78,Stammdaten!$C$27:$C$38,0)),0))</f>
        <v/>
      </c>
      <c r="K78" s="25" t="str">
        <f t="shared" si="2"/>
        <v/>
      </c>
      <c r="L78" s="24" t="str">
        <f>IF(OR($I78="",$G78=""),"",ROUND($I78*IFERROR(INDEX(Stammdaten!$F$27:$F$38,MATCH($G78,Stammdaten!$C$27:$C$38,0)),0),2))</f>
        <v/>
      </c>
      <c r="M78" s="24" t="str">
        <f t="shared" si="3"/>
        <v/>
      </c>
      <c r="N78" s="21"/>
    </row>
    <row r="79" spans="2:14" x14ac:dyDescent="0.25">
      <c r="B79" s="18" t="str">
        <f>IF($C79="","",COUNT($C$18:$C79))</f>
        <v/>
      </c>
      <c r="C79" s="19"/>
      <c r="D79" s="20" t="str">
        <f>IF($C79="","",INDEX({"Januar","Februar","März","April","Mai","Juni","Juli","August","September","Oktober","November","Dezember"},MONTH($C79)))</f>
        <v/>
      </c>
      <c r="E79" s="21"/>
      <c r="F79" s="22" t="str">
        <f>IF($E79="","",IFERROR(INDEX(Stammdaten!$D$14:$D$23,MATCH($E79,Stammdaten!$C$14:$C$23,0)),"?"))</f>
        <v/>
      </c>
      <c r="G79" s="21"/>
      <c r="H79" s="22" t="str">
        <f>IF($G79="","",IFERROR(INDEX(Stammdaten!$D$27:$D$38,MATCH($G79,Stammdaten!$C$27:$C$38,0)),"?"))</f>
        <v/>
      </c>
      <c r="I79" s="23"/>
      <c r="J79" s="24" t="str">
        <f>IF($G79="","",IFERROR(INDEX(Stammdaten!$E$27:$E$38,MATCH($G79,Stammdaten!$C$27:$C$38,0)),0))</f>
        <v/>
      </c>
      <c r="K79" s="25" t="str">
        <f t="shared" si="2"/>
        <v/>
      </c>
      <c r="L79" s="24" t="str">
        <f>IF(OR($I79="",$G79=""),"",ROUND($I79*IFERROR(INDEX(Stammdaten!$F$27:$F$38,MATCH($G79,Stammdaten!$C$27:$C$38,0)),0),2))</f>
        <v/>
      </c>
      <c r="M79" s="24" t="str">
        <f t="shared" si="3"/>
        <v/>
      </c>
      <c r="N79" s="21"/>
    </row>
    <row r="80" spans="2:14" x14ac:dyDescent="0.25">
      <c r="B80" s="18" t="str">
        <f>IF($C80="","",COUNT($C$18:$C80))</f>
        <v/>
      </c>
      <c r="C80" s="19"/>
      <c r="D80" s="20" t="str">
        <f>IF($C80="","",INDEX({"Januar","Februar","März","April","Mai","Juni","Juli","August","September","Oktober","November","Dezember"},MONTH($C80)))</f>
        <v/>
      </c>
      <c r="E80" s="21"/>
      <c r="F80" s="22" t="str">
        <f>IF($E80="","",IFERROR(INDEX(Stammdaten!$D$14:$D$23,MATCH($E80,Stammdaten!$C$14:$C$23,0)),"?"))</f>
        <v/>
      </c>
      <c r="G80" s="21"/>
      <c r="H80" s="22" t="str">
        <f>IF($G80="","",IFERROR(INDEX(Stammdaten!$D$27:$D$38,MATCH($G80,Stammdaten!$C$27:$C$38,0)),"?"))</f>
        <v/>
      </c>
      <c r="I80" s="23"/>
      <c r="J80" s="24" t="str">
        <f>IF($G80="","",IFERROR(INDEX(Stammdaten!$E$27:$E$38,MATCH($G80,Stammdaten!$C$27:$C$38,0)),0))</f>
        <v/>
      </c>
      <c r="K80" s="25" t="str">
        <f t="shared" si="2"/>
        <v/>
      </c>
      <c r="L80" s="24" t="str">
        <f>IF(OR($I80="",$G80=""),"",ROUND($I80*IFERROR(INDEX(Stammdaten!$F$27:$F$38,MATCH($G80,Stammdaten!$C$27:$C$38,0)),0),2))</f>
        <v/>
      </c>
      <c r="M80" s="24" t="str">
        <f t="shared" si="3"/>
        <v/>
      </c>
      <c r="N80" s="21"/>
    </row>
    <row r="81" spans="2:14" x14ac:dyDescent="0.25">
      <c r="B81" s="18" t="str">
        <f>IF($C81="","",COUNT($C$18:$C81))</f>
        <v/>
      </c>
      <c r="C81" s="19"/>
      <c r="D81" s="20" t="str">
        <f>IF($C81="","",INDEX({"Januar","Februar","März","April","Mai","Juni","Juli","August","September","Oktober","November","Dezember"},MONTH($C81)))</f>
        <v/>
      </c>
      <c r="E81" s="21"/>
      <c r="F81" s="22" t="str">
        <f>IF($E81="","",IFERROR(INDEX(Stammdaten!$D$14:$D$23,MATCH($E81,Stammdaten!$C$14:$C$23,0)),"?"))</f>
        <v/>
      </c>
      <c r="G81" s="21"/>
      <c r="H81" s="22" t="str">
        <f>IF($G81="","",IFERROR(INDEX(Stammdaten!$D$27:$D$38,MATCH($G81,Stammdaten!$C$27:$C$38,0)),"?"))</f>
        <v/>
      </c>
      <c r="I81" s="23"/>
      <c r="J81" s="24" t="str">
        <f>IF($G81="","",IFERROR(INDEX(Stammdaten!$E$27:$E$38,MATCH($G81,Stammdaten!$C$27:$C$38,0)),0))</f>
        <v/>
      </c>
      <c r="K81" s="25" t="str">
        <f t="shared" si="2"/>
        <v/>
      </c>
      <c r="L81" s="24" t="str">
        <f>IF(OR($I81="",$G81=""),"",ROUND($I81*IFERROR(INDEX(Stammdaten!$F$27:$F$38,MATCH($G81,Stammdaten!$C$27:$C$38,0)),0),2))</f>
        <v/>
      </c>
      <c r="M81" s="24" t="str">
        <f t="shared" si="3"/>
        <v/>
      </c>
      <c r="N81" s="21"/>
    </row>
    <row r="82" spans="2:14" x14ac:dyDescent="0.25">
      <c r="B82" s="18" t="str">
        <f>IF($C82="","",COUNT($C$18:$C82))</f>
        <v/>
      </c>
      <c r="C82" s="19"/>
      <c r="D82" s="20" t="str">
        <f>IF($C82="","",INDEX({"Januar","Februar","März","April","Mai","Juni","Juli","August","September","Oktober","November","Dezember"},MONTH($C82)))</f>
        <v/>
      </c>
      <c r="E82" s="21"/>
      <c r="F82" s="22" t="str">
        <f>IF($E82="","",IFERROR(INDEX(Stammdaten!$D$14:$D$23,MATCH($E82,Stammdaten!$C$14:$C$23,0)),"?"))</f>
        <v/>
      </c>
      <c r="G82" s="21"/>
      <c r="H82" s="22" t="str">
        <f>IF($G82="","",IFERROR(INDEX(Stammdaten!$D$27:$D$38,MATCH($G82,Stammdaten!$C$27:$C$38,0)),"?"))</f>
        <v/>
      </c>
      <c r="I82" s="23"/>
      <c r="J82" s="24" t="str">
        <f>IF($G82="","",IFERROR(INDEX(Stammdaten!$E$27:$E$38,MATCH($G82,Stammdaten!$C$27:$C$38,0)),0))</f>
        <v/>
      </c>
      <c r="K82" s="25" t="str">
        <f t="shared" ref="K82:K87" si="4">IF(OR($I82="",$J82=""),"",ROUND($I82*$J82,2))</f>
        <v/>
      </c>
      <c r="L82" s="24" t="str">
        <f>IF(OR($I82="",$G82=""),"",ROUND($I82*IFERROR(INDEX(Stammdaten!$F$27:$F$38,MATCH($G82,Stammdaten!$C$27:$C$38,0)),0),2))</f>
        <v/>
      </c>
      <c r="M82" s="24" t="str">
        <f t="shared" ref="M82:M87" si="5">IF($K82="","",$K82-$L82)</f>
        <v/>
      </c>
      <c r="N82" s="21"/>
    </row>
    <row r="83" spans="2:14" x14ac:dyDescent="0.25">
      <c r="B83" s="18" t="str">
        <f>IF($C83="","",COUNT($C$18:$C83))</f>
        <v/>
      </c>
      <c r="C83" s="19"/>
      <c r="D83" s="20" t="str">
        <f>IF($C83="","",INDEX({"Januar","Februar","März","April","Mai","Juni","Juli","August","September","Oktober","November","Dezember"},MONTH($C83)))</f>
        <v/>
      </c>
      <c r="E83" s="21"/>
      <c r="F83" s="22" t="str">
        <f>IF($E83="","",IFERROR(INDEX(Stammdaten!$D$14:$D$23,MATCH($E83,Stammdaten!$C$14:$C$23,0)),"?"))</f>
        <v/>
      </c>
      <c r="G83" s="21"/>
      <c r="H83" s="22" t="str">
        <f>IF($G83="","",IFERROR(INDEX(Stammdaten!$D$27:$D$38,MATCH($G83,Stammdaten!$C$27:$C$38,0)),"?"))</f>
        <v/>
      </c>
      <c r="I83" s="23"/>
      <c r="J83" s="24" t="str">
        <f>IF($G83="","",IFERROR(INDEX(Stammdaten!$E$27:$E$38,MATCH($G83,Stammdaten!$C$27:$C$38,0)),0))</f>
        <v/>
      </c>
      <c r="K83" s="25" t="str">
        <f t="shared" si="4"/>
        <v/>
      </c>
      <c r="L83" s="24" t="str">
        <f>IF(OR($I83="",$G83=""),"",ROUND($I83*IFERROR(INDEX(Stammdaten!$F$27:$F$38,MATCH($G83,Stammdaten!$C$27:$C$38,0)),0),2))</f>
        <v/>
      </c>
      <c r="M83" s="24" t="str">
        <f t="shared" si="5"/>
        <v/>
      </c>
      <c r="N83" s="21"/>
    </row>
    <row r="84" spans="2:14" x14ac:dyDescent="0.25">
      <c r="B84" s="18" t="str">
        <f>IF($C84="","",COUNT($C$18:$C84))</f>
        <v/>
      </c>
      <c r="C84" s="19"/>
      <c r="D84" s="20" t="str">
        <f>IF($C84="","",INDEX({"Januar","Februar","März","April","Mai","Juni","Juli","August","September","Oktober","November","Dezember"},MONTH($C84)))</f>
        <v/>
      </c>
      <c r="E84" s="21"/>
      <c r="F84" s="22" t="str">
        <f>IF($E84="","",IFERROR(INDEX(Stammdaten!$D$14:$D$23,MATCH($E84,Stammdaten!$C$14:$C$23,0)),"?"))</f>
        <v/>
      </c>
      <c r="G84" s="21"/>
      <c r="H84" s="22" t="str">
        <f>IF($G84="","",IFERROR(INDEX(Stammdaten!$D$27:$D$38,MATCH($G84,Stammdaten!$C$27:$C$38,0)),"?"))</f>
        <v/>
      </c>
      <c r="I84" s="23"/>
      <c r="J84" s="24" t="str">
        <f>IF($G84="","",IFERROR(INDEX(Stammdaten!$E$27:$E$38,MATCH($G84,Stammdaten!$C$27:$C$38,0)),0))</f>
        <v/>
      </c>
      <c r="K84" s="25" t="str">
        <f t="shared" si="4"/>
        <v/>
      </c>
      <c r="L84" s="24" t="str">
        <f>IF(OR($I84="",$G84=""),"",ROUND($I84*IFERROR(INDEX(Stammdaten!$F$27:$F$38,MATCH($G84,Stammdaten!$C$27:$C$38,0)),0),2))</f>
        <v/>
      </c>
      <c r="M84" s="24" t="str">
        <f t="shared" si="5"/>
        <v/>
      </c>
      <c r="N84" s="21"/>
    </row>
    <row r="85" spans="2:14" x14ac:dyDescent="0.25">
      <c r="B85" s="18" t="str">
        <f>IF($C85="","",COUNT($C$18:$C85))</f>
        <v/>
      </c>
      <c r="C85" s="19"/>
      <c r="D85" s="20" t="str">
        <f>IF($C85="","",INDEX({"Januar","Februar","März","April","Mai","Juni","Juli","August","September","Oktober","November","Dezember"},MONTH($C85)))</f>
        <v/>
      </c>
      <c r="E85" s="21"/>
      <c r="F85" s="22" t="str">
        <f>IF($E85="","",IFERROR(INDEX(Stammdaten!$D$14:$D$23,MATCH($E85,Stammdaten!$C$14:$C$23,0)),"?"))</f>
        <v/>
      </c>
      <c r="G85" s="21"/>
      <c r="H85" s="22" t="str">
        <f>IF($G85="","",IFERROR(INDEX(Stammdaten!$D$27:$D$38,MATCH($G85,Stammdaten!$C$27:$C$38,0)),"?"))</f>
        <v/>
      </c>
      <c r="I85" s="23"/>
      <c r="J85" s="24" t="str">
        <f>IF($G85="","",IFERROR(INDEX(Stammdaten!$E$27:$E$38,MATCH($G85,Stammdaten!$C$27:$C$38,0)),0))</f>
        <v/>
      </c>
      <c r="K85" s="25" t="str">
        <f t="shared" si="4"/>
        <v/>
      </c>
      <c r="L85" s="24" t="str">
        <f>IF(OR($I85="",$G85=""),"",ROUND($I85*IFERROR(INDEX(Stammdaten!$F$27:$F$38,MATCH($G85,Stammdaten!$C$27:$C$38,0)),0),2))</f>
        <v/>
      </c>
      <c r="M85" s="24" t="str">
        <f t="shared" si="5"/>
        <v/>
      </c>
      <c r="N85" s="21"/>
    </row>
    <row r="86" spans="2:14" x14ac:dyDescent="0.25">
      <c r="B86" s="18" t="str">
        <f>IF($C86="","",COUNT($C$18:$C86))</f>
        <v/>
      </c>
      <c r="C86" s="19"/>
      <c r="D86" s="20" t="str">
        <f>IF($C86="","",INDEX({"Januar","Februar","März","April","Mai","Juni","Juli","August","September","Oktober","November","Dezember"},MONTH($C86)))</f>
        <v/>
      </c>
      <c r="E86" s="21"/>
      <c r="F86" s="22" t="str">
        <f>IF($E86="","",IFERROR(INDEX(Stammdaten!$D$14:$D$23,MATCH($E86,Stammdaten!$C$14:$C$23,0)),"?"))</f>
        <v/>
      </c>
      <c r="G86" s="21"/>
      <c r="H86" s="22" t="str">
        <f>IF($G86="","",IFERROR(INDEX(Stammdaten!$D$27:$D$38,MATCH($G86,Stammdaten!$C$27:$C$38,0)),"?"))</f>
        <v/>
      </c>
      <c r="I86" s="23"/>
      <c r="J86" s="24" t="str">
        <f>IF($G86="","",IFERROR(INDEX(Stammdaten!$E$27:$E$38,MATCH($G86,Stammdaten!$C$27:$C$38,0)),0))</f>
        <v/>
      </c>
      <c r="K86" s="25" t="str">
        <f t="shared" si="4"/>
        <v/>
      </c>
      <c r="L86" s="24" t="str">
        <f>IF(OR($I86="",$G86=""),"",ROUND($I86*IFERROR(INDEX(Stammdaten!$F$27:$F$38,MATCH($G86,Stammdaten!$C$27:$C$38,0)),0),2))</f>
        <v/>
      </c>
      <c r="M86" s="24" t="str">
        <f t="shared" si="5"/>
        <v/>
      </c>
      <c r="N86" s="21"/>
    </row>
    <row r="87" spans="2:14" x14ac:dyDescent="0.25">
      <c r="B87" s="18" t="str">
        <f>IF($C87="","",COUNT($C$18:$C87))</f>
        <v/>
      </c>
      <c r="C87" s="19"/>
      <c r="D87" s="20" t="str">
        <f>IF($C87="","",INDEX({"Januar","Februar","März","April","Mai","Juni","Juli","August","September","Oktober","November","Dezember"},MONTH($C87)))</f>
        <v/>
      </c>
      <c r="E87" s="21"/>
      <c r="F87" s="22" t="str">
        <f>IF($E87="","",IFERROR(INDEX(Stammdaten!$D$14:$D$23,MATCH($E87,Stammdaten!$C$14:$C$23,0)),"?"))</f>
        <v/>
      </c>
      <c r="G87" s="21"/>
      <c r="H87" s="22" t="str">
        <f>IF($G87="","",IFERROR(INDEX(Stammdaten!$D$27:$D$38,MATCH($G87,Stammdaten!$C$27:$C$38,0)),"?"))</f>
        <v/>
      </c>
      <c r="I87" s="23"/>
      <c r="J87" s="24" t="str">
        <f>IF($G87="","",IFERROR(INDEX(Stammdaten!$E$27:$E$38,MATCH($G87,Stammdaten!$C$27:$C$38,0)),0))</f>
        <v/>
      </c>
      <c r="K87" s="25" t="str">
        <f t="shared" si="4"/>
        <v/>
      </c>
      <c r="L87" s="24" t="str">
        <f>IF(OR($I87="",$G87=""),"",ROUND($I87*IFERROR(INDEX(Stammdaten!$F$27:$F$38,MATCH($G87,Stammdaten!$C$27:$C$38,0)),0),2))</f>
        <v/>
      </c>
      <c r="M87" s="24" t="str">
        <f t="shared" si="5"/>
        <v/>
      </c>
      <c r="N87" s="21"/>
    </row>
    <row r="88" spans="2:14" ht="19.5" customHeight="1" x14ac:dyDescent="0.25">
      <c r="B88" s="66" t="s">
        <v>74</v>
      </c>
      <c r="C88" s="66"/>
      <c r="D88" s="66"/>
      <c r="E88" s="66"/>
      <c r="F88" s="66"/>
      <c r="G88" s="66"/>
      <c r="H88" s="66"/>
      <c r="I88" s="26">
        <f>SUM($I$18:$I$87)</f>
        <v>2004</v>
      </c>
      <c r="J88" s="27"/>
      <c r="K88" s="28">
        <f>SUM($K$18:$K$87)</f>
        <v>1032.2000000000003</v>
      </c>
      <c r="L88" s="28">
        <f>SUM($L$18:$L$87)</f>
        <v>341.77</v>
      </c>
      <c r="M88" s="28">
        <f>SUM($M$18:$M$87)</f>
        <v>690.43000000000006</v>
      </c>
      <c r="N88" s="29" t="str">
        <f>COUNT($C$18:$C$87)&amp;" Buchungen"</f>
        <v>56 Buchungen</v>
      </c>
    </row>
  </sheetData>
  <autoFilter ref="B17:N87" xr:uid="{00000000-0009-0000-0000-000000000000}"/>
  <mergeCells count="38">
    <mergeCell ref="C16:J16"/>
    <mergeCell ref="K16:N16"/>
    <mergeCell ref="B88:H88"/>
    <mergeCell ref="B14:D14"/>
    <mergeCell ref="E14:F14"/>
    <mergeCell ref="G14:H14"/>
    <mergeCell ref="I14:K14"/>
    <mergeCell ref="L14:N14"/>
    <mergeCell ref="B13:D13"/>
    <mergeCell ref="E13:F13"/>
    <mergeCell ref="G13:H13"/>
    <mergeCell ref="I13:K13"/>
    <mergeCell ref="L13:N13"/>
    <mergeCell ref="B12:D12"/>
    <mergeCell ref="E12:F12"/>
    <mergeCell ref="G12:H12"/>
    <mergeCell ref="I12:K12"/>
    <mergeCell ref="L12:N12"/>
    <mergeCell ref="B9:D9"/>
    <mergeCell ref="E9:F9"/>
    <mergeCell ref="G9:H9"/>
    <mergeCell ref="I9:K9"/>
    <mergeCell ref="C11:J11"/>
    <mergeCell ref="K11:N11"/>
    <mergeCell ref="B7:D7"/>
    <mergeCell ref="E7:F7"/>
    <mergeCell ref="G7:H7"/>
    <mergeCell ref="I7:K7"/>
    <mergeCell ref="B8:D8"/>
    <mergeCell ref="E8:F8"/>
    <mergeCell ref="G8:H8"/>
    <mergeCell ref="I8:K8"/>
    <mergeCell ref="B2:H2"/>
    <mergeCell ref="I2:N2"/>
    <mergeCell ref="B3:H3"/>
    <mergeCell ref="I3:N3"/>
    <mergeCell ref="C6:J6"/>
    <mergeCell ref="K6:N6"/>
  </mergeCells>
  <conditionalFormatting sqref="E18:E87">
    <cfRule type="expression" dxfId="14" priority="2">
      <formula>AND($C18&lt;&gt;"",$E18="")</formula>
    </cfRule>
  </conditionalFormatting>
  <conditionalFormatting sqref="F18:F87">
    <cfRule type="cellIs" dxfId="13" priority="7" operator="equal">
      <formula>"?"</formula>
    </cfRule>
  </conditionalFormatting>
  <conditionalFormatting sqref="G18:G87">
    <cfRule type="expression" dxfId="12" priority="3">
      <formula>AND($I18&lt;&gt;"",$G18="")</formula>
    </cfRule>
  </conditionalFormatting>
  <conditionalFormatting sqref="H18:H87">
    <cfRule type="cellIs" dxfId="11" priority="6" operator="equal">
      <formula>"?"</formula>
    </cfRule>
  </conditionalFormatting>
  <conditionalFormatting sqref="I18:I87">
    <cfRule type="expression" dxfId="10" priority="4">
      <formula>AND($C18&lt;&gt;"",$I18="")</formula>
    </cfRule>
    <cfRule type="dataBar" priority="5">
      <dataBar>
        <cfvo type="num" val="0"/>
        <cfvo type="max"/>
        <color rgb="FF7C97AC"/>
      </dataBar>
      <extLst>
        <ext xmlns:x14="http://schemas.microsoft.com/office/spreadsheetml/2009/9/main" uri="{B025F937-C7B1-47D3-B67F-A62EFF666E3E}">
          <x14:id>{CF5C89F6-90A2-461D-B1A6-B8B0799C99F8}</x14:id>
        </ext>
      </extLst>
    </cfRule>
  </conditionalFormatting>
  <dataValidations count="1">
    <dataValidation type="whole" allowBlank="1" errorTitle="Ungültige Anzahl" error="Bitte eine ganze Zahl zwischen 0 und 10.000 eintragen." sqref="I18:I87" xr:uid="{00000000-0002-0000-0000-000002000000}">
      <formula1>0</formula1>
      <formula2>10000</formula2>
    </dataValidation>
  </dataValidations>
  <printOptions horizontalCentered="1"/>
  <pageMargins left="0.4" right="0.4" top="0.5" bottom="0.5" header="0.511811023622047" footer="0.511811023622047"/>
  <pageSetup paperSize="9" fitToHeight="3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5C89F6-90A2-461D-B1A6-B8B0799C99F8}">
            <x14:dataBar axisPosition="none">
              <x14:cfvo type="num">
                <xm:f>0</xm:f>
              </x14:cfvo>
              <x14:cfvo type="max"/>
              <x14:negativeFillColor rgb="FF7C97AC"/>
            </x14:dataBar>
          </x14:cfRule>
          <xm:sqref>I18:I87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Stammdaten!$C$14:$C$23</xm:f>
          </x14:formula1>
          <x14:formula2>
            <xm:f>0</xm:f>
          </x14:formula2>
          <xm:sqref>E18:E87</xm:sqref>
        </x14:dataValidation>
        <x14:dataValidation type="list" allowBlank="1" xr:uid="{00000000-0002-0000-0000-000001000000}">
          <x14:formula1>
            <xm:f>Stammdaten!$C$27:$C$38</xm:f>
          </x14:formula1>
          <x14:formula2>
            <xm:f>0</xm:f>
          </x14:formula2>
          <xm:sqref>G18:G87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72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6" customWidth="1"/>
    <col min="3" max="3" width="22" customWidth="1"/>
    <col min="4" max="4" width="17" customWidth="1"/>
    <col min="5" max="5" width="12.42578125" customWidth="1"/>
    <col min="6" max="6" width="13.42578125" customWidth="1"/>
    <col min="7" max="7" width="12.42578125" customWidth="1"/>
    <col min="8" max="8" width="14" customWidth="1"/>
    <col min="9" max="9" width="14.5703125" customWidth="1"/>
    <col min="10" max="12" width="13" customWidth="1"/>
    <col min="13" max="13" width="15" customWidth="1"/>
    <col min="14" max="14" width="3" customWidth="1"/>
  </cols>
  <sheetData>
    <row r="2" spans="2:13" ht="30" customHeight="1" x14ac:dyDescent="0.25">
      <c r="B2" s="14" t="s">
        <v>75</v>
      </c>
      <c r="C2" s="14"/>
      <c r="D2" s="14"/>
      <c r="E2" s="14"/>
      <c r="F2" s="14"/>
      <c r="G2" s="14"/>
      <c r="H2" s="14"/>
      <c r="I2" s="13" t="s">
        <v>0</v>
      </c>
      <c r="J2" s="13"/>
      <c r="K2" s="13"/>
      <c r="L2" s="13"/>
      <c r="M2" s="13"/>
    </row>
    <row r="3" spans="2:13" ht="16.5" customHeight="1" x14ac:dyDescent="0.25">
      <c r="B3" s="12" t="s">
        <v>76</v>
      </c>
      <c r="C3" s="12"/>
      <c r="D3" s="12"/>
      <c r="E3" s="12"/>
      <c r="F3" s="12"/>
      <c r="G3" s="12"/>
      <c r="H3" s="12"/>
      <c r="I3" s="11" t="s">
        <v>77</v>
      </c>
      <c r="J3" s="11"/>
      <c r="K3" s="11"/>
      <c r="L3" s="11"/>
      <c r="M3" s="11"/>
    </row>
    <row r="4" spans="2:13" ht="3.7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6" spans="2:13" ht="19.5" customHeight="1" x14ac:dyDescent="0.25">
      <c r="B6" s="16" t="s">
        <v>3</v>
      </c>
      <c r="C6" s="10" t="s">
        <v>78</v>
      </c>
      <c r="D6" s="10"/>
      <c r="E6" s="10"/>
      <c r="F6" s="10"/>
      <c r="G6" s="10"/>
      <c r="H6" s="10"/>
      <c r="I6" s="10"/>
      <c r="J6" s="9" t="s">
        <v>79</v>
      </c>
      <c r="K6" s="9"/>
      <c r="L6" s="9"/>
      <c r="M6" s="9"/>
    </row>
    <row r="7" spans="2:13" ht="13.5" customHeight="1" x14ac:dyDescent="0.25">
      <c r="B7" s="3" t="s">
        <v>16</v>
      </c>
      <c r="C7" s="3"/>
      <c r="D7" s="2" t="s">
        <v>80</v>
      </c>
      <c r="E7" s="2"/>
      <c r="F7" s="1" t="s">
        <v>18</v>
      </c>
      <c r="G7" s="1"/>
      <c r="H7" s="67" t="s">
        <v>20</v>
      </c>
      <c r="I7" s="67"/>
      <c r="J7" s="68" t="s">
        <v>81</v>
      </c>
      <c r="K7" s="68"/>
      <c r="L7" s="56" t="s">
        <v>82</v>
      </c>
      <c r="M7" s="56"/>
    </row>
    <row r="8" spans="2:13" ht="24" customHeight="1" x14ac:dyDescent="0.25">
      <c r="B8" s="57">
        <f>SUM(Kaffeeliste!$I$18:$I$87)</f>
        <v>2004</v>
      </c>
      <c r="C8" s="57"/>
      <c r="D8" s="58">
        <f>SUM(Kaffeeliste!$K$18:$K$87)</f>
        <v>1032.2000000000003</v>
      </c>
      <c r="E8" s="58"/>
      <c r="F8" s="59">
        <f>SUM(Kaffeeliste!$L$18:$L$87)</f>
        <v>341.77</v>
      </c>
      <c r="G8" s="59"/>
      <c r="H8" s="69">
        <f>SUM(Kaffeeliste!$M$18:$M$87)</f>
        <v>690.43000000000006</v>
      </c>
      <c r="I8" s="69"/>
      <c r="J8" s="70">
        <f>-SUMIF($J$13:$J$20,"&lt;0")</f>
        <v>37.600000000000023</v>
      </c>
      <c r="K8" s="70"/>
      <c r="L8" s="61">
        <f>Stammdaten!$G$9+Stammdaten!$F$75-Stammdaten!$F$101</f>
        <v>151.3399999999998</v>
      </c>
      <c r="M8" s="61"/>
    </row>
    <row r="9" spans="2:13" ht="13.5" customHeight="1" x14ac:dyDescent="0.25">
      <c r="B9" s="62" t="s">
        <v>83</v>
      </c>
      <c r="C9" s="62"/>
      <c r="D9" s="63" t="s">
        <v>84</v>
      </c>
      <c r="E9" s="63"/>
      <c r="F9" s="64" t="s">
        <v>85</v>
      </c>
      <c r="G9" s="64"/>
      <c r="H9" s="71" t="str">
        <f>IFERROR("DB-Quote "&amp;TEXT(SUM(Kaffeeliste!$M$18:$M$87)/SUM(Kaffeeliste!$K$18:$K$87),"0%"),"")</f>
        <v>DB-Quote 67%</v>
      </c>
      <c r="I9" s="71"/>
      <c r="J9" s="72" t="s">
        <v>86</v>
      </c>
      <c r="K9" s="72"/>
      <c r="L9" s="65" t="s">
        <v>87</v>
      </c>
      <c r="M9" s="65"/>
    </row>
    <row r="11" spans="2:13" ht="19.5" customHeight="1" x14ac:dyDescent="0.25">
      <c r="B11" s="16" t="s">
        <v>13</v>
      </c>
      <c r="C11" s="10" t="s">
        <v>88</v>
      </c>
      <c r="D11" s="10"/>
      <c r="E11" s="10"/>
      <c r="F11" s="10"/>
      <c r="G11" s="10"/>
      <c r="H11" s="10"/>
      <c r="I11" s="10"/>
      <c r="J11" s="9" t="s">
        <v>89</v>
      </c>
      <c r="K11" s="9"/>
      <c r="L11" s="9"/>
      <c r="M11" s="9"/>
    </row>
    <row r="12" spans="2:13" ht="27.75" customHeight="1" x14ac:dyDescent="0.25">
      <c r="B12" s="17" t="s">
        <v>29</v>
      </c>
      <c r="C12" s="17" t="s">
        <v>90</v>
      </c>
      <c r="D12" s="17" t="s">
        <v>33</v>
      </c>
      <c r="E12" s="17" t="s">
        <v>91</v>
      </c>
      <c r="F12" s="17" t="s">
        <v>92</v>
      </c>
      <c r="G12" s="17" t="s">
        <v>93</v>
      </c>
      <c r="H12" s="17" t="s">
        <v>94</v>
      </c>
      <c r="I12" s="17" t="s">
        <v>95</v>
      </c>
      <c r="J12" s="17" t="s">
        <v>96</v>
      </c>
      <c r="K12" s="73" t="s">
        <v>97</v>
      </c>
      <c r="L12" s="73"/>
      <c r="M12" s="17" t="s">
        <v>98</v>
      </c>
    </row>
    <row r="13" spans="2:13" x14ac:dyDescent="0.25">
      <c r="B13" s="18">
        <f t="shared" ref="B13:B20" si="0">IF($C13="","",ROW()-12)</f>
        <v>1</v>
      </c>
      <c r="C13" s="30" t="str">
        <f>IF(Stammdaten!$C14="","",Stammdaten!$C14)</f>
        <v>Anna Berger</v>
      </c>
      <c r="D13" s="22" t="str">
        <f>IF($C13="","",Stammdaten!$D14)</f>
        <v>Verwaltung</v>
      </c>
      <c r="E13" s="31">
        <f>IF($C13="","",SUMIF(Kaffeeliste!$E$18:$E$87,$C13,Kaffeeliste!$I$18:$I$87))</f>
        <v>230</v>
      </c>
      <c r="F13" s="32">
        <f t="shared" ref="F13:F20" si="1">IF($C13="","",IFERROR($E13/MAX(1,SUMPRODUCT(($D$41:$D$52&gt;0)*1)),0))</f>
        <v>38.333333333333336</v>
      </c>
      <c r="G13" s="33">
        <f t="shared" ref="G13:G20" si="2">IF(OR($C13="",$E$21=0),"",$E13/$E$21)</f>
        <v>0.11477045908183632</v>
      </c>
      <c r="H13" s="25">
        <f>IF($C13="","",SUMIF(Kaffeeliste!$E$18:$E$87,$C13,Kaffeeliste!$K$18:$K$87))</f>
        <v>157.4</v>
      </c>
      <c r="I13" s="24">
        <f>IF($C13="","",SUMIF(Stammdaten!$C$43:$C$74,$C13,Stammdaten!$F$43:$F$74))</f>
        <v>160</v>
      </c>
      <c r="J13" s="25">
        <f t="shared" ref="J13:J20" si="3">IF($C13="","",$I13-$H13)</f>
        <v>2.5999999999999943</v>
      </c>
      <c r="K13" s="74" t="str">
        <f t="shared" ref="K13:K20" si="4">IF($C13="","",IF($J13&gt;0.5,"Guthaben",IF($J13&lt;-0.5,"Offener Betrag","Ausgeglichen")))</f>
        <v>Guthaben</v>
      </c>
      <c r="L13" s="74"/>
      <c r="M13" s="24">
        <f t="shared" ref="M13:M20" si="5">IF($C13="","",IFERROR($H13/MAX(1,SUMPRODUCT(($D$41:$D$52&gt;0)*1)),0))</f>
        <v>26.233333333333334</v>
      </c>
    </row>
    <row r="14" spans="2:13" x14ac:dyDescent="0.25">
      <c r="B14" s="18">
        <f t="shared" si="0"/>
        <v>2</v>
      </c>
      <c r="C14" s="30" t="str">
        <f>IF(Stammdaten!$C15="","",Stammdaten!$C15)</f>
        <v>Markus Feldmann</v>
      </c>
      <c r="D14" s="22" t="str">
        <f>IF($C14="","",Stammdaten!$D15)</f>
        <v>Vertrieb</v>
      </c>
      <c r="E14" s="31">
        <f>IF($C14="","",SUMIF(Kaffeeliste!$E$18:$E$87,$C14,Kaffeeliste!$I$18:$I$87))</f>
        <v>314</v>
      </c>
      <c r="F14" s="32">
        <f t="shared" si="1"/>
        <v>52.333333333333336</v>
      </c>
      <c r="G14" s="33">
        <f t="shared" si="2"/>
        <v>0.15668662674650699</v>
      </c>
      <c r="H14" s="25">
        <f>IF($C14="","",SUMIF(Kaffeeliste!$E$18:$E$87,$C14,Kaffeeliste!$K$18:$K$87))</f>
        <v>127</v>
      </c>
      <c r="I14" s="24">
        <f>IF($C14="","",SUMIF(Stammdaten!$C$43:$C$74,$C14,Stammdaten!$F$43:$F$74))</f>
        <v>120</v>
      </c>
      <c r="J14" s="25">
        <f t="shared" si="3"/>
        <v>-7</v>
      </c>
      <c r="K14" s="74" t="str">
        <f t="shared" si="4"/>
        <v>Offener Betrag</v>
      </c>
      <c r="L14" s="74"/>
      <c r="M14" s="24">
        <f t="shared" si="5"/>
        <v>21.166666666666668</v>
      </c>
    </row>
    <row r="15" spans="2:13" x14ac:dyDescent="0.25">
      <c r="B15" s="18">
        <f t="shared" si="0"/>
        <v>3</v>
      </c>
      <c r="C15" s="30" t="str">
        <f>IF(Stammdaten!$C16="","",Stammdaten!$C16)</f>
        <v>Julia Osterkamp</v>
      </c>
      <c r="D15" s="22" t="str">
        <f>IF($C15="","",Stammdaten!$D16)</f>
        <v>Marketing</v>
      </c>
      <c r="E15" s="31">
        <f>IF($C15="","",SUMIF(Kaffeeliste!$E$18:$E$87,$C15,Kaffeeliste!$I$18:$I$87))</f>
        <v>182</v>
      </c>
      <c r="F15" s="32">
        <f t="shared" si="1"/>
        <v>30.333333333333332</v>
      </c>
      <c r="G15" s="33">
        <f t="shared" si="2"/>
        <v>9.0818363273453093E-2</v>
      </c>
      <c r="H15" s="25">
        <f>IF($C15="","",SUMIF(Kaffeeliste!$E$18:$E$87,$C15,Kaffeeliste!$K$18:$K$87))</f>
        <v>144.5</v>
      </c>
      <c r="I15" s="24">
        <f>IF($C15="","",SUMIF(Stammdaten!$C$43:$C$74,$C15,Stammdaten!$F$43:$F$74))</f>
        <v>145</v>
      </c>
      <c r="J15" s="25">
        <f t="shared" si="3"/>
        <v>0.5</v>
      </c>
      <c r="K15" s="74" t="str">
        <f t="shared" si="4"/>
        <v>Ausgeglichen</v>
      </c>
      <c r="L15" s="74"/>
      <c r="M15" s="24">
        <f t="shared" si="5"/>
        <v>24.083333333333332</v>
      </c>
    </row>
    <row r="16" spans="2:13" x14ac:dyDescent="0.25">
      <c r="B16" s="18">
        <f t="shared" si="0"/>
        <v>4</v>
      </c>
      <c r="C16" s="30" t="str">
        <f>IF(Stammdaten!$C17="","",Stammdaten!$C17)</f>
        <v>Tobias Reinhardt</v>
      </c>
      <c r="D16" s="22" t="str">
        <f>IF($C16="","",Stammdaten!$D17)</f>
        <v>IT</v>
      </c>
      <c r="E16" s="31">
        <f>IF($C16="","",SUMIF(Kaffeeliste!$E$18:$E$87,$C16,Kaffeeliste!$I$18:$I$87))</f>
        <v>372</v>
      </c>
      <c r="F16" s="32">
        <f t="shared" si="1"/>
        <v>62</v>
      </c>
      <c r="G16" s="33">
        <f t="shared" si="2"/>
        <v>0.18562874251497005</v>
      </c>
      <c r="H16" s="25">
        <f>IF($C16="","",SUMIF(Kaffeeliste!$E$18:$E$87,$C16,Kaffeeliste!$K$18:$K$87))</f>
        <v>186</v>
      </c>
      <c r="I16" s="24">
        <f>IF($C16="","",SUMIF(Stammdaten!$C$43:$C$74,$C16,Stammdaten!$F$43:$F$74))</f>
        <v>190</v>
      </c>
      <c r="J16" s="25">
        <f t="shared" si="3"/>
        <v>4</v>
      </c>
      <c r="K16" s="74" t="str">
        <f t="shared" si="4"/>
        <v>Guthaben</v>
      </c>
      <c r="L16" s="74"/>
      <c r="M16" s="24">
        <f t="shared" si="5"/>
        <v>31</v>
      </c>
    </row>
    <row r="17" spans="2:13" x14ac:dyDescent="0.25">
      <c r="B17" s="18">
        <f t="shared" si="0"/>
        <v>5</v>
      </c>
      <c r="C17" s="30" t="str">
        <f>IF(Stammdaten!$C18="","",Stammdaten!$C18)</f>
        <v>Sandra Vogt</v>
      </c>
      <c r="D17" s="22" t="str">
        <f>IF($C17="","",Stammdaten!$D18)</f>
        <v>Buchhaltung</v>
      </c>
      <c r="E17" s="31">
        <f>IF($C17="","",SUMIF(Kaffeeliste!$E$18:$E$87,$C17,Kaffeeliste!$I$18:$I$87))</f>
        <v>259</v>
      </c>
      <c r="F17" s="32">
        <f t="shared" si="1"/>
        <v>43.166666666666664</v>
      </c>
      <c r="G17" s="33">
        <f t="shared" si="2"/>
        <v>0.12924151696606787</v>
      </c>
      <c r="H17" s="25">
        <f>IF($C17="","",SUMIF(Kaffeeliste!$E$18:$E$87,$C17,Kaffeeliste!$K$18:$K$87))</f>
        <v>105</v>
      </c>
      <c r="I17" s="24">
        <f>IF($C17="","",SUMIF(Stammdaten!$C$43:$C$74,$C17,Stammdaten!$F$43:$F$74))</f>
        <v>105</v>
      </c>
      <c r="J17" s="25">
        <f t="shared" si="3"/>
        <v>0</v>
      </c>
      <c r="K17" s="74" t="str">
        <f t="shared" si="4"/>
        <v>Ausgeglichen</v>
      </c>
      <c r="L17" s="74"/>
      <c r="M17" s="24">
        <f t="shared" si="5"/>
        <v>17.5</v>
      </c>
    </row>
    <row r="18" spans="2:13" x14ac:dyDescent="0.25">
      <c r="B18" s="18">
        <f t="shared" si="0"/>
        <v>6</v>
      </c>
      <c r="C18" s="30" t="str">
        <f>IF(Stammdaten!$C19="","",Stammdaten!$C19)</f>
        <v>Daniel Krause</v>
      </c>
      <c r="D18" s="22" t="str">
        <f>IF($C18="","",Stammdaten!$D19)</f>
        <v>Vertrieb</v>
      </c>
      <c r="E18" s="31">
        <f>IF($C18="","",SUMIF(Kaffeeliste!$E$18:$E$87,$C18,Kaffeeliste!$I$18:$I$87))</f>
        <v>147</v>
      </c>
      <c r="F18" s="32">
        <f t="shared" si="1"/>
        <v>24.5</v>
      </c>
      <c r="G18" s="33">
        <f t="shared" si="2"/>
        <v>7.3353293413173648E-2</v>
      </c>
      <c r="H18" s="25">
        <f>IF($C18="","",SUMIF(Kaffeeliste!$E$18:$E$87,$C18,Kaffeeliste!$K$18:$K$87))</f>
        <v>101.70000000000002</v>
      </c>
      <c r="I18" s="24">
        <f>IF($C18="","",SUMIF(Stammdaten!$C$43:$C$74,$C18,Stammdaten!$F$43:$F$74))</f>
        <v>85</v>
      </c>
      <c r="J18" s="25">
        <f t="shared" si="3"/>
        <v>-16.700000000000017</v>
      </c>
      <c r="K18" s="74" t="str">
        <f t="shared" si="4"/>
        <v>Offener Betrag</v>
      </c>
      <c r="L18" s="74"/>
      <c r="M18" s="24">
        <f t="shared" si="5"/>
        <v>16.950000000000003</v>
      </c>
    </row>
    <row r="19" spans="2:13" x14ac:dyDescent="0.25">
      <c r="B19" s="18">
        <f t="shared" si="0"/>
        <v>7</v>
      </c>
      <c r="C19" s="30" t="str">
        <f>IF(Stammdaten!$C20="","",Stammdaten!$C20)</f>
        <v>Nina Lehmann</v>
      </c>
      <c r="D19" s="22" t="str">
        <f>IF($C19="","",Stammdaten!$D20)</f>
        <v>Personal</v>
      </c>
      <c r="E19" s="31">
        <f>IF($C19="","",SUMIF(Kaffeeliste!$E$18:$E$87,$C19,Kaffeeliste!$I$18:$I$87))</f>
        <v>209</v>
      </c>
      <c r="F19" s="32">
        <f t="shared" si="1"/>
        <v>34.833333333333336</v>
      </c>
      <c r="G19" s="33">
        <f t="shared" si="2"/>
        <v>0.10429141716566866</v>
      </c>
      <c r="H19" s="25">
        <f>IF($C19="","",SUMIF(Kaffeeliste!$E$18:$E$87,$C19,Kaffeeliste!$K$18:$K$87))</f>
        <v>66.7</v>
      </c>
      <c r="I19" s="24">
        <f>IF($C19="","",SUMIF(Stammdaten!$C$43:$C$74,$C19,Stammdaten!$F$43:$F$74))</f>
        <v>70</v>
      </c>
      <c r="J19" s="25">
        <f t="shared" si="3"/>
        <v>3.2999999999999972</v>
      </c>
      <c r="K19" s="74" t="str">
        <f t="shared" si="4"/>
        <v>Guthaben</v>
      </c>
      <c r="L19" s="74"/>
      <c r="M19" s="24">
        <f t="shared" si="5"/>
        <v>11.116666666666667</v>
      </c>
    </row>
    <row r="20" spans="2:13" x14ac:dyDescent="0.25">
      <c r="B20" s="18">
        <f t="shared" si="0"/>
        <v>8</v>
      </c>
      <c r="C20" s="30" t="str">
        <f>IF(Stammdaten!$C21="","",Stammdaten!$C21)</f>
        <v>Christoph Sailer</v>
      </c>
      <c r="D20" s="22" t="str">
        <f>IF($C20="","",Stammdaten!$D21)</f>
        <v>IT</v>
      </c>
      <c r="E20" s="31">
        <f>IF($C20="","",SUMIF(Kaffeeliste!$E$18:$E$87,$C20,Kaffeeliste!$I$18:$I$87))</f>
        <v>291</v>
      </c>
      <c r="F20" s="32">
        <f t="shared" si="1"/>
        <v>48.5</v>
      </c>
      <c r="G20" s="33">
        <f t="shared" si="2"/>
        <v>0.14520958083832336</v>
      </c>
      <c r="H20" s="25">
        <f>IF($C20="","",SUMIF(Kaffeeliste!$E$18:$E$87,$C20,Kaffeeliste!$K$18:$K$87))</f>
        <v>143.9</v>
      </c>
      <c r="I20" s="24">
        <f>IF($C20="","",SUMIF(Stammdaten!$C$43:$C$74,$C20,Stammdaten!$F$43:$F$74))</f>
        <v>130</v>
      </c>
      <c r="J20" s="25">
        <f t="shared" si="3"/>
        <v>-13.900000000000006</v>
      </c>
      <c r="K20" s="74" t="str">
        <f t="shared" si="4"/>
        <v>Offener Betrag</v>
      </c>
      <c r="L20" s="74"/>
      <c r="M20" s="24">
        <f t="shared" si="5"/>
        <v>23.983333333333334</v>
      </c>
    </row>
    <row r="21" spans="2:13" ht="19.5" customHeight="1" x14ac:dyDescent="0.25">
      <c r="B21" s="66" t="s">
        <v>99</v>
      </c>
      <c r="C21" s="66"/>
      <c r="D21" s="66"/>
      <c r="E21" s="26">
        <f>SUM($E$13:$E$20)</f>
        <v>2004</v>
      </c>
      <c r="F21" s="34">
        <f>SUM($F$13:$F$20)</f>
        <v>334</v>
      </c>
      <c r="G21" s="35">
        <f>IF($E$21=0,"",1)</f>
        <v>1</v>
      </c>
      <c r="H21" s="28">
        <f>SUM($H$13:$H$20)</f>
        <v>1032.2</v>
      </c>
      <c r="I21" s="28">
        <f>SUM($I$13:$I$20)</f>
        <v>1005</v>
      </c>
      <c r="J21" s="28">
        <f>SUM($J$13:$J$20)</f>
        <v>-27.200000000000031</v>
      </c>
      <c r="K21" s="75" t="str">
        <f>IF(ROUND($J$21,2)&gt;=0,"Kasse gedeckt","Forderung offen")</f>
        <v>Forderung offen</v>
      </c>
      <c r="L21" s="75"/>
      <c r="M21" s="28">
        <f>SUM($M$13:$M$20)</f>
        <v>172.03333333333336</v>
      </c>
    </row>
    <row r="24" spans="2:13" ht="19.5" customHeight="1" x14ac:dyDescent="0.25">
      <c r="B24" s="16" t="s">
        <v>26</v>
      </c>
      <c r="C24" s="10" t="s">
        <v>100</v>
      </c>
      <c r="D24" s="10"/>
      <c r="E24" s="10"/>
      <c r="F24" s="10"/>
      <c r="G24" s="10"/>
      <c r="H24" s="10"/>
      <c r="I24" s="10"/>
      <c r="J24" s="9" t="s">
        <v>101</v>
      </c>
      <c r="K24" s="9"/>
      <c r="L24" s="9"/>
      <c r="M24" s="9"/>
    </row>
    <row r="25" spans="2:13" ht="27.75" customHeight="1" x14ac:dyDescent="0.25">
      <c r="B25" s="17" t="s">
        <v>29</v>
      </c>
      <c r="C25" s="17" t="s">
        <v>34</v>
      </c>
      <c r="D25" s="17" t="s">
        <v>35</v>
      </c>
      <c r="E25" s="17" t="s">
        <v>91</v>
      </c>
      <c r="F25" s="17" t="s">
        <v>93</v>
      </c>
      <c r="G25" s="17" t="s">
        <v>102</v>
      </c>
      <c r="H25" s="17" t="s">
        <v>103</v>
      </c>
      <c r="I25" s="17" t="s">
        <v>104</v>
      </c>
      <c r="J25" s="17" t="s">
        <v>40</v>
      </c>
      <c r="K25" s="17" t="s">
        <v>105</v>
      </c>
      <c r="L25" s="73" t="s">
        <v>106</v>
      </c>
      <c r="M25" s="73"/>
    </row>
    <row r="26" spans="2:13" x14ac:dyDescent="0.25">
      <c r="B26" s="18">
        <f t="shared" ref="B26:B35" si="6">IF($C26="","",ROW()-25)</f>
        <v>1</v>
      </c>
      <c r="C26" s="30" t="str">
        <f>IF(Stammdaten!$C27="","",Stammdaten!$C27)</f>
        <v>Filterkaffee</v>
      </c>
      <c r="D26" s="22" t="str">
        <f>IF($C26="","",Stammdaten!$D27)</f>
        <v>Kaffee</v>
      </c>
      <c r="E26" s="31">
        <f>IF($C26="","",SUMIF(Kaffeeliste!$G$18:$G$87,$C26,Kaffeeliste!$I$18:$I$87))</f>
        <v>568</v>
      </c>
      <c r="F26" s="33">
        <f t="shared" ref="F26:F35" si="7">IF(OR($C26="",$E$36=0),"",$E26/$E$36)</f>
        <v>0.28343313373253493</v>
      </c>
      <c r="G26" s="24">
        <f>IF($C26="","",Stammdaten!$E27)</f>
        <v>0.4</v>
      </c>
      <c r="H26" s="25">
        <f>IF($C26="","",SUMIF(Kaffeeliste!$G$18:$G$87,$C26,Kaffeeliste!$K$18:$K$87))</f>
        <v>227.20000000000002</v>
      </c>
      <c r="I26" s="24">
        <f>IF($C26="","",SUMIF(Kaffeeliste!$G$18:$G$87,$C26,Kaffeeliste!$L$18:$L$87))</f>
        <v>68.160000000000011</v>
      </c>
      <c r="J26" s="24">
        <f>IF($C26="","",SUMIF(Kaffeeliste!$G$18:$G$87,$C26,Kaffeeliste!$M$18:$M$87))</f>
        <v>159.04</v>
      </c>
      <c r="K26" s="36">
        <f t="shared" ref="K26:K35" si="8">IF(OR($C26="",$H26=0),"",$J26/$H26)</f>
        <v>0.7</v>
      </c>
      <c r="L26" s="76" t="str">
        <f>IF($C26="","",IF($E26=0,"kein Verbrauch",IF($K26&gt;=Stammdaten!$G$10,"Ziel erreicht","unter Ziel")))</f>
        <v>Ziel erreicht</v>
      </c>
      <c r="M26" s="76"/>
    </row>
    <row r="27" spans="2:13" x14ac:dyDescent="0.25">
      <c r="B27" s="18">
        <f t="shared" si="6"/>
        <v>2</v>
      </c>
      <c r="C27" s="30" t="str">
        <f>IF(Stammdaten!$C28="","",Stammdaten!$C28)</f>
        <v>Espresso</v>
      </c>
      <c r="D27" s="22" t="str">
        <f>IF($C27="","",Stammdaten!$D28)</f>
        <v>Kaffee</v>
      </c>
      <c r="E27" s="31">
        <f>IF($C27="","",SUMIF(Kaffeeliste!$G$18:$G$87,$C27,Kaffeeliste!$I$18:$I$87))</f>
        <v>643</v>
      </c>
      <c r="F27" s="33">
        <f t="shared" si="7"/>
        <v>0.32085828343313372</v>
      </c>
      <c r="G27" s="24">
        <f>IF($C27="","",Stammdaten!$E28)</f>
        <v>0.5</v>
      </c>
      <c r="H27" s="25">
        <f>IF($C27="","",SUMIF(Kaffeeliste!$G$18:$G$87,$C27,Kaffeeliste!$K$18:$K$87))</f>
        <v>321.5</v>
      </c>
      <c r="I27" s="24">
        <f>IF($C27="","",SUMIF(Kaffeeliste!$G$18:$G$87,$C27,Kaffeeliste!$L$18:$L$87))</f>
        <v>96.45</v>
      </c>
      <c r="J27" s="24">
        <f>IF($C27="","",SUMIF(Kaffeeliste!$G$18:$G$87,$C27,Kaffeeliste!$M$18:$M$87))</f>
        <v>225.05</v>
      </c>
      <c r="K27" s="36">
        <f t="shared" si="8"/>
        <v>0.70000000000000007</v>
      </c>
      <c r="L27" s="76" t="str">
        <f>IF($C27="","",IF($E27=0,"kein Verbrauch",IF($K27&gt;=Stammdaten!$G$10,"Ziel erreicht","unter Ziel")))</f>
        <v>Ziel erreicht</v>
      </c>
      <c r="M27" s="76"/>
    </row>
    <row r="28" spans="2:13" x14ac:dyDescent="0.25">
      <c r="B28" s="18">
        <f t="shared" si="6"/>
        <v>3</v>
      </c>
      <c r="C28" s="30" t="str">
        <f>IF(Stammdaten!$C29="","",Stammdaten!$C29)</f>
        <v>Espresso Macchiato</v>
      </c>
      <c r="D28" s="22" t="str">
        <f>IF($C28="","",Stammdaten!$D29)</f>
        <v>Kaffee</v>
      </c>
      <c r="E28" s="31">
        <f>IF($C28="","",SUMIF(Kaffeeliste!$G$18:$G$87,$C28,Kaffeeliste!$I$18:$I$87))</f>
        <v>12</v>
      </c>
      <c r="F28" s="33">
        <f t="shared" si="7"/>
        <v>5.9880239520958087E-3</v>
      </c>
      <c r="G28" s="24">
        <f>IF($C28="","",Stammdaten!$E29)</f>
        <v>0.6</v>
      </c>
      <c r="H28" s="25">
        <f>IF($C28="","",SUMIF(Kaffeeliste!$G$18:$G$87,$C28,Kaffeeliste!$K$18:$K$87))</f>
        <v>7.2</v>
      </c>
      <c r="I28" s="24">
        <f>IF($C28="","",SUMIF(Kaffeeliste!$G$18:$G$87,$C28,Kaffeeliste!$L$18:$L$87))</f>
        <v>2.2799999999999998</v>
      </c>
      <c r="J28" s="24">
        <f>IF($C28="","",SUMIF(Kaffeeliste!$G$18:$G$87,$C28,Kaffeeliste!$M$18:$M$87))</f>
        <v>4.92</v>
      </c>
      <c r="K28" s="36">
        <f t="shared" si="8"/>
        <v>0.68333333333333335</v>
      </c>
      <c r="L28" s="76" t="str">
        <f>IF($C28="","",IF($E28=0,"kein Verbrauch",IF($K28&gt;=Stammdaten!$G$10,"Ziel erreicht","unter Ziel")))</f>
        <v>Ziel erreicht</v>
      </c>
      <c r="M28" s="76"/>
    </row>
    <row r="29" spans="2:13" x14ac:dyDescent="0.25">
      <c r="B29" s="18">
        <f t="shared" si="6"/>
        <v>4</v>
      </c>
      <c r="C29" s="30" t="str">
        <f>IF(Stammdaten!$C30="","",Stammdaten!$C30)</f>
        <v>Cappuccino</v>
      </c>
      <c r="D29" s="22" t="str">
        <f>IF($C29="","",Stammdaten!$D30)</f>
        <v>Kaffeespezialität</v>
      </c>
      <c r="E29" s="31">
        <f>IF($C29="","",SUMIF(Kaffeeliste!$G$18:$G$87,$C29,Kaffeeliste!$I$18:$I$87))</f>
        <v>231</v>
      </c>
      <c r="F29" s="33">
        <f t="shared" si="7"/>
        <v>0.11526946107784432</v>
      </c>
      <c r="G29" s="24">
        <f>IF($C29="","",Stammdaten!$E30)</f>
        <v>0.7</v>
      </c>
      <c r="H29" s="25">
        <f>IF($C29="","",SUMIF(Kaffeeliste!$G$18:$G$87,$C29,Kaffeeliste!$K$18:$K$87))</f>
        <v>161.70000000000002</v>
      </c>
      <c r="I29" s="24">
        <f>IF($C29="","",SUMIF(Kaffeeliste!$G$18:$G$87,$C29,Kaffeeliste!$L$18:$L$87))</f>
        <v>60.06</v>
      </c>
      <c r="J29" s="24">
        <f>IF($C29="","",SUMIF(Kaffeeliste!$G$18:$G$87,$C29,Kaffeeliste!$M$18:$M$87))</f>
        <v>101.63999999999999</v>
      </c>
      <c r="K29" s="36">
        <f t="shared" si="8"/>
        <v>0.62857142857142845</v>
      </c>
      <c r="L29" s="76" t="str">
        <f>IF($C29="","",IF($E29=0,"kein Verbrauch",IF($K29&gt;=Stammdaten!$G$10,"Ziel erreicht","unter Ziel")))</f>
        <v>Ziel erreicht</v>
      </c>
      <c r="M29" s="76"/>
    </row>
    <row r="30" spans="2:13" x14ac:dyDescent="0.25">
      <c r="B30" s="18">
        <f t="shared" si="6"/>
        <v>5</v>
      </c>
      <c r="C30" s="30" t="str">
        <f>IF(Stammdaten!$C31="","",Stammdaten!$C31)</f>
        <v>Latte Macchiato</v>
      </c>
      <c r="D30" s="22" t="str">
        <f>IF($C30="","",Stammdaten!$D31)</f>
        <v>Kaffeespezialität</v>
      </c>
      <c r="E30" s="31">
        <f>IF($C30="","",SUMIF(Kaffeeliste!$G$18:$G$87,$C30,Kaffeeliste!$I$18:$I$87))</f>
        <v>171</v>
      </c>
      <c r="F30" s="33">
        <f t="shared" si="7"/>
        <v>8.5329341317365276E-2</v>
      </c>
      <c r="G30" s="24">
        <f>IF($C30="","",Stammdaten!$E31)</f>
        <v>0.8</v>
      </c>
      <c r="H30" s="25">
        <f>IF($C30="","",SUMIF(Kaffeeliste!$G$18:$G$87,$C30,Kaffeeliste!$K$18:$K$87))</f>
        <v>136.79999999999998</v>
      </c>
      <c r="I30" s="24">
        <f>IF($C30="","",SUMIF(Kaffeeliste!$G$18:$G$87,$C30,Kaffeeliste!$L$18:$L$87))</f>
        <v>53.010000000000005</v>
      </c>
      <c r="J30" s="24">
        <f>IF($C30="","",SUMIF(Kaffeeliste!$G$18:$G$87,$C30,Kaffeeliste!$M$18:$M$87))</f>
        <v>83.789999999999992</v>
      </c>
      <c r="K30" s="36">
        <f t="shared" si="8"/>
        <v>0.61250000000000004</v>
      </c>
      <c r="L30" s="76" t="str">
        <f>IF($C30="","",IF($E30=0,"kein Verbrauch",IF($K30&gt;=Stammdaten!$G$10,"Ziel erreicht","unter Ziel")))</f>
        <v>Ziel erreicht</v>
      </c>
      <c r="M30" s="76"/>
    </row>
    <row r="31" spans="2:13" x14ac:dyDescent="0.25">
      <c r="B31" s="18">
        <f t="shared" si="6"/>
        <v>6</v>
      </c>
      <c r="C31" s="30" t="str">
        <f>IF(Stammdaten!$C32="","",Stammdaten!$C32)</f>
        <v>Milchkaffee</v>
      </c>
      <c r="D31" s="22" t="str">
        <f>IF($C31="","",Stammdaten!$D32)</f>
        <v>Kaffeespezialität</v>
      </c>
      <c r="E31" s="31">
        <f>IF($C31="","",SUMIF(Kaffeeliste!$G$18:$G$87,$C31,Kaffeeliste!$I$18:$I$87))</f>
        <v>135</v>
      </c>
      <c r="F31" s="33">
        <f t="shared" si="7"/>
        <v>6.7365269461077848E-2</v>
      </c>
      <c r="G31" s="24">
        <f>IF($C31="","",Stammdaten!$E32)</f>
        <v>0.7</v>
      </c>
      <c r="H31" s="25">
        <f>IF($C31="","",SUMIF(Kaffeeliste!$G$18:$G$87,$C31,Kaffeeliste!$K$18:$K$87))</f>
        <v>94.500000000000014</v>
      </c>
      <c r="I31" s="24">
        <f>IF($C31="","",SUMIF(Kaffeeliste!$G$18:$G$87,$C31,Kaffeeliste!$L$18:$L$87))</f>
        <v>36.450000000000003</v>
      </c>
      <c r="J31" s="24">
        <f>IF($C31="","",SUMIF(Kaffeeliste!$G$18:$G$87,$C31,Kaffeeliste!$M$18:$M$87))</f>
        <v>58.050000000000004</v>
      </c>
      <c r="K31" s="36">
        <f t="shared" si="8"/>
        <v>0.61428571428571421</v>
      </c>
      <c r="L31" s="76" t="str">
        <f>IF($C31="","",IF($E31=0,"kein Verbrauch",IF($K31&gt;=Stammdaten!$G$10,"Ziel erreicht","unter Ziel")))</f>
        <v>Ziel erreicht</v>
      </c>
      <c r="M31" s="76"/>
    </row>
    <row r="32" spans="2:13" x14ac:dyDescent="0.25">
      <c r="B32" s="18">
        <f t="shared" si="6"/>
        <v>7</v>
      </c>
      <c r="C32" s="30" t="str">
        <f>IF(Stammdaten!$C33="","",Stammdaten!$C33)</f>
        <v>Chai Latte</v>
      </c>
      <c r="D32" s="22" t="str">
        <f>IF($C32="","",Stammdaten!$D33)</f>
        <v>Kaffeespezialität</v>
      </c>
      <c r="E32" s="31">
        <f>IF($C32="","",SUMIF(Kaffeeliste!$G$18:$G$87,$C32,Kaffeeliste!$I$18:$I$87))</f>
        <v>11</v>
      </c>
      <c r="F32" s="33">
        <f t="shared" si="7"/>
        <v>5.4890219560878245E-3</v>
      </c>
      <c r="G32" s="24">
        <f>IF($C32="","",Stammdaten!$E33)</f>
        <v>0.7</v>
      </c>
      <c r="H32" s="25">
        <f>IF($C32="","",SUMIF(Kaffeeliste!$G$18:$G$87,$C32,Kaffeeliste!$K$18:$K$87))</f>
        <v>7.7</v>
      </c>
      <c r="I32" s="24">
        <f>IF($C32="","",SUMIF(Kaffeeliste!$G$18:$G$87,$C32,Kaffeeliste!$L$18:$L$87))</f>
        <v>3.08</v>
      </c>
      <c r="J32" s="24">
        <f>IF($C32="","",SUMIF(Kaffeeliste!$G$18:$G$87,$C32,Kaffeeliste!$M$18:$M$87))</f>
        <v>4.62</v>
      </c>
      <c r="K32" s="36">
        <f t="shared" si="8"/>
        <v>0.6</v>
      </c>
      <c r="L32" s="76" t="str">
        <f>IF($C32="","",IF($E32=0,"kein Verbrauch",IF($K32&gt;=Stammdaten!$G$10,"Ziel erreicht","unter Ziel")))</f>
        <v>Ziel erreicht</v>
      </c>
      <c r="M32" s="76"/>
    </row>
    <row r="33" spans="2:13" x14ac:dyDescent="0.25">
      <c r="B33" s="18">
        <f t="shared" si="6"/>
        <v>8</v>
      </c>
      <c r="C33" s="30" t="str">
        <f>IF(Stammdaten!$C34="","",Stammdaten!$C34)</f>
        <v>Kakao</v>
      </c>
      <c r="D33" s="22" t="str">
        <f>IF($C33="","",Stammdaten!$D34)</f>
        <v>Heißgetränk</v>
      </c>
      <c r="E33" s="31">
        <f>IF($C33="","",SUMIF(Kaffeeliste!$G$18:$G$87,$C33,Kaffeeliste!$I$18:$I$87))</f>
        <v>7</v>
      </c>
      <c r="F33" s="33">
        <f t="shared" si="7"/>
        <v>3.4930139720558881E-3</v>
      </c>
      <c r="G33" s="24">
        <f>IF($C33="","",Stammdaten!$E34)</f>
        <v>0.6</v>
      </c>
      <c r="H33" s="25">
        <f>IF($C33="","",SUMIF(Kaffeeliste!$G$18:$G$87,$C33,Kaffeeliste!$K$18:$K$87))</f>
        <v>4.2</v>
      </c>
      <c r="I33" s="24">
        <f>IF($C33="","",SUMIF(Kaffeeliste!$G$18:$G$87,$C33,Kaffeeliste!$L$18:$L$87))</f>
        <v>1.68</v>
      </c>
      <c r="J33" s="24">
        <f>IF($C33="","",SUMIF(Kaffeeliste!$G$18:$G$87,$C33,Kaffeeliste!$M$18:$M$87))</f>
        <v>2.5200000000000005</v>
      </c>
      <c r="K33" s="36">
        <f t="shared" si="8"/>
        <v>0.60000000000000009</v>
      </c>
      <c r="L33" s="76" t="str">
        <f>IF($C33="","",IF($E33=0,"kein Verbrauch",IF($K33&gt;=Stammdaten!$G$10,"Ziel erreicht","unter Ziel")))</f>
        <v>Ziel erreicht</v>
      </c>
      <c r="M33" s="76"/>
    </row>
    <row r="34" spans="2:13" x14ac:dyDescent="0.25">
      <c r="B34" s="18">
        <f t="shared" si="6"/>
        <v>9</v>
      </c>
      <c r="C34" s="30" t="str">
        <f>IF(Stammdaten!$C35="","",Stammdaten!$C35)</f>
        <v>Tee</v>
      </c>
      <c r="D34" s="22" t="str">
        <f>IF($C34="","",Stammdaten!$D35)</f>
        <v>Heißgetränk</v>
      </c>
      <c r="E34" s="31">
        <f>IF($C34="","",SUMIF(Kaffeeliste!$G$18:$G$87,$C34,Kaffeeliste!$I$18:$I$87))</f>
        <v>208</v>
      </c>
      <c r="F34" s="33">
        <f t="shared" si="7"/>
        <v>0.10379241516966067</v>
      </c>
      <c r="G34" s="24">
        <f>IF($C34="","",Stammdaten!$E35)</f>
        <v>0.3</v>
      </c>
      <c r="H34" s="25">
        <f>IF($C34="","",SUMIF(Kaffeeliste!$G$18:$G$87,$C34,Kaffeeliste!$K$18:$K$87))</f>
        <v>62.399999999999991</v>
      </c>
      <c r="I34" s="24">
        <f>IF($C34="","",SUMIF(Kaffeeliste!$G$18:$G$87,$C34,Kaffeeliste!$L$18:$L$87))</f>
        <v>16.64</v>
      </c>
      <c r="J34" s="24">
        <f>IF($C34="","",SUMIF(Kaffeeliste!$G$18:$G$87,$C34,Kaffeeliste!$M$18:$M$87))</f>
        <v>45.76</v>
      </c>
      <c r="K34" s="36">
        <f t="shared" si="8"/>
        <v>0.73333333333333339</v>
      </c>
      <c r="L34" s="76" t="str">
        <f>IF($C34="","",IF($E34=0,"kein Verbrauch",IF($K34&gt;=Stammdaten!$G$10,"Ziel erreicht","unter Ziel")))</f>
        <v>Ziel erreicht</v>
      </c>
      <c r="M34" s="76"/>
    </row>
    <row r="35" spans="2:13" x14ac:dyDescent="0.25">
      <c r="B35" s="18">
        <f t="shared" si="6"/>
        <v>10</v>
      </c>
      <c r="C35" s="30" t="str">
        <f>IF(Stammdaten!$C36="","",Stammdaten!$C36)</f>
        <v>Wasser</v>
      </c>
      <c r="D35" s="22" t="str">
        <f>IF($C35="","",Stammdaten!$D36)</f>
        <v>Kaltgetränk</v>
      </c>
      <c r="E35" s="31">
        <f>IF($C35="","",SUMIF(Kaffeeliste!$G$18:$G$87,$C35,Kaffeeliste!$I$18:$I$87))</f>
        <v>18</v>
      </c>
      <c r="F35" s="33">
        <f t="shared" si="7"/>
        <v>8.9820359281437123E-3</v>
      </c>
      <c r="G35" s="24">
        <f>IF($C35="","",Stammdaten!$E36)</f>
        <v>0.5</v>
      </c>
      <c r="H35" s="25">
        <f>IF($C35="","",SUMIF(Kaffeeliste!$G$18:$G$87,$C35,Kaffeeliste!$K$18:$K$87))</f>
        <v>9</v>
      </c>
      <c r="I35" s="24">
        <f>IF($C35="","",SUMIF(Kaffeeliste!$G$18:$G$87,$C35,Kaffeeliste!$L$18:$L$87))</f>
        <v>3.96</v>
      </c>
      <c r="J35" s="24">
        <f>IF($C35="","",SUMIF(Kaffeeliste!$G$18:$G$87,$C35,Kaffeeliste!$M$18:$M$87))</f>
        <v>5.04</v>
      </c>
      <c r="K35" s="36">
        <f t="shared" si="8"/>
        <v>0.56000000000000005</v>
      </c>
      <c r="L35" s="76" t="str">
        <f>IF($C35="","",IF($E35=0,"kein Verbrauch",IF($K35&gt;=Stammdaten!$G$10,"Ziel erreicht","unter Ziel")))</f>
        <v>Ziel erreicht</v>
      </c>
      <c r="M35" s="76"/>
    </row>
    <row r="36" spans="2:13" ht="19.5" customHeight="1" x14ac:dyDescent="0.25">
      <c r="B36" s="66" t="s">
        <v>107</v>
      </c>
      <c r="C36" s="66"/>
      <c r="D36" s="66"/>
      <c r="E36" s="26">
        <f>SUM($E$26:$E$35)</f>
        <v>2004</v>
      </c>
      <c r="F36" s="35">
        <f>IF($E$36=0,"",1)</f>
        <v>1</v>
      </c>
      <c r="G36" s="28">
        <f>IFERROR($H$36/$E$36,0)</f>
        <v>0.51506986027944124</v>
      </c>
      <c r="H36" s="28">
        <f>SUM($H$26:$H$35)</f>
        <v>1032.2000000000003</v>
      </c>
      <c r="I36" s="28">
        <f>SUM($I$26:$I$35)</f>
        <v>341.77</v>
      </c>
      <c r="J36" s="28">
        <f>SUM($J$26:$J$35)</f>
        <v>690.43</v>
      </c>
      <c r="K36" s="35">
        <f>IFERROR($J$36/$H$36,0)</f>
        <v>0.66889168765743046</v>
      </c>
      <c r="L36" s="75" t="str">
        <f>IF($K$36&gt;=Stammdaten!$G$10,"Zielquote erreicht","Zielquote verfehlt")</f>
        <v>Zielquote erreicht</v>
      </c>
      <c r="M36" s="75"/>
    </row>
    <row r="39" spans="2:13" ht="19.5" customHeight="1" x14ac:dyDescent="0.25">
      <c r="B39" s="16" t="s">
        <v>108</v>
      </c>
      <c r="C39" s="10" t="s">
        <v>109</v>
      </c>
      <c r="D39" s="10"/>
      <c r="E39" s="10"/>
      <c r="F39" s="10"/>
      <c r="G39" s="10"/>
      <c r="H39" s="10"/>
      <c r="I39" s="10"/>
      <c r="J39" s="9" t="s">
        <v>110</v>
      </c>
      <c r="K39" s="9"/>
      <c r="L39" s="9"/>
      <c r="M39" s="9"/>
    </row>
    <row r="40" spans="2:13" ht="27.75" customHeight="1" x14ac:dyDescent="0.25">
      <c r="B40" s="17" t="s">
        <v>29</v>
      </c>
      <c r="C40" s="17" t="s">
        <v>31</v>
      </c>
      <c r="D40" s="17" t="s">
        <v>91</v>
      </c>
      <c r="E40" s="17" t="s">
        <v>103</v>
      </c>
      <c r="F40" s="17" t="s">
        <v>39</v>
      </c>
      <c r="G40" s="17" t="s">
        <v>40</v>
      </c>
      <c r="H40" s="17" t="s">
        <v>95</v>
      </c>
      <c r="I40" s="17" t="s">
        <v>111</v>
      </c>
      <c r="J40" s="17" t="s">
        <v>112</v>
      </c>
      <c r="K40" s="17" t="s">
        <v>113</v>
      </c>
      <c r="L40" s="17" t="s">
        <v>114</v>
      </c>
      <c r="M40" s="17" t="s">
        <v>115</v>
      </c>
    </row>
    <row r="41" spans="2:13" x14ac:dyDescent="0.25">
      <c r="B41" s="18">
        <v>1</v>
      </c>
      <c r="C41" s="30" t="s">
        <v>116</v>
      </c>
      <c r="D41" s="31">
        <f>SUMIF(Kaffeeliste!$D$18:$D$87,$C41,Kaffeeliste!$I$18:$I$87)</f>
        <v>327</v>
      </c>
      <c r="E41" s="25">
        <f>SUMIF(Kaffeeliste!$D$18:$D$87,$C41,Kaffeeliste!$K$18:$K$87)</f>
        <v>167.3</v>
      </c>
      <c r="F41" s="24">
        <f>SUMIF(Kaffeeliste!$D$18:$D$87,$C41,Kaffeeliste!$L$18:$L$87)</f>
        <v>55.019999999999996</v>
      </c>
      <c r="G41" s="24">
        <f t="shared" ref="G41:G52" si="9">$E41-$F41</f>
        <v>112.28000000000002</v>
      </c>
      <c r="H41" s="24">
        <f>SUMIF(Stammdaten!$E$43:$E$74,$C41,Stammdaten!$F$43:$F$74)</f>
        <v>165</v>
      </c>
      <c r="I41" s="24">
        <f>SUMIF(Stammdaten!$E$79:$E$100,$C41,Stammdaten!$F$79:$F$100)</f>
        <v>104.56</v>
      </c>
      <c r="J41" s="24">
        <f t="shared" ref="J41:J52" si="10">$H41-$I41</f>
        <v>60.44</v>
      </c>
      <c r="K41" s="25">
        <f>Stammdaten!$G$9+$J41</f>
        <v>60.44</v>
      </c>
      <c r="L41" s="24">
        <f t="shared" ref="L41:L52" si="11">IFERROR($E41/$D41,0)</f>
        <v>0.51162079510703362</v>
      </c>
      <c r="M41" s="33">
        <f t="shared" ref="M41:M52" si="12">IFERROR($D41/MAX($D$41:$D$52),0)</f>
        <v>0.90581717451523547</v>
      </c>
    </row>
    <row r="42" spans="2:13" x14ac:dyDescent="0.25">
      <c r="B42" s="18">
        <v>2</v>
      </c>
      <c r="C42" s="30" t="s">
        <v>117</v>
      </c>
      <c r="D42" s="31">
        <f>SUMIF(Kaffeeliste!$D$18:$D$87,$C42,Kaffeeliste!$I$18:$I$87)</f>
        <v>328</v>
      </c>
      <c r="E42" s="25">
        <f>SUMIF(Kaffeeliste!$D$18:$D$87,$C42,Kaffeeliste!$K$18:$K$87)</f>
        <v>168.8</v>
      </c>
      <c r="F42" s="24">
        <f>SUMIF(Kaffeeliste!$D$18:$D$87,$C42,Kaffeeliste!$L$18:$L$87)</f>
        <v>56.019999999999996</v>
      </c>
      <c r="G42" s="24">
        <f t="shared" si="9"/>
        <v>112.78000000000002</v>
      </c>
      <c r="H42" s="24">
        <f>SUMIF(Stammdaten!$E$43:$E$74,$C42,Stammdaten!$F$43:$F$74)</f>
        <v>170</v>
      </c>
      <c r="I42" s="24">
        <f>SUMIF(Stammdaten!$E$79:$E$100,$C42,Stammdaten!$F$79:$F$100)</f>
        <v>113.30000000000001</v>
      </c>
      <c r="J42" s="24">
        <f t="shared" si="10"/>
        <v>56.699999999999989</v>
      </c>
      <c r="K42" s="25">
        <f t="shared" ref="K42:K52" si="13">$K41+$J42</f>
        <v>117.13999999999999</v>
      </c>
      <c r="L42" s="24">
        <f t="shared" si="11"/>
        <v>0.51463414634146343</v>
      </c>
      <c r="M42" s="33">
        <f t="shared" si="12"/>
        <v>0.90858725761772852</v>
      </c>
    </row>
    <row r="43" spans="2:13" x14ac:dyDescent="0.25">
      <c r="B43" s="18">
        <v>3</v>
      </c>
      <c r="C43" s="30" t="s">
        <v>118</v>
      </c>
      <c r="D43" s="31">
        <f>SUMIF(Kaffeeliste!$D$18:$D$87,$C43,Kaffeeliste!$I$18:$I$87)</f>
        <v>361</v>
      </c>
      <c r="E43" s="25">
        <f>SUMIF(Kaffeeliste!$D$18:$D$87,$C43,Kaffeeliste!$K$18:$K$87)</f>
        <v>185.1</v>
      </c>
      <c r="F43" s="24">
        <f>SUMIF(Kaffeeliste!$D$18:$D$87,$C43,Kaffeeliste!$L$18:$L$87)</f>
        <v>60.730000000000004</v>
      </c>
      <c r="G43" s="24">
        <f t="shared" si="9"/>
        <v>124.36999999999999</v>
      </c>
      <c r="H43" s="24">
        <f>SUMIF(Stammdaten!$E$43:$E$74,$C43,Stammdaten!$F$43:$F$74)</f>
        <v>165</v>
      </c>
      <c r="I43" s="24">
        <f>SUMIF(Stammdaten!$E$79:$E$100,$C43,Stammdaten!$F$79:$F$100)</f>
        <v>150.06</v>
      </c>
      <c r="J43" s="24">
        <f t="shared" si="10"/>
        <v>14.939999999999998</v>
      </c>
      <c r="K43" s="25">
        <f t="shared" si="13"/>
        <v>132.07999999999998</v>
      </c>
      <c r="L43" s="24">
        <f t="shared" si="11"/>
        <v>0.51274238227146818</v>
      </c>
      <c r="M43" s="33">
        <f t="shared" si="12"/>
        <v>1</v>
      </c>
    </row>
    <row r="44" spans="2:13" x14ac:dyDescent="0.25">
      <c r="B44" s="18">
        <v>4</v>
      </c>
      <c r="C44" s="30" t="s">
        <v>119</v>
      </c>
      <c r="D44" s="31">
        <f>SUMIF(Kaffeeliste!$D$18:$D$87,$C44,Kaffeeliste!$I$18:$I$87)</f>
        <v>326</v>
      </c>
      <c r="E44" s="25">
        <f>SUMIF(Kaffeeliste!$D$18:$D$87,$C44,Kaffeeliste!$K$18:$K$87)</f>
        <v>171</v>
      </c>
      <c r="F44" s="24">
        <f>SUMIF(Kaffeeliste!$D$18:$D$87,$C44,Kaffeeliste!$L$18:$L$87)</f>
        <v>57.11</v>
      </c>
      <c r="G44" s="24">
        <f t="shared" si="9"/>
        <v>113.89</v>
      </c>
      <c r="H44" s="24">
        <f>SUMIF(Stammdaten!$E$43:$E$74,$C44,Stammdaten!$F$43:$F$74)</f>
        <v>175</v>
      </c>
      <c r="I44" s="24">
        <f>SUMIF(Stammdaten!$E$79:$E$100,$C44,Stammdaten!$F$79:$F$100)</f>
        <v>120.35</v>
      </c>
      <c r="J44" s="24">
        <f t="shared" si="10"/>
        <v>54.650000000000006</v>
      </c>
      <c r="K44" s="25">
        <f t="shared" si="13"/>
        <v>186.73</v>
      </c>
      <c r="L44" s="24">
        <f t="shared" si="11"/>
        <v>0.52453987730061347</v>
      </c>
      <c r="M44" s="33">
        <f t="shared" si="12"/>
        <v>0.90304709141274242</v>
      </c>
    </row>
    <row r="45" spans="2:13" x14ac:dyDescent="0.25">
      <c r="B45" s="18">
        <v>5</v>
      </c>
      <c r="C45" s="30" t="s">
        <v>120</v>
      </c>
      <c r="D45" s="31">
        <f>SUMIF(Kaffeeliste!$D$18:$D$87,$C45,Kaffeeliste!$I$18:$I$87)</f>
        <v>344</v>
      </c>
      <c r="E45" s="25">
        <f>SUMIF(Kaffeeliste!$D$18:$D$87,$C45,Kaffeeliste!$K$18:$K$87)</f>
        <v>175.7</v>
      </c>
      <c r="F45" s="24">
        <f>SUMIF(Kaffeeliste!$D$18:$D$87,$C45,Kaffeeliste!$L$18:$L$87)</f>
        <v>58.849999999999994</v>
      </c>
      <c r="G45" s="24">
        <f t="shared" si="9"/>
        <v>116.85</v>
      </c>
      <c r="H45" s="24">
        <f>SUMIF(Stammdaten!$E$43:$E$74,$C45,Stammdaten!$F$43:$F$74)</f>
        <v>165</v>
      </c>
      <c r="I45" s="24">
        <f>SUMIF(Stammdaten!$E$79:$E$100,$C45,Stammdaten!$F$79:$F$100)</f>
        <v>143.33999999999997</v>
      </c>
      <c r="J45" s="24">
        <f t="shared" si="10"/>
        <v>21.660000000000025</v>
      </c>
      <c r="K45" s="25">
        <f t="shared" si="13"/>
        <v>208.39000000000001</v>
      </c>
      <c r="L45" s="24">
        <f t="shared" si="11"/>
        <v>0.51075581395348835</v>
      </c>
      <c r="M45" s="33">
        <f t="shared" si="12"/>
        <v>0.95290858725761773</v>
      </c>
    </row>
    <row r="46" spans="2:13" x14ac:dyDescent="0.25">
      <c r="B46" s="18">
        <v>6</v>
      </c>
      <c r="C46" s="30" t="s">
        <v>121</v>
      </c>
      <c r="D46" s="31">
        <f>SUMIF(Kaffeeliste!$D$18:$D$87,$C46,Kaffeeliste!$I$18:$I$87)</f>
        <v>318</v>
      </c>
      <c r="E46" s="25">
        <f>SUMIF(Kaffeeliste!$D$18:$D$87,$C46,Kaffeeliste!$K$18:$K$87)</f>
        <v>164.3</v>
      </c>
      <c r="F46" s="24">
        <f>SUMIF(Kaffeeliste!$D$18:$D$87,$C46,Kaffeeliste!$L$18:$L$87)</f>
        <v>54.040000000000006</v>
      </c>
      <c r="G46" s="24">
        <f t="shared" si="9"/>
        <v>110.26</v>
      </c>
      <c r="H46" s="24">
        <f>SUMIF(Stammdaten!$E$43:$E$74,$C46,Stammdaten!$F$43:$F$74)</f>
        <v>165</v>
      </c>
      <c r="I46" s="24">
        <f>SUMIF(Stammdaten!$E$79:$E$100,$C46,Stammdaten!$F$79:$F$100)</f>
        <v>222.04999999999998</v>
      </c>
      <c r="J46" s="24">
        <f t="shared" si="10"/>
        <v>-57.049999999999983</v>
      </c>
      <c r="K46" s="25">
        <f t="shared" si="13"/>
        <v>151.34000000000003</v>
      </c>
      <c r="L46" s="24">
        <f t="shared" si="11"/>
        <v>0.51666666666666672</v>
      </c>
      <c r="M46" s="33">
        <f t="shared" si="12"/>
        <v>0.88088642659279781</v>
      </c>
    </row>
    <row r="47" spans="2:13" x14ac:dyDescent="0.25">
      <c r="B47" s="18">
        <v>7</v>
      </c>
      <c r="C47" s="30" t="s">
        <v>122</v>
      </c>
      <c r="D47" s="31">
        <f>SUMIF(Kaffeeliste!$D$18:$D$87,$C47,Kaffeeliste!$I$18:$I$87)</f>
        <v>0</v>
      </c>
      <c r="E47" s="25">
        <f>SUMIF(Kaffeeliste!$D$18:$D$87,$C47,Kaffeeliste!$K$18:$K$87)</f>
        <v>0</v>
      </c>
      <c r="F47" s="24">
        <f>SUMIF(Kaffeeliste!$D$18:$D$87,$C47,Kaffeeliste!$L$18:$L$87)</f>
        <v>0</v>
      </c>
      <c r="G47" s="24">
        <f t="shared" si="9"/>
        <v>0</v>
      </c>
      <c r="H47" s="24">
        <f>SUMIF(Stammdaten!$E$43:$E$74,$C47,Stammdaten!$F$43:$F$74)</f>
        <v>0</v>
      </c>
      <c r="I47" s="24">
        <f>SUMIF(Stammdaten!$E$79:$E$100,$C47,Stammdaten!$F$79:$F$100)</f>
        <v>0</v>
      </c>
      <c r="J47" s="24">
        <f t="shared" si="10"/>
        <v>0</v>
      </c>
      <c r="K47" s="25">
        <f t="shared" si="13"/>
        <v>151.34000000000003</v>
      </c>
      <c r="L47" s="24">
        <f t="shared" si="11"/>
        <v>0</v>
      </c>
      <c r="M47" s="33">
        <f t="shared" si="12"/>
        <v>0</v>
      </c>
    </row>
    <row r="48" spans="2:13" x14ac:dyDescent="0.25">
      <c r="B48" s="18">
        <v>8</v>
      </c>
      <c r="C48" s="30" t="s">
        <v>123</v>
      </c>
      <c r="D48" s="31">
        <f>SUMIF(Kaffeeliste!$D$18:$D$87,$C48,Kaffeeliste!$I$18:$I$87)</f>
        <v>0</v>
      </c>
      <c r="E48" s="25">
        <f>SUMIF(Kaffeeliste!$D$18:$D$87,$C48,Kaffeeliste!$K$18:$K$87)</f>
        <v>0</v>
      </c>
      <c r="F48" s="24">
        <f>SUMIF(Kaffeeliste!$D$18:$D$87,$C48,Kaffeeliste!$L$18:$L$87)</f>
        <v>0</v>
      </c>
      <c r="G48" s="24">
        <f t="shared" si="9"/>
        <v>0</v>
      </c>
      <c r="H48" s="24">
        <f>SUMIF(Stammdaten!$E$43:$E$74,$C48,Stammdaten!$F$43:$F$74)</f>
        <v>0</v>
      </c>
      <c r="I48" s="24">
        <f>SUMIF(Stammdaten!$E$79:$E$100,$C48,Stammdaten!$F$79:$F$100)</f>
        <v>0</v>
      </c>
      <c r="J48" s="24">
        <f t="shared" si="10"/>
        <v>0</v>
      </c>
      <c r="K48" s="25">
        <f t="shared" si="13"/>
        <v>151.34000000000003</v>
      </c>
      <c r="L48" s="24">
        <f t="shared" si="11"/>
        <v>0</v>
      </c>
      <c r="M48" s="33">
        <f t="shared" si="12"/>
        <v>0</v>
      </c>
    </row>
    <row r="49" spans="2:13" x14ac:dyDescent="0.25">
      <c r="B49" s="18">
        <v>9</v>
      </c>
      <c r="C49" s="30" t="s">
        <v>124</v>
      </c>
      <c r="D49" s="31">
        <f>SUMIF(Kaffeeliste!$D$18:$D$87,$C49,Kaffeeliste!$I$18:$I$87)</f>
        <v>0</v>
      </c>
      <c r="E49" s="25">
        <f>SUMIF(Kaffeeliste!$D$18:$D$87,$C49,Kaffeeliste!$K$18:$K$87)</f>
        <v>0</v>
      </c>
      <c r="F49" s="24">
        <f>SUMIF(Kaffeeliste!$D$18:$D$87,$C49,Kaffeeliste!$L$18:$L$87)</f>
        <v>0</v>
      </c>
      <c r="G49" s="24">
        <f t="shared" si="9"/>
        <v>0</v>
      </c>
      <c r="H49" s="24">
        <f>SUMIF(Stammdaten!$E$43:$E$74,$C49,Stammdaten!$F$43:$F$74)</f>
        <v>0</v>
      </c>
      <c r="I49" s="24">
        <f>SUMIF(Stammdaten!$E$79:$E$100,$C49,Stammdaten!$F$79:$F$100)</f>
        <v>0</v>
      </c>
      <c r="J49" s="24">
        <f t="shared" si="10"/>
        <v>0</v>
      </c>
      <c r="K49" s="25">
        <f t="shared" si="13"/>
        <v>151.34000000000003</v>
      </c>
      <c r="L49" s="24">
        <f t="shared" si="11"/>
        <v>0</v>
      </c>
      <c r="M49" s="33">
        <f t="shared" si="12"/>
        <v>0</v>
      </c>
    </row>
    <row r="50" spans="2:13" x14ac:dyDescent="0.25">
      <c r="B50" s="18">
        <v>10</v>
      </c>
      <c r="C50" s="30" t="s">
        <v>125</v>
      </c>
      <c r="D50" s="31">
        <f>SUMIF(Kaffeeliste!$D$18:$D$87,$C50,Kaffeeliste!$I$18:$I$87)</f>
        <v>0</v>
      </c>
      <c r="E50" s="25">
        <f>SUMIF(Kaffeeliste!$D$18:$D$87,$C50,Kaffeeliste!$K$18:$K$87)</f>
        <v>0</v>
      </c>
      <c r="F50" s="24">
        <f>SUMIF(Kaffeeliste!$D$18:$D$87,$C50,Kaffeeliste!$L$18:$L$87)</f>
        <v>0</v>
      </c>
      <c r="G50" s="24">
        <f t="shared" si="9"/>
        <v>0</v>
      </c>
      <c r="H50" s="24">
        <f>SUMIF(Stammdaten!$E$43:$E$74,$C50,Stammdaten!$F$43:$F$74)</f>
        <v>0</v>
      </c>
      <c r="I50" s="24">
        <f>SUMIF(Stammdaten!$E$79:$E$100,$C50,Stammdaten!$F$79:$F$100)</f>
        <v>0</v>
      </c>
      <c r="J50" s="24">
        <f t="shared" si="10"/>
        <v>0</v>
      </c>
      <c r="K50" s="25">
        <f t="shared" si="13"/>
        <v>151.34000000000003</v>
      </c>
      <c r="L50" s="24">
        <f t="shared" si="11"/>
        <v>0</v>
      </c>
      <c r="M50" s="33">
        <f t="shared" si="12"/>
        <v>0</v>
      </c>
    </row>
    <row r="51" spans="2:13" x14ac:dyDescent="0.25">
      <c r="B51" s="18">
        <v>11</v>
      </c>
      <c r="C51" s="30" t="s">
        <v>126</v>
      </c>
      <c r="D51" s="31">
        <f>SUMIF(Kaffeeliste!$D$18:$D$87,$C51,Kaffeeliste!$I$18:$I$87)</f>
        <v>0</v>
      </c>
      <c r="E51" s="25">
        <f>SUMIF(Kaffeeliste!$D$18:$D$87,$C51,Kaffeeliste!$K$18:$K$87)</f>
        <v>0</v>
      </c>
      <c r="F51" s="24">
        <f>SUMIF(Kaffeeliste!$D$18:$D$87,$C51,Kaffeeliste!$L$18:$L$87)</f>
        <v>0</v>
      </c>
      <c r="G51" s="24">
        <f t="shared" si="9"/>
        <v>0</v>
      </c>
      <c r="H51" s="24">
        <f>SUMIF(Stammdaten!$E$43:$E$74,$C51,Stammdaten!$F$43:$F$74)</f>
        <v>0</v>
      </c>
      <c r="I51" s="24">
        <f>SUMIF(Stammdaten!$E$79:$E$100,$C51,Stammdaten!$F$79:$F$100)</f>
        <v>0</v>
      </c>
      <c r="J51" s="24">
        <f t="shared" si="10"/>
        <v>0</v>
      </c>
      <c r="K51" s="25">
        <f t="shared" si="13"/>
        <v>151.34000000000003</v>
      </c>
      <c r="L51" s="24">
        <f t="shared" si="11"/>
        <v>0</v>
      </c>
      <c r="M51" s="33">
        <f t="shared" si="12"/>
        <v>0</v>
      </c>
    </row>
    <row r="52" spans="2:13" x14ac:dyDescent="0.25">
      <c r="B52" s="18">
        <v>12</v>
      </c>
      <c r="C52" s="30" t="s">
        <v>127</v>
      </c>
      <c r="D52" s="31">
        <f>SUMIF(Kaffeeliste!$D$18:$D$87,$C52,Kaffeeliste!$I$18:$I$87)</f>
        <v>0</v>
      </c>
      <c r="E52" s="25">
        <f>SUMIF(Kaffeeliste!$D$18:$D$87,$C52,Kaffeeliste!$K$18:$K$87)</f>
        <v>0</v>
      </c>
      <c r="F52" s="24">
        <f>SUMIF(Kaffeeliste!$D$18:$D$87,$C52,Kaffeeliste!$L$18:$L$87)</f>
        <v>0</v>
      </c>
      <c r="G52" s="24">
        <f t="shared" si="9"/>
        <v>0</v>
      </c>
      <c r="H52" s="24">
        <f>SUMIF(Stammdaten!$E$43:$E$74,$C52,Stammdaten!$F$43:$F$74)</f>
        <v>0</v>
      </c>
      <c r="I52" s="24">
        <f>SUMIF(Stammdaten!$E$79:$E$100,$C52,Stammdaten!$F$79:$F$100)</f>
        <v>0</v>
      </c>
      <c r="J52" s="24">
        <f t="shared" si="10"/>
        <v>0</v>
      </c>
      <c r="K52" s="25">
        <f t="shared" si="13"/>
        <v>151.34000000000003</v>
      </c>
      <c r="L52" s="24">
        <f t="shared" si="11"/>
        <v>0</v>
      </c>
      <c r="M52" s="33">
        <f t="shared" si="12"/>
        <v>0</v>
      </c>
    </row>
    <row r="53" spans="2:13" ht="19.5" customHeight="1" x14ac:dyDescent="0.25">
      <c r="B53" s="66" t="s">
        <v>128</v>
      </c>
      <c r="C53" s="66"/>
      <c r="D53" s="26">
        <f>SUM($D$41:$D$52)</f>
        <v>2004</v>
      </c>
      <c r="E53" s="28">
        <f>SUM($E$41:$E$52)</f>
        <v>1032.2</v>
      </c>
      <c r="F53" s="28">
        <f>SUM($F$41:$F$52)</f>
        <v>341.77000000000004</v>
      </c>
      <c r="G53" s="28">
        <f>SUM($G$41:$G$52)</f>
        <v>690.43</v>
      </c>
      <c r="H53" s="28">
        <f>SUM($H$41:$H$52)</f>
        <v>1005</v>
      </c>
      <c r="I53" s="28">
        <f>SUM($I$41:$I$52)</f>
        <v>853.65999999999985</v>
      </c>
      <c r="J53" s="28">
        <f>SUM($J$41:$J$52)</f>
        <v>151.34000000000003</v>
      </c>
      <c r="K53" s="28">
        <f>$K$52</f>
        <v>151.34000000000003</v>
      </c>
      <c r="L53" s="28">
        <f>IFERROR($E$53/$D$53,0)</f>
        <v>0.51506986027944113</v>
      </c>
      <c r="M53" s="27"/>
    </row>
    <row r="55" spans="2:13" ht="19.5" customHeight="1" x14ac:dyDescent="0.25">
      <c r="B55" s="16" t="s">
        <v>129</v>
      </c>
      <c r="C55" s="10" t="s">
        <v>130</v>
      </c>
      <c r="D55" s="10"/>
      <c r="E55" s="10"/>
      <c r="F55" s="10"/>
      <c r="G55" s="10"/>
      <c r="H55" s="10"/>
      <c r="I55" s="10"/>
      <c r="J55" s="9" t="s">
        <v>131</v>
      </c>
      <c r="K55" s="9"/>
      <c r="L55" s="9"/>
      <c r="M55" s="9"/>
    </row>
    <row r="56" spans="2:13" x14ac:dyDescent="0.25">
      <c r="B56" s="77" t="s">
        <v>132</v>
      </c>
      <c r="C56" s="77"/>
      <c r="D56" s="77"/>
      <c r="E56" s="37">
        <f>Stammdaten!$G$9</f>
        <v>0</v>
      </c>
      <c r="G56" s="77" t="s">
        <v>133</v>
      </c>
      <c r="H56" s="77"/>
      <c r="I56" s="77"/>
      <c r="J56" s="77"/>
      <c r="K56" s="77"/>
      <c r="L56" s="78">
        <f>SUMPRODUCT(($J$13:$J$20&lt;-0.5)*1)</f>
        <v>3</v>
      </c>
      <c r="M56" s="78"/>
    </row>
    <row r="57" spans="2:13" x14ac:dyDescent="0.25">
      <c r="B57" s="77" t="s">
        <v>134</v>
      </c>
      <c r="C57" s="77"/>
      <c r="D57" s="77"/>
      <c r="E57" s="37">
        <f>Stammdaten!$F$75</f>
        <v>1005</v>
      </c>
      <c r="G57" s="77" t="s">
        <v>135</v>
      </c>
      <c r="H57" s="77"/>
      <c r="I57" s="77"/>
      <c r="J57" s="77"/>
      <c r="K57" s="77"/>
      <c r="L57" s="79">
        <f>-SUMIF($J$13:$J$20,"&lt;0")</f>
        <v>37.600000000000023</v>
      </c>
      <c r="M57" s="79"/>
    </row>
    <row r="58" spans="2:13" x14ac:dyDescent="0.25">
      <c r="B58" s="77" t="s">
        <v>136</v>
      </c>
      <c r="C58" s="77"/>
      <c r="D58" s="77"/>
      <c r="E58" s="37">
        <f>-Stammdaten!$F$101</f>
        <v>-853.6600000000002</v>
      </c>
      <c r="G58" s="77" t="s">
        <v>137</v>
      </c>
      <c r="H58" s="77"/>
      <c r="I58" s="77"/>
      <c r="J58" s="77"/>
      <c r="K58" s="77"/>
      <c r="L58" s="79">
        <f>SUMIF($J$13:$J$20,"&gt;0")</f>
        <v>10.399999999999991</v>
      </c>
      <c r="M58" s="79"/>
    </row>
    <row r="59" spans="2:13" x14ac:dyDescent="0.25">
      <c r="B59" s="80" t="s">
        <v>138</v>
      </c>
      <c r="C59" s="80"/>
      <c r="D59" s="80"/>
      <c r="E59" s="38">
        <f>Stammdaten!$G$9+Stammdaten!$F$75-Stammdaten!$F$101</f>
        <v>151.3399999999998</v>
      </c>
      <c r="G59" s="77" t="s">
        <v>139</v>
      </c>
      <c r="H59" s="77"/>
      <c r="I59" s="77"/>
      <c r="J59" s="77"/>
      <c r="K59" s="77"/>
      <c r="L59" s="79">
        <f>-MIN($J$13:$J$20,0)</f>
        <v>16.700000000000017</v>
      </c>
      <c r="M59" s="79"/>
    </row>
    <row r="60" spans="2:13" x14ac:dyDescent="0.25">
      <c r="B60" s="77" t="s">
        <v>140</v>
      </c>
      <c r="C60" s="77"/>
      <c r="D60" s="77"/>
      <c r="E60" s="39">
        <v>293.14999999999998</v>
      </c>
      <c r="G60" s="77" t="s">
        <v>141</v>
      </c>
      <c r="H60" s="77"/>
      <c r="I60" s="77"/>
      <c r="J60" s="77"/>
      <c r="K60" s="77"/>
      <c r="L60" s="81">
        <f>IFERROR($I$21/$H$21,0)</f>
        <v>0.9736485177291222</v>
      </c>
      <c r="M60" s="81"/>
    </row>
    <row r="61" spans="2:13" x14ac:dyDescent="0.25">
      <c r="B61" s="82" t="s">
        <v>142</v>
      </c>
      <c r="C61" s="82"/>
      <c r="D61" s="82"/>
      <c r="E61" s="40">
        <f>$E60-$E59</f>
        <v>141.81000000000017</v>
      </c>
      <c r="G61" s="77" t="s">
        <v>143</v>
      </c>
      <c r="H61" s="77"/>
      <c r="I61" s="77"/>
      <c r="J61" s="77"/>
      <c r="K61" s="77"/>
      <c r="L61" s="79">
        <f>IFERROR($M$21/MAX(1,COUNT($B$13:$B$20)),0)</f>
        <v>21.50416666666667</v>
      </c>
      <c r="M61" s="79"/>
    </row>
    <row r="64" spans="2:13" ht="19.5" customHeight="1" x14ac:dyDescent="0.25">
      <c r="B64" s="16" t="s">
        <v>144</v>
      </c>
      <c r="C64" s="10" t="s">
        <v>145</v>
      </c>
      <c r="D64" s="10"/>
      <c r="E64" s="10"/>
      <c r="F64" s="10"/>
      <c r="G64" s="10"/>
      <c r="H64" s="10"/>
      <c r="I64" s="10"/>
      <c r="J64" s="9" t="s">
        <v>146</v>
      </c>
      <c r="K64" s="9"/>
      <c r="L64" s="9"/>
      <c r="M64" s="9"/>
    </row>
    <row r="65" spans="2:13" ht="21.75" customHeight="1" x14ac:dyDescent="0.25">
      <c r="B65" s="83" t="s">
        <v>147</v>
      </c>
      <c r="C65" s="83"/>
      <c r="D65" s="83"/>
      <c r="E65" s="83"/>
      <c r="F65" s="41" t="str">
        <f>IF($E$59&gt;=0,"OK","PRÜFEN")</f>
        <v>OK</v>
      </c>
      <c r="G65" s="84" t="str">
        <f>IF($E$59&gt;=0,"Der rechnerische Bestand deckt alle Ausgaben.","Die Kasse ist rechnerisch überzogen — Einzahlungen anfordern.")</f>
        <v>Der rechnerische Bestand deckt alle Ausgaben.</v>
      </c>
      <c r="H65" s="84"/>
      <c r="I65" s="84"/>
      <c r="J65" s="84"/>
      <c r="K65" s="84"/>
      <c r="L65" s="84"/>
      <c r="M65" s="84"/>
    </row>
    <row r="66" spans="2:13" ht="21.75" customHeight="1" x14ac:dyDescent="0.25">
      <c r="B66" s="83" t="s">
        <v>148</v>
      </c>
      <c r="C66" s="83"/>
      <c r="D66" s="83"/>
      <c r="E66" s="83"/>
      <c r="F66" s="41" t="str">
        <f>IF(ABS($E$61)&lt;=1,"OK","PRÜFEN")</f>
        <v>PRÜFEN</v>
      </c>
      <c r="G66" s="84" t="str">
        <f>IF(ABS($E$61)&lt;=1,"Gezählter und rechnerischer Bestand stimmen überein.","Bestand nachzählen und Buchungen abgleichen.")</f>
        <v>Bestand nachzählen und Buchungen abgleichen.</v>
      </c>
      <c r="H66" s="84"/>
      <c r="I66" s="84"/>
      <c r="J66" s="84"/>
      <c r="K66" s="84"/>
      <c r="L66" s="84"/>
      <c r="M66" s="84"/>
    </row>
    <row r="67" spans="2:13" ht="21.75" customHeight="1" x14ac:dyDescent="0.25">
      <c r="B67" s="83" t="s">
        <v>149</v>
      </c>
      <c r="C67" s="83"/>
      <c r="D67" s="83"/>
      <c r="E67" s="83"/>
      <c r="F67" s="41" t="str">
        <f>IF(SUMPRODUCT((Kaffeeliste!$I$18:$I$87&lt;&gt;"")*(Kaffeeliste!$G$18:$G$87=""))+SUMPRODUCT((Kaffeeliste!$I$18:$I$87&lt;&gt;"")*(Kaffeeliste!$E$18:$E$87=""))=0,"OK","PRÜFEN")</f>
        <v>OK</v>
      </c>
      <c r="G67" s="84" t="str">
        <f>IF(SUMPRODUCT((Kaffeeliste!$I$18:$I$87&lt;&gt;"")*(Kaffeeliste!$G$18:$G$87=""))+SUMPRODUCT((Kaffeeliste!$I$18:$I$87&lt;&gt;"")*(Kaffeeliste!$E$18:$E$87=""))=0,"Alle Zeilen enthalten Teilnehmer und Getränk.","Es fehlen Angaben zu Teilnehmer oder Getränk.")</f>
        <v>Alle Zeilen enthalten Teilnehmer und Getränk.</v>
      </c>
      <c r="H67" s="84"/>
      <c r="I67" s="84"/>
      <c r="J67" s="84"/>
      <c r="K67" s="84"/>
      <c r="L67" s="84"/>
      <c r="M67" s="84"/>
    </row>
    <row r="68" spans="2:13" ht="21.75" customHeight="1" x14ac:dyDescent="0.25">
      <c r="B68" s="83" t="s">
        <v>150</v>
      </c>
      <c r="C68" s="83"/>
      <c r="D68" s="83"/>
      <c r="E68" s="83"/>
      <c r="F68" s="41" t="str">
        <f>IF(SUMPRODUCT(($J$13:$J$20&lt;-0.5)*1)=0,"OK","INFO")</f>
        <v>INFO</v>
      </c>
      <c r="G68" s="84" t="str">
        <f>IF(SUMPRODUCT(($J$13:$J$20&lt;-0.5)*1)=0,"Alle Teilnehmer sind ausgeglichen oder im Guthaben.",SUMPRODUCT(($J$13:$J$20&lt;-0.5)*1)&amp;" Teilnehmer sollten nachzahlen.")</f>
        <v>3 Teilnehmer sollten nachzahlen.</v>
      </c>
      <c r="H68" s="84"/>
      <c r="I68" s="84"/>
      <c r="J68" s="84"/>
      <c r="K68" s="84"/>
      <c r="L68" s="84"/>
      <c r="M68" s="84"/>
    </row>
    <row r="69" spans="2:13" ht="21.75" customHeight="1" x14ac:dyDescent="0.25">
      <c r="B69" s="83" t="s">
        <v>151</v>
      </c>
      <c r="C69" s="83"/>
      <c r="D69" s="83"/>
      <c r="E69" s="83"/>
      <c r="F69" s="41" t="str">
        <f>IF($K$36&gt;=Stammdaten!$G$10,"OK","PRÜFEN")</f>
        <v>OK</v>
      </c>
      <c r="G69" s="84" t="str">
        <f>IF($K$36&gt;=Stammdaten!$G$10,"Die Preise decken den Wareneinsatz wie geplant.","Preisliste überprüfen — die Zielquote wird nicht erreicht.")</f>
        <v>Die Preise decken den Wareneinsatz wie geplant.</v>
      </c>
      <c r="H69" s="84"/>
      <c r="I69" s="84"/>
      <c r="J69" s="84"/>
      <c r="K69" s="84"/>
      <c r="L69" s="84"/>
      <c r="M69" s="84"/>
    </row>
    <row r="70" spans="2:13" ht="21.75" customHeight="1" x14ac:dyDescent="0.25">
      <c r="B70" s="83" t="s">
        <v>152</v>
      </c>
      <c r="C70" s="83"/>
      <c r="D70" s="83"/>
      <c r="E70" s="83"/>
      <c r="F70" s="41" t="str">
        <f>IF(SUMPRODUCT((Stammdaten!$C$27:$C$38&lt;&gt;"")*(Stammdaten!$E$27:$E$38=""))=0,"OK","PRÜFEN")</f>
        <v>OK</v>
      </c>
      <c r="G70" s="84" t="str">
        <f>IF(SUMPRODUCT((Stammdaten!$C$27:$C$38&lt;&gt;"")*(Stammdaten!$E$27:$E$38=""))=0,"Für jedes Getränk ist ein Preis hinterlegt.","Mindestens ein Getränk hat keinen Verkaufspreis.")</f>
        <v>Für jedes Getränk ist ein Preis hinterlegt.</v>
      </c>
      <c r="H70" s="84"/>
      <c r="I70" s="84"/>
      <c r="J70" s="84"/>
      <c r="K70" s="84"/>
      <c r="L70" s="84"/>
      <c r="M70" s="84"/>
    </row>
    <row r="72" spans="2:13" ht="19.5" customHeight="1" x14ac:dyDescent="0.25">
      <c r="B72" s="16" t="s">
        <v>153</v>
      </c>
      <c r="C72" s="10" t="s">
        <v>154</v>
      </c>
      <c r="D72" s="10"/>
      <c r="E72" s="10"/>
      <c r="F72" s="10"/>
      <c r="G72" s="10"/>
      <c r="H72" s="10"/>
      <c r="I72" s="10"/>
      <c r="J72" s="9" t="s">
        <v>155</v>
      </c>
      <c r="K72" s="9"/>
      <c r="L72" s="9"/>
      <c r="M72" s="9"/>
    </row>
  </sheetData>
  <mergeCells count="91">
    <mergeCell ref="C72:I72"/>
    <mergeCell ref="J72:M72"/>
    <mergeCell ref="B68:E68"/>
    <mergeCell ref="G68:M68"/>
    <mergeCell ref="B69:E69"/>
    <mergeCell ref="G69:M69"/>
    <mergeCell ref="B70:E70"/>
    <mergeCell ref="G70:M70"/>
    <mergeCell ref="B65:E65"/>
    <mergeCell ref="G65:M65"/>
    <mergeCell ref="B66:E66"/>
    <mergeCell ref="G66:M66"/>
    <mergeCell ref="B67:E67"/>
    <mergeCell ref="G67:M67"/>
    <mergeCell ref="B61:D61"/>
    <mergeCell ref="G61:K61"/>
    <mergeCell ref="L61:M61"/>
    <mergeCell ref="C64:I64"/>
    <mergeCell ref="J64:M64"/>
    <mergeCell ref="B59:D59"/>
    <mergeCell ref="G59:K59"/>
    <mergeCell ref="L59:M59"/>
    <mergeCell ref="B60:D60"/>
    <mergeCell ref="G60:K60"/>
    <mergeCell ref="L60:M60"/>
    <mergeCell ref="B57:D57"/>
    <mergeCell ref="G57:K57"/>
    <mergeCell ref="L57:M57"/>
    <mergeCell ref="B58:D58"/>
    <mergeCell ref="G58:K58"/>
    <mergeCell ref="L58:M58"/>
    <mergeCell ref="B53:C53"/>
    <mergeCell ref="C55:I55"/>
    <mergeCell ref="J55:M55"/>
    <mergeCell ref="B56:D56"/>
    <mergeCell ref="G56:K56"/>
    <mergeCell ref="L56:M56"/>
    <mergeCell ref="L35:M35"/>
    <mergeCell ref="B36:D36"/>
    <mergeCell ref="L36:M36"/>
    <mergeCell ref="C39:I39"/>
    <mergeCell ref="J39:M39"/>
    <mergeCell ref="L30:M30"/>
    <mergeCell ref="L31:M31"/>
    <mergeCell ref="L32:M32"/>
    <mergeCell ref="L33:M33"/>
    <mergeCell ref="L34:M34"/>
    <mergeCell ref="L25:M25"/>
    <mergeCell ref="L26:M26"/>
    <mergeCell ref="L27:M27"/>
    <mergeCell ref="L28:M28"/>
    <mergeCell ref="L29:M29"/>
    <mergeCell ref="K19:L19"/>
    <mergeCell ref="K20:L20"/>
    <mergeCell ref="B21:D21"/>
    <mergeCell ref="K21:L21"/>
    <mergeCell ref="C24:I24"/>
    <mergeCell ref="J24:M24"/>
    <mergeCell ref="K14:L14"/>
    <mergeCell ref="K15:L15"/>
    <mergeCell ref="K16:L16"/>
    <mergeCell ref="K17:L17"/>
    <mergeCell ref="K18:L18"/>
    <mergeCell ref="L9:M9"/>
    <mergeCell ref="C11:I11"/>
    <mergeCell ref="J11:M11"/>
    <mergeCell ref="K12:L12"/>
    <mergeCell ref="K13:L13"/>
    <mergeCell ref="B9:C9"/>
    <mergeCell ref="D9:E9"/>
    <mergeCell ref="F9:G9"/>
    <mergeCell ref="H9:I9"/>
    <mergeCell ref="J9:K9"/>
    <mergeCell ref="L7:M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B2:H2"/>
    <mergeCell ref="I2:M2"/>
    <mergeCell ref="B3:H3"/>
    <mergeCell ref="I3:M3"/>
    <mergeCell ref="C6:I6"/>
    <mergeCell ref="J6:M6"/>
  </mergeCells>
  <conditionalFormatting sqref="E13:E20">
    <cfRule type="dataBar" priority="6">
      <dataBar>
        <cfvo type="num" val="0"/>
        <cfvo type="max"/>
        <color rgb="FF7C97AC"/>
      </dataBar>
      <extLst>
        <ext xmlns:x14="http://schemas.microsoft.com/office/spreadsheetml/2009/9/main" uri="{B025F937-C7B1-47D3-B67F-A62EFF666E3E}">
          <x14:id>{F010CF1A-C8E2-48C0-BFC9-62803746A766}</x14:id>
        </ext>
      </extLst>
    </cfRule>
  </conditionalFormatting>
  <conditionalFormatting sqref="E26:E35">
    <cfRule type="dataBar" priority="9">
      <dataBar>
        <cfvo type="num" val="0"/>
        <cfvo type="max"/>
        <color rgb="FFE7B85C"/>
      </dataBar>
      <extLst>
        <ext xmlns:x14="http://schemas.microsoft.com/office/spreadsheetml/2009/9/main" uri="{B025F937-C7B1-47D3-B67F-A62EFF666E3E}">
          <x14:id>{89102C89-1074-4F72-AEDB-99ED57A6BB6D}</x14:id>
        </ext>
      </extLst>
    </cfRule>
  </conditionalFormatting>
  <conditionalFormatting sqref="F65:F70">
    <cfRule type="cellIs" dxfId="9" priority="12" operator="equal">
      <formula>"OK"</formula>
    </cfRule>
    <cfRule type="cellIs" dxfId="8" priority="13" operator="equal">
      <formula>"PRÜFEN"</formula>
    </cfRule>
    <cfRule type="cellIs" dxfId="7" priority="14" operator="equal">
      <formula>"INFO"</formula>
    </cfRule>
  </conditionalFormatting>
  <conditionalFormatting sqref="J13:J20">
    <cfRule type="cellIs" dxfId="6" priority="2" operator="lessThan">
      <formula>-0.5</formula>
    </cfRule>
    <cfRule type="cellIs" dxfId="5" priority="3" operator="greaterThan">
      <formula>0.5</formula>
    </cfRule>
  </conditionalFormatting>
  <conditionalFormatting sqref="K41:K52">
    <cfRule type="cellIs" dxfId="4" priority="10" operator="lessThan">
      <formula>0</formula>
    </cfRule>
  </conditionalFormatting>
  <conditionalFormatting sqref="K13:L20">
    <cfRule type="cellIs" dxfId="3" priority="4" operator="equal">
      <formula>"Offener Betrag"</formula>
    </cfRule>
    <cfRule type="cellIs" dxfId="2" priority="5" operator="equal">
      <formula>"Guthaben"</formula>
    </cfRule>
  </conditionalFormatting>
  <conditionalFormatting sqref="L26:M35">
    <cfRule type="cellIs" dxfId="1" priority="7" operator="equal">
      <formula>"Ziel erreicht"</formula>
    </cfRule>
    <cfRule type="cellIs" dxfId="0" priority="8" operator="equal">
      <formula>"unter Ziel"</formula>
    </cfRule>
  </conditionalFormatting>
  <conditionalFormatting sqref="M41:M52">
    <cfRule type="dataBar" priority="11">
      <dataBar>
        <cfvo type="num" val="0"/>
        <cfvo type="num" val="1"/>
        <color rgb="FF7C97AC"/>
      </dataBar>
      <extLst>
        <ext xmlns:x14="http://schemas.microsoft.com/office/spreadsheetml/2009/9/main" uri="{B025F937-C7B1-47D3-B67F-A62EFF666E3E}">
          <x14:id>{FDD8892C-CC45-445D-9E99-E24B4415A5B5}</x14:id>
        </ext>
      </extLst>
    </cfRule>
  </conditionalFormatting>
  <printOptions horizontalCentered="1"/>
  <pageMargins left="0.4" right="0.4" top="0.5" bottom="0.5" header="0.511811023622047" footer="0.511811023622047"/>
  <pageSetup paperSize="9" fitToHeight="4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010CF1A-C8E2-48C0-BFC9-62803746A766}">
            <x14:dataBar axisPosition="none">
              <x14:cfvo type="num">
                <xm:f>0</xm:f>
              </x14:cfvo>
              <x14:cfvo type="max"/>
              <x14:negativeFillColor rgb="FF7C97AC"/>
            </x14:dataBar>
          </x14:cfRule>
          <xm:sqref>E13:E20</xm:sqref>
        </x14:conditionalFormatting>
        <x14:conditionalFormatting xmlns:xm="http://schemas.microsoft.com/office/excel/2006/main">
          <x14:cfRule type="dataBar" id="{89102C89-1074-4F72-AEDB-99ED57A6BB6D}">
            <x14:dataBar axisPosition="none">
              <x14:cfvo type="num">
                <xm:f>0</xm:f>
              </x14:cfvo>
              <x14:cfvo type="max"/>
              <x14:negativeFillColor rgb="FFE7B85C"/>
            </x14:dataBar>
          </x14:cfRule>
          <xm:sqref>E26:E35</xm:sqref>
        </x14:conditionalFormatting>
        <x14:conditionalFormatting xmlns:xm="http://schemas.microsoft.com/office/excel/2006/main">
          <x14:cfRule type="dataBar" id="{FDD8892C-CC45-445D-9E99-E24B4415A5B5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7C97AC"/>
            </x14:dataBar>
          </x14:cfRule>
          <xm:sqref>M41:M52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114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11.42578125" customWidth="1"/>
    <col min="3" max="3" width="21" customWidth="1"/>
    <col min="4" max="4" width="16.42578125" customWidth="1"/>
    <col min="5" max="6" width="14.5703125" customWidth="1"/>
    <col min="7" max="9" width="13.42578125" customWidth="1"/>
    <col min="10" max="10" width="3" customWidth="1"/>
  </cols>
  <sheetData>
    <row r="2" spans="2:9" ht="30" customHeight="1" x14ac:dyDescent="0.25">
      <c r="B2" s="14" t="s">
        <v>156</v>
      </c>
      <c r="C2" s="14"/>
      <c r="D2" s="14"/>
      <c r="E2" s="14"/>
      <c r="F2" s="14"/>
      <c r="G2" s="13" t="s">
        <v>0</v>
      </c>
      <c r="H2" s="13"/>
      <c r="I2" s="13"/>
    </row>
    <row r="3" spans="2:9" ht="16.5" customHeight="1" x14ac:dyDescent="0.25">
      <c r="B3" s="12" t="s">
        <v>157</v>
      </c>
      <c r="C3" s="12"/>
      <c r="D3" s="12"/>
      <c r="E3" s="12"/>
      <c r="F3" s="12"/>
      <c r="G3" s="11" t="s">
        <v>158</v>
      </c>
      <c r="H3" s="11"/>
      <c r="I3" s="11"/>
    </row>
    <row r="4" spans="2:9" ht="3.75" customHeight="1" x14ac:dyDescent="0.25">
      <c r="B4" s="15"/>
      <c r="C4" s="15"/>
      <c r="D4" s="15"/>
      <c r="E4" s="15"/>
      <c r="F4" s="15"/>
      <c r="G4" s="15"/>
      <c r="H4" s="15"/>
      <c r="I4" s="15"/>
    </row>
    <row r="6" spans="2:9" ht="19.5" customHeight="1" x14ac:dyDescent="0.25">
      <c r="B6" s="16" t="s">
        <v>3</v>
      </c>
      <c r="C6" s="10" t="s">
        <v>159</v>
      </c>
      <c r="D6" s="10"/>
      <c r="E6" s="10"/>
      <c r="F6" s="10"/>
      <c r="G6" s="9" t="s">
        <v>160</v>
      </c>
      <c r="H6" s="9"/>
      <c r="I6" s="9"/>
    </row>
    <row r="7" spans="2:9" x14ac:dyDescent="0.25">
      <c r="B7" s="8" t="s">
        <v>6</v>
      </c>
      <c r="C7" s="8"/>
      <c r="D7" s="5" t="s">
        <v>0</v>
      </c>
      <c r="E7" s="5"/>
      <c r="F7" s="8" t="s">
        <v>7</v>
      </c>
      <c r="G7" s="8"/>
      <c r="H7" s="5" t="s">
        <v>161</v>
      </c>
      <c r="I7" s="5"/>
    </row>
    <row r="8" spans="2:9" x14ac:dyDescent="0.25">
      <c r="B8" s="8" t="s">
        <v>162</v>
      </c>
      <c r="C8" s="8"/>
      <c r="D8" s="5" t="s">
        <v>163</v>
      </c>
      <c r="E8" s="5"/>
      <c r="F8" s="8" t="s">
        <v>8</v>
      </c>
      <c r="G8" s="8"/>
      <c r="H8" s="5" t="s">
        <v>164</v>
      </c>
      <c r="I8" s="5"/>
    </row>
    <row r="9" spans="2:9" x14ac:dyDescent="0.25">
      <c r="B9" s="8" t="s">
        <v>9</v>
      </c>
      <c r="C9" s="8"/>
      <c r="D9" s="85">
        <v>2026</v>
      </c>
      <c r="E9" s="85"/>
      <c r="F9" s="8" t="s">
        <v>165</v>
      </c>
      <c r="G9" s="8"/>
      <c r="H9" s="86">
        <v>142.5</v>
      </c>
      <c r="I9" s="86"/>
    </row>
    <row r="10" spans="2:9" x14ac:dyDescent="0.25">
      <c r="B10" s="8" t="s">
        <v>166</v>
      </c>
      <c r="C10" s="8"/>
      <c r="D10" s="4">
        <v>46023</v>
      </c>
      <c r="E10" s="4"/>
      <c r="F10" s="8" t="s">
        <v>151</v>
      </c>
      <c r="G10" s="8"/>
      <c r="H10" s="87">
        <v>0.62</v>
      </c>
      <c r="I10" s="87"/>
    </row>
    <row r="12" spans="2:9" ht="19.5" customHeight="1" x14ac:dyDescent="0.25">
      <c r="B12" s="16" t="s">
        <v>13</v>
      </c>
      <c r="C12" s="10" t="s">
        <v>167</v>
      </c>
      <c r="D12" s="10"/>
      <c r="E12" s="10"/>
      <c r="F12" s="10"/>
      <c r="G12" s="9" t="s">
        <v>168</v>
      </c>
      <c r="H12" s="9"/>
      <c r="I12" s="9"/>
    </row>
    <row r="13" spans="2:9" ht="27.75" customHeight="1" x14ac:dyDescent="0.25">
      <c r="B13" s="17" t="s">
        <v>29</v>
      </c>
      <c r="C13" s="17" t="s">
        <v>90</v>
      </c>
      <c r="D13" s="17" t="s">
        <v>33</v>
      </c>
      <c r="E13" s="17" t="s">
        <v>169</v>
      </c>
      <c r="F13" s="17" t="s">
        <v>170</v>
      </c>
      <c r="G13" s="17" t="s">
        <v>97</v>
      </c>
    </row>
    <row r="14" spans="2:9" x14ac:dyDescent="0.25">
      <c r="B14" s="18">
        <f t="shared" ref="B14:B23" si="0">IF($C14="","",ROW()-13)</f>
        <v>1</v>
      </c>
      <c r="C14" s="21" t="s">
        <v>42</v>
      </c>
      <c r="D14" s="21" t="s">
        <v>171</v>
      </c>
      <c r="E14" s="19">
        <v>44270</v>
      </c>
      <c r="F14" s="42" t="s">
        <v>172</v>
      </c>
      <c r="G14" s="42" t="s">
        <v>173</v>
      </c>
    </row>
    <row r="15" spans="2:9" x14ac:dyDescent="0.25">
      <c r="B15" s="18">
        <f t="shared" si="0"/>
        <v>2</v>
      </c>
      <c r="C15" s="21" t="s">
        <v>51</v>
      </c>
      <c r="D15" s="21" t="s">
        <v>174</v>
      </c>
      <c r="E15" s="19">
        <v>43678</v>
      </c>
      <c r="F15" s="42" t="s">
        <v>175</v>
      </c>
      <c r="G15" s="42" t="s">
        <v>173</v>
      </c>
    </row>
    <row r="16" spans="2:9" x14ac:dyDescent="0.25">
      <c r="B16" s="18">
        <f t="shared" si="0"/>
        <v>3</v>
      </c>
      <c r="C16" s="21" t="s">
        <v>49</v>
      </c>
      <c r="D16" s="21" t="s">
        <v>176</v>
      </c>
      <c r="E16" s="19">
        <v>44938</v>
      </c>
      <c r="F16" s="42" t="s">
        <v>172</v>
      </c>
      <c r="G16" s="42" t="s">
        <v>173</v>
      </c>
    </row>
    <row r="17" spans="2:9" x14ac:dyDescent="0.25">
      <c r="B17" s="18">
        <f t="shared" si="0"/>
        <v>4</v>
      </c>
      <c r="C17" s="21" t="s">
        <v>56</v>
      </c>
      <c r="D17" s="21" t="s">
        <v>177</v>
      </c>
      <c r="E17" s="19">
        <v>43983</v>
      </c>
      <c r="F17" s="42" t="s">
        <v>175</v>
      </c>
      <c r="G17" s="42" t="s">
        <v>173</v>
      </c>
    </row>
    <row r="18" spans="2:9" x14ac:dyDescent="0.25">
      <c r="B18" s="18">
        <f t="shared" si="0"/>
        <v>5</v>
      </c>
      <c r="C18" s="21" t="s">
        <v>55</v>
      </c>
      <c r="D18" s="21" t="s">
        <v>178</v>
      </c>
      <c r="E18" s="19">
        <v>43352</v>
      </c>
      <c r="F18" s="42" t="s">
        <v>172</v>
      </c>
      <c r="G18" s="42" t="s">
        <v>173</v>
      </c>
    </row>
    <row r="19" spans="2:9" x14ac:dyDescent="0.25">
      <c r="B19" s="18">
        <f t="shared" si="0"/>
        <v>6</v>
      </c>
      <c r="C19" s="21" t="s">
        <v>47</v>
      </c>
      <c r="D19" s="21" t="s">
        <v>174</v>
      </c>
      <c r="E19" s="19">
        <v>45415</v>
      </c>
      <c r="F19" s="42" t="s">
        <v>175</v>
      </c>
      <c r="G19" s="42" t="s">
        <v>173</v>
      </c>
    </row>
    <row r="20" spans="2:9" x14ac:dyDescent="0.25">
      <c r="B20" s="18">
        <f t="shared" si="0"/>
        <v>7</v>
      </c>
      <c r="C20" s="21" t="s">
        <v>53</v>
      </c>
      <c r="D20" s="21" t="s">
        <v>179</v>
      </c>
      <c r="E20" s="19">
        <v>44613</v>
      </c>
      <c r="F20" s="42" t="s">
        <v>172</v>
      </c>
      <c r="G20" s="42" t="s">
        <v>173</v>
      </c>
    </row>
    <row r="21" spans="2:9" x14ac:dyDescent="0.25">
      <c r="B21" s="18">
        <f t="shared" si="0"/>
        <v>8</v>
      </c>
      <c r="C21" s="21" t="s">
        <v>45</v>
      </c>
      <c r="D21" s="21" t="s">
        <v>177</v>
      </c>
      <c r="E21" s="19">
        <v>45931</v>
      </c>
      <c r="F21" s="42" t="s">
        <v>175</v>
      </c>
      <c r="G21" s="42" t="s">
        <v>173</v>
      </c>
    </row>
    <row r="22" spans="2:9" x14ac:dyDescent="0.25">
      <c r="B22" s="18" t="str">
        <f t="shared" si="0"/>
        <v/>
      </c>
      <c r="C22" s="21"/>
      <c r="D22" s="21"/>
      <c r="E22" s="19"/>
      <c r="F22" s="42"/>
      <c r="G22" s="42"/>
    </row>
    <row r="23" spans="2:9" x14ac:dyDescent="0.25">
      <c r="B23" s="18" t="str">
        <f t="shared" si="0"/>
        <v/>
      </c>
      <c r="C23" s="21"/>
      <c r="D23" s="21"/>
      <c r="E23" s="19"/>
      <c r="F23" s="42"/>
      <c r="G23" s="42"/>
    </row>
    <row r="25" spans="2:9" ht="19.5" customHeight="1" x14ac:dyDescent="0.25">
      <c r="B25" s="16" t="s">
        <v>26</v>
      </c>
      <c r="C25" s="10" t="s">
        <v>180</v>
      </c>
      <c r="D25" s="10"/>
      <c r="E25" s="10"/>
      <c r="F25" s="10"/>
      <c r="G25" s="9" t="s">
        <v>181</v>
      </c>
      <c r="H25" s="9"/>
      <c r="I25" s="9"/>
    </row>
    <row r="26" spans="2:9" ht="27.75" customHeight="1" x14ac:dyDescent="0.25">
      <c r="B26" s="17" t="s">
        <v>29</v>
      </c>
      <c r="C26" s="17" t="s">
        <v>34</v>
      </c>
      <c r="D26" s="17" t="s">
        <v>35</v>
      </c>
      <c r="E26" s="17" t="s">
        <v>182</v>
      </c>
      <c r="F26" s="17" t="s">
        <v>104</v>
      </c>
      <c r="G26" s="17" t="s">
        <v>40</v>
      </c>
      <c r="H26" s="17" t="s">
        <v>105</v>
      </c>
    </row>
    <row r="27" spans="2:9" x14ac:dyDescent="0.25">
      <c r="B27" s="18">
        <f t="shared" ref="B27:B38" si="1">IF($C27="","",ROW()-26)</f>
        <v>1</v>
      </c>
      <c r="C27" s="21" t="s">
        <v>52</v>
      </c>
      <c r="D27" s="21" t="s">
        <v>183</v>
      </c>
      <c r="E27" s="43">
        <v>0.4</v>
      </c>
      <c r="F27" s="43">
        <v>0.12</v>
      </c>
      <c r="G27" s="25">
        <f t="shared" ref="G27:G38" si="2">IF($C27="","",$E27-$F27)</f>
        <v>0.28000000000000003</v>
      </c>
      <c r="H27" s="44">
        <f t="shared" ref="H27:H38" si="3">IF(OR($C27="",$E27=0),"",$G27/$E27)</f>
        <v>0.70000000000000007</v>
      </c>
    </row>
    <row r="28" spans="2:9" x14ac:dyDescent="0.25">
      <c r="B28" s="18">
        <f t="shared" si="1"/>
        <v>2</v>
      </c>
      <c r="C28" s="21" t="s">
        <v>46</v>
      </c>
      <c r="D28" s="21" t="s">
        <v>183</v>
      </c>
      <c r="E28" s="43">
        <v>0.5</v>
      </c>
      <c r="F28" s="43">
        <v>0.15</v>
      </c>
      <c r="G28" s="25">
        <f t="shared" si="2"/>
        <v>0.35</v>
      </c>
      <c r="H28" s="44">
        <f t="shared" si="3"/>
        <v>0.7</v>
      </c>
    </row>
    <row r="29" spans="2:9" x14ac:dyDescent="0.25">
      <c r="B29" s="18">
        <f t="shared" si="1"/>
        <v>3</v>
      </c>
      <c r="C29" s="21" t="s">
        <v>71</v>
      </c>
      <c r="D29" s="21" t="s">
        <v>183</v>
      </c>
      <c r="E29" s="43">
        <v>0.6</v>
      </c>
      <c r="F29" s="43">
        <v>0.19</v>
      </c>
      <c r="G29" s="25">
        <f t="shared" si="2"/>
        <v>0.41</v>
      </c>
      <c r="H29" s="44">
        <f t="shared" si="3"/>
        <v>0.68333333333333335</v>
      </c>
    </row>
    <row r="30" spans="2:9" x14ac:dyDescent="0.25">
      <c r="B30" s="18">
        <f t="shared" si="1"/>
        <v>4</v>
      </c>
      <c r="C30" s="21" t="s">
        <v>43</v>
      </c>
      <c r="D30" s="21" t="s">
        <v>184</v>
      </c>
      <c r="E30" s="43">
        <v>0.7</v>
      </c>
      <c r="F30" s="43">
        <v>0.26</v>
      </c>
      <c r="G30" s="25">
        <f t="shared" si="2"/>
        <v>0.43999999999999995</v>
      </c>
      <c r="H30" s="44">
        <f t="shared" si="3"/>
        <v>0.62857142857142856</v>
      </c>
    </row>
    <row r="31" spans="2:9" x14ac:dyDescent="0.25">
      <c r="B31" s="18">
        <f t="shared" si="1"/>
        <v>5</v>
      </c>
      <c r="C31" s="21" t="s">
        <v>50</v>
      </c>
      <c r="D31" s="21" t="s">
        <v>184</v>
      </c>
      <c r="E31" s="43">
        <v>0.8</v>
      </c>
      <c r="F31" s="43">
        <v>0.31</v>
      </c>
      <c r="G31" s="25">
        <f t="shared" si="2"/>
        <v>0.49000000000000005</v>
      </c>
      <c r="H31" s="44">
        <f t="shared" si="3"/>
        <v>0.61250000000000004</v>
      </c>
    </row>
    <row r="32" spans="2:9" x14ac:dyDescent="0.25">
      <c r="B32" s="18">
        <f t="shared" si="1"/>
        <v>6</v>
      </c>
      <c r="C32" s="21" t="s">
        <v>48</v>
      </c>
      <c r="D32" s="21" t="s">
        <v>184</v>
      </c>
      <c r="E32" s="43">
        <v>0.7</v>
      </c>
      <c r="F32" s="43">
        <v>0.27</v>
      </c>
      <c r="G32" s="25">
        <f t="shared" si="2"/>
        <v>0.42999999999999994</v>
      </c>
      <c r="H32" s="44">
        <f t="shared" si="3"/>
        <v>0.61428571428571421</v>
      </c>
    </row>
    <row r="33" spans="2:9" x14ac:dyDescent="0.25">
      <c r="B33" s="18">
        <f t="shared" si="1"/>
        <v>7</v>
      </c>
      <c r="C33" s="21" t="s">
        <v>64</v>
      </c>
      <c r="D33" s="21" t="s">
        <v>184</v>
      </c>
      <c r="E33" s="43">
        <v>0.7</v>
      </c>
      <c r="F33" s="43">
        <v>0.28000000000000003</v>
      </c>
      <c r="G33" s="25">
        <f t="shared" si="2"/>
        <v>0.41999999999999993</v>
      </c>
      <c r="H33" s="44">
        <f t="shared" si="3"/>
        <v>0.6</v>
      </c>
    </row>
    <row r="34" spans="2:9" x14ac:dyDescent="0.25">
      <c r="B34" s="18">
        <f t="shared" si="1"/>
        <v>8</v>
      </c>
      <c r="C34" s="21" t="s">
        <v>58</v>
      </c>
      <c r="D34" s="21" t="s">
        <v>185</v>
      </c>
      <c r="E34" s="43">
        <v>0.6</v>
      </c>
      <c r="F34" s="43">
        <v>0.24</v>
      </c>
      <c r="G34" s="25">
        <f t="shared" si="2"/>
        <v>0.36</v>
      </c>
      <c r="H34" s="44">
        <f t="shared" si="3"/>
        <v>0.6</v>
      </c>
    </row>
    <row r="35" spans="2:9" x14ac:dyDescent="0.25">
      <c r="B35" s="18">
        <f t="shared" si="1"/>
        <v>9</v>
      </c>
      <c r="C35" s="21" t="s">
        <v>54</v>
      </c>
      <c r="D35" s="21" t="s">
        <v>185</v>
      </c>
      <c r="E35" s="43">
        <v>0.3</v>
      </c>
      <c r="F35" s="43">
        <v>0.08</v>
      </c>
      <c r="G35" s="25">
        <f t="shared" si="2"/>
        <v>0.21999999999999997</v>
      </c>
      <c r="H35" s="44">
        <f t="shared" si="3"/>
        <v>0.73333333333333328</v>
      </c>
    </row>
    <row r="36" spans="2:9" x14ac:dyDescent="0.25">
      <c r="B36" s="18">
        <f t="shared" si="1"/>
        <v>10</v>
      </c>
      <c r="C36" s="21" t="s">
        <v>67</v>
      </c>
      <c r="D36" s="21" t="s">
        <v>186</v>
      </c>
      <c r="E36" s="43">
        <v>0.5</v>
      </c>
      <c r="F36" s="43">
        <v>0.22</v>
      </c>
      <c r="G36" s="25">
        <f t="shared" si="2"/>
        <v>0.28000000000000003</v>
      </c>
      <c r="H36" s="44">
        <f t="shared" si="3"/>
        <v>0.56000000000000005</v>
      </c>
    </row>
    <row r="37" spans="2:9" x14ac:dyDescent="0.25">
      <c r="B37" s="18" t="str">
        <f t="shared" si="1"/>
        <v/>
      </c>
      <c r="C37" s="21"/>
      <c r="D37" s="21"/>
      <c r="E37" s="43"/>
      <c r="F37" s="43"/>
      <c r="G37" s="25" t="str">
        <f t="shared" si="2"/>
        <v/>
      </c>
      <c r="H37" s="44" t="str">
        <f t="shared" si="3"/>
        <v/>
      </c>
    </row>
    <row r="38" spans="2:9" x14ac:dyDescent="0.25">
      <c r="B38" s="18" t="str">
        <f t="shared" si="1"/>
        <v/>
      </c>
      <c r="C38" s="21"/>
      <c r="D38" s="21"/>
      <c r="E38" s="43"/>
      <c r="F38" s="43"/>
      <c r="G38" s="25" t="str">
        <f t="shared" si="2"/>
        <v/>
      </c>
      <c r="H38" s="44" t="str">
        <f t="shared" si="3"/>
        <v/>
      </c>
    </row>
    <row r="39" spans="2:9" x14ac:dyDescent="0.25">
      <c r="B39" s="88" t="s">
        <v>187</v>
      </c>
      <c r="C39" s="88"/>
      <c r="D39" s="88"/>
      <c r="E39" s="45">
        <f>IFERROR(AVERAGE($E$27:$E$38),0)</f>
        <v>0.57999999999999996</v>
      </c>
      <c r="F39" s="45">
        <f>IFERROR(AVERAGE($F$27:$F$38),0)</f>
        <v>0.21200000000000002</v>
      </c>
      <c r="G39" s="45">
        <f>IFERROR(AVERAGE($G$27:$G$38),0)</f>
        <v>0.36799999999999999</v>
      </c>
      <c r="H39" s="46">
        <f>IFERROR(AVERAGE($H$27:$H$38),0)</f>
        <v>0.64320238095238091</v>
      </c>
    </row>
    <row r="41" spans="2:9" ht="19.5" customHeight="1" x14ac:dyDescent="0.25">
      <c r="B41" s="16" t="s">
        <v>108</v>
      </c>
      <c r="C41" s="10" t="s">
        <v>188</v>
      </c>
      <c r="D41" s="10"/>
      <c r="E41" s="10"/>
      <c r="F41" s="10"/>
      <c r="G41" s="9" t="s">
        <v>189</v>
      </c>
      <c r="H41" s="9"/>
      <c r="I41" s="9"/>
    </row>
    <row r="42" spans="2:9" ht="27.75" customHeight="1" x14ac:dyDescent="0.25">
      <c r="B42" s="17" t="s">
        <v>30</v>
      </c>
      <c r="C42" s="17" t="s">
        <v>32</v>
      </c>
      <c r="D42" s="17" t="s">
        <v>190</v>
      </c>
      <c r="E42" s="17" t="s">
        <v>31</v>
      </c>
      <c r="F42" s="17" t="s">
        <v>38</v>
      </c>
      <c r="G42" s="17" t="s">
        <v>191</v>
      </c>
    </row>
    <row r="43" spans="2:9" x14ac:dyDescent="0.25">
      <c r="B43" s="19">
        <v>46052</v>
      </c>
      <c r="C43" s="21" t="s">
        <v>42</v>
      </c>
      <c r="D43" s="42" t="s">
        <v>172</v>
      </c>
      <c r="E43" s="20" t="str">
        <f>IF($B43="","",INDEX({"Januar","Februar","März","April","Mai","Juni","Juli","August","September","Oktober","November","Dezember"},MONTH($B43)))</f>
        <v>Januar</v>
      </c>
      <c r="F43" s="43">
        <v>40</v>
      </c>
      <c r="G43" s="42" t="s">
        <v>192</v>
      </c>
    </row>
    <row r="44" spans="2:9" x14ac:dyDescent="0.25">
      <c r="B44" s="19">
        <v>46052</v>
      </c>
      <c r="C44" s="21" t="s">
        <v>51</v>
      </c>
      <c r="D44" s="42" t="s">
        <v>175</v>
      </c>
      <c r="E44" s="20" t="str">
        <f>IF($B44="","",INDEX({"Januar","Februar","März","April","Mai","Juni","Juli","August","September","Oktober","November","Dezember"},MONTH($B44)))</f>
        <v>Januar</v>
      </c>
      <c r="F44" s="43">
        <v>40</v>
      </c>
      <c r="G44" s="42" t="s">
        <v>193</v>
      </c>
    </row>
    <row r="45" spans="2:9" x14ac:dyDescent="0.25">
      <c r="B45" s="19">
        <v>46052</v>
      </c>
      <c r="C45" s="21" t="s">
        <v>56</v>
      </c>
      <c r="D45" s="42" t="s">
        <v>175</v>
      </c>
      <c r="E45" s="20" t="str">
        <f>IF($B45="","",INDEX({"Januar","Februar","März","April","Mai","Juni","Juli","August","September","Oktober","November","Dezember"},MONTH($B45)))</f>
        <v>Januar</v>
      </c>
      <c r="F45" s="43">
        <v>60</v>
      </c>
      <c r="G45" s="42" t="s">
        <v>194</v>
      </c>
    </row>
    <row r="46" spans="2:9" x14ac:dyDescent="0.25">
      <c r="B46" s="19">
        <v>46052</v>
      </c>
      <c r="C46" s="21" t="s">
        <v>45</v>
      </c>
      <c r="D46" s="42" t="s">
        <v>175</v>
      </c>
      <c r="E46" s="20" t="str">
        <f>IF($B46="","",INDEX({"Januar","Februar","März","April","Mai","Juni","Juli","August","September","Oktober","November","Dezember"},MONTH($B46)))</f>
        <v>Januar</v>
      </c>
      <c r="F46" s="43">
        <v>25</v>
      </c>
      <c r="G46" s="42" t="s">
        <v>195</v>
      </c>
    </row>
    <row r="47" spans="2:9" x14ac:dyDescent="0.25">
      <c r="B47" s="19">
        <v>46080</v>
      </c>
      <c r="C47" s="21" t="s">
        <v>49</v>
      </c>
      <c r="D47" s="42" t="s">
        <v>172</v>
      </c>
      <c r="E47" s="20" t="str">
        <f>IF($B47="","",INDEX({"Januar","Februar","März","April","Mai","Juni","Juli","August","September","Oktober","November","Dezember"},MONTH($B47)))</f>
        <v>Februar</v>
      </c>
      <c r="F47" s="43">
        <v>50</v>
      </c>
      <c r="G47" s="42" t="s">
        <v>196</v>
      </c>
    </row>
    <row r="48" spans="2:9" x14ac:dyDescent="0.25">
      <c r="B48" s="19">
        <v>46080</v>
      </c>
      <c r="C48" s="21" t="s">
        <v>55</v>
      </c>
      <c r="D48" s="42" t="s">
        <v>172</v>
      </c>
      <c r="E48" s="20" t="str">
        <f>IF($B48="","",INDEX({"Januar","Februar","März","April","Mai","Juni","Juli","August","September","Oktober","November","Dezember"},MONTH($B48)))</f>
        <v>Februar</v>
      </c>
      <c r="F48" s="43">
        <v>35</v>
      </c>
      <c r="G48" s="42" t="s">
        <v>197</v>
      </c>
    </row>
    <row r="49" spans="2:7" x14ac:dyDescent="0.25">
      <c r="B49" s="19">
        <v>46080</v>
      </c>
      <c r="C49" s="21" t="s">
        <v>45</v>
      </c>
      <c r="D49" s="42" t="s">
        <v>175</v>
      </c>
      <c r="E49" s="20" t="str">
        <f>IF($B49="","",INDEX({"Januar","Februar","März","April","Mai","Juni","Juli","August","September","Oktober","November","Dezember"},MONTH($B49)))</f>
        <v>Februar</v>
      </c>
      <c r="F49" s="43">
        <v>45</v>
      </c>
      <c r="G49" s="42" t="s">
        <v>198</v>
      </c>
    </row>
    <row r="50" spans="2:7" x14ac:dyDescent="0.25">
      <c r="B50" s="19">
        <v>46080</v>
      </c>
      <c r="C50" s="21" t="s">
        <v>53</v>
      </c>
      <c r="D50" s="42" t="s">
        <v>172</v>
      </c>
      <c r="E50" s="20" t="str">
        <f>IF($B50="","",INDEX({"Januar","Februar","März","April","Mai","Juni","Juli","August","September","Oktober","November","Dezember"},MONTH($B50)))</f>
        <v>Februar</v>
      </c>
      <c r="F50" s="43">
        <v>40</v>
      </c>
      <c r="G50" s="42" t="s">
        <v>199</v>
      </c>
    </row>
    <row r="51" spans="2:7" x14ac:dyDescent="0.25">
      <c r="B51" s="19">
        <v>46112</v>
      </c>
      <c r="C51" s="21" t="s">
        <v>42</v>
      </c>
      <c r="D51" s="42" t="s">
        <v>172</v>
      </c>
      <c r="E51" s="20" t="str">
        <f>IF($B51="","",INDEX({"Januar","Februar","März","April","Mai","Juni","Juli","August","September","Oktober","November","Dezember"},MONTH($B51)))</f>
        <v>März</v>
      </c>
      <c r="F51" s="43">
        <v>60</v>
      </c>
      <c r="G51" s="42" t="s">
        <v>200</v>
      </c>
    </row>
    <row r="52" spans="2:7" x14ac:dyDescent="0.25">
      <c r="B52" s="19">
        <v>46112</v>
      </c>
      <c r="C52" s="21" t="s">
        <v>47</v>
      </c>
      <c r="D52" s="42" t="s">
        <v>175</v>
      </c>
      <c r="E52" s="20" t="str">
        <f>IF($B52="","",INDEX({"Januar","Februar","März","April","Mai","Juni","Juli","August","September","Oktober","November","Dezember"},MONTH($B52)))</f>
        <v>März</v>
      </c>
      <c r="F52" s="43">
        <v>45</v>
      </c>
      <c r="G52" s="42" t="s">
        <v>201</v>
      </c>
    </row>
    <row r="53" spans="2:7" x14ac:dyDescent="0.25">
      <c r="B53" s="19">
        <v>46112</v>
      </c>
      <c r="C53" s="21" t="s">
        <v>51</v>
      </c>
      <c r="D53" s="42" t="s">
        <v>175</v>
      </c>
      <c r="E53" s="20" t="str">
        <f>IF($B53="","",INDEX({"Januar","Februar","März","April","Mai","Juni","Juli","August","September","Oktober","November","Dezember"},MONTH($B53)))</f>
        <v>März</v>
      </c>
      <c r="F53" s="43">
        <v>40</v>
      </c>
      <c r="G53" s="42" t="s">
        <v>202</v>
      </c>
    </row>
    <row r="54" spans="2:7" x14ac:dyDescent="0.25">
      <c r="B54" s="19">
        <v>46112</v>
      </c>
      <c r="C54" s="21" t="s">
        <v>49</v>
      </c>
      <c r="D54" s="42" t="s">
        <v>172</v>
      </c>
      <c r="E54" s="20" t="str">
        <f>IF($B54="","",INDEX({"Januar","Februar","März","April","Mai","Juni","Juli","August","September","Oktober","November","Dezember"},MONTH($B54)))</f>
        <v>März</v>
      </c>
      <c r="F54" s="43">
        <v>20</v>
      </c>
      <c r="G54" s="42" t="s">
        <v>203</v>
      </c>
    </row>
    <row r="55" spans="2:7" x14ac:dyDescent="0.25">
      <c r="B55" s="19">
        <v>46142</v>
      </c>
      <c r="C55" s="21" t="s">
        <v>51</v>
      </c>
      <c r="D55" s="42" t="s">
        <v>175</v>
      </c>
      <c r="E55" s="20" t="str">
        <f>IF($B55="","",INDEX({"Januar","Februar","März","April","Mai","Juni","Juli","August","September","Oktober","November","Dezember"},MONTH($B55)))</f>
        <v>April</v>
      </c>
      <c r="F55" s="43">
        <v>40</v>
      </c>
      <c r="G55" s="42" t="s">
        <v>204</v>
      </c>
    </row>
    <row r="56" spans="2:7" x14ac:dyDescent="0.25">
      <c r="B56" s="19">
        <v>46142</v>
      </c>
      <c r="C56" s="21" t="s">
        <v>56</v>
      </c>
      <c r="D56" s="42" t="s">
        <v>175</v>
      </c>
      <c r="E56" s="20" t="str">
        <f>IF($B56="","",INDEX({"Januar","Februar","März","April","Mai","Juni","Juli","August","September","Oktober","November","Dezember"},MONTH($B56)))</f>
        <v>April</v>
      </c>
      <c r="F56" s="43">
        <v>65</v>
      </c>
      <c r="G56" s="42" t="s">
        <v>205</v>
      </c>
    </row>
    <row r="57" spans="2:7" x14ac:dyDescent="0.25">
      <c r="B57" s="19">
        <v>46142</v>
      </c>
      <c r="C57" s="21" t="s">
        <v>55</v>
      </c>
      <c r="D57" s="42" t="s">
        <v>172</v>
      </c>
      <c r="E57" s="20" t="str">
        <f>IF($B57="","",INDEX({"Januar","Februar","März","April","Mai","Juni","Juli","August","September","Oktober","November","Dezember"},MONTH($B57)))</f>
        <v>April</v>
      </c>
      <c r="F57" s="43">
        <v>35</v>
      </c>
      <c r="G57" s="42" t="s">
        <v>206</v>
      </c>
    </row>
    <row r="58" spans="2:7" x14ac:dyDescent="0.25">
      <c r="B58" s="19">
        <v>46142</v>
      </c>
      <c r="C58" s="21" t="s">
        <v>45</v>
      </c>
      <c r="D58" s="42" t="s">
        <v>175</v>
      </c>
      <c r="E58" s="20" t="str">
        <f>IF($B58="","",INDEX({"Januar","Februar","März","April","Mai","Juni","Juli","August","September","Oktober","November","Dezember"},MONTH($B58)))</f>
        <v>April</v>
      </c>
      <c r="F58" s="43">
        <v>35</v>
      </c>
      <c r="G58" s="42" t="s">
        <v>207</v>
      </c>
    </row>
    <row r="59" spans="2:7" x14ac:dyDescent="0.25">
      <c r="B59" s="19">
        <v>46171</v>
      </c>
      <c r="C59" s="21" t="s">
        <v>49</v>
      </c>
      <c r="D59" s="42" t="s">
        <v>172</v>
      </c>
      <c r="E59" s="20" t="str">
        <f>IF($B59="","",INDEX({"Januar","Februar","März","April","Mai","Juni","Juli","August","September","Oktober","November","Dezember"},MONTH($B59)))</f>
        <v>Mai</v>
      </c>
      <c r="F59" s="43">
        <v>50</v>
      </c>
      <c r="G59" s="42" t="s">
        <v>208</v>
      </c>
    </row>
    <row r="60" spans="2:7" x14ac:dyDescent="0.25">
      <c r="B60" s="19">
        <v>46171</v>
      </c>
      <c r="C60" s="21" t="s">
        <v>56</v>
      </c>
      <c r="D60" s="42" t="s">
        <v>175</v>
      </c>
      <c r="E60" s="20" t="str">
        <f>IF($B60="","",INDEX({"Januar","Februar","März","April","Mai","Juni","Juli","August","September","Oktober","November","Dezember"},MONTH($B60)))</f>
        <v>Mai</v>
      </c>
      <c r="F60" s="43">
        <v>65</v>
      </c>
      <c r="G60" s="42" t="s">
        <v>209</v>
      </c>
    </row>
    <row r="61" spans="2:7" x14ac:dyDescent="0.25">
      <c r="B61" s="19">
        <v>46171</v>
      </c>
      <c r="C61" s="21" t="s">
        <v>53</v>
      </c>
      <c r="D61" s="42" t="s">
        <v>172</v>
      </c>
      <c r="E61" s="20" t="str">
        <f>IF($B61="","",INDEX({"Januar","Februar","März","April","Mai","Juni","Juli","August","September","Oktober","November","Dezember"},MONTH($B61)))</f>
        <v>Mai</v>
      </c>
      <c r="F61" s="43">
        <v>30</v>
      </c>
      <c r="G61" s="42" t="s">
        <v>210</v>
      </c>
    </row>
    <row r="62" spans="2:7" x14ac:dyDescent="0.25">
      <c r="B62" s="19">
        <v>46171</v>
      </c>
      <c r="C62" s="21" t="s">
        <v>42</v>
      </c>
      <c r="D62" s="42" t="s">
        <v>172</v>
      </c>
      <c r="E62" s="20" t="str">
        <f>IF($B62="","",INDEX({"Januar","Februar","März","April","Mai","Juni","Juli","August","September","Oktober","November","Dezember"},MONTH($B62)))</f>
        <v>Mai</v>
      </c>
      <c r="F62" s="43">
        <v>20</v>
      </c>
      <c r="G62" s="42" t="s">
        <v>211</v>
      </c>
    </row>
    <row r="63" spans="2:7" x14ac:dyDescent="0.25">
      <c r="B63" s="19">
        <v>46203</v>
      </c>
      <c r="C63" s="21" t="s">
        <v>42</v>
      </c>
      <c r="D63" s="42" t="s">
        <v>172</v>
      </c>
      <c r="E63" s="20" t="str">
        <f>IF($B63="","",INDEX({"Januar","Februar","März","April","Mai","Juni","Juli","August","September","Oktober","November","Dezember"},MONTH($B63)))</f>
        <v>Juni</v>
      </c>
      <c r="F63" s="43">
        <v>40</v>
      </c>
      <c r="G63" s="42" t="s">
        <v>212</v>
      </c>
    </row>
    <row r="64" spans="2:7" x14ac:dyDescent="0.25">
      <c r="B64" s="19">
        <v>46203</v>
      </c>
      <c r="C64" s="21" t="s">
        <v>49</v>
      </c>
      <c r="D64" s="42" t="s">
        <v>172</v>
      </c>
      <c r="E64" s="20" t="str">
        <f>IF($B64="","",INDEX({"Januar","Februar","März","April","Mai","Juni","Juli","August","September","Oktober","November","Dezember"},MONTH($B64)))</f>
        <v>Juni</v>
      </c>
      <c r="F64" s="43">
        <v>25</v>
      </c>
      <c r="G64" s="42" t="s">
        <v>213</v>
      </c>
    </row>
    <row r="65" spans="2:9" x14ac:dyDescent="0.25">
      <c r="B65" s="19">
        <v>46203</v>
      </c>
      <c r="C65" s="21" t="s">
        <v>55</v>
      </c>
      <c r="D65" s="42" t="s">
        <v>172</v>
      </c>
      <c r="E65" s="20" t="str">
        <f>IF($B65="","",INDEX({"Januar","Februar","März","April","Mai","Juni","Juli","August","September","Oktober","November","Dezember"},MONTH($B65)))</f>
        <v>Juni</v>
      </c>
      <c r="F65" s="43">
        <v>35</v>
      </c>
      <c r="G65" s="42" t="s">
        <v>214</v>
      </c>
    </row>
    <row r="66" spans="2:9" x14ac:dyDescent="0.25">
      <c r="B66" s="19">
        <v>46203</v>
      </c>
      <c r="C66" s="21" t="s">
        <v>47</v>
      </c>
      <c r="D66" s="42" t="s">
        <v>175</v>
      </c>
      <c r="E66" s="20" t="str">
        <f>IF($B66="","",INDEX({"Januar","Februar","März","April","Mai","Juni","Juli","August","September","Oktober","November","Dezember"},MONTH($B66)))</f>
        <v>Juni</v>
      </c>
      <c r="F66" s="43">
        <v>40</v>
      </c>
      <c r="G66" s="42" t="s">
        <v>215</v>
      </c>
    </row>
    <row r="67" spans="2:9" x14ac:dyDescent="0.25">
      <c r="B67" s="19">
        <v>46203</v>
      </c>
      <c r="C67" s="21" t="s">
        <v>45</v>
      </c>
      <c r="D67" s="42" t="s">
        <v>175</v>
      </c>
      <c r="E67" s="20" t="str">
        <f>IF($B67="","",INDEX({"Januar","Februar","März","April","Mai","Juni","Juli","August","September","Oktober","November","Dezember"},MONTH($B67)))</f>
        <v>Juni</v>
      </c>
      <c r="F67" s="43">
        <v>25</v>
      </c>
      <c r="G67" s="42" t="s">
        <v>216</v>
      </c>
    </row>
    <row r="68" spans="2:9" x14ac:dyDescent="0.25">
      <c r="B68" s="19"/>
      <c r="C68" s="21"/>
      <c r="D68" s="42"/>
      <c r="E68" s="20" t="str">
        <f>IF($B68="","",INDEX({"Januar","Februar","März","April","Mai","Juni","Juli","August","September","Oktober","November","Dezember"},MONTH($B68)))</f>
        <v/>
      </c>
      <c r="F68" s="43"/>
      <c r="G68" s="42"/>
    </row>
    <row r="69" spans="2:9" x14ac:dyDescent="0.25">
      <c r="B69" s="19"/>
      <c r="C69" s="21"/>
      <c r="D69" s="42"/>
      <c r="E69" s="20" t="str">
        <f>IF($B69="","",INDEX({"Januar","Februar","März","April","Mai","Juni","Juli","August","September","Oktober","November","Dezember"},MONTH($B69)))</f>
        <v/>
      </c>
      <c r="F69" s="43"/>
      <c r="G69" s="42"/>
    </row>
    <row r="70" spans="2:9" x14ac:dyDescent="0.25">
      <c r="B70" s="19"/>
      <c r="C70" s="21"/>
      <c r="D70" s="42"/>
      <c r="E70" s="20" t="str">
        <f>IF($B70="","",INDEX({"Januar","Februar","März","April","Mai","Juni","Juli","August","September","Oktober","November","Dezember"},MONTH($B70)))</f>
        <v/>
      </c>
      <c r="F70" s="43"/>
      <c r="G70" s="42"/>
    </row>
    <row r="71" spans="2:9" x14ac:dyDescent="0.25">
      <c r="B71" s="19"/>
      <c r="C71" s="21"/>
      <c r="D71" s="42"/>
      <c r="E71" s="20" t="str">
        <f>IF($B71="","",INDEX({"Januar","Februar","März","April","Mai","Juni","Juli","August","September","Oktober","November","Dezember"},MONTH($B71)))</f>
        <v/>
      </c>
      <c r="F71" s="43"/>
      <c r="G71" s="42"/>
    </row>
    <row r="72" spans="2:9" x14ac:dyDescent="0.25">
      <c r="B72" s="19"/>
      <c r="C72" s="21"/>
      <c r="D72" s="42"/>
      <c r="E72" s="20" t="str">
        <f>IF($B72="","",INDEX({"Januar","Februar","März","April","Mai","Juni","Juli","August","September","Oktober","November","Dezember"},MONTH($B72)))</f>
        <v/>
      </c>
      <c r="F72" s="43"/>
      <c r="G72" s="42"/>
    </row>
    <row r="73" spans="2:9" x14ac:dyDescent="0.25">
      <c r="B73" s="19"/>
      <c r="C73" s="21"/>
      <c r="D73" s="42"/>
      <c r="E73" s="20" t="str">
        <f>IF($B73="","",INDEX({"Januar","Februar","März","April","Mai","Juni","Juli","August","September","Oktober","November","Dezember"},MONTH($B73)))</f>
        <v/>
      </c>
      <c r="F73" s="43"/>
      <c r="G73" s="42"/>
    </row>
    <row r="74" spans="2:9" x14ac:dyDescent="0.25">
      <c r="B74" s="19"/>
      <c r="C74" s="21"/>
      <c r="D74" s="42"/>
      <c r="E74" s="20" t="str">
        <f>IF($B74="","",INDEX({"Januar","Februar","März","April","Mai","Juni","Juli","August","September","Oktober","November","Dezember"},MONTH($B74)))</f>
        <v/>
      </c>
      <c r="F74" s="43"/>
      <c r="G74" s="42"/>
    </row>
    <row r="75" spans="2:9" x14ac:dyDescent="0.25">
      <c r="B75" s="88" t="s">
        <v>217</v>
      </c>
      <c r="C75" s="88"/>
      <c r="D75" s="88"/>
      <c r="E75" s="88"/>
      <c r="F75" s="45">
        <f>SUM($F$43:$F$74)</f>
        <v>1005</v>
      </c>
      <c r="G75" s="47"/>
    </row>
    <row r="77" spans="2:9" ht="19.5" customHeight="1" x14ac:dyDescent="0.25">
      <c r="B77" s="16" t="s">
        <v>129</v>
      </c>
      <c r="C77" s="10" t="s">
        <v>218</v>
      </c>
      <c r="D77" s="10"/>
      <c r="E77" s="10"/>
      <c r="F77" s="10"/>
      <c r="G77" s="9" t="s">
        <v>219</v>
      </c>
      <c r="H77" s="9"/>
      <c r="I77" s="9"/>
    </row>
    <row r="78" spans="2:9" ht="27.75" customHeight="1" x14ac:dyDescent="0.25">
      <c r="B78" s="17" t="s">
        <v>30</v>
      </c>
      <c r="C78" s="17" t="s">
        <v>220</v>
      </c>
      <c r="D78" s="17" t="s">
        <v>35</v>
      </c>
      <c r="E78" s="17" t="s">
        <v>31</v>
      </c>
      <c r="F78" s="17" t="s">
        <v>38</v>
      </c>
      <c r="G78" s="17" t="s">
        <v>191</v>
      </c>
    </row>
    <row r="79" spans="2:9" x14ac:dyDescent="0.25">
      <c r="B79" s="19">
        <v>46030</v>
      </c>
      <c r="C79" s="21" t="s">
        <v>221</v>
      </c>
      <c r="D79" s="42" t="s">
        <v>183</v>
      </c>
      <c r="E79" s="20" t="str">
        <f>IF($B79="","",INDEX({"Januar","Februar","März","April","Mai","Juni","Juli","August","September","Oktober","November","Dezember"},MONTH($B79)))</f>
        <v>Januar</v>
      </c>
      <c r="F79" s="43">
        <v>78.400000000000006</v>
      </c>
      <c r="G79" s="42" t="s">
        <v>222</v>
      </c>
    </row>
    <row r="80" spans="2:9" x14ac:dyDescent="0.25">
      <c r="B80" s="19">
        <v>46044</v>
      </c>
      <c r="C80" s="21" t="s">
        <v>223</v>
      </c>
      <c r="D80" s="42" t="s">
        <v>224</v>
      </c>
      <c r="E80" s="20" t="str">
        <f>IF($B80="","",INDEX({"Januar","Februar","März","April","Mai","Juni","Juli","August","September","Oktober","November","Dezember"},MONTH($B80)))</f>
        <v>Januar</v>
      </c>
      <c r="F80" s="43">
        <v>26.16</v>
      </c>
      <c r="G80" s="42" t="s">
        <v>225</v>
      </c>
    </row>
    <row r="81" spans="2:7" x14ac:dyDescent="0.25">
      <c r="B81" s="19">
        <v>46058</v>
      </c>
      <c r="C81" s="21" t="s">
        <v>221</v>
      </c>
      <c r="D81" s="42" t="s">
        <v>183</v>
      </c>
      <c r="E81" s="20" t="str">
        <f>IF($B81="","",INDEX({"Januar","Februar","März","April","Mai","Juni","Juli","August","September","Oktober","November","Dezember"},MONTH($B81)))</f>
        <v>Februar</v>
      </c>
      <c r="F81" s="43">
        <v>78.400000000000006</v>
      </c>
      <c r="G81" s="42" t="s">
        <v>226</v>
      </c>
    </row>
    <row r="82" spans="2:7" x14ac:dyDescent="0.25">
      <c r="B82" s="19">
        <v>46072</v>
      </c>
      <c r="C82" s="21" t="s">
        <v>227</v>
      </c>
      <c r="D82" s="42" t="s">
        <v>228</v>
      </c>
      <c r="E82" s="20" t="str">
        <f>IF($B82="","",INDEX({"Januar","Februar","März","April","Mai","Juni","Juli","August","September","Oktober","November","Dezember"},MONTH($B82)))</f>
        <v>Februar</v>
      </c>
      <c r="F82" s="43">
        <v>34.9</v>
      </c>
      <c r="G82" s="42" t="s">
        <v>229</v>
      </c>
    </row>
    <row r="83" spans="2:7" x14ac:dyDescent="0.25">
      <c r="B83" s="19">
        <v>46085</v>
      </c>
      <c r="C83" s="21" t="s">
        <v>221</v>
      </c>
      <c r="D83" s="42" t="s">
        <v>183</v>
      </c>
      <c r="E83" s="20" t="str">
        <f>IF($B83="","",INDEX({"Januar","Februar","März","April","Mai","Juni","Juli","August","September","Oktober","November","Dezember"},MONTH($B83)))</f>
        <v>März</v>
      </c>
      <c r="F83" s="43">
        <v>81.599999999999994</v>
      </c>
      <c r="G83" s="42" t="s">
        <v>230</v>
      </c>
    </row>
    <row r="84" spans="2:7" x14ac:dyDescent="0.25">
      <c r="B84" s="19">
        <v>46093</v>
      </c>
      <c r="C84" s="21" t="s">
        <v>223</v>
      </c>
      <c r="D84" s="42" t="s">
        <v>224</v>
      </c>
      <c r="E84" s="20" t="str">
        <f>IF($B84="","",INDEX({"Januar","Februar","März","April","Mai","Juni","Juli","August","September","Oktober","November","Dezember"},MONTH($B84)))</f>
        <v>März</v>
      </c>
      <c r="F84" s="43">
        <v>26.16</v>
      </c>
      <c r="G84" s="42" t="s">
        <v>231</v>
      </c>
    </row>
    <row r="85" spans="2:7" x14ac:dyDescent="0.25">
      <c r="B85" s="19">
        <v>46107</v>
      </c>
      <c r="C85" s="21" t="s">
        <v>232</v>
      </c>
      <c r="D85" s="42" t="s">
        <v>233</v>
      </c>
      <c r="E85" s="20" t="str">
        <f>IF($B85="","",INDEX({"Januar","Februar","März","April","Mai","Juni","Juli","August","September","Oktober","November","Dezember"},MONTH($B85)))</f>
        <v>März</v>
      </c>
      <c r="F85" s="43">
        <v>42.3</v>
      </c>
      <c r="G85" s="42" t="s">
        <v>234</v>
      </c>
    </row>
    <row r="86" spans="2:7" x14ac:dyDescent="0.25">
      <c r="B86" s="19">
        <v>46121</v>
      </c>
      <c r="C86" s="21" t="s">
        <v>221</v>
      </c>
      <c r="D86" s="42" t="s">
        <v>183</v>
      </c>
      <c r="E86" s="20" t="str">
        <f>IF($B86="","",INDEX({"Januar","Februar","März","April","Mai","Juni","Juli","August","September","Oktober","November","Dezember"},MONTH($B86)))</f>
        <v>April</v>
      </c>
      <c r="F86" s="43">
        <v>81.599999999999994</v>
      </c>
      <c r="G86" s="42" t="s">
        <v>235</v>
      </c>
    </row>
    <row r="87" spans="2:7" x14ac:dyDescent="0.25">
      <c r="B87" s="19">
        <v>46135</v>
      </c>
      <c r="C87" s="21" t="s">
        <v>236</v>
      </c>
      <c r="D87" s="42" t="s">
        <v>237</v>
      </c>
      <c r="E87" s="20" t="str">
        <f>IF($B87="","",INDEX({"Januar","Februar","März","April","Mai","Juni","Juli","August","September","Oktober","November","Dezember"},MONTH($B87)))</f>
        <v>April</v>
      </c>
      <c r="F87" s="43">
        <v>38.75</v>
      </c>
      <c r="G87" s="42" t="s">
        <v>238</v>
      </c>
    </row>
    <row r="88" spans="2:7" x14ac:dyDescent="0.25">
      <c r="B88" s="19">
        <v>46149</v>
      </c>
      <c r="C88" s="21" t="s">
        <v>221</v>
      </c>
      <c r="D88" s="42" t="s">
        <v>183</v>
      </c>
      <c r="E88" s="20" t="str">
        <f>IF($B88="","",INDEX({"Januar","Februar","März","April","Mai","Juni","Juli","August","September","Oktober","November","Dezember"},MONTH($B88)))</f>
        <v>Mai</v>
      </c>
      <c r="F88" s="43">
        <v>81.599999999999994</v>
      </c>
      <c r="G88" s="42" t="s">
        <v>239</v>
      </c>
    </row>
    <row r="89" spans="2:7" x14ac:dyDescent="0.25">
      <c r="B89" s="19">
        <v>46156</v>
      </c>
      <c r="C89" s="21" t="s">
        <v>223</v>
      </c>
      <c r="D89" s="42" t="s">
        <v>224</v>
      </c>
      <c r="E89" s="20" t="str">
        <f>IF($B89="","",INDEX({"Januar","Februar","März","April","Mai","Juni","Juli","August","September","Oktober","November","Dezember"},MONTH($B89)))</f>
        <v>Mai</v>
      </c>
      <c r="F89" s="43">
        <v>27.6</v>
      </c>
      <c r="G89" s="42" t="s">
        <v>240</v>
      </c>
    </row>
    <row r="90" spans="2:7" x14ac:dyDescent="0.25">
      <c r="B90" s="19">
        <v>46170</v>
      </c>
      <c r="C90" s="21" t="s">
        <v>241</v>
      </c>
      <c r="D90" s="42" t="s">
        <v>228</v>
      </c>
      <c r="E90" s="20" t="str">
        <f>IF($B90="","",INDEX({"Januar","Februar","März","April","Mai","Juni","Juli","August","September","Oktober","November","Dezember"},MONTH($B90)))</f>
        <v>Mai</v>
      </c>
      <c r="F90" s="43">
        <v>34.14</v>
      </c>
      <c r="G90" s="42" t="s">
        <v>242</v>
      </c>
    </row>
    <row r="91" spans="2:7" x14ac:dyDescent="0.25">
      <c r="B91" s="19">
        <v>46184</v>
      </c>
      <c r="C91" s="21" t="s">
        <v>221</v>
      </c>
      <c r="D91" s="42" t="s">
        <v>183</v>
      </c>
      <c r="E91" s="20" t="str">
        <f>IF($B91="","",INDEX({"Januar","Februar","März","April","Mai","Juni","Juli","August","September","Oktober","November","Dezember"},MONTH($B91)))</f>
        <v>Juni</v>
      </c>
      <c r="F91" s="43">
        <v>81.599999999999994</v>
      </c>
      <c r="G91" s="42" t="s">
        <v>243</v>
      </c>
    </row>
    <row r="92" spans="2:7" x14ac:dyDescent="0.25">
      <c r="B92" s="19">
        <v>46191</v>
      </c>
      <c r="C92" s="21" t="s">
        <v>244</v>
      </c>
      <c r="D92" s="42" t="s">
        <v>233</v>
      </c>
      <c r="E92" s="20" t="str">
        <f>IF($B92="","",INDEX({"Januar","Februar","März","April","Mai","Juni","Juli","August","September","Oktober","November","Dezember"},MONTH($B92)))</f>
        <v>Juni</v>
      </c>
      <c r="F92" s="43">
        <v>119</v>
      </c>
      <c r="G92" s="42" t="s">
        <v>245</v>
      </c>
    </row>
    <row r="93" spans="2:7" x14ac:dyDescent="0.25">
      <c r="B93" s="19">
        <v>46198</v>
      </c>
      <c r="C93" s="21" t="s">
        <v>246</v>
      </c>
      <c r="D93" s="42" t="s">
        <v>237</v>
      </c>
      <c r="E93" s="20" t="str">
        <f>IF($B93="","",INDEX({"Januar","Februar","März","April","Mai","Juni","Juli","August","September","Oktober","November","Dezember"},MONTH($B93)))</f>
        <v>Juni</v>
      </c>
      <c r="F93" s="43">
        <v>21.45</v>
      </c>
      <c r="G93" s="42" t="s">
        <v>247</v>
      </c>
    </row>
    <row r="94" spans="2:7" x14ac:dyDescent="0.25">
      <c r="B94" s="19"/>
      <c r="C94" s="21"/>
      <c r="D94" s="42"/>
      <c r="E94" s="20" t="str">
        <f>IF($B94="","",INDEX({"Januar","Februar","März","April","Mai","Juni","Juli","August","September","Oktober","November","Dezember"},MONTH($B94)))</f>
        <v/>
      </c>
      <c r="F94" s="43"/>
      <c r="G94" s="42"/>
    </row>
    <row r="95" spans="2:7" x14ac:dyDescent="0.25">
      <c r="B95" s="19"/>
      <c r="C95" s="21"/>
      <c r="D95" s="42"/>
      <c r="E95" s="20" t="str">
        <f>IF($B95="","",INDEX({"Januar","Februar","März","April","Mai","Juni","Juli","August","September","Oktober","November","Dezember"},MONTH($B95)))</f>
        <v/>
      </c>
      <c r="F95" s="43"/>
      <c r="G95" s="42"/>
    </row>
    <row r="96" spans="2:7" x14ac:dyDescent="0.25">
      <c r="B96" s="19"/>
      <c r="C96" s="21"/>
      <c r="D96" s="42"/>
      <c r="E96" s="20" t="str">
        <f>IF($B96="","",INDEX({"Januar","Februar","März","April","Mai","Juni","Juli","August","September","Oktober","November","Dezember"},MONTH($B96)))</f>
        <v/>
      </c>
      <c r="F96" s="43"/>
      <c r="G96" s="42"/>
    </row>
    <row r="97" spans="2:9" x14ac:dyDescent="0.25">
      <c r="B97" s="19"/>
      <c r="C97" s="21"/>
      <c r="D97" s="42"/>
      <c r="E97" s="20" t="str">
        <f>IF($B97="","",INDEX({"Januar","Februar","März","April","Mai","Juni","Juli","August","September","Oktober","November","Dezember"},MONTH($B97)))</f>
        <v/>
      </c>
      <c r="F97" s="43"/>
      <c r="G97" s="42"/>
    </row>
    <row r="98" spans="2:9" x14ac:dyDescent="0.25">
      <c r="B98" s="19"/>
      <c r="C98" s="21"/>
      <c r="D98" s="42"/>
      <c r="E98" s="20" t="str">
        <f>IF($B98="","",INDEX({"Januar","Februar","März","April","Mai","Juni","Juli","August","September","Oktober","November","Dezember"},MONTH($B98)))</f>
        <v/>
      </c>
      <c r="F98" s="43"/>
      <c r="G98" s="42"/>
    </row>
    <row r="99" spans="2:9" x14ac:dyDescent="0.25">
      <c r="B99" s="19"/>
      <c r="C99" s="21"/>
      <c r="D99" s="42"/>
      <c r="E99" s="20" t="str">
        <f>IF($B99="","",INDEX({"Januar","Februar","März","April","Mai","Juni","Juli","August","September","Oktober","November","Dezember"},MONTH($B99)))</f>
        <v/>
      </c>
      <c r="F99" s="43"/>
      <c r="G99" s="42"/>
    </row>
    <row r="100" spans="2:9" x14ac:dyDescent="0.25">
      <c r="B100" s="19"/>
      <c r="C100" s="21"/>
      <c r="D100" s="42"/>
      <c r="E100" s="20" t="str">
        <f>IF($B100="","",INDEX({"Januar","Februar","März","April","Mai","Juni","Juli","August","September","Oktober","November","Dezember"},MONTH($B100)))</f>
        <v/>
      </c>
      <c r="F100" s="43"/>
      <c r="G100" s="42"/>
    </row>
    <row r="101" spans="2:9" x14ac:dyDescent="0.25">
      <c r="B101" s="88" t="s">
        <v>248</v>
      </c>
      <c r="C101" s="88"/>
      <c r="D101" s="88"/>
      <c r="E101" s="88"/>
      <c r="F101" s="45">
        <f>SUM($F$79:$F$100)</f>
        <v>853.6600000000002</v>
      </c>
      <c r="G101" s="47"/>
    </row>
    <row r="103" spans="2:9" ht="19.5" customHeight="1" x14ac:dyDescent="0.25">
      <c r="B103" s="16" t="s">
        <v>144</v>
      </c>
      <c r="C103" s="10" t="s">
        <v>249</v>
      </c>
      <c r="D103" s="10"/>
      <c r="E103" s="10"/>
      <c r="F103" s="10"/>
      <c r="G103" s="9" t="s">
        <v>250</v>
      </c>
      <c r="H103" s="9"/>
      <c r="I103" s="9"/>
    </row>
    <row r="104" spans="2:9" ht="27" customHeight="1" x14ac:dyDescent="0.25">
      <c r="B104" s="48" t="s">
        <v>251</v>
      </c>
      <c r="C104" s="49" t="s">
        <v>252</v>
      </c>
      <c r="D104" s="89" t="s">
        <v>253</v>
      </c>
      <c r="E104" s="89"/>
      <c r="F104" s="89"/>
      <c r="G104" s="89"/>
      <c r="H104" s="89"/>
      <c r="I104" s="89"/>
    </row>
    <row r="105" spans="2:9" ht="27" customHeight="1" x14ac:dyDescent="0.25">
      <c r="B105" s="48" t="s">
        <v>254</v>
      </c>
      <c r="C105" s="49" t="s">
        <v>255</v>
      </c>
      <c r="D105" s="89" t="s">
        <v>256</v>
      </c>
      <c r="E105" s="89"/>
      <c r="F105" s="89"/>
      <c r="G105" s="89"/>
      <c r="H105" s="89"/>
      <c r="I105" s="89"/>
    </row>
    <row r="106" spans="2:9" ht="27" customHeight="1" x14ac:dyDescent="0.25">
      <c r="B106" s="48" t="s">
        <v>257</v>
      </c>
      <c r="C106" s="49" t="s">
        <v>258</v>
      </c>
      <c r="D106" s="89" t="s">
        <v>259</v>
      </c>
      <c r="E106" s="89"/>
      <c r="F106" s="89"/>
      <c r="G106" s="89"/>
      <c r="H106" s="89"/>
      <c r="I106" s="89"/>
    </row>
    <row r="107" spans="2:9" ht="27" customHeight="1" x14ac:dyDescent="0.25">
      <c r="B107" s="48" t="s">
        <v>260</v>
      </c>
      <c r="C107" s="49" t="s">
        <v>261</v>
      </c>
      <c r="D107" s="89" t="s">
        <v>262</v>
      </c>
      <c r="E107" s="89"/>
      <c r="F107" s="89"/>
      <c r="G107" s="89"/>
      <c r="H107" s="89"/>
      <c r="I107" s="89"/>
    </row>
    <row r="108" spans="2:9" ht="27" customHeight="1" x14ac:dyDescent="0.25">
      <c r="B108" s="48" t="s">
        <v>263</v>
      </c>
      <c r="C108" s="49" t="s">
        <v>264</v>
      </c>
      <c r="D108" s="89" t="s">
        <v>265</v>
      </c>
      <c r="E108" s="89"/>
      <c r="F108" s="89"/>
      <c r="G108" s="89"/>
      <c r="H108" s="89"/>
      <c r="I108" s="89"/>
    </row>
    <row r="109" spans="2:9" ht="27" customHeight="1" x14ac:dyDescent="0.25">
      <c r="B109" s="48" t="s">
        <v>266</v>
      </c>
      <c r="C109" s="49" t="s">
        <v>267</v>
      </c>
      <c r="D109" s="89" t="s">
        <v>268</v>
      </c>
      <c r="E109" s="89"/>
      <c r="F109" s="89"/>
      <c r="G109" s="89"/>
      <c r="H109" s="89"/>
      <c r="I109" s="89"/>
    </row>
    <row r="111" spans="2:9" ht="19.5" customHeight="1" x14ac:dyDescent="0.25">
      <c r="B111" s="16" t="s">
        <v>153</v>
      </c>
      <c r="C111" s="10" t="s">
        <v>269</v>
      </c>
      <c r="D111" s="10"/>
      <c r="E111" s="10"/>
      <c r="F111" s="10"/>
      <c r="G111" s="9" t="s">
        <v>270</v>
      </c>
      <c r="H111" s="9"/>
      <c r="I111" s="9"/>
    </row>
    <row r="112" spans="2:9" x14ac:dyDescent="0.25">
      <c r="B112" s="50"/>
      <c r="C112" s="51" t="s">
        <v>271</v>
      </c>
      <c r="D112" s="52"/>
      <c r="E112" s="51" t="s">
        <v>272</v>
      </c>
      <c r="F112" s="53"/>
      <c r="G112" s="51" t="s">
        <v>273</v>
      </c>
      <c r="H112" s="54"/>
      <c r="I112" s="51" t="s">
        <v>274</v>
      </c>
    </row>
    <row r="113" spans="2:9" x14ac:dyDescent="0.25">
      <c r="B113" s="55"/>
      <c r="C113" s="51" t="s">
        <v>275</v>
      </c>
    </row>
    <row r="114" spans="2:9" ht="31.5" customHeight="1" x14ac:dyDescent="0.25">
      <c r="B114" s="90" t="s">
        <v>276</v>
      </c>
      <c r="C114" s="90"/>
      <c r="D114" s="90"/>
      <c r="E114" s="90"/>
      <c r="F114" s="90"/>
      <c r="G114" s="90"/>
      <c r="H114" s="90"/>
      <c r="I114" s="90"/>
    </row>
  </sheetData>
  <mergeCells count="44">
    <mergeCell ref="B114:I114"/>
    <mergeCell ref="D106:I106"/>
    <mergeCell ref="D107:I107"/>
    <mergeCell ref="D108:I108"/>
    <mergeCell ref="D109:I109"/>
    <mergeCell ref="C111:F111"/>
    <mergeCell ref="G111:I111"/>
    <mergeCell ref="B101:E101"/>
    <mergeCell ref="C103:F103"/>
    <mergeCell ref="G103:I103"/>
    <mergeCell ref="D104:I104"/>
    <mergeCell ref="D105:I105"/>
    <mergeCell ref="C41:F41"/>
    <mergeCell ref="G41:I41"/>
    <mergeCell ref="B75:E75"/>
    <mergeCell ref="C77:F77"/>
    <mergeCell ref="G77:I77"/>
    <mergeCell ref="C12:F12"/>
    <mergeCell ref="G12:I12"/>
    <mergeCell ref="C25:F25"/>
    <mergeCell ref="G25:I25"/>
    <mergeCell ref="B39:D39"/>
    <mergeCell ref="B9:C9"/>
    <mergeCell ref="D9:E9"/>
    <mergeCell ref="F9:G9"/>
    <mergeCell ref="H9:I9"/>
    <mergeCell ref="B10:C10"/>
    <mergeCell ref="D10:E10"/>
    <mergeCell ref="F10:G10"/>
    <mergeCell ref="H10:I10"/>
    <mergeCell ref="B7:C7"/>
    <mergeCell ref="D7:E7"/>
    <mergeCell ref="F7:G7"/>
    <mergeCell ref="H7:I7"/>
    <mergeCell ref="B8:C8"/>
    <mergeCell ref="D8:E8"/>
    <mergeCell ref="F8:G8"/>
    <mergeCell ref="H8:I8"/>
    <mergeCell ref="B2:F2"/>
    <mergeCell ref="G2:I2"/>
    <mergeCell ref="B3:F3"/>
    <mergeCell ref="G3:I3"/>
    <mergeCell ref="C6:F6"/>
    <mergeCell ref="G6:I6"/>
  </mergeCells>
  <dataValidations count="3">
    <dataValidation type="list" allowBlank="1" sqref="C43:C74" xr:uid="{00000000-0002-0000-0200-000000000000}">
      <formula1>$C$14:$C$23</formula1>
      <formula2>0</formula2>
    </dataValidation>
    <dataValidation type="list" allowBlank="1" sqref="D79:D100" xr:uid="{00000000-0002-0000-0200-000001000000}">
      <formula1>"Kaffee,Milch,Sonstige Getränke,Zubehör,Wartung,Sonstiges"</formula1>
      <formula2>0</formula2>
    </dataValidation>
    <dataValidation type="list" allowBlank="1" sqref="D43:D74" xr:uid="{00000000-0002-0000-0200-000002000000}">
      <formula1>"Bar,Überweisung,Sammelbeleg"</formula1>
      <formula2>0</formula2>
    </dataValidation>
  </dataValidations>
  <printOptions horizontalCentered="1"/>
  <pageMargins left="0.4" right="0.4" top="0.5" bottom="0.5" header="0.511811023622047" footer="0.511811023622047"/>
  <pageSetup paperSize="9" fitToHeight="4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Kaffeeliste</vt:lpstr>
      <vt:lpstr>Auswertung</vt:lpstr>
      <vt:lpstr>Stammdaten</vt:lpstr>
      <vt:lpstr>Kaffeeliste!Druckbereich</vt:lpstr>
      <vt:lpstr>Stammdaten!Druckbereich</vt:lpstr>
      <vt:lpstr>Kaffeeliste!Drucktitel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2026-07-23T09:13:05Z</dcterms:created>
  <dcterms:modified xsi:type="dcterms:W3CDTF">2026-07-23T09:46:40Z</dcterms:modified>
  <dc:language>en-US</dc:language>
</cp:coreProperties>
</file>