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CB0C149-9075-4237-909D-54D6F0851040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Mietaufstellung" sheetId="2" r:id="rId2"/>
    <sheet name="Zahlungseingänge" sheetId="3" r:id="rId3"/>
  </sheets>
  <definedNames>
    <definedName name="_xlnm._FilterDatabase" localSheetId="1" hidden="1">Mietaufstellung!$A$5:$R$25</definedName>
    <definedName name="_xlnm._FilterDatabase" localSheetId="2" hidden="1">Zahlungseingänge!$A$5:$T$25</definedName>
    <definedName name="_xlnm.Print_Area" localSheetId="0">Übersicht!$A$1:$H$44</definedName>
    <definedName name="_xlnm.Print_Titles" localSheetId="1">Mietaufstellung!$1:$5</definedName>
    <definedName name="_xlnm.Print_Titles" localSheetId="2">Zahlungseingänge!$1:$5</definedName>
    <definedName name="Einheiten">Mietaufstellung!$A$6:$A$25</definedName>
    <definedName name="Stichmonat">Übersicht!$C$12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6" i="3" l="1"/>
  <c r="N26" i="3"/>
  <c r="M26" i="3"/>
  <c r="L26" i="3"/>
  <c r="K26" i="3"/>
  <c r="J26" i="3"/>
  <c r="I26" i="3"/>
  <c r="H26" i="3"/>
  <c r="G26" i="3"/>
  <c r="F26" i="3"/>
  <c r="E26" i="3"/>
  <c r="D26" i="3"/>
  <c r="T25" i="3"/>
  <c r="S25" i="3"/>
  <c r="R25" i="3"/>
  <c r="Q25" i="3"/>
  <c r="P25" i="3"/>
  <c r="C25" i="3"/>
  <c r="B25" i="3"/>
  <c r="T24" i="3"/>
  <c r="S24" i="3"/>
  <c r="R24" i="3"/>
  <c r="Q24" i="3"/>
  <c r="P24" i="3"/>
  <c r="C24" i="3"/>
  <c r="B24" i="3"/>
  <c r="T23" i="3"/>
  <c r="S23" i="3"/>
  <c r="R23" i="3"/>
  <c r="Q23" i="3"/>
  <c r="P23" i="3"/>
  <c r="C23" i="3"/>
  <c r="B23" i="3"/>
  <c r="T22" i="3"/>
  <c r="S22" i="3"/>
  <c r="R22" i="3"/>
  <c r="Q22" i="3"/>
  <c r="P22" i="3"/>
  <c r="C22" i="3"/>
  <c r="B22" i="3"/>
  <c r="T21" i="3"/>
  <c r="S21" i="3"/>
  <c r="R21" i="3"/>
  <c r="Q21" i="3"/>
  <c r="P21" i="3"/>
  <c r="C21" i="3"/>
  <c r="B21" i="3"/>
  <c r="T20" i="3"/>
  <c r="S20" i="3"/>
  <c r="R20" i="3"/>
  <c r="Q20" i="3"/>
  <c r="P20" i="3"/>
  <c r="C20" i="3"/>
  <c r="B20" i="3"/>
  <c r="T19" i="3"/>
  <c r="S19" i="3"/>
  <c r="R19" i="3"/>
  <c r="Q19" i="3"/>
  <c r="P19" i="3"/>
  <c r="C19" i="3"/>
  <c r="B19" i="3"/>
  <c r="T18" i="3"/>
  <c r="S18" i="3"/>
  <c r="R18" i="3"/>
  <c r="Q18" i="3"/>
  <c r="P18" i="3"/>
  <c r="C18" i="3"/>
  <c r="B18" i="3"/>
  <c r="T17" i="3"/>
  <c r="S17" i="3"/>
  <c r="R17" i="3"/>
  <c r="Q17" i="3"/>
  <c r="P17" i="3"/>
  <c r="C17" i="3"/>
  <c r="B17" i="3"/>
  <c r="Q16" i="3"/>
  <c r="C16" i="3"/>
  <c r="B16" i="3"/>
  <c r="Q15" i="3"/>
  <c r="C15" i="3"/>
  <c r="T15" i="3" s="1"/>
  <c r="B15" i="3"/>
  <c r="Q14" i="3"/>
  <c r="B14" i="3"/>
  <c r="Q13" i="3"/>
  <c r="C13" i="3"/>
  <c r="T13" i="3" s="1"/>
  <c r="B13" i="3"/>
  <c r="Q12" i="3"/>
  <c r="C12" i="3"/>
  <c r="T12" i="3" s="1"/>
  <c r="B12" i="3"/>
  <c r="Q11" i="3"/>
  <c r="C11" i="3"/>
  <c r="T11" i="3" s="1"/>
  <c r="B11" i="3"/>
  <c r="Q10" i="3"/>
  <c r="C10" i="3"/>
  <c r="T10" i="3" s="1"/>
  <c r="B10" i="3"/>
  <c r="Q9" i="3"/>
  <c r="B9" i="3"/>
  <c r="Q8" i="3"/>
  <c r="C8" i="3"/>
  <c r="P8" i="3" s="1"/>
  <c r="B8" i="3"/>
  <c r="Q7" i="3"/>
  <c r="B7" i="3"/>
  <c r="Q6" i="3"/>
  <c r="Q26" i="3" s="1"/>
  <c r="B6" i="3"/>
  <c r="Q26" i="2"/>
  <c r="P26" i="2"/>
  <c r="N26" i="2"/>
  <c r="L26" i="2"/>
  <c r="K26" i="2"/>
  <c r="J26" i="2"/>
  <c r="I26" i="2"/>
  <c r="E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N15" i="2"/>
  <c r="M15" i="2"/>
  <c r="O15" i="2" s="1"/>
  <c r="O14" i="2"/>
  <c r="N14" i="2"/>
  <c r="M14" i="2"/>
  <c r="C14" i="3" s="1"/>
  <c r="N13" i="2"/>
  <c r="M13" i="2"/>
  <c r="O13" i="2" s="1"/>
  <c r="O12" i="2"/>
  <c r="N12" i="2"/>
  <c r="M12" i="2"/>
  <c r="O11" i="2"/>
  <c r="N11" i="2"/>
  <c r="M11" i="2"/>
  <c r="O10" i="2"/>
  <c r="N10" i="2"/>
  <c r="M10" i="2"/>
  <c r="O9" i="2"/>
  <c r="N9" i="2"/>
  <c r="M9" i="2"/>
  <c r="C9" i="3" s="1"/>
  <c r="N8" i="2"/>
  <c r="M8" i="2"/>
  <c r="O8" i="2" s="1"/>
  <c r="O7" i="2"/>
  <c r="N7" i="2"/>
  <c r="M7" i="2"/>
  <c r="C7" i="3" s="1"/>
  <c r="N6" i="2"/>
  <c r="M6" i="2"/>
  <c r="O6" i="2" s="1"/>
  <c r="G36" i="1"/>
  <c r="G35" i="1"/>
  <c r="F35" i="1"/>
  <c r="D35" i="1"/>
  <c r="E35" i="1" s="1"/>
  <c r="C35" i="1"/>
  <c r="D34" i="1"/>
  <c r="E34" i="1" s="1"/>
  <c r="C34" i="1"/>
  <c r="G34" i="1" s="1"/>
  <c r="D33" i="1"/>
  <c r="E33" i="1" s="1"/>
  <c r="C33" i="1"/>
  <c r="G33" i="1" s="1"/>
  <c r="G32" i="1"/>
  <c r="F32" i="1"/>
  <c r="D32" i="1"/>
  <c r="E32" i="1" s="1"/>
  <c r="C32" i="1"/>
  <c r="G31" i="1"/>
  <c r="F31" i="1"/>
  <c r="D31" i="1"/>
  <c r="E31" i="1" s="1"/>
  <c r="C31" i="1"/>
  <c r="D30" i="1"/>
  <c r="D29" i="1"/>
  <c r="D28" i="1"/>
  <c r="D27" i="1"/>
  <c r="D26" i="1"/>
  <c r="D25" i="1"/>
  <c r="D24" i="1"/>
  <c r="F20" i="1"/>
  <c r="F16" i="1"/>
  <c r="D16" i="1"/>
  <c r="B16" i="1"/>
  <c r="R8" i="3" l="1"/>
  <c r="O26" i="2"/>
  <c r="B18" i="1"/>
  <c r="T14" i="3"/>
  <c r="P14" i="3"/>
  <c r="R14" i="3" s="1"/>
  <c r="S14" i="3" s="1"/>
  <c r="T7" i="3"/>
  <c r="S7" i="3"/>
  <c r="P7" i="3"/>
  <c r="P9" i="3"/>
  <c r="R9" i="3" s="1"/>
  <c r="S9" i="3" s="1"/>
  <c r="T9" i="3"/>
  <c r="R7" i="3"/>
  <c r="S8" i="3"/>
  <c r="F34" i="1"/>
  <c r="T8" i="3"/>
  <c r="S11" i="3"/>
  <c r="M26" i="2"/>
  <c r="T16" i="3"/>
  <c r="P11" i="3"/>
  <c r="R11" i="3" s="1"/>
  <c r="F18" i="1"/>
  <c r="C6" i="3"/>
  <c r="P15" i="3"/>
  <c r="R15" i="3" s="1"/>
  <c r="S15" i="3" s="1"/>
  <c r="P12" i="3"/>
  <c r="R12" i="3" s="1"/>
  <c r="S12" i="3" s="1"/>
  <c r="D36" i="1"/>
  <c r="P10" i="3"/>
  <c r="R10" i="3" s="1"/>
  <c r="S10" i="3" s="1"/>
  <c r="P13" i="3"/>
  <c r="R13" i="3" s="1"/>
  <c r="S13" i="3" s="1"/>
  <c r="P16" i="3"/>
  <c r="R16" i="3" s="1"/>
  <c r="S16" i="3" s="1"/>
  <c r="F33" i="1"/>
  <c r="C25" i="1" l="1"/>
  <c r="T6" i="3"/>
  <c r="T26" i="3" s="1"/>
  <c r="C28" i="1"/>
  <c r="C24" i="1"/>
  <c r="P6" i="3"/>
  <c r="C30" i="1"/>
  <c r="C26" i="1"/>
  <c r="C29" i="1"/>
  <c r="C26" i="3"/>
  <c r="C27" i="1"/>
  <c r="F27" i="1" l="1"/>
  <c r="E27" i="1"/>
  <c r="G27" i="1" s="1"/>
  <c r="G29" i="1"/>
  <c r="F29" i="1"/>
  <c r="E29" i="1"/>
  <c r="F26" i="1"/>
  <c r="E26" i="1"/>
  <c r="G26" i="1" s="1"/>
  <c r="F30" i="1"/>
  <c r="E30" i="1"/>
  <c r="G30" i="1" s="1"/>
  <c r="D20" i="1"/>
  <c r="P26" i="3"/>
  <c r="D18" i="1"/>
  <c r="R6" i="3"/>
  <c r="F24" i="1"/>
  <c r="C36" i="1"/>
  <c r="E24" i="1"/>
  <c r="G24" i="1" s="1"/>
  <c r="F28" i="1"/>
  <c r="E28" i="1"/>
  <c r="G28" i="1" s="1"/>
  <c r="F25" i="1"/>
  <c r="E25" i="1"/>
  <c r="G25" i="1" s="1"/>
  <c r="R26" i="3" l="1"/>
  <c r="B20" i="1"/>
  <c r="S6" i="3"/>
  <c r="S26" i="3" s="1"/>
  <c r="F36" i="1"/>
  <c r="E36" i="1"/>
</calcChain>
</file>

<file path=xl/sharedStrings.xml><?xml version="1.0" encoding="utf-8"?>
<sst xmlns="http://schemas.openxmlformats.org/spreadsheetml/2006/main" count="184" uniqueCount="153">
  <si>
    <t>Objekt- und Mietübersicht  ·  Wirtschaftsjahr 2026  ·  alle Beträge in EUR</t>
  </si>
  <si>
    <t>01  —  OBJEKT- UND VERMIETERDATEN</t>
  </si>
  <si>
    <t>LEGENDE UND BEDIENUNG</t>
  </si>
  <si>
    <t>Vermieter / Eigentümer</t>
  </si>
  <si>
    <t>Rheintor Immobilien GbR</t>
  </si>
  <si>
    <t>▸  Cremefarbene Felder  =  Eingabefelder. Nur hier tippen.</t>
  </si>
  <si>
    <t>Objektbezeichnung</t>
  </si>
  <si>
    <t>Wohn- und Geschäftshaus »Ahornhof«</t>
  </si>
  <si>
    <t>▸  Weiße Felder  =  Formeln. Bitte nicht überschreiben.</t>
  </si>
  <si>
    <t>Anschrift</t>
  </si>
  <si>
    <t>Ahornweg 12, 40233 Musterstadt</t>
  </si>
  <si>
    <t>▸  Blatt »Mietaufstellung«: je Einheit eine Zeile. Einheit-Nr. eindeutig halten.</t>
  </si>
  <si>
    <t>Baujahr / Modernisierung</t>
  </si>
  <si>
    <t>1998 / 2019</t>
  </si>
  <si>
    <t>▸  Blatt »Zahlungseingänge«: nur den tatsächlich eingegangenen Betrag je Monat.</t>
  </si>
  <si>
    <t>Verwaltung</t>
  </si>
  <si>
    <t>Kessel &amp; Partner Hausverwaltung</t>
  </si>
  <si>
    <t>▸  Das Feld »Zahlungen erfasst bis« steuert die Soll-Abgrenzung und alle Kennzahlen.</t>
  </si>
  <si>
    <t>Ansprechpartner / Kontakt</t>
  </si>
  <si>
    <t>R. Kessel · 0211 4478-120</t>
  </si>
  <si>
    <t>▸  Ampel Saldo:  rot = Rückstand  ·  grün = ausgeglichen  ·  blau = Überzahlung.</t>
  </si>
  <si>
    <t>Wirtschaftsjahr</t>
  </si>
  <si>
    <t>▸  Fehlende Zahlung in einem bereits fälligen Monat wird rot hinterlegt.</t>
  </si>
  <si>
    <t>Zahlungen erfasst bis (Monat 1–12)</t>
  </si>
  <si>
    <t>▸  Beispieldaten einfach überschreiben – Formeln bleiben erhalten.</t>
  </si>
  <si>
    <t>02  —  KENNZAHLEN AUF EINEN BLICK</t>
  </si>
  <si>
    <t>VERMIETBARE EINHEITEN</t>
  </si>
  <si>
    <t>GESAMTFLÄCHE</t>
  </si>
  <si>
    <t>VERMIETUNGSQUOTE (FLÄCHE)</t>
  </si>
  <si>
    <t>SOLL-JAHRESMIETE</t>
  </si>
  <si>
    <t>SOLL BIS STICHMONAT</t>
  </si>
  <si>
    <t>ZAHLUNGSEINGANG (IST)</t>
  </si>
  <si>
    <t>OFFENER SALDO</t>
  </si>
  <si>
    <t>ZAHLUNGSQUOTE</t>
  </si>
  <si>
    <t>Ø KALTMIETE JE M²</t>
  </si>
  <si>
    <t>03  —  MONATSÜBERSICHT SOLL / IST</t>
  </si>
  <si>
    <t>Monat</t>
  </si>
  <si>
    <t>Soll (€)</t>
  </si>
  <si>
    <t>Ist (€)</t>
  </si>
  <si>
    <t>Differenz (€)</t>
  </si>
  <si>
    <t>Zahlungsquote</t>
  </si>
  <si>
    <t>Status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</si>
  <si>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</si>
  <si>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</si>
  <si>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</si>
  <si>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</si>
  <si>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</si>
  <si>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</si>
  <si>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</si>
  <si>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</si>
  <si>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</si>
  <si>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</si>
  <si>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</si>
  <si>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</si>
  <si>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 2026</t>
  </si>
  <si>
    <t>04  —  HINWEISE ZUR ANWENDUNG</t>
  </si>
  <si>
    <t>•   Die Soll-Jahresmiete unterstellt eine ganzjährige Vermietung (Gesamtmiete × 12). Bei unterjährigem Mieterwechsel den Wert im Blatt »Mietaufstellung« in der Spalte »Bemerkung« kommentieren.</t>
  </si>
  <si>
    <t>•   Die Kaltmiete je m² wird nur für Einheiten mit hinterlegter Fläche berechnet; Stellplatz- und Garagenmieten fließen nicht in diese Kennzahl ein.</t>
  </si>
  <si>
    <t>•   Nebenkosten- und Heizkostenvorauszahlungen sind Abschläge. Diese Vorlage ersetzt keine Betriebskostenabrechnung nach §§ 556 ff. BGB.</t>
  </si>
  <si>
    <t>•   Für jedes Wirtschaftsjahr eine eigene Kopie der Datei anlegen (z. B. »Mietaufstellung_2026.xlsx«) und die Zahlungen fortlaufend erfassen.</t>
  </si>
  <si>
    <t>•   Mieterdaten sind personenbezogene Daten. Datei zugriffsbeschränkt ablegen und Aufbewahrungsfristen beachten (GoBD / DSGVO).</t>
  </si>
  <si>
    <t>MIETAUFSTELLUNG  —  EINHEITEN UND SOLLMIETEN</t>
  </si>
  <si>
    <t>Wohn- und Geschäftshaus »Ahornhof«, Ahornweg 12, 40233 Musterstadt  ·  Stand: Wirtschaftsjahr 2026</t>
  </si>
  <si>
    <t>STAMMDATEN DER EINHEIT</t>
  </si>
  <si>
    <t>MIETE  ·  MONATLICH UND JÄHRLICH</t>
  </si>
  <si>
    <t>SICHERHEIT UND STATUS</t>
  </si>
  <si>
    <t>Einheit-Nr.</t>
  </si>
  <si>
    <t>Lage / Geschoss</t>
  </si>
  <si>
    <t>Einheitstyp</t>
  </si>
  <si>
    <t>Zimmer</t>
  </si>
  <si>
    <t>Fläche (m²)</t>
  </si>
  <si>
    <t>Mieter (Name)</t>
  </si>
  <si>
    <t>Mietbeginn</t>
  </si>
  <si>
    <t>Mietende</t>
  </si>
  <si>
    <t>Kaltmiete (€)</t>
  </si>
  <si>
    <t>NK-Vorauszlg. (€)</t>
  </si>
  <si>
    <t>HK-Vorauszlg. (€)</t>
  </si>
  <si>
    <t>Stellplatz / Garage (€)</t>
  </si>
  <si>
    <t>Gesamtmiete (€)</t>
  </si>
  <si>
    <t>Kaltmiete je m²</t>
  </si>
  <si>
    <t>Jahressoll (€)</t>
  </si>
  <si>
    <t>Kaution (€)</t>
  </si>
  <si>
    <t>Bemerkung</t>
  </si>
  <si>
    <t>WE-01</t>
  </si>
  <si>
    <t>EG links</t>
  </si>
  <si>
    <t>Wohnung</t>
  </si>
  <si>
    <t>Andrea Keßler</t>
  </si>
  <si>
    <t>Vermietet</t>
  </si>
  <si>
    <t>Stellplatz Nr. 3 mitvermietet</t>
  </si>
  <si>
    <t>WE-02</t>
  </si>
  <si>
    <t>EG rechts</t>
  </si>
  <si>
    <t>Tobias Ruhland</t>
  </si>
  <si>
    <t>WE-03</t>
  </si>
  <si>
    <t>1. OG links</t>
  </si>
  <si>
    <t>Marlene Vogt</t>
  </si>
  <si>
    <t>Garage Nr. 2 mitvermietet</t>
  </si>
  <si>
    <t>WE-04</t>
  </si>
  <si>
    <t>1. OG rechts</t>
  </si>
  <si>
    <t>Sinan Özdemir</t>
  </si>
  <si>
    <t>WE-05</t>
  </si>
  <si>
    <t>2. OG links</t>
  </si>
  <si>
    <t>Eheleute Brandhorst</t>
  </si>
  <si>
    <t>WE-06</t>
  </si>
  <si>
    <t>2. OG rechts</t>
  </si>
  <si>
    <t>—</t>
  </si>
  <si>
    <t>Leerstand</t>
  </si>
  <si>
    <t>Bad-Sanierung, Neuvermietung ab 01.09.2026</t>
  </si>
  <si>
    <t>WE-07</t>
  </si>
  <si>
    <t>3. OG links</t>
  </si>
  <si>
    <t>Nicole Wiesner</t>
  </si>
  <si>
    <t>Zeitmietvertrag</t>
  </si>
  <si>
    <t>WE-08</t>
  </si>
  <si>
    <t>DG</t>
  </si>
  <si>
    <t>Jonas Reithmeier</t>
  </si>
  <si>
    <t>Gekündigt</t>
  </si>
  <si>
    <t>Auszug zum 31.10.2026</t>
  </si>
  <si>
    <t>GE-01</t>
  </si>
  <si>
    <t>EG Straßenseite</t>
  </si>
  <si>
    <t>Gewerbe</t>
  </si>
  <si>
    <t>Nordlicht Design GbR</t>
  </si>
  <si>
    <t>Ladenlokal, Indexmietvertrag</t>
  </si>
  <si>
    <t>BU-01</t>
  </si>
  <si>
    <t>1. OG Hofseite</t>
  </si>
  <si>
    <t>Büro</t>
  </si>
  <si>
    <t>Kanzlei Warnke &amp; Sitt</t>
  </si>
  <si>
    <t>LA-01</t>
  </si>
  <si>
    <t>UG</t>
  </si>
  <si>
    <t>Lager</t>
  </si>
  <si>
    <t>Hartwig Handels KG</t>
  </si>
  <si>
    <t>GESAMT / DURCHSCHNITT</t>
  </si>
  <si>
    <t>ZAHLUNGSEINGÄNGE 2026  —  SOLL-/IST-ABGLEICH JE EINHEIT</t>
  </si>
  <si>
    <t>Nur die tatsächlich eingegangenen Beträge eintragen  ·  Soll und Auswertung berechnen sich automatisch</t>
  </si>
  <si>
    <t>EINHEIT</t>
  </si>
  <si>
    <t>ZAHLUNGSEINGANG JE MONAT  ·  IST  ·  EUR</t>
  </si>
  <si>
    <t>AUSWERTUNG</t>
  </si>
  <si>
    <t>Mieter</t>
  </si>
  <si>
    <t>Soll je Monat (€)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</si>
  <si>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</si>
  <si>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</si>
  <si>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</si>
  <si>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</si>
  <si>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</si>
  <si>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</si>
  <si>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</si>
  <si>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</si>
  <si>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</si>
  <si>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</si>
  <si>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</si>
  <si>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Soll bis Stichmonat (€)</t>
  </si>
  <si>
    <t>Ist gesamt (€)</t>
  </si>
  <si>
    <t>Saldo (€)</t>
  </si>
  <si>
    <t>GESAMT</t>
  </si>
  <si>
    <t>MIETAUFSTELLUNG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</si>
</sst>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m²&quot;"/>
    <numFmt numFmtId="165" formatCode="0.0%"/>
    <numFmt numFmtId="166" formatCode="#,##0.00&quot; €&quot;"/>
    <numFmt numFmtId="167" formatCode="#,##0.00&quot; €&quot;;[Red]\-#,##0.00&quot; €&quot;"/>
    <numFmt numFmtId="168" formatCode="#,##0.00&quot; €/m²&quot;"/>
    <numFmt numFmtId="169" formatCode="dd\.mm\.yyyy"/>
  </numFmts>
  <fonts count="17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9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0D3B40"/>
      <name val="Calibri"/>
      <charset val="1"/>
    </font>
    <font>
      <sz val="10"/>
      <color rgb="FF1A1A1A"/>
      <name val="Calibri"/>
      <charset val="1"/>
    </font>
    <font>
      <sz val="9"/>
      <color rgb="FF3A4A4C"/>
      <name val="Calibri"/>
      <charset val="1"/>
    </font>
    <font>
      <b/>
      <sz val="10"/>
      <color rgb="FFC8843C"/>
      <name val="Calibri"/>
      <charset val="1"/>
    </font>
    <font>
      <b/>
      <sz val="8"/>
      <color rgb="FFFFFFFF"/>
      <name val="Calibri"/>
      <charset val="1"/>
    </font>
    <font>
      <b/>
      <sz val="14"/>
      <color rgb="FF0D3B40"/>
      <name val="Calibri"/>
      <charset val="1"/>
    </font>
    <font>
      <sz val="10"/>
      <color rgb="FF0D3B40"/>
      <name val="Calibri"/>
      <charset val="1"/>
    </font>
    <font>
      <b/>
      <sz val="10"/>
      <color rgb="FF1A1A1A"/>
      <name val="Calibri"/>
      <charset val="1"/>
    </font>
    <font>
      <sz val="9"/>
      <color rgb="FF6B7B7D"/>
      <name val="Calibri"/>
      <charset val="1"/>
    </font>
    <font>
      <b/>
      <sz val="16"/>
      <color rgb="FFFFFFFF"/>
      <name val="Calibri"/>
      <charset val="1"/>
    </font>
    <font>
      <b/>
      <sz val="10"/>
      <color rgb="FF1F3538"/>
      <name val="Calibri"/>
      <charset val="1"/>
    </font>
    <font>
      <sz val="10"/>
      <color rgb="FF1F3538"/>
      <name val="Calibri"/>
      <charset val="1"/>
    </font>
    <font>
      <sz val="9"/>
      <color rgb="FF1A1A1A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0D3B40"/>
        <bgColor rgb="FF1F3538"/>
      </patternFill>
    </fill>
    <fill>
      <patternFill patternType="solid">
        <fgColor rgb="FFC8843C"/>
        <bgColor rgb="FFFF9900"/>
      </patternFill>
    </fill>
    <fill>
      <patternFill patternType="solid">
        <fgColor rgb="FF17636B"/>
        <bgColor rgb="FF1F5C99"/>
      </patternFill>
    </fill>
    <fill>
      <patternFill patternType="solid">
        <fgColor rgb="FF6B7B7D"/>
        <bgColor rgb="FF666699"/>
      </patternFill>
    </fill>
    <fill>
      <patternFill patternType="solid">
        <fgColor rgb="FFE4EDEE"/>
        <bgColor rgb="FFE6EFF7"/>
      </patternFill>
    </fill>
    <fill>
      <patternFill patternType="solid">
        <fgColor rgb="FFFFF6E5"/>
        <bgColor rgb="FFFDF1DE"/>
      </patternFill>
    </fill>
    <fill>
      <patternFill patternType="solid">
        <fgColor rgb="FFF4F8F8"/>
        <bgColor rgb="FFFFFFFF"/>
      </patternFill>
    </fill>
    <fill>
      <patternFill patternType="solid">
        <fgColor rgb="FFFFFFFF"/>
        <bgColor rgb="FFF4F8F8"/>
      </patternFill>
    </fill>
  </fills>
  <borders count="8">
    <border>
      <left/>
      <right/>
      <top/>
      <bottom/>
      <diagonal/>
    </border>
    <border>
      <left style="thin">
        <color rgb="FFAFC4C7"/>
      </left>
      <right style="thin">
        <color rgb="FFAFC4C7"/>
      </right>
      <top style="thin">
        <color rgb="FFAFC4C7"/>
      </top>
      <bottom style="hair">
        <color rgb="FFAFC4C7"/>
      </bottom>
      <diagonal/>
    </border>
    <border>
      <left style="thin">
        <color rgb="FFAFC4C7"/>
      </left>
      <right style="thin">
        <color rgb="FFAFC4C7"/>
      </right>
      <top style="hair">
        <color rgb="FFAFC4C7"/>
      </top>
      <bottom style="hair">
        <color rgb="FFAFC4C7"/>
      </bottom>
      <diagonal/>
    </border>
    <border>
      <left style="thin">
        <color rgb="FFAFC4C7"/>
      </left>
      <right style="thin">
        <color rgb="FFAFC4C7"/>
      </right>
      <top style="thin">
        <color rgb="FFAFC4C7"/>
      </top>
      <bottom/>
      <diagonal/>
    </border>
    <border>
      <left style="thin">
        <color rgb="FFAFC4C7"/>
      </left>
      <right style="thin">
        <color rgb="FFAFC4C7"/>
      </right>
      <top/>
      <bottom style="thin">
        <color rgb="FFAFC4C7"/>
      </bottom>
      <diagonal/>
    </border>
    <border>
      <left style="thin">
        <color rgb="FFAFC4C7"/>
      </left>
      <right style="thin">
        <color rgb="FFAFC4C7"/>
      </right>
      <top style="medium">
        <color rgb="FF0D3B40"/>
      </top>
      <bottom style="medium">
        <color rgb="FF0D3B40"/>
      </bottom>
      <diagonal/>
    </border>
    <border>
      <left style="hair">
        <color rgb="FFAFC4C7"/>
      </left>
      <right style="hair">
        <color rgb="FFAFC4C7"/>
      </right>
      <top style="medium">
        <color rgb="FF0D3B40"/>
      </top>
      <bottom style="medium">
        <color rgb="FF0D3B40"/>
      </bottom>
      <diagonal/>
    </border>
    <border>
      <left style="hair">
        <color rgb="FFAFC4C7"/>
      </left>
      <right style="hair">
        <color rgb="FFAFC4C7"/>
      </right>
      <top style="hair">
        <color rgb="FFAFC4C7"/>
      </top>
      <bottom style="hair">
        <color rgb="FFAFC4C7"/>
      </bottom>
      <diagonal/>
    </border>
  </borders>
  <cellStyleXfs count="1">
    <xf numFmtId="0" fontId="0" fillId="0" borderId="0"/>
  </cellStyleXfs>
  <cellXfs count="67">
    <xf numFmtId="0" fontId="0" fillId="0" borderId="0" xfId="0"/>
    <xf numFmtId="167" fontId="9" fillId="9" borderId="4" xfId="0" applyNumberFormat="1" applyFont="1" applyFill="1" applyBorder="1" applyAlignment="1">
      <alignment horizontal="right" vertical="center" indent="1"/>
    </xf>
    <xf numFmtId="166" fontId="9" fillId="9" borderId="4" xfId="0" applyNumberFormat="1" applyFont="1" applyFill="1" applyBorder="1" applyAlignment="1">
      <alignment horizontal="right" vertical="center" indent="1"/>
    </xf>
    <xf numFmtId="165" fontId="9" fillId="9" borderId="4" xfId="0" applyNumberFormat="1" applyFont="1" applyFill="1" applyBorder="1" applyAlignment="1">
      <alignment horizontal="right" vertical="center" indent="1"/>
    </xf>
    <xf numFmtId="164" fontId="9" fillId="9" borderId="4" xfId="0" applyNumberFormat="1" applyFont="1" applyFill="1" applyBorder="1" applyAlignment="1">
      <alignment horizontal="right" vertical="center" indent="1"/>
    </xf>
    <xf numFmtId="1" fontId="9" fillId="9" borderId="4" xfId="0" applyNumberFormat="1" applyFont="1" applyFill="1" applyBorder="1" applyAlignment="1">
      <alignment horizontal="right" vertical="center" indent="1"/>
    </xf>
    <xf numFmtId="0" fontId="8" fillId="4" borderId="3" xfId="0" applyFont="1" applyFill="1" applyBorder="1" applyAlignment="1">
      <alignment horizontal="left" vertical="center" indent="1"/>
    </xf>
    <xf numFmtId="1" fontId="7" fillId="7" borderId="2" xfId="0" applyNumberFormat="1" applyFont="1" applyFill="1" applyBorder="1" applyAlignment="1">
      <alignment horizontal="left" vertical="center" indent="1"/>
    </xf>
    <xf numFmtId="1" fontId="5" fillId="7" borderId="2" xfId="0" applyNumberFormat="1" applyFont="1" applyFill="1" applyBorder="1" applyAlignment="1">
      <alignment horizontal="left" vertical="center" indent="1"/>
    </xf>
    <xf numFmtId="0" fontId="6" fillId="8" borderId="2" xfId="0" applyFont="1" applyFill="1" applyBorder="1" applyAlignment="1">
      <alignment horizontal="left" vertical="center" indent="1"/>
    </xf>
    <xf numFmtId="0" fontId="5" fillId="7" borderId="2" xfId="0" applyFont="1" applyFill="1" applyBorder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right" vertical="center" indent="1"/>
    </xf>
    <xf numFmtId="0" fontId="10" fillId="8" borderId="2" xfId="0" applyFont="1" applyFill="1" applyBorder="1" applyAlignment="1">
      <alignment horizontal="left" vertical="center" indent="1"/>
    </xf>
    <xf numFmtId="166" fontId="5" fillId="8" borderId="2" xfId="0" applyNumberFormat="1" applyFont="1" applyFill="1" applyBorder="1" applyAlignment="1">
      <alignment horizontal="right" vertical="center" indent="1"/>
    </xf>
    <xf numFmtId="167" fontId="11" fillId="8" borderId="2" xfId="0" applyNumberFormat="1" applyFont="1" applyFill="1" applyBorder="1" applyAlignment="1">
      <alignment horizontal="right" vertical="center" indent="1"/>
    </xf>
    <xf numFmtId="165" fontId="5" fillId="8" borderId="2" xfId="0" applyNumberFormat="1" applyFont="1" applyFill="1" applyBorder="1" applyAlignment="1">
      <alignment horizontal="right" vertical="center" indent="1"/>
    </xf>
    <xf numFmtId="0" fontId="12" fillId="8" borderId="2" xfId="0" applyFont="1" applyFill="1" applyBorder="1" applyAlignment="1">
      <alignment horizontal="right" vertical="center" indent="1"/>
    </xf>
    <xf numFmtId="0" fontId="10" fillId="9" borderId="2" xfId="0" applyFont="1" applyFill="1" applyBorder="1" applyAlignment="1">
      <alignment horizontal="left" vertical="center" indent="1"/>
    </xf>
    <xf numFmtId="166" fontId="5" fillId="9" borderId="2" xfId="0" applyNumberFormat="1" applyFont="1" applyFill="1" applyBorder="1" applyAlignment="1">
      <alignment horizontal="right" vertical="center" indent="1"/>
    </xf>
    <xf numFmtId="167" fontId="11" fillId="9" borderId="2" xfId="0" applyNumberFormat="1" applyFont="1" applyFill="1" applyBorder="1" applyAlignment="1">
      <alignment horizontal="right" vertical="center" indent="1"/>
    </xf>
    <xf numFmtId="165" fontId="5" fillId="9" borderId="2" xfId="0" applyNumberFormat="1" applyFont="1" applyFill="1" applyBorder="1" applyAlignment="1">
      <alignment horizontal="right" vertical="center" indent="1"/>
    </xf>
    <xf numFmtId="0" fontId="12" fillId="9" borderId="2" xfId="0" applyFont="1" applyFill="1" applyBorder="1" applyAlignment="1">
      <alignment horizontal="right" vertical="center" indent="1"/>
    </xf>
    <xf numFmtId="0" fontId="3" fillId="2" borderId="5" xfId="0" applyFont="1" applyFill="1" applyBorder="1" applyAlignment="1">
      <alignment horizontal="left" vertical="center" indent="1"/>
    </xf>
    <xf numFmtId="166" fontId="3" fillId="2" borderId="5" xfId="0" applyNumberFormat="1" applyFont="1" applyFill="1" applyBorder="1" applyAlignment="1">
      <alignment horizontal="right" vertical="center" indent="1"/>
    </xf>
    <xf numFmtId="167" fontId="3" fillId="2" borderId="5" xfId="0" applyNumberFormat="1" applyFont="1" applyFill="1" applyBorder="1" applyAlignment="1">
      <alignment horizontal="right" vertical="center" indent="1"/>
    </xf>
    <xf numFmtId="165" fontId="3" fillId="2" borderId="5" xfId="0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 indent="1"/>
    </xf>
    <xf numFmtId="1" fontId="5" fillId="7" borderId="7" xfId="0" applyNumberFormat="1" applyFont="1" applyFill="1" applyBorder="1" applyAlignment="1">
      <alignment horizontal="center" vertical="center"/>
    </xf>
    <xf numFmtId="164" fontId="5" fillId="7" borderId="7" xfId="0" applyNumberFormat="1" applyFont="1" applyFill="1" applyBorder="1" applyAlignment="1">
      <alignment horizontal="right" vertical="center" indent="1"/>
    </xf>
    <xf numFmtId="169" fontId="5" fillId="7" borderId="7" xfId="0" applyNumberFormat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right" vertical="center" indent="1"/>
    </xf>
    <xf numFmtId="166" fontId="14" fillId="8" borderId="7" xfId="0" applyNumberFormat="1" applyFont="1" applyFill="1" applyBorder="1" applyAlignment="1">
      <alignment horizontal="right" vertical="center" indent="1"/>
    </xf>
    <xf numFmtId="168" fontId="15" fillId="8" borderId="7" xfId="0" applyNumberFormat="1" applyFont="1" applyFill="1" applyBorder="1" applyAlignment="1">
      <alignment horizontal="right" vertical="center" indent="1"/>
    </xf>
    <xf numFmtId="166" fontId="14" fillId="9" borderId="7" xfId="0" applyNumberFormat="1" applyFont="1" applyFill="1" applyBorder="1" applyAlignment="1">
      <alignment horizontal="right" vertical="center" indent="1"/>
    </xf>
    <xf numFmtId="168" fontId="15" fillId="9" borderId="7" xfId="0" applyNumberFormat="1" applyFont="1" applyFill="1" applyBorder="1" applyAlignment="1">
      <alignment horizontal="right" vertical="center" indent="1"/>
    </xf>
    <xf numFmtId="164" fontId="3" fillId="2" borderId="6" xfId="0" applyNumberFormat="1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indent="1"/>
    </xf>
    <xf numFmtId="166" fontId="3" fillId="2" borderId="6" xfId="0" applyNumberFormat="1" applyFont="1" applyFill="1" applyBorder="1" applyAlignment="1">
      <alignment horizontal="right" vertical="center" indent="1"/>
    </xf>
    <xf numFmtId="168" fontId="3" fillId="2" borderId="6" xfId="0" applyNumberFormat="1" applyFont="1" applyFill="1" applyBorder="1" applyAlignment="1">
      <alignment horizontal="right" vertical="center" indent="1"/>
    </xf>
    <xf numFmtId="0" fontId="11" fillId="7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left" vertical="center" indent="1"/>
    </xf>
    <xf numFmtId="166" fontId="15" fillId="8" borderId="7" xfId="0" applyNumberFormat="1" applyFont="1" applyFill="1" applyBorder="1" applyAlignment="1">
      <alignment horizontal="right" vertical="center" indent="1"/>
    </xf>
    <xf numFmtId="4" fontId="16" fillId="7" borderId="7" xfId="0" applyNumberFormat="1" applyFont="1" applyFill="1" applyBorder="1" applyAlignment="1">
      <alignment horizontal="right" vertical="center" indent="1"/>
    </xf>
    <xf numFmtId="167" fontId="14" fillId="8" borderId="7" xfId="0" applyNumberFormat="1" applyFont="1" applyFill="1" applyBorder="1" applyAlignment="1">
      <alignment horizontal="right" vertical="center" indent="1"/>
    </xf>
    <xf numFmtId="0" fontId="14" fillId="8" borderId="7" xfId="0" applyFont="1" applyFill="1" applyBorder="1" applyAlignment="1">
      <alignment horizontal="center" vertical="center"/>
    </xf>
    <xf numFmtId="0" fontId="15" fillId="9" borderId="7" xfId="0" applyFont="1" applyFill="1" applyBorder="1" applyAlignment="1">
      <alignment horizontal="left" vertical="center" indent="1"/>
    </xf>
    <xf numFmtId="166" fontId="15" fillId="9" borderId="7" xfId="0" applyNumberFormat="1" applyFont="1" applyFill="1" applyBorder="1" applyAlignment="1">
      <alignment horizontal="right" vertical="center" indent="1"/>
    </xf>
    <xf numFmtId="167" fontId="14" fillId="9" borderId="7" xfId="0" applyNumberFormat="1" applyFont="1" applyFill="1" applyBorder="1" applyAlignment="1">
      <alignment horizontal="right" vertical="center" indent="1"/>
    </xf>
    <xf numFmtId="0" fontId="14" fillId="9" borderId="7" xfId="0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right" vertical="center" indent="1"/>
    </xf>
    <xf numFmtId="3" fontId="2" fillId="2" borderId="6" xfId="0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center" vertical="center"/>
    </xf>
    <xf numFmtId="168" fontId="9" fillId="9" borderId="4" xfId="0" applyNumberFormat="1" applyFont="1" applyFill="1" applyBorder="1" applyAlignment="1">
      <alignment horizontal="right" vertical="center" indent="1"/>
    </xf>
    <xf numFmtId="0" fontId="6" fillId="8" borderId="2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left" vertical="center" indent="1"/>
    </xf>
  </cellXfs>
  <cellStyles count="1">
    <cellStyle name="Standard" xfId="0" builtinId="0"/>
  </cellStyles>
  <dxfs count="47">
    <dxf>
      <font>
        <b/>
        <sz val="10"/>
        <color rgb="FFA93226"/>
        <name val="Calibri"/>
        <charset val="1"/>
      </font>
      <fill>
        <patternFill>
          <bgColor rgb="FFFBE7E4"/>
        </patternFill>
      </fill>
    </dxf>
    <dxf>
      <font>
        <b/>
        <sz val="10"/>
        <color rgb="FF1F7A5C"/>
        <name val="Calibri"/>
        <charset val="1"/>
      </font>
      <fill>
        <patternFill>
          <bgColor rgb="FFE3F2EA"/>
        </patternFill>
      </fill>
    </dxf>
    <dxf>
      <font>
        <b/>
        <sz val="10"/>
        <color rgb="FF1F5C99"/>
        <name val="Calibri"/>
        <charset val="1"/>
      </font>
      <fill>
        <patternFill>
          <bgColor rgb="FFE6EFF7"/>
        </patternFill>
      </fill>
    </dxf>
    <dxf>
      <font>
        <b/>
        <sz val="10"/>
        <color rgb="FFA93226"/>
        <name val="Calibri"/>
        <charset val="1"/>
      </font>
      <fill>
        <patternFill>
          <bgColor rgb="FFFBE7E4"/>
        </patternFill>
      </fill>
    </dxf>
    <dxf>
      <font>
        <b/>
        <sz val="10"/>
        <color rgb="FF1F5C99"/>
        <name val="Calibri"/>
        <charset val="1"/>
      </font>
      <fill>
        <patternFill>
          <bgColor rgb="FFE6EFF7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sz val="9"/>
        <color rgb="FF1F7A5C"/>
        <name val="Calibri"/>
        <charset val="1"/>
      </font>
      <fill>
        <patternFill>
          <bgColor rgb="FFE3F2EA"/>
        </patternFill>
      </fill>
    </dxf>
    <dxf>
      <font>
        <b/>
        <sz val="9"/>
        <color rgb="FFC8843C"/>
        <name val="Calibri"/>
        <charset val="1"/>
      </font>
      <fill>
        <patternFill>
          <bgColor rgb="FFFDF1DE"/>
        </patternFill>
      </fill>
    </dxf>
    <dxf>
      <font>
        <b/>
        <sz val="9"/>
        <color rgb="FFA93226"/>
        <name val="Calibri"/>
        <charset val="1"/>
      </font>
      <fill>
        <patternFill>
          <bgColor rgb="FFFBE7E4"/>
        </patternFill>
      </fill>
    </dxf>
    <dxf>
      <font>
        <b/>
        <sz val="10"/>
        <color rgb="FF1F5C99"/>
        <name val="Calibri"/>
        <charset val="1"/>
      </font>
      <fill>
        <patternFill>
          <bgColor rgb="FFE6EFF7"/>
        </patternFill>
      </fill>
    </dxf>
    <dxf>
      <font>
        <b/>
        <sz val="10"/>
        <color rgb="FFC8843C"/>
        <name val="Calibri"/>
        <charset val="1"/>
      </font>
      <fill>
        <patternFill>
          <bgColor rgb="FFFDF1DE"/>
        </patternFill>
      </fill>
    </dxf>
    <dxf>
      <font>
        <b/>
        <sz val="10"/>
        <color rgb="FFA93226"/>
        <name val="Calibri"/>
        <charset val="1"/>
      </font>
      <fill>
        <patternFill>
          <bgColor rgb="FFFBE7E4"/>
        </patternFill>
      </fill>
    </dxf>
    <dxf>
      <font>
        <b/>
        <sz val="10"/>
        <color rgb="FF1F7A5C"/>
        <name val="Calibri"/>
        <charset val="1"/>
      </font>
      <fill>
        <patternFill>
          <bgColor rgb="FFE3F2EA"/>
        </patternFill>
      </fill>
    </dxf>
    <dxf>
      <font>
        <b/>
        <sz val="10"/>
        <color rgb="FFC8843C"/>
        <name val="Calibri"/>
        <charset val="1"/>
      </font>
      <fill>
        <patternFill>
          <bgColor rgb="FFFDF1DE"/>
        </patternFill>
      </fill>
    </dxf>
    <dxf>
      <font>
        <b/>
        <sz val="10"/>
        <color rgb="FFA93226"/>
        <name val="Calibri"/>
        <charset val="1"/>
      </font>
      <fill>
        <patternFill>
          <bgColor rgb="FFFBE7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7A5C"/>
      <rgbColor rgb="FFAFC4C7"/>
      <rgbColor rgb="FF6B7B7D"/>
      <rgbColor rgb="FF9999FF"/>
      <rgbColor rgb="FF993366"/>
      <rgbColor rgb="FFFFF6E5"/>
      <rgbColor rgb="FFE3F2EA"/>
      <rgbColor rgb="FF660066"/>
      <rgbColor rgb="FFC8843C"/>
      <rgbColor rgb="FF1F5C99"/>
      <rgbColor rgb="FFF4F8F8"/>
      <rgbColor rgb="FF000080"/>
      <rgbColor rgb="FFFF00FF"/>
      <rgbColor rgb="FFFFFF00"/>
      <rgbColor rgb="FF00FFFF"/>
      <rgbColor rgb="FF800080"/>
      <rgbColor rgb="FF800000"/>
      <rgbColor rgb="FF17636B"/>
      <rgbColor rgb="FF0000FF"/>
      <rgbColor rgb="FF00CCFF"/>
      <rgbColor rgb="FFE6EFF7"/>
      <rgbColor rgb="FFE4EDEE"/>
      <rgbColor rgb="FFFDF1DE"/>
      <rgbColor rgb="FF99CCFF"/>
      <rgbColor rgb="FFFF99CC"/>
      <rgbColor rgb="FFCC99FF"/>
      <rgbColor rgb="FFFBE7E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D3B40"/>
      <rgbColor rgb="FF339966"/>
      <rgbColor rgb="FF003300"/>
      <rgbColor rgb="FF1A1A1A"/>
      <rgbColor rgb="FFA93226"/>
      <rgbColor rgb="FF993366"/>
      <rgbColor rgb="FF3A4A4C"/>
      <rgbColor rgb="FF1F35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3B40"/>
    <pageSetUpPr fitToPage="1"/>
  </sheetPr>
  <dimension ref="B1:G43"/>
  <sheetViews>
    <sheetView showGridLines="0" tabSelected="1" zoomScaleNormal="100" workbookViewId="0">
      <pane ySplit="3" topLeftCell="A4" activePane="bottomLeft" state="frozen"/>
      <selection pane="bottomLeft" activeCell="L12" sqref="L12"/>
    </sheetView>
  </sheetViews>
  <sheetFormatPr baseColWidth="10" defaultColWidth="8.7109375" defaultRowHeight="15" x14ac:dyDescent="0.25"/>
  <cols>
    <col min="1" max="1" width="1" customWidth="1"/>
    <col min="2" max="2" width="30" bestFit="1" customWidth="1"/>
    <col min="3" max="4" width="11.5703125" bestFit="1" customWidth="1"/>
    <col min="5" max="5" width="11.28515625" bestFit="1" customWidth="1"/>
    <col min="6" max="6" width="12.5703125" bestFit="1" customWidth="1"/>
    <col min="7" max="7" width="20.42578125" bestFit="1" customWidth="1"/>
    <col min="8" max="8" width="2.42578125" customWidth="1"/>
  </cols>
  <sheetData>
    <row r="1" spans="2:7" ht="36" customHeight="1" x14ac:dyDescent="0.25">
      <c r="B1" s="14" t="s">
        <v>152</v>
      </c>
      <c r="C1" s="14"/>
      <c r="D1" s="14"/>
      <c r="E1" s="14"/>
      <c r="F1" s="14"/>
      <c r="G1" s="14"/>
    </row>
    <row r="2" spans="2:7" ht="16.5" customHeight="1" x14ac:dyDescent="0.25">
      <c r="B2" s="13" t="s">
        <v>0</v>
      </c>
      <c r="C2" s="13"/>
      <c r="D2" s="13"/>
      <c r="E2" s="13"/>
      <c r="F2" s="13"/>
      <c r="G2" s="13"/>
    </row>
    <row r="3" spans="2:7" ht="7.5" customHeight="1" x14ac:dyDescent="0.25"/>
    <row r="4" spans="2:7" ht="19.5" customHeight="1" x14ac:dyDescent="0.25">
      <c r="B4" s="12" t="s">
        <v>1</v>
      </c>
      <c r="C4" s="12"/>
      <c r="D4" s="12"/>
      <c r="E4" s="11" t="s">
        <v>2</v>
      </c>
      <c r="F4" s="11"/>
      <c r="G4" s="11"/>
    </row>
    <row r="5" spans="2:7" ht="16.5" customHeight="1" x14ac:dyDescent="0.25">
      <c r="B5" s="15" t="s">
        <v>3</v>
      </c>
      <c r="C5" s="10" t="s">
        <v>4</v>
      </c>
      <c r="D5" s="10"/>
      <c r="E5" s="9" t="s">
        <v>5</v>
      </c>
      <c r="F5" s="9"/>
      <c r="G5" s="9"/>
    </row>
    <row r="6" spans="2:7" ht="16.5" customHeight="1" x14ac:dyDescent="0.25">
      <c r="B6" s="15" t="s">
        <v>6</v>
      </c>
      <c r="C6" s="10" t="s">
        <v>7</v>
      </c>
      <c r="D6" s="10"/>
      <c r="E6" s="9" t="s">
        <v>8</v>
      </c>
      <c r="F6" s="9"/>
      <c r="G6" s="9"/>
    </row>
    <row r="7" spans="2:7" ht="16.5" customHeight="1" x14ac:dyDescent="0.25">
      <c r="B7" s="15" t="s">
        <v>9</v>
      </c>
      <c r="C7" s="10" t="s">
        <v>10</v>
      </c>
      <c r="D7" s="10"/>
      <c r="E7" s="9" t="s">
        <v>11</v>
      </c>
      <c r="F7" s="9"/>
      <c r="G7" s="9"/>
    </row>
    <row r="8" spans="2:7" ht="16.5" customHeight="1" x14ac:dyDescent="0.25">
      <c r="B8" s="15" t="s">
        <v>12</v>
      </c>
      <c r="C8" s="10" t="s">
        <v>13</v>
      </c>
      <c r="D8" s="10"/>
      <c r="E8" s="9" t="s">
        <v>14</v>
      </c>
      <c r="F8" s="9"/>
      <c r="G8" s="9"/>
    </row>
    <row r="9" spans="2:7" ht="16.5" customHeight="1" x14ac:dyDescent="0.25">
      <c r="B9" s="15" t="s">
        <v>15</v>
      </c>
      <c r="C9" s="10" t="s">
        <v>16</v>
      </c>
      <c r="D9" s="10"/>
      <c r="E9" s="9" t="s">
        <v>17</v>
      </c>
      <c r="F9" s="9"/>
      <c r="G9" s="9"/>
    </row>
    <row r="10" spans="2:7" ht="16.5" customHeight="1" x14ac:dyDescent="0.25">
      <c r="B10" s="15" t="s">
        <v>18</v>
      </c>
      <c r="C10" s="10" t="s">
        <v>19</v>
      </c>
      <c r="D10" s="10"/>
      <c r="E10" s="9" t="s">
        <v>20</v>
      </c>
      <c r="F10" s="9"/>
      <c r="G10" s="9"/>
    </row>
    <row r="11" spans="2:7" ht="16.5" customHeight="1" x14ac:dyDescent="0.25">
      <c r="B11" s="15" t="s">
        <v>21</v>
      </c>
      <c r="C11" s="8">
        <v>2026</v>
      </c>
      <c r="D11" s="8"/>
      <c r="E11" s="9" t="s">
        <v>22</v>
      </c>
      <c r="F11" s="9"/>
      <c r="G11" s="9"/>
    </row>
    <row r="12" spans="2:7" ht="16.5" customHeight="1" x14ac:dyDescent="0.25">
      <c r="B12" s="15" t="s">
        <v>23</v>
      </c>
      <c r="C12" s="7">
        <v>7</v>
      </c>
      <c r="D12" s="7"/>
      <c r="E12" s="9" t="s">
        <v>24</v>
      </c>
      <c r="F12" s="9"/>
      <c r="G12" s="9"/>
    </row>
    <row r="13" spans="2:7" ht="7.5" customHeight="1" x14ac:dyDescent="0.25"/>
    <row r="14" spans="2:7" ht="19.5" customHeight="1" x14ac:dyDescent="0.25">
      <c r="B14" s="12" t="s">
        <v>25</v>
      </c>
      <c r="C14" s="12"/>
      <c r="D14" s="12"/>
      <c r="E14" s="12"/>
      <c r="F14" s="12"/>
      <c r="G14" s="12"/>
    </row>
    <row r="15" spans="2:7" ht="15" customHeight="1" x14ac:dyDescent="0.25">
      <c r="B15" s="6" t="s">
        <v>26</v>
      </c>
      <c r="C15" s="6"/>
      <c r="D15" s="6" t="s">
        <v>27</v>
      </c>
      <c r="E15" s="6"/>
      <c r="F15" s="6" t="s">
        <v>28</v>
      </c>
      <c r="G15" s="6"/>
    </row>
    <row r="16" spans="2:7" ht="24.75" customHeight="1" x14ac:dyDescent="0.25">
      <c r="B16" s="5">
        <f>COUNTA(Mietaufstellung!$A$6:$A$25)</f>
        <v>11</v>
      </c>
      <c r="C16" s="5"/>
      <c r="D16" s="4">
        <f>SUM(Mietaufstellung!$E$6:$E$25)</f>
        <v>739.2</v>
      </c>
      <c r="E16" s="4"/>
      <c r="F16" s="3">
        <f>IFERROR((SUM(Mietaufstellung!$E$6:$E$25)-SUMIF(Mietaufstellung!$Q$6:$Q$25,"Leerstand",Mietaufstellung!$E$6:$E$25))/SUM(Mietaufstellung!$E$6:$E$25),0)</f>
        <v>0.92911255411255411</v>
      </c>
      <c r="G16" s="3"/>
    </row>
    <row r="17" spans="2:7" ht="15" customHeight="1" x14ac:dyDescent="0.25">
      <c r="B17" s="6" t="s">
        <v>29</v>
      </c>
      <c r="C17" s="6"/>
      <c r="D17" s="6" t="s">
        <v>30</v>
      </c>
      <c r="E17" s="6"/>
      <c r="F17" s="6" t="s">
        <v>31</v>
      </c>
      <c r="G17" s="6"/>
    </row>
    <row r="18" spans="2:7" ht="24.75" customHeight="1" x14ac:dyDescent="0.25">
      <c r="B18" s="2">
        <f>SUM(Mietaufstellung!$O$6:$O$25)</f>
        <v>119688</v>
      </c>
      <c r="C18" s="2"/>
      <c r="D18" s="2">
        <f>SUM(Zahlungseingänge!$P$6:$P$25)</f>
        <v>69818</v>
      </c>
      <c r="E18" s="2"/>
      <c r="F18" s="2">
        <f>SUM(Zahlungseingänge!$Q$6:$Q$25)</f>
        <v>68778</v>
      </c>
      <c r="G18" s="2"/>
    </row>
    <row r="19" spans="2:7" ht="15" customHeight="1" x14ac:dyDescent="0.25">
      <c r="B19" s="6" t="s">
        <v>32</v>
      </c>
      <c r="C19" s="6"/>
      <c r="D19" s="6" t="s">
        <v>33</v>
      </c>
      <c r="E19" s="6"/>
      <c r="F19" s="6" t="s">
        <v>34</v>
      </c>
      <c r="G19" s="6"/>
    </row>
    <row r="20" spans="2:7" ht="24.75" customHeight="1" x14ac:dyDescent="0.25">
      <c r="B20" s="1">
        <f>SUM(Zahlungseingänge!$R$6:$R$25)</f>
        <v>-1040</v>
      </c>
      <c r="C20" s="1"/>
      <c r="D20" s="3">
        <f>IF(SUM(Zahlungseingänge!$P$6:$P$25)=0,0,SUM(Zahlungseingänge!$Q$6:$Q$25)/SUM(Zahlungseingänge!$P$6:$P$25))</f>
        <v>0.98510412787533297</v>
      </c>
      <c r="E20" s="3"/>
      <c r="F20" s="60">
        <f>IFERROR(SUMIF(Mietaufstellung!$Q$6:$Q$25,"Vermietet",Mietaufstellung!$I$6:$I$25)/SUMIF(Mietaufstellung!$Q$6:$Q$25,"Vermietet",Mietaufstellung!$E$6:$E$25),0)</f>
        <v>10.528494110156</v>
      </c>
      <c r="G20" s="60"/>
    </row>
    <row r="21" spans="2:7" ht="7.5" customHeight="1" x14ac:dyDescent="0.25"/>
    <row r="22" spans="2:7" ht="19.5" customHeight="1" x14ac:dyDescent="0.25">
      <c r="B22" s="12" t="s">
        <v>35</v>
      </c>
      <c r="C22" s="12"/>
      <c r="D22" s="12"/>
      <c r="E22" s="12"/>
      <c r="F22" s="12"/>
      <c r="G22" s="12"/>
    </row>
    <row r="23" spans="2:7" ht="21.75" customHeight="1" x14ac:dyDescent="0.25">
      <c r="B23" s="16" t="s">
        <v>36</v>
      </c>
      <c r="C23" s="17" t="s">
        <v>37</v>
      </c>
      <c r="D23" s="17" t="s">
        <v>38</v>
      </c>
      <c r="E23" s="17" t="s">
        <v>39</v>
      </c>
      <c r="F23" s="17" t="s">
        <v>40</v>
      </c>
      <c r="G23" s="17" t="s">
        <v>41</v>
      </c>
    </row>
    <row r="24" spans="2:7" ht="15.75" customHeight="1" x14ac:dyDescent="0.25">
      <c r="B24" s="18" t="s">
        <v>42</v>
      </c>
      <c r="C24" s="19">
        <f>IF(1&gt;Stichmonat,0,SUM(Zahlungseingänge!$C$6:$C$25))</f>
        <v>9974</v>
      </c>
      <c r="D24" s="19">
        <f>SUM(Zahlungseingänge!D$6:D$25)</f>
        <v>9974</v>
      </c>
      <c r="E24" s="20">
        <f t="shared" ref="E24:E36" si="0">D24-C24</f>
        <v>0</v>
      </c>
      <c r="F24" s="21">
        <f t="shared" ref="F24:F36" si="1">IF(C24=0,"",D24/C24)</f>
        <v>1</v>
      </c>
      <c r="G24" s="22" t="str">
        <f t="shared" ref="G24:G35" si="2">IF(C24=0,"– noch nicht fällig",IF(ROUND(E24,2)&gt;=0,"vollständig",IF(D24=0,"komplett offen","teilweise offen")))</f>
        <v>vollständig</v>
      </c>
    </row>
    <row r="25" spans="2:7" ht="15.75" customHeight="1" x14ac:dyDescent="0.25">
      <c r="B25" s="23" t="s">
        <v>43</v>
      </c>
      <c r="C25" s="24">
        <f>IF(2&gt;Stichmonat,0,SUM(Zahlungseingänge!$C$6:$C$25))</f>
        <v>9974</v>
      </c>
      <c r="D25" s="24">
        <f>SUM(Zahlungseingänge!E$6:E$25)</f>
        <v>10074</v>
      </c>
      <c r="E25" s="25">
        <f t="shared" si="0"/>
        <v>100</v>
      </c>
      <c r="F25" s="26">
        <f t="shared" si="1"/>
        <v>1.0100260677762181</v>
      </c>
      <c r="G25" s="27" t="str">
        <f t="shared" si="2"/>
        <v>vollständig</v>
      </c>
    </row>
    <row r="26" spans="2:7" ht="15.75" customHeight="1" x14ac:dyDescent="0.25">
      <c r="B26" s="18" t="s">
        <v>44</v>
      </c>
      <c r="C26" s="19">
        <f>IF(3&gt;Stichmonat,0,SUM(Zahlungseingänge!$C$6:$C$25))</f>
        <v>9974</v>
      </c>
      <c r="D26" s="19">
        <f>SUM(Zahlungseingänge!F$6:F$25)</f>
        <v>9974</v>
      </c>
      <c r="E26" s="20">
        <f t="shared" si="0"/>
        <v>0</v>
      </c>
      <c r="F26" s="21">
        <f t="shared" si="1"/>
        <v>1</v>
      </c>
      <c r="G26" s="22" t="str">
        <f t="shared" si="2"/>
        <v>vollständig</v>
      </c>
    </row>
    <row r="27" spans="2:7" ht="15.75" customHeight="1" x14ac:dyDescent="0.25">
      <c r="B27" s="23" t="s">
        <v>45</v>
      </c>
      <c r="C27" s="24">
        <f>IF(4&gt;Stichmonat,0,SUM(Zahlungseingänge!$C$6:$C$25))</f>
        <v>9974</v>
      </c>
      <c r="D27" s="24">
        <f>SUM(Zahlungseingänge!G$6:G$25)</f>
        <v>9974</v>
      </c>
      <c r="E27" s="25">
        <f t="shared" si="0"/>
        <v>0</v>
      </c>
      <c r="F27" s="26">
        <f t="shared" si="1"/>
        <v>1</v>
      </c>
      <c r="G27" s="27" t="str">
        <f t="shared" si="2"/>
        <v>vollständig</v>
      </c>
    </row>
    <row r="28" spans="2:7" ht="15.75" customHeight="1" x14ac:dyDescent="0.25">
      <c r="B28" s="18" t="s">
        <v>46</v>
      </c>
      <c r="C28" s="19">
        <f>IF(5&gt;Stichmonat,0,SUM(Zahlungseingänge!$C$6:$C$25))</f>
        <v>9974</v>
      </c>
      <c r="D28" s="19">
        <f>SUM(Zahlungseingänge!H$6:H$25)</f>
        <v>9574</v>
      </c>
      <c r="E28" s="20">
        <f t="shared" si="0"/>
        <v>-400</v>
      </c>
      <c r="F28" s="21">
        <f t="shared" si="1"/>
        <v>0.95989572889512731</v>
      </c>
      <c r="G28" s="22" t="str">
        <f t="shared" si="2"/>
        <v>teilweise offen</v>
      </c>
    </row>
    <row r="29" spans="2:7" ht="15.75" customHeight="1" x14ac:dyDescent="0.25">
      <c r="B29" s="23" t="s">
        <v>47</v>
      </c>
      <c r="C29" s="24">
        <f>IF(6&gt;Stichmonat,0,SUM(Zahlungseingänge!$C$6:$C$25))</f>
        <v>9974</v>
      </c>
      <c r="D29" s="24">
        <f>SUM(Zahlungseingänge!I$6:I$25)</f>
        <v>9234</v>
      </c>
      <c r="E29" s="25">
        <f t="shared" si="0"/>
        <v>-740</v>
      </c>
      <c r="F29" s="26">
        <f t="shared" si="1"/>
        <v>0.92580709845598552</v>
      </c>
      <c r="G29" s="27" t="str">
        <f t="shared" si="2"/>
        <v>teilweise offen</v>
      </c>
    </row>
    <row r="30" spans="2:7" ht="15.75" customHeight="1" x14ac:dyDescent="0.25">
      <c r="B30" s="18" t="s">
        <v>48</v>
      </c>
      <c r="C30" s="19">
        <f>IF(7&gt;Stichmonat,0,SUM(Zahlungseingänge!$C$6:$C$25))</f>
        <v>9974</v>
      </c>
      <c r="D30" s="19">
        <f>SUM(Zahlungseingänge!J$6:J$25)</f>
        <v>9974</v>
      </c>
      <c r="E30" s="20">
        <f t="shared" si="0"/>
        <v>0</v>
      </c>
      <c r="F30" s="21">
        <f t="shared" si="1"/>
        <v>1</v>
      </c>
      <c r="G30" s="22" t="str">
        <f t="shared" si="2"/>
        <v>vollständig</v>
      </c>
    </row>
    <row r="31" spans="2:7" ht="15.75" customHeight="1" x14ac:dyDescent="0.25">
      <c r="B31" s="23" t="s">
        <v>49</v>
      </c>
      <c r="C31" s="24">
        <f>IF(8&gt;Stichmonat,0,SUM(Zahlungseingänge!$C$6:$C$25))</f>
        <v>0</v>
      </c>
      <c r="D31" s="24">
        <f>SUM(Zahlungseingänge!K$6:K$25)</f>
        <v>0</v>
      </c>
      <c r="E31" s="25">
        <f t="shared" si="0"/>
        <v>0</v>
      </c>
      <c r="F31" s="26" t="str">
        <f t="shared" si="1"/>
        <v/>
      </c>
      <c r="G31" s="27" t="str">
        <f t="shared" si="2"/>
        <v>– noch nicht fällig</v>
      </c>
    </row>
    <row r="32" spans="2:7" ht="15.75" customHeight="1" x14ac:dyDescent="0.25">
      <c r="B32" s="18" t="s">
        <v>50</v>
      </c>
      <c r="C32" s="19">
        <f>IF(9&gt;Stichmonat,0,SUM(Zahlungseingänge!$C$6:$C$25))</f>
        <v>0</v>
      </c>
      <c r="D32" s="19">
        <f>SUM(Zahlungseingänge!L$6:L$25)</f>
        <v>0</v>
      </c>
      <c r="E32" s="20">
        <f t="shared" si="0"/>
        <v>0</v>
      </c>
      <c r="F32" s="21" t="str">
        <f t="shared" si="1"/>
        <v/>
      </c>
      <c r="G32" s="22" t="str">
        <f t="shared" si="2"/>
        <v>– noch nicht fällig</v>
      </c>
    </row>
    <row r="33" spans="2:7" ht="15.75" customHeight="1" x14ac:dyDescent="0.25">
      <c r="B33" s="23" t="s">
        <v>51</v>
      </c>
      <c r="C33" s="24">
        <f>IF(10&gt;Stichmonat,0,SUM(Zahlungseingänge!$C$6:$C$25))</f>
        <v>0</v>
      </c>
      <c r="D33" s="24">
        <f>SUM(Zahlungseingänge!M$6:M$25)</f>
        <v>0</v>
      </c>
      <c r="E33" s="25">
        <f t="shared" si="0"/>
        <v>0</v>
      </c>
      <c r="F33" s="26" t="str">
        <f t="shared" si="1"/>
        <v/>
      </c>
      <c r="G33" s="27" t="str">
        <f t="shared" si="2"/>
        <v>– noch nicht fällig</v>
      </c>
    </row>
    <row r="34" spans="2:7" ht="15.75" customHeight="1" x14ac:dyDescent="0.25">
      <c r="B34" s="18" t="s">
        <v>52</v>
      </c>
      <c r="C34" s="19">
        <f>IF(11&gt;Stichmonat,0,SUM(Zahlungseingänge!$C$6:$C$25))</f>
        <v>0</v>
      </c>
      <c r="D34" s="19">
        <f>SUM(Zahlungseingänge!N$6:N$25)</f>
        <v>0</v>
      </c>
      <c r="E34" s="20">
        <f t="shared" si="0"/>
        <v>0</v>
      </c>
      <c r="F34" s="21" t="str">
        <f t="shared" si="1"/>
        <v/>
      </c>
      <c r="G34" s="22" t="str">
        <f t="shared" si="2"/>
        <v>– noch nicht fällig</v>
      </c>
    </row>
    <row r="35" spans="2:7" ht="15.75" customHeight="1" x14ac:dyDescent="0.25">
      <c r="B35" s="23" t="s">
        <v>53</v>
      </c>
      <c r="C35" s="24">
        <f>IF(12&gt;Stichmonat,0,SUM(Zahlungseingänge!$C$6:$C$25))</f>
        <v>0</v>
      </c>
      <c r="D35" s="24">
        <f>SUM(Zahlungseingänge!O$6:O$25)</f>
        <v>0</v>
      </c>
      <c r="E35" s="25">
        <f t="shared" si="0"/>
        <v>0</v>
      </c>
      <c r="F35" s="26" t="str">
        <f t="shared" si="1"/>
        <v/>
      </c>
      <c r="G35" s="27" t="str">
        <f t="shared" si="2"/>
        <v>– noch nicht fällig</v>
      </c>
    </row>
    <row r="36" spans="2:7" ht="21.75" customHeight="1" x14ac:dyDescent="0.25">
      <c r="B36" s="28" t="s">
        <v>54</v>
      </c>
      <c r="C36" s="29">
        <f>SUM(C24:C35)</f>
        <v>69818</v>
      </c>
      <c r="D36" s="29">
        <f>SUM(D24:D35)</f>
        <v>68778</v>
      </c>
      <c r="E36" s="30">
        <f t="shared" si="0"/>
        <v>-1040</v>
      </c>
      <c r="F36" s="31">
        <f t="shared" si="1"/>
        <v>0.98510412787533297</v>
      </c>
      <c r="G36" s="17" t="str">
        <f>TEXT(Stichmonat,"0")&amp;" von 12 Monaten erfasst"</f>
        <v>7 von 12 Monaten erfasst</v>
      </c>
    </row>
    <row r="37" spans="2:7" ht="7.5" customHeight="1" x14ac:dyDescent="0.25"/>
    <row r="38" spans="2:7" ht="19.5" customHeight="1" x14ac:dyDescent="0.25">
      <c r="B38" s="12" t="s">
        <v>55</v>
      </c>
      <c r="C38" s="12"/>
      <c r="D38" s="12"/>
      <c r="E38" s="12"/>
      <c r="F38" s="12"/>
      <c r="G38" s="12"/>
    </row>
    <row r="39" spans="2:7" ht="25.5" customHeight="1" x14ac:dyDescent="0.25">
      <c r="B39" s="61" t="s">
        <v>56</v>
      </c>
      <c r="C39" s="61"/>
      <c r="D39" s="61"/>
      <c r="E39" s="61"/>
      <c r="F39" s="61"/>
      <c r="G39" s="61"/>
    </row>
    <row r="40" spans="2:7" ht="25.5" customHeight="1" x14ac:dyDescent="0.25">
      <c r="B40" s="61" t="s">
        <v>57</v>
      </c>
      <c r="C40" s="61"/>
      <c r="D40" s="61"/>
      <c r="E40" s="61"/>
      <c r="F40" s="61"/>
      <c r="G40" s="61"/>
    </row>
    <row r="41" spans="2:7" ht="25.5" customHeight="1" x14ac:dyDescent="0.25">
      <c r="B41" s="61" t="s">
        <v>58</v>
      </c>
      <c r="C41" s="61"/>
      <c r="D41" s="61"/>
      <c r="E41" s="61"/>
      <c r="F41" s="61"/>
      <c r="G41" s="61"/>
    </row>
    <row r="42" spans="2:7" ht="25.5" customHeight="1" x14ac:dyDescent="0.25">
      <c r="B42" s="61" t="s">
        <v>59</v>
      </c>
      <c r="C42" s="61"/>
      <c r="D42" s="61"/>
      <c r="E42" s="61"/>
      <c r="F42" s="61"/>
      <c r="G42" s="61"/>
    </row>
    <row r="43" spans="2:7" ht="25.5" customHeight="1" x14ac:dyDescent="0.25">
      <c r="B43" s="61" t="s">
        <v>60</v>
      </c>
      <c r="C43" s="61"/>
      <c r="D43" s="61"/>
      <c r="E43" s="61"/>
      <c r="F43" s="61"/>
      <c r="G43" s="61"/>
    </row>
  </sheetData>
  <mergeCells count="46">
    <mergeCell ref="B39:G39"/>
    <mergeCell ref="B40:G40"/>
    <mergeCell ref="B41:G41"/>
    <mergeCell ref="B42:G42"/>
    <mergeCell ref="B43:G43"/>
    <mergeCell ref="B20:C20"/>
    <mergeCell ref="D20:E20"/>
    <mergeCell ref="F20:G20"/>
    <mergeCell ref="B22:G22"/>
    <mergeCell ref="B38:G38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C12:D12"/>
    <mergeCell ref="E12:G12"/>
    <mergeCell ref="B14:G14"/>
    <mergeCell ref="B15:C15"/>
    <mergeCell ref="D15:E15"/>
    <mergeCell ref="F15:G15"/>
    <mergeCell ref="C9:D9"/>
    <mergeCell ref="E9:G9"/>
    <mergeCell ref="C10:D10"/>
    <mergeCell ref="E10:G10"/>
    <mergeCell ref="C11:D11"/>
    <mergeCell ref="E11:G11"/>
    <mergeCell ref="C6:D6"/>
    <mergeCell ref="E6:G6"/>
    <mergeCell ref="C7:D7"/>
    <mergeCell ref="E7:G7"/>
    <mergeCell ref="C8:D8"/>
    <mergeCell ref="E8:G8"/>
    <mergeCell ref="B1:G1"/>
    <mergeCell ref="B2:G2"/>
    <mergeCell ref="B4:D4"/>
    <mergeCell ref="E4:G4"/>
    <mergeCell ref="C5:D5"/>
    <mergeCell ref="E5:G5"/>
  </mergeCells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636B"/>
    <pageSetUpPr fitToPage="1"/>
  </sheetPr>
  <dimension ref="A1:R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11" customWidth="1"/>
    <col min="2" max="2" width="21" customWidth="1"/>
    <col min="3" max="3" width="13" customWidth="1"/>
    <col min="4" max="4" width="8" customWidth="1"/>
    <col min="5" max="5" width="11" customWidth="1"/>
    <col min="6" max="6" width="26" customWidth="1"/>
    <col min="7" max="12" width="13" customWidth="1"/>
    <col min="13" max="13" width="15" customWidth="1"/>
    <col min="14" max="14" width="12" customWidth="1"/>
    <col min="15" max="15" width="15" customWidth="1"/>
    <col min="16" max="16" width="12" customWidth="1"/>
    <col min="17" max="17" width="15" customWidth="1"/>
    <col min="18" max="18" width="34" customWidth="1"/>
  </cols>
  <sheetData>
    <row r="1" spans="1:18" ht="31.5" customHeight="1" x14ac:dyDescent="0.25">
      <c r="A1" s="62" t="s">
        <v>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6.5" customHeight="1" x14ac:dyDescent="0.25">
      <c r="A2" s="13" t="s">
        <v>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7.5" customHeight="1" x14ac:dyDescent="0.25"/>
    <row r="4" spans="1:18" ht="18" customHeight="1" x14ac:dyDescent="0.25">
      <c r="A4" s="12" t="s">
        <v>63</v>
      </c>
      <c r="B4" s="12"/>
      <c r="C4" s="12"/>
      <c r="D4" s="12"/>
      <c r="E4" s="12"/>
      <c r="F4" s="12"/>
      <c r="G4" s="12"/>
      <c r="H4" s="12"/>
      <c r="I4" s="63" t="s">
        <v>64</v>
      </c>
      <c r="J4" s="63"/>
      <c r="K4" s="63"/>
      <c r="L4" s="63"/>
      <c r="M4" s="63"/>
      <c r="N4" s="63"/>
      <c r="O4" s="63"/>
      <c r="P4" s="11" t="s">
        <v>65</v>
      </c>
      <c r="Q4" s="11"/>
      <c r="R4" s="11"/>
    </row>
    <row r="5" spans="1:18" ht="31.5" customHeight="1" x14ac:dyDescent="0.25">
      <c r="A5" s="32" t="s">
        <v>66</v>
      </c>
      <c r="B5" s="32" t="s">
        <v>67</v>
      </c>
      <c r="C5" s="32" t="s">
        <v>68</v>
      </c>
      <c r="D5" s="32" t="s">
        <v>69</v>
      </c>
      <c r="E5" s="32" t="s">
        <v>70</v>
      </c>
      <c r="F5" s="32" t="s">
        <v>71</v>
      </c>
      <c r="G5" s="32" t="s">
        <v>72</v>
      </c>
      <c r="H5" s="32" t="s">
        <v>73</v>
      </c>
      <c r="I5" s="32" t="s">
        <v>74</v>
      </c>
      <c r="J5" s="32" t="s">
        <v>75</v>
      </c>
      <c r="K5" s="32" t="s">
        <v>76</v>
      </c>
      <c r="L5" s="32" t="s">
        <v>77</v>
      </c>
      <c r="M5" s="32" t="s">
        <v>78</v>
      </c>
      <c r="N5" s="32" t="s">
        <v>79</v>
      </c>
      <c r="O5" s="32" t="s">
        <v>80</v>
      </c>
      <c r="P5" s="32" t="s">
        <v>81</v>
      </c>
      <c r="Q5" s="32" t="s">
        <v>41</v>
      </c>
      <c r="R5" s="32" t="s">
        <v>82</v>
      </c>
    </row>
    <row r="6" spans="1:18" ht="18" customHeight="1" x14ac:dyDescent="0.25">
      <c r="A6" s="33" t="s">
        <v>83</v>
      </c>
      <c r="B6" s="34" t="s">
        <v>84</v>
      </c>
      <c r="C6" s="33" t="s">
        <v>85</v>
      </c>
      <c r="D6" s="35">
        <v>3</v>
      </c>
      <c r="E6" s="36">
        <v>68.5</v>
      </c>
      <c r="F6" s="34" t="s">
        <v>86</v>
      </c>
      <c r="G6" s="37">
        <v>44256</v>
      </c>
      <c r="H6" s="37"/>
      <c r="I6" s="38">
        <v>685</v>
      </c>
      <c r="J6" s="38">
        <v>155</v>
      </c>
      <c r="K6" s="38">
        <v>95</v>
      </c>
      <c r="L6" s="38">
        <v>45</v>
      </c>
      <c r="M6" s="39">
        <f t="shared" ref="M6:M25" si="0">IF($A6="","",SUM(I6:L6))</f>
        <v>980</v>
      </c>
      <c r="N6" s="40">
        <f t="shared" ref="N6:N25" si="1">IF(OR($A6="",$E6=0,$E6=""),"",$I6/$E6)</f>
        <v>10</v>
      </c>
      <c r="O6" s="39">
        <f t="shared" ref="O6:O25" si="2">IF($A6="","",$M6*12)</f>
        <v>11760</v>
      </c>
      <c r="P6" s="38">
        <v>2055</v>
      </c>
      <c r="Q6" s="33" t="s">
        <v>87</v>
      </c>
      <c r="R6" s="34" t="s">
        <v>88</v>
      </c>
    </row>
    <row r="7" spans="1:18" ht="18" customHeight="1" x14ac:dyDescent="0.25">
      <c r="A7" s="33" t="s">
        <v>89</v>
      </c>
      <c r="B7" s="34" t="s">
        <v>90</v>
      </c>
      <c r="C7" s="33" t="s">
        <v>85</v>
      </c>
      <c r="D7" s="35">
        <v>2</v>
      </c>
      <c r="E7" s="36">
        <v>54.2</v>
      </c>
      <c r="F7" s="34" t="s">
        <v>91</v>
      </c>
      <c r="G7" s="37">
        <v>45153</v>
      </c>
      <c r="H7" s="37"/>
      <c r="I7" s="38">
        <v>590</v>
      </c>
      <c r="J7" s="38">
        <v>130</v>
      </c>
      <c r="K7" s="38">
        <v>80</v>
      </c>
      <c r="L7" s="38">
        <v>0</v>
      </c>
      <c r="M7" s="41">
        <f t="shared" si="0"/>
        <v>800</v>
      </c>
      <c r="N7" s="42">
        <f t="shared" si="1"/>
        <v>10.88560885608856</v>
      </c>
      <c r="O7" s="41">
        <f t="shared" si="2"/>
        <v>9600</v>
      </c>
      <c r="P7" s="38">
        <v>1770</v>
      </c>
      <c r="Q7" s="33" t="s">
        <v>87</v>
      </c>
      <c r="R7" s="34"/>
    </row>
    <row r="8" spans="1:18" ht="18" customHeight="1" x14ac:dyDescent="0.25">
      <c r="A8" s="33" t="s">
        <v>92</v>
      </c>
      <c r="B8" s="34" t="s">
        <v>93</v>
      </c>
      <c r="C8" s="33" t="s">
        <v>85</v>
      </c>
      <c r="D8" s="35">
        <v>3</v>
      </c>
      <c r="E8" s="36">
        <v>71</v>
      </c>
      <c r="F8" s="34" t="s">
        <v>94</v>
      </c>
      <c r="G8" s="37">
        <v>43466</v>
      </c>
      <c r="H8" s="37"/>
      <c r="I8" s="38">
        <v>720</v>
      </c>
      <c r="J8" s="38">
        <v>160</v>
      </c>
      <c r="K8" s="38">
        <v>100</v>
      </c>
      <c r="L8" s="38">
        <v>40</v>
      </c>
      <c r="M8" s="39">
        <f t="shared" si="0"/>
        <v>1020</v>
      </c>
      <c r="N8" s="40">
        <f t="shared" si="1"/>
        <v>10.140845070422536</v>
      </c>
      <c r="O8" s="39">
        <f t="shared" si="2"/>
        <v>12240</v>
      </c>
      <c r="P8" s="38">
        <v>2160</v>
      </c>
      <c r="Q8" s="33" t="s">
        <v>87</v>
      </c>
      <c r="R8" s="34" t="s">
        <v>95</v>
      </c>
    </row>
    <row r="9" spans="1:18" ht="18" customHeight="1" x14ac:dyDescent="0.25">
      <c r="A9" s="33" t="s">
        <v>96</v>
      </c>
      <c r="B9" s="34" t="s">
        <v>97</v>
      </c>
      <c r="C9" s="33" t="s">
        <v>85</v>
      </c>
      <c r="D9" s="35">
        <v>2</v>
      </c>
      <c r="E9" s="36">
        <v>49.8</v>
      </c>
      <c r="F9" s="34" t="s">
        <v>98</v>
      </c>
      <c r="G9" s="37">
        <v>45444</v>
      </c>
      <c r="H9" s="37"/>
      <c r="I9" s="38">
        <v>545</v>
      </c>
      <c r="J9" s="38">
        <v>120</v>
      </c>
      <c r="K9" s="38">
        <v>75</v>
      </c>
      <c r="L9" s="38">
        <v>0</v>
      </c>
      <c r="M9" s="41">
        <f t="shared" si="0"/>
        <v>740</v>
      </c>
      <c r="N9" s="42">
        <f t="shared" si="1"/>
        <v>10.943775100401608</v>
      </c>
      <c r="O9" s="41">
        <f t="shared" si="2"/>
        <v>8880</v>
      </c>
      <c r="P9" s="38">
        <v>1635</v>
      </c>
      <c r="Q9" s="33" t="s">
        <v>87</v>
      </c>
      <c r="R9" s="34"/>
    </row>
    <row r="10" spans="1:18" ht="18" customHeight="1" x14ac:dyDescent="0.25">
      <c r="A10" s="33" t="s">
        <v>99</v>
      </c>
      <c r="B10" s="34" t="s">
        <v>100</v>
      </c>
      <c r="C10" s="33" t="s">
        <v>85</v>
      </c>
      <c r="D10" s="35">
        <v>4</v>
      </c>
      <c r="E10" s="36">
        <v>88.3</v>
      </c>
      <c r="F10" s="34" t="s">
        <v>101</v>
      </c>
      <c r="G10" s="37">
        <v>44105</v>
      </c>
      <c r="H10" s="37"/>
      <c r="I10" s="38">
        <v>880</v>
      </c>
      <c r="J10" s="38">
        <v>190</v>
      </c>
      <c r="K10" s="38">
        <v>120</v>
      </c>
      <c r="L10" s="38">
        <v>45</v>
      </c>
      <c r="M10" s="39">
        <f t="shared" si="0"/>
        <v>1235</v>
      </c>
      <c r="N10" s="40">
        <f t="shared" si="1"/>
        <v>9.9660249150622882</v>
      </c>
      <c r="O10" s="39">
        <f t="shared" si="2"/>
        <v>14820</v>
      </c>
      <c r="P10" s="38">
        <v>2640</v>
      </c>
      <c r="Q10" s="33" t="s">
        <v>87</v>
      </c>
      <c r="R10" s="34"/>
    </row>
    <row r="11" spans="1:18" ht="18" customHeight="1" x14ac:dyDescent="0.25">
      <c r="A11" s="33" t="s">
        <v>102</v>
      </c>
      <c r="B11" s="34" t="s">
        <v>103</v>
      </c>
      <c r="C11" s="33" t="s">
        <v>85</v>
      </c>
      <c r="D11" s="35">
        <v>2</v>
      </c>
      <c r="E11" s="36">
        <v>52.4</v>
      </c>
      <c r="F11" s="34" t="s">
        <v>104</v>
      </c>
      <c r="G11" s="37"/>
      <c r="H11" s="37"/>
      <c r="I11" s="38">
        <v>0</v>
      </c>
      <c r="J11" s="38">
        <v>0</v>
      </c>
      <c r="K11" s="38">
        <v>0</v>
      </c>
      <c r="L11" s="38">
        <v>0</v>
      </c>
      <c r="M11" s="41">
        <f t="shared" si="0"/>
        <v>0</v>
      </c>
      <c r="N11" s="42">
        <f t="shared" si="1"/>
        <v>0</v>
      </c>
      <c r="O11" s="41">
        <f t="shared" si="2"/>
        <v>0</v>
      </c>
      <c r="P11" s="38">
        <v>0</v>
      </c>
      <c r="Q11" s="33" t="s">
        <v>105</v>
      </c>
      <c r="R11" s="34" t="s">
        <v>106</v>
      </c>
    </row>
    <row r="12" spans="1:18" ht="18" customHeight="1" x14ac:dyDescent="0.25">
      <c r="A12" s="33" t="s">
        <v>107</v>
      </c>
      <c r="B12" s="34" t="s">
        <v>108</v>
      </c>
      <c r="C12" s="33" t="s">
        <v>85</v>
      </c>
      <c r="D12" s="35">
        <v>3</v>
      </c>
      <c r="E12" s="36">
        <v>76.900000000000006</v>
      </c>
      <c r="F12" s="34" t="s">
        <v>109</v>
      </c>
      <c r="G12" s="37">
        <v>44652</v>
      </c>
      <c r="H12" s="37">
        <v>46477</v>
      </c>
      <c r="I12" s="38">
        <v>795</v>
      </c>
      <c r="J12" s="38">
        <v>170</v>
      </c>
      <c r="K12" s="38">
        <v>105</v>
      </c>
      <c r="L12" s="38">
        <v>0</v>
      </c>
      <c r="M12" s="39">
        <f t="shared" si="0"/>
        <v>1070</v>
      </c>
      <c r="N12" s="40">
        <f t="shared" si="1"/>
        <v>10.338101430429129</v>
      </c>
      <c r="O12" s="39">
        <f t="shared" si="2"/>
        <v>12840</v>
      </c>
      <c r="P12" s="38">
        <v>2385</v>
      </c>
      <c r="Q12" s="33" t="s">
        <v>87</v>
      </c>
      <c r="R12" s="34" t="s">
        <v>110</v>
      </c>
    </row>
    <row r="13" spans="1:18" ht="18" customHeight="1" x14ac:dyDescent="0.25">
      <c r="A13" s="33" t="s">
        <v>111</v>
      </c>
      <c r="B13" s="34" t="s">
        <v>112</v>
      </c>
      <c r="C13" s="33" t="s">
        <v>85</v>
      </c>
      <c r="D13" s="35">
        <v>2</v>
      </c>
      <c r="E13" s="36">
        <v>58.6</v>
      </c>
      <c r="F13" s="34" t="s">
        <v>113</v>
      </c>
      <c r="G13" s="37">
        <v>45689</v>
      </c>
      <c r="H13" s="37"/>
      <c r="I13" s="38">
        <v>640</v>
      </c>
      <c r="J13" s="38">
        <v>135</v>
      </c>
      <c r="K13" s="38">
        <v>85</v>
      </c>
      <c r="L13" s="38">
        <v>0</v>
      </c>
      <c r="M13" s="41">
        <f t="shared" si="0"/>
        <v>860</v>
      </c>
      <c r="N13" s="42">
        <f t="shared" si="1"/>
        <v>10.921501706484641</v>
      </c>
      <c r="O13" s="41">
        <f t="shared" si="2"/>
        <v>10320</v>
      </c>
      <c r="P13" s="38">
        <v>1920</v>
      </c>
      <c r="Q13" s="33" t="s">
        <v>114</v>
      </c>
      <c r="R13" s="34" t="s">
        <v>115</v>
      </c>
    </row>
    <row r="14" spans="1:18" ht="18" customHeight="1" x14ac:dyDescent="0.25">
      <c r="A14" s="33" t="s">
        <v>116</v>
      </c>
      <c r="B14" s="34" t="s">
        <v>117</v>
      </c>
      <c r="C14" s="33" t="s">
        <v>118</v>
      </c>
      <c r="D14" s="35"/>
      <c r="E14" s="36">
        <v>112</v>
      </c>
      <c r="F14" s="34" t="s">
        <v>119</v>
      </c>
      <c r="G14" s="37">
        <v>44593</v>
      </c>
      <c r="H14" s="37">
        <v>46418</v>
      </c>
      <c r="I14" s="38">
        <v>1340</v>
      </c>
      <c r="J14" s="38">
        <v>280</v>
      </c>
      <c r="K14" s="38">
        <v>160</v>
      </c>
      <c r="L14" s="38">
        <v>90</v>
      </c>
      <c r="M14" s="39">
        <f t="shared" si="0"/>
        <v>1870</v>
      </c>
      <c r="N14" s="40">
        <f t="shared" si="1"/>
        <v>11.964285714285714</v>
      </c>
      <c r="O14" s="39">
        <f t="shared" si="2"/>
        <v>22440</v>
      </c>
      <c r="P14" s="38">
        <v>5360</v>
      </c>
      <c r="Q14" s="33" t="s">
        <v>87</v>
      </c>
      <c r="R14" s="34" t="s">
        <v>120</v>
      </c>
    </row>
    <row r="15" spans="1:18" ht="18" customHeight="1" x14ac:dyDescent="0.25">
      <c r="A15" s="33" t="s">
        <v>121</v>
      </c>
      <c r="B15" s="34" t="s">
        <v>122</v>
      </c>
      <c r="C15" s="33" t="s">
        <v>123</v>
      </c>
      <c r="D15" s="35"/>
      <c r="E15" s="36">
        <v>63.5</v>
      </c>
      <c r="F15" s="34" t="s">
        <v>124</v>
      </c>
      <c r="G15" s="37">
        <v>45108</v>
      </c>
      <c r="H15" s="37"/>
      <c r="I15" s="38">
        <v>795</v>
      </c>
      <c r="J15" s="38">
        <v>150</v>
      </c>
      <c r="K15" s="38">
        <v>90</v>
      </c>
      <c r="L15" s="38">
        <v>45</v>
      </c>
      <c r="M15" s="41">
        <f t="shared" si="0"/>
        <v>1080</v>
      </c>
      <c r="N15" s="42">
        <f t="shared" si="1"/>
        <v>12.51968503937008</v>
      </c>
      <c r="O15" s="41">
        <f t="shared" si="2"/>
        <v>12960</v>
      </c>
      <c r="P15" s="38">
        <v>2385</v>
      </c>
      <c r="Q15" s="33" t="s">
        <v>87</v>
      </c>
      <c r="R15" s="34"/>
    </row>
    <row r="16" spans="1:18" ht="18" customHeight="1" x14ac:dyDescent="0.25">
      <c r="A16" s="33" t="s">
        <v>125</v>
      </c>
      <c r="B16" s="34" t="s">
        <v>126</v>
      </c>
      <c r="C16" s="33" t="s">
        <v>127</v>
      </c>
      <c r="D16" s="35"/>
      <c r="E16" s="36">
        <v>44</v>
      </c>
      <c r="F16" s="34" t="s">
        <v>128</v>
      </c>
      <c r="G16" s="37">
        <v>45170</v>
      </c>
      <c r="H16" s="37"/>
      <c r="I16" s="38">
        <v>264</v>
      </c>
      <c r="J16" s="38">
        <v>55</v>
      </c>
      <c r="K16" s="38">
        <v>0</v>
      </c>
      <c r="L16" s="38">
        <v>0</v>
      </c>
      <c r="M16" s="39">
        <f t="shared" si="0"/>
        <v>319</v>
      </c>
      <c r="N16" s="40">
        <f t="shared" si="1"/>
        <v>6</v>
      </c>
      <c r="O16" s="39">
        <f t="shared" si="2"/>
        <v>3828</v>
      </c>
      <c r="P16" s="38">
        <v>792</v>
      </c>
      <c r="Q16" s="33" t="s">
        <v>87</v>
      </c>
      <c r="R16" s="34"/>
    </row>
    <row r="17" spans="1:18" ht="18" customHeight="1" x14ac:dyDescent="0.25">
      <c r="A17" s="33"/>
      <c r="B17" s="34"/>
      <c r="C17" s="33"/>
      <c r="D17" s="35"/>
      <c r="E17" s="36"/>
      <c r="F17" s="34"/>
      <c r="G17" s="37"/>
      <c r="H17" s="37"/>
      <c r="I17" s="38"/>
      <c r="J17" s="38"/>
      <c r="K17" s="38"/>
      <c r="L17" s="38"/>
      <c r="M17" s="41" t="str">
        <f t="shared" si="0"/>
        <v/>
      </c>
      <c r="N17" s="42" t="str">
        <f t="shared" si="1"/>
        <v/>
      </c>
      <c r="O17" s="41" t="str">
        <f t="shared" si="2"/>
        <v/>
      </c>
      <c r="P17" s="38"/>
      <c r="Q17" s="33"/>
      <c r="R17" s="34"/>
    </row>
    <row r="18" spans="1:18" ht="18" customHeight="1" x14ac:dyDescent="0.25">
      <c r="A18" s="33"/>
      <c r="B18" s="34"/>
      <c r="C18" s="33"/>
      <c r="D18" s="35"/>
      <c r="E18" s="36"/>
      <c r="F18" s="34"/>
      <c r="G18" s="37"/>
      <c r="H18" s="37"/>
      <c r="I18" s="38"/>
      <c r="J18" s="38"/>
      <c r="K18" s="38"/>
      <c r="L18" s="38"/>
      <c r="M18" s="39" t="str">
        <f t="shared" si="0"/>
        <v/>
      </c>
      <c r="N18" s="40" t="str">
        <f t="shared" si="1"/>
        <v/>
      </c>
      <c r="O18" s="39" t="str">
        <f t="shared" si="2"/>
        <v/>
      </c>
      <c r="P18" s="38"/>
      <c r="Q18" s="33"/>
      <c r="R18" s="34"/>
    </row>
    <row r="19" spans="1:18" ht="18" customHeight="1" x14ac:dyDescent="0.25">
      <c r="A19" s="33"/>
      <c r="B19" s="34"/>
      <c r="C19" s="33"/>
      <c r="D19" s="35"/>
      <c r="E19" s="36"/>
      <c r="F19" s="34"/>
      <c r="G19" s="37"/>
      <c r="H19" s="37"/>
      <c r="I19" s="38"/>
      <c r="J19" s="38"/>
      <c r="K19" s="38"/>
      <c r="L19" s="38"/>
      <c r="M19" s="41" t="str">
        <f t="shared" si="0"/>
        <v/>
      </c>
      <c r="N19" s="42" t="str">
        <f t="shared" si="1"/>
        <v/>
      </c>
      <c r="O19" s="41" t="str">
        <f t="shared" si="2"/>
        <v/>
      </c>
      <c r="P19" s="38"/>
      <c r="Q19" s="33"/>
      <c r="R19" s="34"/>
    </row>
    <row r="20" spans="1:18" ht="18" customHeight="1" x14ac:dyDescent="0.25">
      <c r="A20" s="33"/>
      <c r="B20" s="34"/>
      <c r="C20" s="33"/>
      <c r="D20" s="35"/>
      <c r="E20" s="36"/>
      <c r="F20" s="34"/>
      <c r="G20" s="37"/>
      <c r="H20" s="37"/>
      <c r="I20" s="38"/>
      <c r="J20" s="38"/>
      <c r="K20" s="38"/>
      <c r="L20" s="38"/>
      <c r="M20" s="39" t="str">
        <f t="shared" si="0"/>
        <v/>
      </c>
      <c r="N20" s="40" t="str">
        <f t="shared" si="1"/>
        <v/>
      </c>
      <c r="O20" s="39" t="str">
        <f t="shared" si="2"/>
        <v/>
      </c>
      <c r="P20" s="38"/>
      <c r="Q20" s="33"/>
      <c r="R20" s="34"/>
    </row>
    <row r="21" spans="1:18" ht="18" customHeight="1" x14ac:dyDescent="0.25">
      <c r="A21" s="33"/>
      <c r="B21" s="34"/>
      <c r="C21" s="33"/>
      <c r="D21" s="35"/>
      <c r="E21" s="36"/>
      <c r="F21" s="34"/>
      <c r="G21" s="37"/>
      <c r="H21" s="37"/>
      <c r="I21" s="38"/>
      <c r="J21" s="38"/>
      <c r="K21" s="38"/>
      <c r="L21" s="38"/>
      <c r="M21" s="41" t="str">
        <f t="shared" si="0"/>
        <v/>
      </c>
      <c r="N21" s="42" t="str">
        <f t="shared" si="1"/>
        <v/>
      </c>
      <c r="O21" s="41" t="str">
        <f t="shared" si="2"/>
        <v/>
      </c>
      <c r="P21" s="38"/>
      <c r="Q21" s="33"/>
      <c r="R21" s="34"/>
    </row>
    <row r="22" spans="1:18" ht="18" customHeight="1" x14ac:dyDescent="0.25">
      <c r="A22" s="33"/>
      <c r="B22" s="34"/>
      <c r="C22" s="33"/>
      <c r="D22" s="35"/>
      <c r="E22" s="36"/>
      <c r="F22" s="34"/>
      <c r="G22" s="37"/>
      <c r="H22" s="37"/>
      <c r="I22" s="38"/>
      <c r="J22" s="38"/>
      <c r="K22" s="38"/>
      <c r="L22" s="38"/>
      <c r="M22" s="39" t="str">
        <f t="shared" si="0"/>
        <v/>
      </c>
      <c r="N22" s="40" t="str">
        <f t="shared" si="1"/>
        <v/>
      </c>
      <c r="O22" s="39" t="str">
        <f t="shared" si="2"/>
        <v/>
      </c>
      <c r="P22" s="38"/>
      <c r="Q22" s="33"/>
      <c r="R22" s="34"/>
    </row>
    <row r="23" spans="1:18" ht="18" customHeight="1" x14ac:dyDescent="0.25">
      <c r="A23" s="33"/>
      <c r="B23" s="34"/>
      <c r="C23" s="33"/>
      <c r="D23" s="35"/>
      <c r="E23" s="36"/>
      <c r="F23" s="34"/>
      <c r="G23" s="37"/>
      <c r="H23" s="37"/>
      <c r="I23" s="38"/>
      <c r="J23" s="38"/>
      <c r="K23" s="38"/>
      <c r="L23" s="38"/>
      <c r="M23" s="41" t="str">
        <f t="shared" si="0"/>
        <v/>
      </c>
      <c r="N23" s="42" t="str">
        <f t="shared" si="1"/>
        <v/>
      </c>
      <c r="O23" s="41" t="str">
        <f t="shared" si="2"/>
        <v/>
      </c>
      <c r="P23" s="38"/>
      <c r="Q23" s="33"/>
      <c r="R23" s="34"/>
    </row>
    <row r="24" spans="1:18" ht="18" customHeight="1" x14ac:dyDescent="0.25">
      <c r="A24" s="33"/>
      <c r="B24" s="34"/>
      <c r="C24" s="33"/>
      <c r="D24" s="35"/>
      <c r="E24" s="36"/>
      <c r="F24" s="34"/>
      <c r="G24" s="37"/>
      <c r="H24" s="37"/>
      <c r="I24" s="38"/>
      <c r="J24" s="38"/>
      <c r="K24" s="38"/>
      <c r="L24" s="38"/>
      <c r="M24" s="39" t="str">
        <f t="shared" si="0"/>
        <v/>
      </c>
      <c r="N24" s="40" t="str">
        <f t="shared" si="1"/>
        <v/>
      </c>
      <c r="O24" s="39" t="str">
        <f t="shared" si="2"/>
        <v/>
      </c>
      <c r="P24" s="38"/>
      <c r="Q24" s="33"/>
      <c r="R24" s="34"/>
    </row>
    <row r="25" spans="1:18" ht="18" customHeight="1" x14ac:dyDescent="0.25">
      <c r="A25" s="33"/>
      <c r="B25" s="34"/>
      <c r="C25" s="33"/>
      <c r="D25" s="35"/>
      <c r="E25" s="36"/>
      <c r="F25" s="34"/>
      <c r="G25" s="37"/>
      <c r="H25" s="37"/>
      <c r="I25" s="38"/>
      <c r="J25" s="38"/>
      <c r="K25" s="38"/>
      <c r="L25" s="38"/>
      <c r="M25" s="41" t="str">
        <f t="shared" si="0"/>
        <v/>
      </c>
      <c r="N25" s="42" t="str">
        <f t="shared" si="1"/>
        <v/>
      </c>
      <c r="O25" s="41" t="str">
        <f t="shared" si="2"/>
        <v/>
      </c>
      <c r="P25" s="38"/>
      <c r="Q25" s="33"/>
      <c r="R25" s="34"/>
    </row>
    <row r="26" spans="1:18" ht="21.75" customHeight="1" x14ac:dyDescent="0.25">
      <c r="A26" s="64" t="s">
        <v>129</v>
      </c>
      <c r="B26" s="64"/>
      <c r="C26" s="64"/>
      <c r="D26" s="64"/>
      <c r="E26" s="43">
        <f>SUM(E6:E25)</f>
        <v>739.2</v>
      </c>
      <c r="F26" s="44"/>
      <c r="G26" s="44"/>
      <c r="H26" s="44"/>
      <c r="I26" s="45">
        <f>SUM(I6:I25)</f>
        <v>7254</v>
      </c>
      <c r="J26" s="45">
        <f>SUM(J6:J25)</f>
        <v>1545</v>
      </c>
      <c r="K26" s="45">
        <f>SUM(K6:K25)</f>
        <v>910</v>
      </c>
      <c r="L26" s="45">
        <f>SUM(L6:L25)</f>
        <v>265</v>
      </c>
      <c r="M26" s="45">
        <f>SUM(M6:M25)</f>
        <v>9974</v>
      </c>
      <c r="N26" s="46">
        <f>IFERROR(SUM(I6:I25)/SUM(E6:E25),0)</f>
        <v>9.8133116883116873</v>
      </c>
      <c r="O26" s="45">
        <f>SUM(O6:O25)</f>
        <v>119688</v>
      </c>
      <c r="P26" s="45">
        <f>SUM(P6:P25)</f>
        <v>23102</v>
      </c>
      <c r="Q26" s="65" t="str">
        <f>COUNTIF(Q6:Q25,"Vermietet")&amp;" von "&amp;COUNTA(A6:A25)&amp;" vermietet"</f>
        <v>9 von 11 vermietet</v>
      </c>
      <c r="R26" s="65"/>
    </row>
  </sheetData>
  <autoFilter ref="A5:R25" xr:uid="{00000000-0009-0000-0000-000001000000}"/>
  <mergeCells count="7">
    <mergeCell ref="A26:D26"/>
    <mergeCell ref="Q26:R26"/>
    <mergeCell ref="A1:R1"/>
    <mergeCell ref="A2:R2"/>
    <mergeCell ref="A4:H4"/>
    <mergeCell ref="I4:O4"/>
    <mergeCell ref="P4:R4"/>
  </mergeCells>
  <conditionalFormatting sqref="A6:A25">
    <cfRule type="expression" dxfId="46" priority="7">
      <formula>AND($A6&lt;&gt;"",COUNTIF($A$6:$A$25,$A6)&gt;1)</formula>
    </cfRule>
  </conditionalFormatting>
  <conditionalFormatting sqref="H6:H25">
    <cfRule type="expression" dxfId="45" priority="6">
      <formula>AND($H6&lt;&gt;"",$H6&lt;=DATE(2026,12,31))</formula>
    </cfRule>
  </conditionalFormatting>
  <conditionalFormatting sqref="Q6:Q25">
    <cfRule type="cellIs" dxfId="44" priority="2" operator="equal">
      <formula>"Vermietet"</formula>
    </cfRule>
    <cfRule type="cellIs" dxfId="43" priority="3" operator="equal">
      <formula>"Leerstand"</formula>
    </cfRule>
    <cfRule type="cellIs" dxfId="42" priority="4" operator="equal">
      <formula>"Gekündigt"</formula>
    </cfRule>
    <cfRule type="cellIs" dxfId="41" priority="5" operator="equal">
      <formula>"In Renovierung"</formula>
    </cfRule>
  </conditionalFormatting>
  <dataValidations count="3">
    <dataValidation type="list" allowBlank="1" errorTitle="Ungültiger Einheitstyp" error="Bitte einen Eintrag aus der Liste wählen." sqref="C6:C25" xr:uid="{00000000-0002-0000-0100-000000000000}">
      <formula1>"Wohnung,Gewerbe,Büro,Praxis,Lager"</formula1>
      <formula2>0</formula2>
    </dataValidation>
    <dataValidation type="list" allowBlank="1" errorTitle="Ungültiger Status" error="Bitte einen Eintrag aus der Liste wählen." sqref="Q6:Q25" xr:uid="{00000000-0002-0000-0100-000001000000}">
      <formula1>"Vermietet,Leerstand,Gekündigt,In Renovierung"</formula1>
      <formula2>0</formula2>
    </dataValidation>
    <dataValidation type="decimal" operator="greaterThanOrEqual" allowBlank="1" errorTitle="Ungültiger Betrag" error="Bitte einen Betrag ≥ 0 eingeben." sqref="E6:E25 I6:L25 P6:P25" xr:uid="{00000000-0002-0000-0100-000002000000}">
      <formula1>0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8843C"/>
    <pageSetUpPr fitToPage="1"/>
  </sheetPr>
  <dimension ref="A1:T26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11" customWidth="1"/>
    <col min="2" max="2" width="26" customWidth="1"/>
    <col min="3" max="3" width="14" customWidth="1"/>
    <col min="4" max="15" width="10.5703125" customWidth="1"/>
    <col min="16" max="20" width="16" customWidth="1"/>
  </cols>
  <sheetData>
    <row r="1" spans="1:20" ht="31.5" customHeight="1" x14ac:dyDescent="0.25">
      <c r="A1" s="62" t="s">
        <v>130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16.5" customHeight="1" x14ac:dyDescent="0.25">
      <c r="A2" s="13" t="s">
        <v>131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7.5" customHeight="1" x14ac:dyDescent="0.25"/>
    <row r="4" spans="1:20" ht="18" customHeight="1" x14ac:dyDescent="0.25">
      <c r="A4" s="12" t="s">
        <v>132</v>
      </c>
      <c r="B4" s="12"/>
      <c r="C4" s="12"/>
      <c r="D4" s="63" t="s">
        <v>133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1" t="s">
        <v>134</v>
      </c>
      <c r="Q4" s="11"/>
      <c r="R4" s="11"/>
      <c r="S4" s="11"/>
      <c r="T4" s="11"/>
    </row>
    <row r="5" spans="1:20" ht="31.5" customHeight="1" x14ac:dyDescent="0.25">
      <c r="A5" s="32" t="s">
        <v>66</v>
      </c>
      <c r="B5" s="32" t="s">
        <v>135</v>
      </c>
      <c r="C5" s="32" t="s">
        <v>136</v>
      </c>
      <c r="D5" s="32" t="s">
        <v>137</v>
      </c>
      <c r="E5" s="32" t="s">
        <v>138</v>
      </c>
      <c r="F5" s="32" t="s">
        <v>139</v>
      </c>
      <c r="G5" s="32" t="s">
        <v>140</v>
      </c>
      <c r="H5" s="32" t="s">
        <v>46</v>
      </c>
      <c r="I5" s="32" t="s">
        <v>141</v>
      </c>
      <c r="J5" s="32" t="s">
        <v>142</v>
      </c>
      <c r="K5" s="32" t="s">
        <v>143</v>
      </c>
      <c r="L5" s="32" t="s">
        <v>144</v>
      </c>
      <c r="M5" s="32" t="s">
        <v>145</v>
      </c>
      <c r="N5" s="32" t="s">
        <v>146</v>
      </c>
      <c r="O5" s="32" t="s">
        <v>147</v>
      </c>
      <c r="P5" s="32" t="s">
        <v>148</v>
      </c>
      <c r="Q5" s="32" t="s">
        <v>149</v>
      </c>
      <c r="R5" s="32" t="s">
        <v>150</v>
      </c>
      <c r="S5" s="32" t="s">
        <v>41</v>
      </c>
      <c r="T5" s="32" t="s">
        <v>80</v>
      </c>
    </row>
    <row r="6" spans="1:20" ht="18" customHeight="1" x14ac:dyDescent="0.25">
      <c r="A6" s="47" t="s">
        <v>83</v>
      </c>
      <c r="B6" s="48" t="str">
        <f>IFERROR(INDEX(Mietaufstellung!$F$6:$F$25,MATCH($A6,Mietaufstellung!$A$6:$A$25,0)),"")</f>
        <v>Andrea Keßler</v>
      </c>
      <c r="C6" s="49">
        <f>IFERROR(INDEX(Mietaufstellung!$M$6:$M$25,MATCH($A6,Mietaufstellung!$A$6:$A$25,0)),"")</f>
        <v>980</v>
      </c>
      <c r="D6" s="50">
        <v>980</v>
      </c>
      <c r="E6" s="50">
        <v>980</v>
      </c>
      <c r="F6" s="50">
        <v>980</v>
      </c>
      <c r="G6" s="50">
        <v>980</v>
      </c>
      <c r="H6" s="50">
        <v>980</v>
      </c>
      <c r="I6" s="50">
        <v>980</v>
      </c>
      <c r="J6" s="50">
        <v>980</v>
      </c>
      <c r="K6" s="50"/>
      <c r="L6" s="50"/>
      <c r="M6" s="50"/>
      <c r="N6" s="50"/>
      <c r="O6" s="50"/>
      <c r="P6" s="49">
        <f t="shared" ref="P6:P25" si="0">IF($A6="","",IFERROR($C6*Stichmonat,0))</f>
        <v>6860</v>
      </c>
      <c r="Q6" s="49">
        <f t="shared" ref="Q6:Q25" si="1">IF($A6="","",SUM(D6:O6))</f>
        <v>6860</v>
      </c>
      <c r="R6" s="51">
        <f t="shared" ref="R6:R25" si="2">IF($A6="","",$Q6-$P6)</f>
        <v>0</v>
      </c>
      <c r="S6" s="52" t="str">
        <f t="shared" ref="S6:S25" si="3">IF($A6="","",IF(N($C6)=0,"kein Sollbetrag",IF(ROUND($R6,2)=0,"Ausgeglichen",IF($R6&lt;0,"Rückstand","Überzahlung"))))</f>
        <v>Ausgeglichen</v>
      </c>
      <c r="T6" s="49">
        <f t="shared" ref="T6:T25" si="4">IF($A6="","",IFERROR($C6*12,0))</f>
        <v>11760</v>
      </c>
    </row>
    <row r="7" spans="1:20" ht="18" customHeight="1" x14ac:dyDescent="0.25">
      <c r="A7" s="47" t="s">
        <v>89</v>
      </c>
      <c r="B7" s="53" t="str">
        <f>IFERROR(INDEX(Mietaufstellung!$F$6:$F$25,MATCH($A7,Mietaufstellung!$A$6:$A$25,0)),"")</f>
        <v>Tobias Ruhland</v>
      </c>
      <c r="C7" s="54">
        <f>IFERROR(INDEX(Mietaufstellung!$M$6:$M$25,MATCH($A7,Mietaufstellung!$A$6:$A$25,0)),"")</f>
        <v>800</v>
      </c>
      <c r="D7" s="50">
        <v>800</v>
      </c>
      <c r="E7" s="50">
        <v>800</v>
      </c>
      <c r="F7" s="50">
        <v>800</v>
      </c>
      <c r="G7" s="50">
        <v>800</v>
      </c>
      <c r="H7" s="50">
        <v>400</v>
      </c>
      <c r="I7" s="50">
        <v>800</v>
      </c>
      <c r="J7" s="50">
        <v>800</v>
      </c>
      <c r="K7" s="50"/>
      <c r="L7" s="50"/>
      <c r="M7" s="50"/>
      <c r="N7" s="50"/>
      <c r="O7" s="50"/>
      <c r="P7" s="54">
        <f t="shared" si="0"/>
        <v>5600</v>
      </c>
      <c r="Q7" s="54">
        <f t="shared" si="1"/>
        <v>5200</v>
      </c>
      <c r="R7" s="55">
        <f t="shared" si="2"/>
        <v>-400</v>
      </c>
      <c r="S7" s="56" t="str">
        <f t="shared" si="3"/>
        <v>Rückstand</v>
      </c>
      <c r="T7" s="54">
        <f t="shared" si="4"/>
        <v>9600</v>
      </c>
    </row>
    <row r="8" spans="1:20" ht="18" customHeight="1" x14ac:dyDescent="0.25">
      <c r="A8" s="47" t="s">
        <v>92</v>
      </c>
      <c r="B8" s="48" t="str">
        <f>IFERROR(INDEX(Mietaufstellung!$F$6:$F$25,MATCH($A8,Mietaufstellung!$A$6:$A$25,0)),"")</f>
        <v>Marlene Vogt</v>
      </c>
      <c r="C8" s="49">
        <f>IFERROR(INDEX(Mietaufstellung!$M$6:$M$25,MATCH($A8,Mietaufstellung!$A$6:$A$25,0)),"")</f>
        <v>1020</v>
      </c>
      <c r="D8" s="50">
        <v>1020</v>
      </c>
      <c r="E8" s="50">
        <v>1020</v>
      </c>
      <c r="F8" s="50">
        <v>1020</v>
      </c>
      <c r="G8" s="50">
        <v>1020</v>
      </c>
      <c r="H8" s="50">
        <v>1020</v>
      </c>
      <c r="I8" s="50">
        <v>1020</v>
      </c>
      <c r="J8" s="50">
        <v>1020</v>
      </c>
      <c r="K8" s="50"/>
      <c r="L8" s="50"/>
      <c r="M8" s="50"/>
      <c r="N8" s="50"/>
      <c r="O8" s="50"/>
      <c r="P8" s="49">
        <f t="shared" si="0"/>
        <v>7140</v>
      </c>
      <c r="Q8" s="49">
        <f t="shared" si="1"/>
        <v>7140</v>
      </c>
      <c r="R8" s="51">
        <f t="shared" si="2"/>
        <v>0</v>
      </c>
      <c r="S8" s="52" t="str">
        <f t="shared" si="3"/>
        <v>Ausgeglichen</v>
      </c>
      <c r="T8" s="49">
        <f t="shared" si="4"/>
        <v>12240</v>
      </c>
    </row>
    <row r="9" spans="1:20" ht="18" customHeight="1" x14ac:dyDescent="0.25">
      <c r="A9" s="47" t="s">
        <v>96</v>
      </c>
      <c r="B9" s="53" t="str">
        <f>IFERROR(INDEX(Mietaufstellung!$F$6:$F$25,MATCH($A9,Mietaufstellung!$A$6:$A$25,0)),"")</f>
        <v>Sinan Özdemir</v>
      </c>
      <c r="C9" s="54">
        <f>IFERROR(INDEX(Mietaufstellung!$M$6:$M$25,MATCH($A9,Mietaufstellung!$A$6:$A$25,0)),"")</f>
        <v>740</v>
      </c>
      <c r="D9" s="50">
        <v>740</v>
      </c>
      <c r="E9" s="50">
        <v>740</v>
      </c>
      <c r="F9" s="50">
        <v>740</v>
      </c>
      <c r="G9" s="50">
        <v>740</v>
      </c>
      <c r="H9" s="50">
        <v>740</v>
      </c>
      <c r="I9" s="50"/>
      <c r="J9" s="50">
        <v>740</v>
      </c>
      <c r="K9" s="50"/>
      <c r="L9" s="50"/>
      <c r="M9" s="50"/>
      <c r="N9" s="50"/>
      <c r="O9" s="50"/>
      <c r="P9" s="54">
        <f t="shared" si="0"/>
        <v>5180</v>
      </c>
      <c r="Q9" s="54">
        <f t="shared" si="1"/>
        <v>4440</v>
      </c>
      <c r="R9" s="55">
        <f t="shared" si="2"/>
        <v>-740</v>
      </c>
      <c r="S9" s="56" t="str">
        <f t="shared" si="3"/>
        <v>Rückstand</v>
      </c>
      <c r="T9" s="54">
        <f t="shared" si="4"/>
        <v>8880</v>
      </c>
    </row>
    <row r="10" spans="1:20" ht="18" customHeight="1" x14ac:dyDescent="0.25">
      <c r="A10" s="47" t="s">
        <v>99</v>
      </c>
      <c r="B10" s="48" t="str">
        <f>IFERROR(INDEX(Mietaufstellung!$F$6:$F$25,MATCH($A10,Mietaufstellung!$A$6:$A$25,0)),"")</f>
        <v>Eheleute Brandhorst</v>
      </c>
      <c r="C10" s="49">
        <f>IFERROR(INDEX(Mietaufstellung!$M$6:$M$25,MATCH($A10,Mietaufstellung!$A$6:$A$25,0)),"")</f>
        <v>1235</v>
      </c>
      <c r="D10" s="50">
        <v>1235</v>
      </c>
      <c r="E10" s="50">
        <v>1235</v>
      </c>
      <c r="F10" s="50">
        <v>1235</v>
      </c>
      <c r="G10" s="50">
        <v>1235</v>
      </c>
      <c r="H10" s="50">
        <v>1235</v>
      </c>
      <c r="I10" s="50">
        <v>1235</v>
      </c>
      <c r="J10" s="50">
        <v>1235</v>
      </c>
      <c r="K10" s="50"/>
      <c r="L10" s="50"/>
      <c r="M10" s="50"/>
      <c r="N10" s="50"/>
      <c r="O10" s="50"/>
      <c r="P10" s="49">
        <f t="shared" si="0"/>
        <v>8645</v>
      </c>
      <c r="Q10" s="49">
        <f t="shared" si="1"/>
        <v>8645</v>
      </c>
      <c r="R10" s="51">
        <f t="shared" si="2"/>
        <v>0</v>
      </c>
      <c r="S10" s="52" t="str">
        <f t="shared" si="3"/>
        <v>Ausgeglichen</v>
      </c>
      <c r="T10" s="49">
        <f t="shared" si="4"/>
        <v>14820</v>
      </c>
    </row>
    <row r="11" spans="1:20" ht="18" customHeight="1" x14ac:dyDescent="0.25">
      <c r="A11" s="47" t="s">
        <v>102</v>
      </c>
      <c r="B11" s="53" t="str">
        <f>IFERROR(INDEX(Mietaufstellung!$F$6:$F$25,MATCH($A11,Mietaufstellung!$A$6:$A$25,0)),"")</f>
        <v>—</v>
      </c>
      <c r="C11" s="54">
        <f>IFERROR(INDEX(Mietaufstellung!$M$6:$M$25,MATCH($A11,Mietaufstellung!$A$6:$A$25,0)),"")</f>
        <v>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4">
        <f t="shared" si="0"/>
        <v>0</v>
      </c>
      <c r="Q11" s="54">
        <f t="shared" si="1"/>
        <v>0</v>
      </c>
      <c r="R11" s="55">
        <f t="shared" si="2"/>
        <v>0</v>
      </c>
      <c r="S11" s="56" t="str">
        <f t="shared" si="3"/>
        <v>kein Sollbetrag</v>
      </c>
      <c r="T11" s="54">
        <f t="shared" si="4"/>
        <v>0</v>
      </c>
    </row>
    <row r="12" spans="1:20" ht="18" customHeight="1" x14ac:dyDescent="0.25">
      <c r="A12" s="47" t="s">
        <v>107</v>
      </c>
      <c r="B12" s="48" t="str">
        <f>IFERROR(INDEX(Mietaufstellung!$F$6:$F$25,MATCH($A12,Mietaufstellung!$A$6:$A$25,0)),"")</f>
        <v>Nicole Wiesner</v>
      </c>
      <c r="C12" s="49">
        <f>IFERROR(INDEX(Mietaufstellung!$M$6:$M$25,MATCH($A12,Mietaufstellung!$A$6:$A$25,0)),"")</f>
        <v>1070</v>
      </c>
      <c r="D12" s="50">
        <v>1070</v>
      </c>
      <c r="E12" s="50">
        <v>1070</v>
      </c>
      <c r="F12" s="50">
        <v>1070</v>
      </c>
      <c r="G12" s="50">
        <v>1070</v>
      </c>
      <c r="H12" s="50">
        <v>1070</v>
      </c>
      <c r="I12" s="50">
        <v>1070</v>
      </c>
      <c r="J12" s="50">
        <v>1070</v>
      </c>
      <c r="K12" s="50"/>
      <c r="L12" s="50"/>
      <c r="M12" s="50"/>
      <c r="N12" s="50"/>
      <c r="O12" s="50"/>
      <c r="P12" s="49">
        <f t="shared" si="0"/>
        <v>7490</v>
      </c>
      <c r="Q12" s="49">
        <f t="shared" si="1"/>
        <v>7490</v>
      </c>
      <c r="R12" s="51">
        <f t="shared" si="2"/>
        <v>0</v>
      </c>
      <c r="S12" s="52" t="str">
        <f t="shared" si="3"/>
        <v>Ausgeglichen</v>
      </c>
      <c r="T12" s="49">
        <f t="shared" si="4"/>
        <v>12840</v>
      </c>
    </row>
    <row r="13" spans="1:20" ht="18" customHeight="1" x14ac:dyDescent="0.25">
      <c r="A13" s="47" t="s">
        <v>111</v>
      </c>
      <c r="B13" s="53" t="str">
        <f>IFERROR(INDEX(Mietaufstellung!$F$6:$F$25,MATCH($A13,Mietaufstellung!$A$6:$A$25,0)),"")</f>
        <v>Jonas Reithmeier</v>
      </c>
      <c r="C13" s="54">
        <f>IFERROR(INDEX(Mietaufstellung!$M$6:$M$25,MATCH($A13,Mietaufstellung!$A$6:$A$25,0)),"")</f>
        <v>860</v>
      </c>
      <c r="D13" s="50">
        <v>860</v>
      </c>
      <c r="E13" s="50">
        <v>860</v>
      </c>
      <c r="F13" s="50">
        <v>860</v>
      </c>
      <c r="G13" s="50">
        <v>860</v>
      </c>
      <c r="H13" s="50">
        <v>860</v>
      </c>
      <c r="I13" s="50">
        <v>860</v>
      </c>
      <c r="J13" s="50">
        <v>860</v>
      </c>
      <c r="K13" s="50"/>
      <c r="L13" s="50"/>
      <c r="M13" s="50"/>
      <c r="N13" s="50"/>
      <c r="O13" s="50"/>
      <c r="P13" s="54">
        <f t="shared" si="0"/>
        <v>6020</v>
      </c>
      <c r="Q13" s="54">
        <f t="shared" si="1"/>
        <v>6020</v>
      </c>
      <c r="R13" s="55">
        <f t="shared" si="2"/>
        <v>0</v>
      </c>
      <c r="S13" s="56" t="str">
        <f t="shared" si="3"/>
        <v>Ausgeglichen</v>
      </c>
      <c r="T13" s="54">
        <f t="shared" si="4"/>
        <v>10320</v>
      </c>
    </row>
    <row r="14" spans="1:20" ht="18" customHeight="1" x14ac:dyDescent="0.25">
      <c r="A14" s="47" t="s">
        <v>116</v>
      </c>
      <c r="B14" s="48" t="str">
        <f>IFERROR(INDEX(Mietaufstellung!$F$6:$F$25,MATCH($A14,Mietaufstellung!$A$6:$A$25,0)),"")</f>
        <v>Nordlicht Design GbR</v>
      </c>
      <c r="C14" s="49">
        <f>IFERROR(INDEX(Mietaufstellung!$M$6:$M$25,MATCH($A14,Mietaufstellung!$A$6:$A$25,0)),"")</f>
        <v>1870</v>
      </c>
      <c r="D14" s="50">
        <v>1870</v>
      </c>
      <c r="E14" s="50">
        <v>1970</v>
      </c>
      <c r="F14" s="50">
        <v>1870</v>
      </c>
      <c r="G14" s="50">
        <v>1870</v>
      </c>
      <c r="H14" s="50">
        <v>1870</v>
      </c>
      <c r="I14" s="50">
        <v>1870</v>
      </c>
      <c r="J14" s="50">
        <v>1870</v>
      </c>
      <c r="K14" s="50"/>
      <c r="L14" s="50"/>
      <c r="M14" s="50"/>
      <c r="N14" s="50"/>
      <c r="O14" s="50"/>
      <c r="P14" s="49">
        <f t="shared" si="0"/>
        <v>13090</v>
      </c>
      <c r="Q14" s="49">
        <f t="shared" si="1"/>
        <v>13190</v>
      </c>
      <c r="R14" s="51">
        <f t="shared" si="2"/>
        <v>100</v>
      </c>
      <c r="S14" s="52" t="str">
        <f t="shared" si="3"/>
        <v>Überzahlung</v>
      </c>
      <c r="T14" s="49">
        <f t="shared" si="4"/>
        <v>22440</v>
      </c>
    </row>
    <row r="15" spans="1:20" ht="18" customHeight="1" x14ac:dyDescent="0.25">
      <c r="A15" s="47" t="s">
        <v>121</v>
      </c>
      <c r="B15" s="53" t="str">
        <f>IFERROR(INDEX(Mietaufstellung!$F$6:$F$25,MATCH($A15,Mietaufstellung!$A$6:$A$25,0)),"")</f>
        <v>Kanzlei Warnke &amp; Sitt</v>
      </c>
      <c r="C15" s="54">
        <f>IFERROR(INDEX(Mietaufstellung!$M$6:$M$25,MATCH($A15,Mietaufstellung!$A$6:$A$25,0)),"")</f>
        <v>1080</v>
      </c>
      <c r="D15" s="50">
        <v>1080</v>
      </c>
      <c r="E15" s="50">
        <v>1080</v>
      </c>
      <c r="F15" s="50">
        <v>1080</v>
      </c>
      <c r="G15" s="50">
        <v>1080</v>
      </c>
      <c r="H15" s="50">
        <v>1080</v>
      </c>
      <c r="I15" s="50">
        <v>1080</v>
      </c>
      <c r="J15" s="50">
        <v>1080</v>
      </c>
      <c r="K15" s="50"/>
      <c r="L15" s="50"/>
      <c r="M15" s="50"/>
      <c r="N15" s="50"/>
      <c r="O15" s="50"/>
      <c r="P15" s="54">
        <f t="shared" si="0"/>
        <v>7560</v>
      </c>
      <c r="Q15" s="54">
        <f t="shared" si="1"/>
        <v>7560</v>
      </c>
      <c r="R15" s="55">
        <f t="shared" si="2"/>
        <v>0</v>
      </c>
      <c r="S15" s="56" t="str">
        <f t="shared" si="3"/>
        <v>Ausgeglichen</v>
      </c>
      <c r="T15" s="54">
        <f t="shared" si="4"/>
        <v>12960</v>
      </c>
    </row>
    <row r="16" spans="1:20" ht="18" customHeight="1" x14ac:dyDescent="0.25">
      <c r="A16" s="47" t="s">
        <v>125</v>
      </c>
      <c r="B16" s="48" t="str">
        <f>IFERROR(INDEX(Mietaufstellung!$F$6:$F$25,MATCH($A16,Mietaufstellung!$A$6:$A$25,0)),"")</f>
        <v>Hartwig Handels KG</v>
      </c>
      <c r="C16" s="49">
        <f>IFERROR(INDEX(Mietaufstellung!$M$6:$M$25,MATCH($A16,Mietaufstellung!$A$6:$A$25,0)),"")</f>
        <v>319</v>
      </c>
      <c r="D16" s="50">
        <v>319</v>
      </c>
      <c r="E16" s="50">
        <v>319</v>
      </c>
      <c r="F16" s="50">
        <v>319</v>
      </c>
      <c r="G16" s="50">
        <v>319</v>
      </c>
      <c r="H16" s="50">
        <v>319</v>
      </c>
      <c r="I16" s="50">
        <v>319</v>
      </c>
      <c r="J16" s="50">
        <v>319</v>
      </c>
      <c r="K16" s="50"/>
      <c r="L16" s="50"/>
      <c r="M16" s="50"/>
      <c r="N16" s="50"/>
      <c r="O16" s="50"/>
      <c r="P16" s="49">
        <f t="shared" si="0"/>
        <v>2233</v>
      </c>
      <c r="Q16" s="49">
        <f t="shared" si="1"/>
        <v>2233</v>
      </c>
      <c r="R16" s="51">
        <f t="shared" si="2"/>
        <v>0</v>
      </c>
      <c r="S16" s="52" t="str">
        <f t="shared" si="3"/>
        <v>Ausgeglichen</v>
      </c>
      <c r="T16" s="49">
        <f t="shared" si="4"/>
        <v>3828</v>
      </c>
    </row>
    <row r="17" spans="1:20" ht="18" customHeight="1" x14ac:dyDescent="0.25">
      <c r="A17" s="47"/>
      <c r="B17" s="53" t="str">
        <f>IFERROR(INDEX(Mietaufstellung!$F$6:$F$25,MATCH($A17,Mietaufstellung!$A$6:$A$25,0)),"")</f>
        <v/>
      </c>
      <c r="C17" s="54" t="str">
        <f>IFERROR(INDEX(Mietaufstellung!$M$6:$M$25,MATCH($A17,Mietaufstellung!$A$6:$A$25,0)),"")</f>
        <v/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4" t="str">
        <f t="shared" si="0"/>
        <v/>
      </c>
      <c r="Q17" s="54" t="str">
        <f t="shared" si="1"/>
        <v/>
      </c>
      <c r="R17" s="55" t="str">
        <f t="shared" si="2"/>
        <v/>
      </c>
      <c r="S17" s="56" t="str">
        <f t="shared" si="3"/>
        <v/>
      </c>
      <c r="T17" s="54" t="str">
        <f t="shared" si="4"/>
        <v/>
      </c>
    </row>
    <row r="18" spans="1:20" ht="18" customHeight="1" x14ac:dyDescent="0.25">
      <c r="A18" s="47"/>
      <c r="B18" s="48" t="str">
        <f>IFERROR(INDEX(Mietaufstellung!$F$6:$F$25,MATCH($A18,Mietaufstellung!$A$6:$A$25,0)),"")</f>
        <v/>
      </c>
      <c r="C18" s="49" t="str">
        <f>IFERROR(INDEX(Mietaufstellung!$M$6:$M$25,MATCH($A18,Mietaufstellung!$A$6:$A$25,0)),"")</f>
        <v/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49" t="str">
        <f t="shared" si="0"/>
        <v/>
      </c>
      <c r="Q18" s="49" t="str">
        <f t="shared" si="1"/>
        <v/>
      </c>
      <c r="R18" s="51" t="str">
        <f t="shared" si="2"/>
        <v/>
      </c>
      <c r="S18" s="52" t="str">
        <f t="shared" si="3"/>
        <v/>
      </c>
      <c r="T18" s="49" t="str">
        <f t="shared" si="4"/>
        <v/>
      </c>
    </row>
    <row r="19" spans="1:20" ht="18" customHeight="1" x14ac:dyDescent="0.25">
      <c r="A19" s="47"/>
      <c r="B19" s="53" t="str">
        <f>IFERROR(INDEX(Mietaufstellung!$F$6:$F$25,MATCH($A19,Mietaufstellung!$A$6:$A$25,0)),"")</f>
        <v/>
      </c>
      <c r="C19" s="54" t="str">
        <f>IFERROR(INDEX(Mietaufstellung!$M$6:$M$25,MATCH($A19,Mietaufstellung!$A$6:$A$25,0)),"")</f>
        <v/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4" t="str">
        <f t="shared" si="0"/>
        <v/>
      </c>
      <c r="Q19" s="54" t="str">
        <f t="shared" si="1"/>
        <v/>
      </c>
      <c r="R19" s="55" t="str">
        <f t="shared" si="2"/>
        <v/>
      </c>
      <c r="S19" s="56" t="str">
        <f t="shared" si="3"/>
        <v/>
      </c>
      <c r="T19" s="54" t="str">
        <f t="shared" si="4"/>
        <v/>
      </c>
    </row>
    <row r="20" spans="1:20" ht="18" customHeight="1" x14ac:dyDescent="0.25">
      <c r="A20" s="47"/>
      <c r="B20" s="48" t="str">
        <f>IFERROR(INDEX(Mietaufstellung!$F$6:$F$25,MATCH($A20,Mietaufstellung!$A$6:$A$25,0)),"")</f>
        <v/>
      </c>
      <c r="C20" s="49" t="str">
        <f>IFERROR(INDEX(Mietaufstellung!$M$6:$M$25,MATCH($A20,Mietaufstellung!$A$6:$A$25,0)),"")</f>
        <v/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49" t="str">
        <f t="shared" si="0"/>
        <v/>
      </c>
      <c r="Q20" s="49" t="str">
        <f t="shared" si="1"/>
        <v/>
      </c>
      <c r="R20" s="51" t="str">
        <f t="shared" si="2"/>
        <v/>
      </c>
      <c r="S20" s="52" t="str">
        <f t="shared" si="3"/>
        <v/>
      </c>
      <c r="T20" s="49" t="str">
        <f t="shared" si="4"/>
        <v/>
      </c>
    </row>
    <row r="21" spans="1:20" ht="18" customHeight="1" x14ac:dyDescent="0.25">
      <c r="A21" s="47"/>
      <c r="B21" s="53" t="str">
        <f>IFERROR(INDEX(Mietaufstellung!$F$6:$F$25,MATCH($A21,Mietaufstellung!$A$6:$A$25,0)),"")</f>
        <v/>
      </c>
      <c r="C21" s="54" t="str">
        <f>IFERROR(INDEX(Mietaufstellung!$M$6:$M$25,MATCH($A21,Mietaufstellung!$A$6:$A$25,0)),"")</f>
        <v/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4" t="str">
        <f t="shared" si="0"/>
        <v/>
      </c>
      <c r="Q21" s="54" t="str">
        <f t="shared" si="1"/>
        <v/>
      </c>
      <c r="R21" s="55" t="str">
        <f t="shared" si="2"/>
        <v/>
      </c>
      <c r="S21" s="56" t="str">
        <f t="shared" si="3"/>
        <v/>
      </c>
      <c r="T21" s="54" t="str">
        <f t="shared" si="4"/>
        <v/>
      </c>
    </row>
    <row r="22" spans="1:20" ht="18" customHeight="1" x14ac:dyDescent="0.25">
      <c r="A22" s="47"/>
      <c r="B22" s="48" t="str">
        <f>IFERROR(INDEX(Mietaufstellung!$F$6:$F$25,MATCH($A22,Mietaufstellung!$A$6:$A$25,0)),"")</f>
        <v/>
      </c>
      <c r="C22" s="49" t="str">
        <f>IFERROR(INDEX(Mietaufstellung!$M$6:$M$25,MATCH($A22,Mietaufstellung!$A$6:$A$25,0)),"")</f>
        <v/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49" t="str">
        <f t="shared" si="0"/>
        <v/>
      </c>
      <c r="Q22" s="49" t="str">
        <f t="shared" si="1"/>
        <v/>
      </c>
      <c r="R22" s="51" t="str">
        <f t="shared" si="2"/>
        <v/>
      </c>
      <c r="S22" s="52" t="str">
        <f t="shared" si="3"/>
        <v/>
      </c>
      <c r="T22" s="49" t="str">
        <f t="shared" si="4"/>
        <v/>
      </c>
    </row>
    <row r="23" spans="1:20" ht="18" customHeight="1" x14ac:dyDescent="0.25">
      <c r="A23" s="47"/>
      <c r="B23" s="53" t="str">
        <f>IFERROR(INDEX(Mietaufstellung!$F$6:$F$25,MATCH($A23,Mietaufstellung!$A$6:$A$25,0)),"")</f>
        <v/>
      </c>
      <c r="C23" s="54" t="str">
        <f>IFERROR(INDEX(Mietaufstellung!$M$6:$M$25,MATCH($A23,Mietaufstellung!$A$6:$A$25,0)),"")</f>
        <v/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4" t="str">
        <f t="shared" si="0"/>
        <v/>
      </c>
      <c r="Q23" s="54" t="str">
        <f t="shared" si="1"/>
        <v/>
      </c>
      <c r="R23" s="55" t="str">
        <f t="shared" si="2"/>
        <v/>
      </c>
      <c r="S23" s="56" t="str">
        <f t="shared" si="3"/>
        <v/>
      </c>
      <c r="T23" s="54" t="str">
        <f t="shared" si="4"/>
        <v/>
      </c>
    </row>
    <row r="24" spans="1:20" ht="18" customHeight="1" x14ac:dyDescent="0.25">
      <c r="A24" s="47"/>
      <c r="B24" s="48" t="str">
        <f>IFERROR(INDEX(Mietaufstellung!$F$6:$F$25,MATCH($A24,Mietaufstellung!$A$6:$A$25,0)),"")</f>
        <v/>
      </c>
      <c r="C24" s="49" t="str">
        <f>IFERROR(INDEX(Mietaufstellung!$M$6:$M$25,MATCH($A24,Mietaufstellung!$A$6:$A$25,0)),"")</f>
        <v/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49" t="str">
        <f t="shared" si="0"/>
        <v/>
      </c>
      <c r="Q24" s="49" t="str">
        <f t="shared" si="1"/>
        <v/>
      </c>
      <c r="R24" s="51" t="str">
        <f t="shared" si="2"/>
        <v/>
      </c>
      <c r="S24" s="52" t="str">
        <f t="shared" si="3"/>
        <v/>
      </c>
      <c r="T24" s="49" t="str">
        <f t="shared" si="4"/>
        <v/>
      </c>
    </row>
    <row r="25" spans="1:20" ht="18" customHeight="1" x14ac:dyDescent="0.25">
      <c r="A25" s="47"/>
      <c r="B25" s="53" t="str">
        <f>IFERROR(INDEX(Mietaufstellung!$F$6:$F$25,MATCH($A25,Mietaufstellung!$A$6:$A$25,0)),"")</f>
        <v/>
      </c>
      <c r="C25" s="54" t="str">
        <f>IFERROR(INDEX(Mietaufstellung!$M$6:$M$25,MATCH($A25,Mietaufstellung!$A$6:$A$25,0)),"")</f>
        <v/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4" t="str">
        <f t="shared" si="0"/>
        <v/>
      </c>
      <c r="Q25" s="54" t="str">
        <f t="shared" si="1"/>
        <v/>
      </c>
      <c r="R25" s="55" t="str">
        <f t="shared" si="2"/>
        <v/>
      </c>
      <c r="S25" s="56" t="str">
        <f t="shared" si="3"/>
        <v/>
      </c>
      <c r="T25" s="54" t="str">
        <f t="shared" si="4"/>
        <v/>
      </c>
    </row>
    <row r="26" spans="1:20" ht="21.75" customHeight="1" x14ac:dyDescent="0.25">
      <c r="A26" s="66" t="s">
        <v>151</v>
      </c>
      <c r="B26" s="66"/>
      <c r="C26" s="57">
        <f t="shared" ref="C26:R26" si="5">SUM(C6:C25)</f>
        <v>9974</v>
      </c>
      <c r="D26" s="58">
        <f t="shared" si="5"/>
        <v>9974</v>
      </c>
      <c r="E26" s="58">
        <f t="shared" si="5"/>
        <v>10074</v>
      </c>
      <c r="F26" s="58">
        <f t="shared" si="5"/>
        <v>9974</v>
      </c>
      <c r="G26" s="58">
        <f t="shared" si="5"/>
        <v>9974</v>
      </c>
      <c r="H26" s="58">
        <f t="shared" si="5"/>
        <v>9574</v>
      </c>
      <c r="I26" s="58">
        <f t="shared" si="5"/>
        <v>9234</v>
      </c>
      <c r="J26" s="58">
        <f t="shared" si="5"/>
        <v>9974</v>
      </c>
      <c r="K26" s="58">
        <f t="shared" si="5"/>
        <v>0</v>
      </c>
      <c r="L26" s="58">
        <f t="shared" si="5"/>
        <v>0</v>
      </c>
      <c r="M26" s="58">
        <f t="shared" si="5"/>
        <v>0</v>
      </c>
      <c r="N26" s="58">
        <f t="shared" si="5"/>
        <v>0</v>
      </c>
      <c r="O26" s="58">
        <f t="shared" si="5"/>
        <v>0</v>
      </c>
      <c r="P26" s="57">
        <f t="shared" si="5"/>
        <v>69818</v>
      </c>
      <c r="Q26" s="57">
        <f t="shared" si="5"/>
        <v>68778</v>
      </c>
      <c r="R26" s="57">
        <f t="shared" si="5"/>
        <v>-1040</v>
      </c>
      <c r="S26" s="59" t="str">
        <f>COUNTIF(S6:S25,"Rückstand")&amp;" Rückstände"</f>
        <v>2 Rückstände</v>
      </c>
      <c r="T26" s="57">
        <f>SUM(T6:T25)</f>
        <v>119688</v>
      </c>
    </row>
  </sheetData>
  <autoFilter ref="A5:T25" xr:uid="{00000000-0009-0000-0000-000002000000}"/>
  <mergeCells count="6">
    <mergeCell ref="A26:B26"/>
    <mergeCell ref="A1:T1"/>
    <mergeCell ref="A2:T2"/>
    <mergeCell ref="A4:C4"/>
    <mergeCell ref="D4:O4"/>
    <mergeCell ref="P4:T4"/>
  </mergeCells>
  <conditionalFormatting sqref="D6:D25">
    <cfRule type="expression" dxfId="40" priority="7">
      <formula>AND($A6&lt;&gt;"",$C6&gt;0,1&lt;=Stichmonat,N(D6)=0)</formula>
    </cfRule>
    <cfRule type="expression" dxfId="39" priority="8">
      <formula>AND($A6&lt;&gt;"",$C6&gt;0,1&lt;=Stichmonat,N(D6)&gt;0,D6&lt;$C6)</formula>
    </cfRule>
    <cfRule type="expression" dxfId="38" priority="9">
      <formula>AND($A6&lt;&gt;"",$C6&gt;0,1&lt;=Stichmonat,D6&gt;=$C6)</formula>
    </cfRule>
  </conditionalFormatting>
  <conditionalFormatting sqref="E6:E25">
    <cfRule type="expression" dxfId="37" priority="10">
      <formula>AND($A6&lt;&gt;"",$C6&gt;0,2&lt;=Stichmonat,N(E6)=0)</formula>
    </cfRule>
    <cfRule type="expression" dxfId="36" priority="11">
      <formula>AND($A6&lt;&gt;"",$C6&gt;0,2&lt;=Stichmonat,N(E6)&gt;0,E6&lt;$C6)</formula>
    </cfRule>
    <cfRule type="expression" dxfId="35" priority="12">
      <formula>AND($A6&lt;&gt;"",$C6&gt;0,2&lt;=Stichmonat,E6&gt;=$C6)</formula>
    </cfRule>
  </conditionalFormatting>
  <conditionalFormatting sqref="F6:F25">
    <cfRule type="expression" dxfId="34" priority="13">
      <formula>AND($A6&lt;&gt;"",$C6&gt;0,3&lt;=Stichmonat,N(F6)=0)</formula>
    </cfRule>
    <cfRule type="expression" dxfId="33" priority="14">
      <formula>AND($A6&lt;&gt;"",$C6&gt;0,3&lt;=Stichmonat,N(F6)&gt;0,F6&lt;$C6)</formula>
    </cfRule>
    <cfRule type="expression" dxfId="32" priority="15">
      <formula>AND($A6&lt;&gt;"",$C6&gt;0,3&lt;=Stichmonat,F6&gt;=$C6)</formula>
    </cfRule>
  </conditionalFormatting>
  <conditionalFormatting sqref="G6:G25">
    <cfRule type="expression" dxfId="31" priority="18">
      <formula>AND($A6&lt;&gt;"",$C6&gt;0,4&lt;=Stichmonat,G6&gt;=$C6)</formula>
    </cfRule>
    <cfRule type="expression" dxfId="30" priority="16">
      <formula>AND($A6&lt;&gt;"",$C6&gt;0,4&lt;=Stichmonat,N(G6)=0)</formula>
    </cfRule>
    <cfRule type="expression" dxfId="29" priority="17">
      <formula>AND($A6&lt;&gt;"",$C6&gt;0,4&lt;=Stichmonat,N(G6)&gt;0,G6&lt;$C6)</formula>
    </cfRule>
  </conditionalFormatting>
  <conditionalFormatting sqref="H6:H25">
    <cfRule type="expression" dxfId="28" priority="20">
      <formula>AND($A6&lt;&gt;"",$C6&gt;0,5&lt;=Stichmonat,N(H6)&gt;0,H6&lt;$C6)</formula>
    </cfRule>
    <cfRule type="expression" dxfId="27" priority="19">
      <formula>AND($A6&lt;&gt;"",$C6&gt;0,5&lt;=Stichmonat,N(H6)=0)</formula>
    </cfRule>
    <cfRule type="expression" dxfId="26" priority="21">
      <formula>AND($A6&lt;&gt;"",$C6&gt;0,5&lt;=Stichmonat,H6&gt;=$C6)</formula>
    </cfRule>
  </conditionalFormatting>
  <conditionalFormatting sqref="I6:I25">
    <cfRule type="expression" dxfId="25" priority="23">
      <formula>AND($A6&lt;&gt;"",$C6&gt;0,6&lt;=Stichmonat,N(I6)&gt;0,I6&lt;$C6)</formula>
    </cfRule>
    <cfRule type="expression" dxfId="24" priority="22">
      <formula>AND($A6&lt;&gt;"",$C6&gt;0,6&lt;=Stichmonat,N(I6)=0)</formula>
    </cfRule>
    <cfRule type="expression" dxfId="23" priority="24">
      <formula>AND($A6&lt;&gt;"",$C6&gt;0,6&lt;=Stichmonat,I6&gt;=$C6)</formula>
    </cfRule>
  </conditionalFormatting>
  <conditionalFormatting sqref="J6:J25">
    <cfRule type="expression" dxfId="22" priority="26">
      <formula>AND($A6&lt;&gt;"",$C6&gt;0,7&lt;=Stichmonat,N(J6)&gt;0,J6&lt;$C6)</formula>
    </cfRule>
    <cfRule type="expression" dxfId="21" priority="25">
      <formula>AND($A6&lt;&gt;"",$C6&gt;0,7&lt;=Stichmonat,N(J6)=0)</formula>
    </cfRule>
    <cfRule type="expression" dxfId="20" priority="27">
      <formula>AND($A6&lt;&gt;"",$C6&gt;0,7&lt;=Stichmonat,J6&gt;=$C6)</formula>
    </cfRule>
  </conditionalFormatting>
  <conditionalFormatting sqref="K6:K25">
    <cfRule type="expression" dxfId="19" priority="28">
      <formula>AND($A6&lt;&gt;"",$C6&gt;0,8&lt;=Stichmonat,N(K6)=0)</formula>
    </cfRule>
    <cfRule type="expression" dxfId="18" priority="29">
      <formula>AND($A6&lt;&gt;"",$C6&gt;0,8&lt;=Stichmonat,N(K6)&gt;0,K6&lt;$C6)</formula>
    </cfRule>
    <cfRule type="expression" dxfId="17" priority="30">
      <formula>AND($A6&lt;&gt;"",$C6&gt;0,8&lt;=Stichmonat,K6&gt;=$C6)</formula>
    </cfRule>
  </conditionalFormatting>
  <conditionalFormatting sqref="L6:L25">
    <cfRule type="expression" dxfId="16" priority="31">
      <formula>AND($A6&lt;&gt;"",$C6&gt;0,9&lt;=Stichmonat,N(L6)=0)</formula>
    </cfRule>
    <cfRule type="expression" dxfId="15" priority="32">
      <formula>AND($A6&lt;&gt;"",$C6&gt;0,9&lt;=Stichmonat,N(L6)&gt;0,L6&lt;$C6)</formula>
    </cfRule>
    <cfRule type="expression" dxfId="14" priority="33">
      <formula>AND($A6&lt;&gt;"",$C6&gt;0,9&lt;=Stichmonat,L6&gt;=$C6)</formula>
    </cfRule>
  </conditionalFormatting>
  <conditionalFormatting sqref="M6:M25">
    <cfRule type="expression" dxfId="13" priority="34">
      <formula>AND($A6&lt;&gt;"",$C6&gt;0,10&lt;=Stichmonat,N(M6)=0)</formula>
    </cfRule>
    <cfRule type="expression" dxfId="12" priority="35">
      <formula>AND($A6&lt;&gt;"",$C6&gt;0,10&lt;=Stichmonat,N(M6)&gt;0,M6&lt;$C6)</formula>
    </cfRule>
    <cfRule type="expression" dxfId="11" priority="36">
      <formula>AND($A6&lt;&gt;"",$C6&gt;0,10&lt;=Stichmonat,M6&gt;=$C6)</formula>
    </cfRule>
  </conditionalFormatting>
  <conditionalFormatting sqref="N6:N25">
    <cfRule type="expression" dxfId="10" priority="37">
      <formula>AND($A6&lt;&gt;"",$C6&gt;0,11&lt;=Stichmonat,N(N6)=0)</formula>
    </cfRule>
    <cfRule type="expression" dxfId="9" priority="38">
      <formula>AND($A6&lt;&gt;"",$C6&gt;0,11&lt;=Stichmonat,N(N6)&gt;0,N6&lt;$C6)</formula>
    </cfRule>
    <cfRule type="expression" dxfId="8" priority="39">
      <formula>AND($A6&lt;&gt;"",$C6&gt;0,11&lt;=Stichmonat,N6&gt;=$C6)</formula>
    </cfRule>
  </conditionalFormatting>
  <conditionalFormatting sqref="O6:O25">
    <cfRule type="expression" dxfId="7" priority="42">
      <formula>AND($A6&lt;&gt;"",$C6&gt;0,12&lt;=Stichmonat,O6&gt;=$C6)</formula>
    </cfRule>
    <cfRule type="expression" dxfId="6" priority="40">
      <formula>AND($A6&lt;&gt;"",$C6&gt;0,12&lt;=Stichmonat,N(O6)=0)</formula>
    </cfRule>
    <cfRule type="expression" dxfId="5" priority="41">
      <formula>AND($A6&lt;&gt;"",$C6&gt;0,12&lt;=Stichmonat,N(O6)&gt;0,O6&lt;$C6)</formula>
    </cfRule>
  </conditionalFormatting>
  <conditionalFormatting sqref="R6:R25">
    <cfRule type="cellIs" dxfId="4" priority="3" operator="greaterThan">
      <formula>0.005</formula>
    </cfRule>
    <cfRule type="cellIs" dxfId="3" priority="2" operator="lessThan">
      <formula>-0.005</formula>
    </cfRule>
  </conditionalFormatting>
  <conditionalFormatting sqref="S6:S25">
    <cfRule type="cellIs" dxfId="2" priority="6" operator="equal">
      <formula>"Überzahlung"</formula>
    </cfRule>
    <cfRule type="cellIs" dxfId="1" priority="5" operator="equal">
      <formula>"Ausgeglichen"</formula>
    </cfRule>
    <cfRule type="cellIs" dxfId="0" priority="4" operator="equal">
      <formula>"Rückstand"</formula>
    </cfRule>
  </conditionalFormatting>
  <dataValidations count="2">
    <dataValidation type="decimal" operator="greaterThanOrEqual" allowBlank="1" errorTitle="Ungültiger Betrag" error="Bitte einen Betrag ≥ 0 eingeben." sqref="D6:O25" xr:uid="{00000000-0002-0000-0200-000000000000}">
      <formula1>0</formula1>
      <formula2>0</formula2>
    </dataValidation>
    <dataValidation type="list" allowBlank="1" errorTitle="Unbekannte Einheit" error="Bitte eine im Blatt »Mietaufstellung« angelegte Einheit-Nr. wählen." sqref="A6:A25" xr:uid="{00000000-0002-0000-0200-000001000000}">
      <formula1>Einheiten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Übersicht</vt:lpstr>
      <vt:lpstr>Mietaufstellung</vt:lpstr>
      <vt:lpstr>Zahlungseingänge</vt:lpstr>
      <vt:lpstr>Übersicht!Druckbereich</vt:lpstr>
      <vt:lpstr>Mietaufstellung!Drucktitel</vt:lpstr>
      <vt:lpstr>Zahlungseingänge!Drucktitel</vt:lpstr>
      <vt:lpstr>Einheiten</vt:lpstr>
      <vt:lpstr>Stichmonat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Mietaufstellung 2026</dc:title>
  <dc:subject>Objekt- und Mietübersicht</dc:subject>
  <dc:creator>Vorlage</dc:creator>
  <dc:description/>
  <cp:lastModifiedBy>Sergio Jiménez Canales</cp:lastModifiedBy>
  <cp:revision>0</cp:revision>
  <dcterms:created xsi:type="dcterms:W3CDTF">2026-07-16T10:34:42Z</dcterms:created>
  <dcterms:modified xsi:type="dcterms:W3CDTF">2026-07-16T10:37:30Z</dcterms:modified>
  <dc:language>en-US</dc:language>
</cp:coreProperties>
</file>