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vertical\"/>
    </mc:Choice>
  </mc:AlternateContent>
  <xr:revisionPtr revIDLastSave="0" documentId="13_ncr:1_{53CF2172-BB9E-4D1D-A3AC-CCEEA80CDF4E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Dienstplan" sheetId="1" r:id="rId1"/>
    <sheet name="Auswertung" sheetId="2" r:id="rId2"/>
    <sheet name="Mitarbeitende" sheetId="3" r:id="rId3"/>
    <sheet name="Schichten" sheetId="4" r:id="rId4"/>
  </sheets>
  <definedNames>
    <definedName name="_xlnm._FilterDatabase" localSheetId="2" hidden="1">Mitarbeitende!$B$7:$J$23</definedName>
    <definedName name="AmKindTab">Schichten!$H$9:$H$17</definedName>
    <definedName name="Aufschlag">Schichten!$F$27</definedName>
    <definedName name="CodeListe">Schichten!$B$9:$B$17</definedName>
    <definedName name="CodesTab">Schichten!$B$9:$B$17</definedName>
    <definedName name="_xlnm.Print_Titles" localSheetId="0">Dienstplan!$1:$9</definedName>
    <definedName name="_xlnm.Print_Titles" localSheetId="2">Mitarbeitende!$1:$7</definedName>
    <definedName name="Einrichtung">Schichten!$F$20</definedName>
    <definedName name="Feiertage">Schichten!$B$44:$B$49</definedName>
    <definedName name="FunktionListe">Schichten!$E$35:$E$40</definedName>
    <definedName name="GruppenListe">Schichten!$B$35:$B$38</definedName>
    <definedName name="Kinder">Schichten!$F$25</definedName>
    <definedName name="Oeffnung_bis">Schichten!$F$24</definedName>
    <definedName name="Oeffnung_von">Schichten!$F$23</definedName>
    <definedName name="Planmonat">Schichten!$F$22</definedName>
    <definedName name="Ruhezeit">Schichten!$F$29</definedName>
    <definedName name="Schluessel">Schichten!$F$26</definedName>
    <definedName name="StdTab">Schichten!$G$9:$G$17</definedName>
    <definedName name="Stichtag">Schichten!$F$30</definedName>
    <definedName name="Traeger">Schichten!$F$21</definedName>
    <definedName name="VertragListe">Schichten!$H$35:$H$36</definedName>
    <definedName name="VZAE_Ist">Schichten!$F$32</definedName>
    <definedName name="VZAE_Soll">Schichten!$F$31</definedName>
    <definedName name="VZAE_Std">Schichten!$F$28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K2" i="1" l="1"/>
  <c r="F31" i="4"/>
  <c r="F30" i="4"/>
  <c r="G12" i="4"/>
  <c r="G11" i="4"/>
  <c r="G10" i="4"/>
  <c r="G9" i="4"/>
  <c r="AJ11" i="1" s="1"/>
  <c r="H24" i="3"/>
  <c r="G24" i="3"/>
  <c r="I23" i="3"/>
  <c r="B23" i="3"/>
  <c r="I22" i="3"/>
  <c r="B22" i="3"/>
  <c r="I21" i="3"/>
  <c r="B21" i="3"/>
  <c r="I20" i="3"/>
  <c r="B20" i="3"/>
  <c r="I19" i="3"/>
  <c r="B19" i="3"/>
  <c r="I18" i="3"/>
  <c r="B18" i="3"/>
  <c r="I17" i="3"/>
  <c r="B17" i="3"/>
  <c r="B19" i="1" s="1"/>
  <c r="I16" i="3"/>
  <c r="B16" i="3"/>
  <c r="I15" i="3"/>
  <c r="B15" i="3"/>
  <c r="I14" i="3"/>
  <c r="B14" i="3"/>
  <c r="I13" i="3"/>
  <c r="B13" i="3"/>
  <c r="I12" i="3"/>
  <c r="B12" i="3"/>
  <c r="I11" i="3"/>
  <c r="B11" i="3"/>
  <c r="I10" i="3"/>
  <c r="B10" i="3"/>
  <c r="I9" i="3"/>
  <c r="B9" i="3"/>
  <c r="I8" i="3"/>
  <c r="F32" i="4" s="1"/>
  <c r="B8" i="3"/>
  <c r="H2" i="3"/>
  <c r="E40" i="2"/>
  <c r="F40" i="2" s="1"/>
  <c r="E39" i="2"/>
  <c r="F39" i="2" s="1"/>
  <c r="E38" i="2"/>
  <c r="F38" i="2" s="1"/>
  <c r="E37" i="2"/>
  <c r="F37" i="2" s="1"/>
  <c r="E36" i="2"/>
  <c r="F36" i="2" s="1"/>
  <c r="E35" i="2"/>
  <c r="F35" i="2" s="1"/>
  <c r="E34" i="2"/>
  <c r="F34" i="2" s="1"/>
  <c r="E33" i="2"/>
  <c r="F33" i="2" s="1"/>
  <c r="H29" i="2"/>
  <c r="H27" i="2"/>
  <c r="L26" i="2"/>
  <c r="H26" i="2"/>
  <c r="H23" i="2"/>
  <c r="H21" i="2"/>
  <c r="F20" i="2"/>
  <c r="H19" i="2"/>
  <c r="F19" i="2"/>
  <c r="F18" i="2"/>
  <c r="H13" i="2"/>
  <c r="E13" i="2"/>
  <c r="B13" i="2"/>
  <c r="T2" i="2"/>
  <c r="K2" i="2"/>
  <c r="AG25" i="1"/>
  <c r="AF25" i="1"/>
  <c r="AE25" i="1"/>
  <c r="AC25" i="1"/>
  <c r="AA25" i="1"/>
  <c r="Z25" i="1"/>
  <c r="Y25" i="1"/>
  <c r="W25" i="1"/>
  <c r="U25" i="1"/>
  <c r="S25" i="1"/>
  <c r="R25" i="1"/>
  <c r="Q25" i="1"/>
  <c r="L25" i="1"/>
  <c r="K25" i="1"/>
  <c r="I25" i="1"/>
  <c r="G25" i="1"/>
  <c r="F25" i="1"/>
  <c r="E25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J23" i="1"/>
  <c r="AI23" i="1"/>
  <c r="AI25" i="1" s="1"/>
  <c r="AH23" i="1"/>
  <c r="AH25" i="1" s="1"/>
  <c r="AG23" i="1"/>
  <c r="AF23" i="1"/>
  <c r="AE23" i="1"/>
  <c r="AD23" i="1"/>
  <c r="AD25" i="1" s="1"/>
  <c r="AC23" i="1"/>
  <c r="AB23" i="1"/>
  <c r="AB25" i="1" s="1"/>
  <c r="AA23" i="1"/>
  <c r="Z23" i="1"/>
  <c r="Y23" i="1"/>
  <c r="X23" i="1"/>
  <c r="X25" i="1" s="1"/>
  <c r="W23" i="1"/>
  <c r="V23" i="1"/>
  <c r="V25" i="1" s="1"/>
  <c r="U23" i="1"/>
  <c r="T23" i="1"/>
  <c r="T25" i="1" s="1"/>
  <c r="S23" i="1"/>
  <c r="R23" i="1"/>
  <c r="Q23" i="1"/>
  <c r="P23" i="1"/>
  <c r="P25" i="1" s="1"/>
  <c r="O23" i="1"/>
  <c r="O25" i="1" s="1"/>
  <c r="N23" i="1"/>
  <c r="N25" i="1" s="1"/>
  <c r="M23" i="1"/>
  <c r="M25" i="1" s="1"/>
  <c r="L23" i="1"/>
  <c r="K23" i="1"/>
  <c r="J23" i="1"/>
  <c r="J25" i="1" s="1"/>
  <c r="I23" i="1"/>
  <c r="H23" i="1"/>
  <c r="H25" i="1" s="1"/>
  <c r="G23" i="1"/>
  <c r="F23" i="1"/>
  <c r="E23" i="1"/>
  <c r="AM20" i="1"/>
  <c r="AK20" i="1"/>
  <c r="L29" i="2" s="1"/>
  <c r="D20" i="1"/>
  <c r="C20" i="1"/>
  <c r="B20" i="1"/>
  <c r="AM19" i="1"/>
  <c r="AK19" i="1"/>
  <c r="L28" i="2" s="1"/>
  <c r="D19" i="1"/>
  <c r="C19" i="1"/>
  <c r="H28" i="2" s="1"/>
  <c r="AM18" i="1"/>
  <c r="AK18" i="1"/>
  <c r="L27" i="2" s="1"/>
  <c r="D18" i="1"/>
  <c r="C18" i="1"/>
  <c r="B18" i="1"/>
  <c r="AM17" i="1"/>
  <c r="AK17" i="1"/>
  <c r="D17" i="1"/>
  <c r="C17" i="1"/>
  <c r="B17" i="1"/>
  <c r="AM16" i="1"/>
  <c r="AK16" i="1"/>
  <c r="L25" i="2" s="1"/>
  <c r="D16" i="1"/>
  <c r="C16" i="1"/>
  <c r="H25" i="2" s="1"/>
  <c r="B16" i="1"/>
  <c r="AM15" i="1"/>
  <c r="AK15" i="1"/>
  <c r="L24" i="2" s="1"/>
  <c r="AJ15" i="1"/>
  <c r="K24" i="2" s="1"/>
  <c r="D15" i="1"/>
  <c r="C15" i="1"/>
  <c r="H24" i="2" s="1"/>
  <c r="B15" i="1"/>
  <c r="AM14" i="1"/>
  <c r="AK14" i="1"/>
  <c r="L23" i="2" s="1"/>
  <c r="D14" i="1"/>
  <c r="C14" i="1"/>
  <c r="B14" i="1"/>
  <c r="AM13" i="1"/>
  <c r="AK13" i="1"/>
  <c r="L22" i="2" s="1"/>
  <c r="D13" i="1"/>
  <c r="C13" i="1"/>
  <c r="H22" i="2" s="1"/>
  <c r="B13" i="1"/>
  <c r="AM12" i="1"/>
  <c r="AK12" i="1"/>
  <c r="L21" i="2" s="1"/>
  <c r="D12" i="1"/>
  <c r="C12" i="1"/>
  <c r="B12" i="1"/>
  <c r="AM11" i="1"/>
  <c r="AK11" i="1"/>
  <c r="L20" i="2" s="1"/>
  <c r="D11" i="1"/>
  <c r="C11" i="1"/>
  <c r="H20" i="2" s="1"/>
  <c r="B11" i="1"/>
  <c r="AM10" i="1"/>
  <c r="AK10" i="1"/>
  <c r="L19" i="2" s="1"/>
  <c r="D10" i="1"/>
  <c r="C10" i="1"/>
  <c r="B9" i="2" s="1"/>
  <c r="B10" i="1"/>
  <c r="F22" i="2" l="1"/>
  <c r="B23" i="2"/>
  <c r="F21" i="2"/>
  <c r="T1" i="2"/>
  <c r="K20" i="2"/>
  <c r="AL11" i="1"/>
  <c r="M20" i="2" s="1"/>
  <c r="AJ14" i="1"/>
  <c r="AL15" i="1"/>
  <c r="M24" i="2" s="1"/>
  <c r="AJ17" i="1"/>
  <c r="AJ20" i="1"/>
  <c r="AJ19" i="1"/>
  <c r="H9" i="2"/>
  <c r="AJ12" i="1"/>
  <c r="AJ18" i="1"/>
  <c r="AJ10" i="1"/>
  <c r="I24" i="3"/>
  <c r="AJ16" i="1"/>
  <c r="AJ13" i="1"/>
  <c r="K27" i="2" l="1"/>
  <c r="AL18" i="1"/>
  <c r="M27" i="2" s="1"/>
  <c r="AL12" i="1"/>
  <c r="M21" i="2" s="1"/>
  <c r="K21" i="2"/>
  <c r="AL19" i="1"/>
  <c r="M28" i="2" s="1"/>
  <c r="K28" i="2"/>
  <c r="K26" i="2"/>
  <c r="AL17" i="1"/>
  <c r="M26" i="2" s="1"/>
  <c r="K22" i="2"/>
  <c r="AL13" i="1"/>
  <c r="M22" i="2" s="1"/>
  <c r="K25" i="2"/>
  <c r="AL16" i="1"/>
  <c r="M25" i="2" s="1"/>
  <c r="K23" i="2"/>
  <c r="AL14" i="1"/>
  <c r="M23" i="2" s="1"/>
  <c r="AL10" i="1"/>
  <c r="K19" i="2"/>
  <c r="K13" i="2"/>
  <c r="E9" i="2"/>
  <c r="K29" i="2"/>
  <c r="AL20" i="1"/>
  <c r="M29" i="2" s="1"/>
  <c r="K9" i="2" l="1"/>
  <c r="M19" i="2"/>
</calcChain>
</file>

<file path=xl/sharedStrings.xml><?xml version="1.0" encoding="utf-8"?>
<sst xmlns="http://schemas.openxmlformats.org/spreadsheetml/2006/main" count="502" uniqueCount="167">
  <si>
    <t>Monatsplan · pro Tag einen Dienstcode wählen · Ist-Stunden, Saldo und Besetzung berechnen sich automatisch</t>
  </si>
  <si>
    <t>Mitarbeiter/in</t>
  </si>
  <si>
    <t>Ist</t>
  </si>
  <si>
    <t>Soll</t>
  </si>
  <si>
    <t>Saldo</t>
  </si>
  <si>
    <t>Abwes.</t>
  </si>
  <si>
    <t>So</t>
  </si>
  <si>
    <t>Mo</t>
  </si>
  <si>
    <t>Di</t>
  </si>
  <si>
    <t>Mi</t>
  </si>
  <si>
    <t>Do</t>
  </si>
  <si>
    <t>Fr</t>
  </si>
  <si>
    <t>Sa</t>
  </si>
  <si>
    <t>VZ</t>
  </si>
  <si>
    <t>F</t>
  </si>
  <si>
    <t>M</t>
  </si>
  <si>
    <t>S</t>
  </si>
  <si>
    <t>U</t>
  </si>
  <si>
    <t>T</t>
  </si>
  <si>
    <t>FR</t>
  </si>
  <si>
    <t>K</t>
  </si>
  <si>
    <t>FB</t>
  </si>
  <si>
    <t>Besetzung / Personalschlüssel</t>
  </si>
  <si>
    <t>Kräfte am Kind</t>
  </si>
  <si>
    <t>davon Verfügungszeit (VZ)</t>
  </si>
  <si>
    <t>Status Personalschlüssel</t>
  </si>
  <si>
    <t>Auswertung</t>
  </si>
  <si>
    <t>Kennzahlen, Stundensalden und Personalschlüssel · aktualisiert sich automatisch</t>
  </si>
  <si>
    <t>1</t>
  </si>
  <si>
    <t>Kennzahlen</t>
  </si>
  <si>
    <t>Mitarbeitende</t>
  </si>
  <si>
    <t>Ist-Stunden gesamt</t>
  </si>
  <si>
    <t>Soll-Stunden gesamt</t>
  </si>
  <si>
    <t>Saldo gesamt</t>
  </si>
  <si>
    <t>Urlaubstage</t>
  </si>
  <si>
    <t>Kranktage</t>
  </si>
  <si>
    <t>Fortbildungstage</t>
  </si>
  <si>
    <t>Ø Auslastung</t>
  </si>
  <si>
    <t>2</t>
  </si>
  <si>
    <t>Personalschlüssel</t>
  </si>
  <si>
    <t>3</t>
  </si>
  <si>
    <t>Stundensalden je Person</t>
  </si>
  <si>
    <t>Betreute Kinder</t>
  </si>
  <si>
    <t>Schlüssel (Kind je VZÄ)</t>
  </si>
  <si>
    <t>Benötigte VZÄ</t>
  </si>
  <si>
    <t>Vorhandene VZÄ</t>
  </si>
  <si>
    <t>Deckung</t>
  </si>
  <si>
    <t>4</t>
  </si>
  <si>
    <t>Dienstarten (Tage)</t>
  </si>
  <si>
    <t>Art</t>
  </si>
  <si>
    <t>Tage</t>
  </si>
  <si>
    <t>Anteil</t>
  </si>
  <si>
    <t>Frühdienst (F)</t>
  </si>
  <si>
    <t>Mitteldienst (M)</t>
  </si>
  <si>
    <t>Spätdienst (S)</t>
  </si>
  <si>
    <t>Teildienst (T)</t>
  </si>
  <si>
    <t>Verfügungszeit (VZ)</t>
  </si>
  <si>
    <t>Urlaub (U)</t>
  </si>
  <si>
    <t>Krank (K)</t>
  </si>
  <si>
    <t>Fortbildung (FB)</t>
  </si>
  <si>
    <t>Stammdaten des Teams · Grundlage für Soll-Stunden und Personalschlüssel</t>
  </si>
  <si>
    <t>Nr.</t>
  </si>
  <si>
    <t>Name</t>
  </si>
  <si>
    <t>Funktion</t>
  </si>
  <si>
    <t>Gruppe</t>
  </si>
  <si>
    <t>Vertrag</t>
  </si>
  <si>
    <t>Wochenstd.</t>
  </si>
  <si>
    <t>Qualifikation</t>
  </si>
  <si>
    <t>VZÄ</t>
  </si>
  <si>
    <t>Bemerkung</t>
  </si>
  <si>
    <t>Andrea Vogt</t>
  </si>
  <si>
    <t>Leitung</t>
  </si>
  <si>
    <t>Gruppenübergreifend</t>
  </si>
  <si>
    <t>Fachkraft</t>
  </si>
  <si>
    <t>Bianca Roth</t>
  </si>
  <si>
    <t>Erzieher/in</t>
  </si>
  <si>
    <t>Sonnenkäfer</t>
  </si>
  <si>
    <t>Carmen Löw</t>
  </si>
  <si>
    <t>TZ</t>
  </si>
  <si>
    <t>Deniz Kaya</t>
  </si>
  <si>
    <t>Kinderpfleger/in</t>
  </si>
  <si>
    <t>Ergänzungskraft</t>
  </si>
  <si>
    <t>Eva Sander</t>
  </si>
  <si>
    <t>Regenbogen</t>
  </si>
  <si>
    <t>Frank Bauer</t>
  </si>
  <si>
    <t>Sozialpäd. Fachkraft</t>
  </si>
  <si>
    <t>Gscheidle Nele</t>
  </si>
  <si>
    <t>Hana Petri</t>
  </si>
  <si>
    <t>Sternschnuppen</t>
  </si>
  <si>
    <t>Ines Kurz</t>
  </si>
  <si>
    <t>Jonas Mai</t>
  </si>
  <si>
    <t>Berufspraktikant/in</t>
  </si>
  <si>
    <t>Praktikant</t>
  </si>
  <si>
    <t>Katrin Ilic</t>
  </si>
  <si>
    <t>Springer/in</t>
  </si>
  <si>
    <t>Summe / Anzahl</t>
  </si>
  <si>
    <t>Schichten &amp; Stammdaten</t>
  </si>
  <si>
    <t>Grundlage aller Berechnungen · Dienstzeiten, Personalschlüssel und Auswahllisten hier pflegen</t>
  </si>
  <si>
    <t>Dienstcodes &amp; Zeiten</t>
  </si>
  <si>
    <t>Code</t>
  </si>
  <si>
    <t>Bezeichnung</t>
  </si>
  <si>
    <t>von</t>
  </si>
  <si>
    <t>bis</t>
  </si>
  <si>
    <t>Pause
(Min)</t>
  </si>
  <si>
    <t>Stunden</t>
  </si>
  <si>
    <t>am Kind</t>
  </si>
  <si>
    <t>Frühdienst</t>
  </si>
  <si>
    <t>06:30</t>
  </si>
  <si>
    <t>14:30</t>
  </si>
  <si>
    <t>Ja</t>
  </si>
  <si>
    <t>Mitteldienst</t>
  </si>
  <si>
    <t>08:30</t>
  </si>
  <si>
    <t>16:30</t>
  </si>
  <si>
    <t>Spätdienst</t>
  </si>
  <si>
    <t>09:30</t>
  </si>
  <si>
    <t>17:30</t>
  </si>
  <si>
    <t>Teildienst</t>
  </si>
  <si>
    <t>08:00</t>
  </si>
  <si>
    <t>12:30</t>
  </si>
  <si>
    <t>Verfügungszeit</t>
  </si>
  <si>
    <t>—</t>
  </si>
  <si>
    <t>Nein</t>
  </si>
  <si>
    <t>Fortbildung</t>
  </si>
  <si>
    <t>Urlaub</t>
  </si>
  <si>
    <t>Krank</t>
  </si>
  <si>
    <t>Frei</t>
  </si>
  <si>
    <t>Einrichtung &amp; Personalschlüssel</t>
  </si>
  <si>
    <t>Einrichtung</t>
  </si>
  <si>
    <t>Kita Sonnenwiese</t>
  </si>
  <si>
    <t>Träger</t>
  </si>
  <si>
    <t>Musterträger e.V.</t>
  </si>
  <si>
    <t>Planungsmonat</t>
  </si>
  <si>
    <t>Öffnungszeit von</t>
  </si>
  <si>
    <t>07:00</t>
  </si>
  <si>
    <t>Öffnungszeit bis</t>
  </si>
  <si>
    <t>17:00</t>
  </si>
  <si>
    <t>Betreute Kinder (Anzahl)</t>
  </si>
  <si>
    <t>Personalschlüssel (Kind je Fachkraft-VZÄ)</t>
  </si>
  <si>
    <t>Aufschlag mittelbare Arbeit/Ausfall</t>
  </si>
  <si>
    <t>Wochenstunden Vollzeit (VZÄ)</t>
  </si>
  <si>
    <t>Mind.-Ruhezeit ArbZG (Std.)</t>
  </si>
  <si>
    <t>Stichtag (heute)</t>
  </si>
  <si>
    <t>Benötigte VZÄ (rechnerisch)</t>
  </si>
  <si>
    <t>Vorhandene VZÄ (Stellen)</t>
  </si>
  <si>
    <t>Auswahllisten</t>
  </si>
  <si>
    <t>Gruppen</t>
  </si>
  <si>
    <t>Feiertage / Schließtage 2026</t>
  </si>
  <si>
    <t>Datum</t>
  </si>
  <si>
    <t>Anlass</t>
  </si>
  <si>
    <t>Konzeptionstag (Schließtag)</t>
  </si>
  <si>
    <t>Karfreitag</t>
  </si>
  <si>
    <t>Ostermontag</t>
  </si>
  <si>
    <t>Tag der Arbeit</t>
  </si>
  <si>
    <t>Christi Himmelfahrt</t>
  </si>
  <si>
    <t>Pfingstmontag</t>
  </si>
  <si>
    <t>5</t>
  </si>
  <si>
    <t>Legende &amp; Anleitung</t>
  </si>
  <si>
    <t xml:space="preserve">  F / M / S = Früh-, Mittel-, Spätdienst (Dienst am Kind)</t>
  </si>
  <si>
    <t xml:space="preserve">  T = Teildienst · VZ = Verfügungszeit (mittelbare Arbeit)</t>
  </si>
  <si>
    <t xml:space="preserve">  U = Urlaub · K = Krank · FB = Fortbildung · FR = Frei</t>
  </si>
  <si>
    <t xml:space="preserve">  Cremefarben = Eingabe · Grau = automatisch berechnet</t>
  </si>
  <si>
    <t>1.  Pflegen Sie oben die Dienstcodes (Zeiten/Pausen) sowie unter »Einrichtung« Kinderzahl, Personalschlüssel und Öffnungszeiten.</t>
  </si>
  <si>
    <t>2.  Erfassen Sie im Blatt »Mitarbeitende« das Team mit Funktion, Gruppe, Vertrag und Wochenstunden.</t>
  </si>
  <si>
    <t>3.  Tragen Sie im Blatt »Dienstplan« pro Person und Tag den Dienstcode ein (Dropdown). Ist-Stunden, Saldo und Besetzung berechnen sich automatisch.</t>
  </si>
  <si>
    <t>4.  Das Blatt »Auswertung« zeigt Stundensalden, Abwesenheiten, Besetzung je Tag und die Personalschlüssel-Ampel.</t>
  </si>
  <si>
    <t>Hinweis: generische Muster-Vorlage mit frei erfundenen Daten. ArbZG-Prüfungen (Pausen, 11-Std.-Ruhezeit) und Personalschlüssel sind Orientierungshilfen und ersetzen keine rechtliche Prüfung.</t>
  </si>
  <si>
    <t>Dienstplan 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</si>
</sst>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dd\.mm\.yyyy"/>
    <numFmt numFmtId="165" formatCode="0.0;;\–"/>
    <numFmt numFmtId="166" formatCode="\+0.0;\-0.0;0"/>
    <numFmt numFmtId="167" formatCode="0&quot; T&quot;;;\–"/>
    <numFmt numFmtId="168" formatCode="0;;&quot;&quot;"/>
    <numFmt numFmtId="169" formatCode="#,##0.0&quot; h&quot;"/>
    <numFmt numFmtId="170" formatCode="\+#,##0.0&quot; h&quot;;\-#,##0.0&quot; h&quot;"/>
    <numFmt numFmtId="171" formatCode="0&quot; T&quot;"/>
    <numFmt numFmtId="172" formatCode="0.0"/>
    <numFmt numFmtId="173" formatCode="0;;\–"/>
    <numFmt numFmtId="174" formatCode="0.00;;\–"/>
    <numFmt numFmtId="175" formatCode="mmmm&quot; JJJJ&quot;"/>
  </numFmts>
  <fonts count="3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9"/>
      <color rgb="FFFFFFFF"/>
      <name val="Calibri"/>
      <charset val="1"/>
    </font>
    <font>
      <i/>
      <sz val="10"/>
      <color rgb="FF7C8C84"/>
      <name val="Calibri"/>
      <charset val="1"/>
    </font>
    <font>
      <b/>
      <sz val="9"/>
      <color rgb="FFFFFFFF"/>
      <name val="Calibri"/>
      <charset val="1"/>
    </font>
    <font>
      <b/>
      <sz val="8.5"/>
      <color rgb="FFFFFFFF"/>
      <name val="Calibri"/>
      <charset val="1"/>
    </font>
    <font>
      <sz val="7.5"/>
      <color rgb="FFFFFFFF"/>
      <name val="Calibri"/>
      <charset val="1"/>
    </font>
    <font>
      <sz val="8"/>
      <color rgb="FF22302B"/>
      <name val="Calibri"/>
      <charset val="1"/>
    </font>
    <font>
      <b/>
      <sz val="9"/>
      <color rgb="FF22302B"/>
      <name val="Calibri"/>
      <charset val="1"/>
    </font>
    <font>
      <sz val="8"/>
      <color rgb="FF7C8C84"/>
      <name val="Calibri"/>
      <charset val="1"/>
    </font>
    <font>
      <b/>
      <sz val="8"/>
      <color rgb="FF22302B"/>
      <name val="Calibri"/>
      <charset val="1"/>
    </font>
    <font>
      <b/>
      <sz val="8.5"/>
      <color rgb="FF22302B"/>
      <name val="Calibri"/>
      <charset val="1"/>
    </font>
    <font>
      <sz val="8.5"/>
      <color rgb="FF22302B"/>
      <name val="Calibri"/>
      <charset val="1"/>
    </font>
    <font>
      <i/>
      <sz val="8"/>
      <color rgb="FF7C8C84"/>
      <name val="Calibri"/>
      <charset val="1"/>
    </font>
    <font>
      <b/>
      <sz val="7"/>
      <color rgb="FF22302B"/>
      <name val="Calibri"/>
      <charset val="1"/>
    </font>
    <font>
      <b/>
      <sz val="11"/>
      <color rgb="FFFFFFFF"/>
      <name val="Calibri"/>
      <charset val="1"/>
    </font>
    <font>
      <b/>
      <sz val="11"/>
      <color rgb="FF22302B"/>
      <name val="Calibri"/>
      <charset val="1"/>
    </font>
    <font>
      <b/>
      <sz val="14"/>
      <color rgb="FF2C6E57"/>
      <name val="Calibri"/>
      <charset val="1"/>
    </font>
    <font>
      <b/>
      <sz val="14"/>
      <color rgb="FF35594B"/>
      <name val="Calibri"/>
      <charset val="1"/>
    </font>
    <font>
      <b/>
      <sz val="14"/>
      <color rgb="FF3C7E93"/>
      <name val="Calibri"/>
      <charset val="1"/>
    </font>
    <font>
      <b/>
      <sz val="14"/>
      <color rgb="FFA2521F"/>
      <name val="Calibri"/>
      <charset val="1"/>
    </font>
    <font>
      <sz val="8.5"/>
      <color rgb="FF7C8C84"/>
      <name val="Calibri"/>
      <charset val="1"/>
    </font>
    <font>
      <b/>
      <sz val="14"/>
      <color rgb="FFD9922B"/>
      <name val="Calibri"/>
      <charset val="1"/>
    </font>
    <font>
      <b/>
      <sz val="14"/>
      <color rgb="FFC0432B"/>
      <name val="Calibri"/>
      <charset val="1"/>
    </font>
    <font>
      <b/>
      <sz val="14"/>
      <color rgb="FF6A4E86"/>
      <name val="Calibri"/>
      <charset val="1"/>
    </font>
    <font>
      <b/>
      <sz val="14"/>
      <color rgb="FF3E8E5E"/>
      <name val="Calibri"/>
      <charset val="1"/>
    </font>
    <font>
      <sz val="9"/>
      <color rgb="FF7C8C84"/>
      <name val="Calibri"/>
      <charset val="1"/>
    </font>
    <font>
      <b/>
      <sz val="9.5"/>
      <color rgb="FF22302B"/>
      <name val="Calibri"/>
      <charset val="1"/>
    </font>
    <font>
      <b/>
      <sz val="10"/>
      <color rgb="FFFFFFFF"/>
      <name val="Calibri"/>
      <charset val="1"/>
    </font>
    <font>
      <sz val="9"/>
      <color rgb="FF22302B"/>
      <name val="Calibri"/>
      <charset val="1"/>
    </font>
    <font>
      <sz val="9.5"/>
      <color rgb="FF22302B"/>
      <name val="Calibri"/>
      <charset val="1"/>
    </font>
    <font>
      <b/>
      <sz val="9.5"/>
      <color rgb="FFA2521F"/>
      <name val="Calibri"/>
      <charset val="1"/>
    </font>
    <font>
      <b/>
      <sz val="9.5"/>
      <color rgb="FFFFFFFF"/>
      <name val="Calibri"/>
      <charset val="1"/>
    </font>
    <font>
      <b/>
      <sz val="10"/>
      <color rgb="FF2C6E57"/>
      <name val="Calibri"/>
      <charset val="1"/>
    </font>
    <font>
      <sz val="9.5"/>
      <color rgb="FF7C8C84"/>
      <name val="Calibri"/>
      <charset val="1"/>
    </font>
    <font>
      <b/>
      <sz val="9"/>
      <color rgb="FF2E7D4A"/>
      <name val="Calibri"/>
      <charset val="1"/>
    </font>
    <font>
      <b/>
      <sz val="9"/>
      <color rgb="FF345A6E"/>
      <name val="Calibri"/>
      <charset val="1"/>
    </font>
    <font>
      <b/>
      <sz val="9"/>
      <color rgb="FF8A6412"/>
      <name val="Calibri"/>
      <charset val="1"/>
    </font>
    <font>
      <i/>
      <sz val="8.5"/>
      <color rgb="FF7C8C84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C86B3C"/>
        <bgColor rgb="FFA2521F"/>
      </patternFill>
    </fill>
    <fill>
      <patternFill patternType="solid">
        <fgColor rgb="FF2C6E57"/>
        <bgColor rgb="FF2E7D4A"/>
      </patternFill>
    </fill>
    <fill>
      <patternFill patternType="solid">
        <fgColor rgb="FF35594B"/>
        <bgColor rgb="FF345A6E"/>
      </patternFill>
    </fill>
    <fill>
      <patternFill patternType="solid">
        <fgColor rgb="FFFFFFFF"/>
        <bgColor rgb="FFF8FAF9"/>
      </patternFill>
    </fill>
    <fill>
      <patternFill patternType="solid">
        <fgColor rgb="FFEFF3F1"/>
        <bgColor rgb="FFF1F5F3"/>
      </patternFill>
    </fill>
    <fill>
      <patternFill patternType="solid">
        <fgColor rgb="FFF8FAF9"/>
        <bgColor rgb="FFFFFFFF"/>
      </patternFill>
    </fill>
    <fill>
      <patternFill patternType="solid">
        <fgColor rgb="FFF1F5F3"/>
        <bgColor rgb="FFEFF3F1"/>
      </patternFill>
    </fill>
    <fill>
      <patternFill patternType="solid">
        <fgColor rgb="FFEDF1EE"/>
        <bgColor rgb="FFEFF3F1"/>
      </patternFill>
    </fill>
    <fill>
      <patternFill patternType="solid">
        <fgColor rgb="FFFBF3E6"/>
        <bgColor rgb="FFF1F5F3"/>
      </patternFill>
    </fill>
    <fill>
      <patternFill patternType="solid">
        <fgColor rgb="FFD9EBDD"/>
        <bgColor rgb="FFDEE8E3"/>
      </patternFill>
    </fill>
    <fill>
      <patternFill patternType="solid">
        <fgColor rgb="FFDCE6EC"/>
        <bgColor rgb="FFDEE8E3"/>
      </patternFill>
    </fill>
    <fill>
      <patternFill patternType="solid">
        <fgColor rgb="FFFBEBCB"/>
        <bgColor rgb="FFFBF3E6"/>
      </patternFill>
    </fill>
  </fills>
  <borders count="33">
    <border>
      <left/>
      <right/>
      <top/>
      <bottom/>
      <diagonal/>
    </border>
    <border>
      <left style="thin">
        <color rgb="FFCBD8D2"/>
      </left>
      <right/>
      <top style="thin">
        <color rgb="FFCBD8D2"/>
      </top>
      <bottom/>
      <diagonal/>
    </border>
    <border>
      <left/>
      <right/>
      <top style="thin">
        <color rgb="FFCBD8D2"/>
      </top>
      <bottom/>
      <diagonal/>
    </border>
    <border>
      <left/>
      <right style="thin">
        <color rgb="FFCBD8D2"/>
      </right>
      <top style="thin">
        <color rgb="FFCBD8D2"/>
      </top>
      <bottom/>
      <diagonal/>
    </border>
    <border>
      <left style="thin">
        <color rgb="FFCBD8D2"/>
      </left>
      <right/>
      <top/>
      <bottom/>
      <diagonal/>
    </border>
    <border>
      <left/>
      <right style="thin">
        <color rgb="FFCBD8D2"/>
      </right>
      <top/>
      <bottom/>
      <diagonal/>
    </border>
    <border>
      <left style="thin">
        <color rgb="FFCBD8D2"/>
      </left>
      <right/>
      <top/>
      <bottom style="thin">
        <color rgb="FFCBD8D2"/>
      </bottom>
      <diagonal/>
    </border>
    <border>
      <left/>
      <right/>
      <top/>
      <bottom style="thin">
        <color rgb="FFCBD8D2"/>
      </bottom>
      <diagonal/>
    </border>
    <border>
      <left/>
      <right style="thin">
        <color rgb="FFCBD8D2"/>
      </right>
      <top/>
      <bottom style="thin">
        <color rgb="FFCBD8D2"/>
      </bottom>
      <diagonal/>
    </border>
    <border>
      <left/>
      <right/>
      <top/>
      <bottom style="thin">
        <color rgb="FFC86B3C"/>
      </bottom>
      <diagonal/>
    </border>
    <border>
      <left style="thick">
        <color rgb="FF2C6E57"/>
      </left>
      <right style="thin">
        <color rgb="FFCBD8D2"/>
      </right>
      <top style="hair">
        <color rgb="FFDEE8E3"/>
      </top>
      <bottom/>
      <diagonal/>
    </border>
    <border>
      <left style="thick">
        <color rgb="FF35594B"/>
      </left>
      <right style="thin">
        <color rgb="FFCBD8D2"/>
      </right>
      <top style="hair">
        <color rgb="FFDEE8E3"/>
      </top>
      <bottom/>
      <diagonal/>
    </border>
    <border>
      <left style="thick">
        <color rgb="FF3C7E93"/>
      </left>
      <right style="thin">
        <color rgb="FFCBD8D2"/>
      </right>
      <top style="hair">
        <color rgb="FFDEE8E3"/>
      </top>
      <bottom/>
      <diagonal/>
    </border>
    <border>
      <left style="thick">
        <color rgb="FFA2521F"/>
      </left>
      <right style="thin">
        <color rgb="FFCBD8D2"/>
      </right>
      <top style="hair">
        <color rgb="FFDEE8E3"/>
      </top>
      <bottom/>
      <diagonal/>
    </border>
    <border>
      <left style="thick">
        <color rgb="FF2C6E57"/>
      </left>
      <right style="thin">
        <color rgb="FFCBD8D2"/>
      </right>
      <top/>
      <bottom style="hair">
        <color rgb="FFDEE8E3"/>
      </bottom>
      <diagonal/>
    </border>
    <border>
      <left style="thick">
        <color rgb="FF35594B"/>
      </left>
      <right style="thin">
        <color rgb="FFCBD8D2"/>
      </right>
      <top/>
      <bottom style="hair">
        <color rgb="FFDEE8E3"/>
      </bottom>
      <diagonal/>
    </border>
    <border>
      <left style="thick">
        <color rgb="FF3C7E93"/>
      </left>
      <right style="thin">
        <color rgb="FFCBD8D2"/>
      </right>
      <top/>
      <bottom style="hair">
        <color rgb="FFDEE8E3"/>
      </bottom>
      <diagonal/>
    </border>
    <border>
      <left style="thick">
        <color rgb="FFA2521F"/>
      </left>
      <right style="thin">
        <color rgb="FFCBD8D2"/>
      </right>
      <top/>
      <bottom style="hair">
        <color rgb="FFDEE8E3"/>
      </bottom>
      <diagonal/>
    </border>
    <border>
      <left style="thick">
        <color rgb="FFD9922B"/>
      </left>
      <right style="thin">
        <color rgb="FFCBD8D2"/>
      </right>
      <top style="hair">
        <color rgb="FFDEE8E3"/>
      </top>
      <bottom/>
      <diagonal/>
    </border>
    <border>
      <left style="thick">
        <color rgb="FFC0432B"/>
      </left>
      <right style="thin">
        <color rgb="FFCBD8D2"/>
      </right>
      <top style="hair">
        <color rgb="FFDEE8E3"/>
      </top>
      <bottom/>
      <diagonal/>
    </border>
    <border>
      <left style="thick">
        <color rgb="FF6A4E86"/>
      </left>
      <right style="thin">
        <color rgb="FFCBD8D2"/>
      </right>
      <top style="hair">
        <color rgb="FFDEE8E3"/>
      </top>
      <bottom/>
      <diagonal/>
    </border>
    <border>
      <left style="thick">
        <color rgb="FF3E8E5E"/>
      </left>
      <right style="thin">
        <color rgb="FFCBD8D2"/>
      </right>
      <top style="hair">
        <color rgb="FFDEE8E3"/>
      </top>
      <bottom/>
      <diagonal/>
    </border>
    <border>
      <left style="thick">
        <color rgb="FFD9922B"/>
      </left>
      <right style="thin">
        <color rgb="FFCBD8D2"/>
      </right>
      <top/>
      <bottom style="hair">
        <color rgb="FFDEE8E3"/>
      </bottom>
      <diagonal/>
    </border>
    <border>
      <left style="thick">
        <color rgb="FFC0432B"/>
      </left>
      <right style="thin">
        <color rgb="FFCBD8D2"/>
      </right>
      <top/>
      <bottom style="hair">
        <color rgb="FFDEE8E3"/>
      </bottom>
      <diagonal/>
    </border>
    <border>
      <left style="thick">
        <color rgb="FF6A4E86"/>
      </left>
      <right style="thin">
        <color rgb="FFCBD8D2"/>
      </right>
      <top/>
      <bottom style="hair">
        <color rgb="FFDEE8E3"/>
      </bottom>
      <diagonal/>
    </border>
    <border>
      <left style="thick">
        <color rgb="FF3E8E5E"/>
      </left>
      <right style="thin">
        <color rgb="FFCBD8D2"/>
      </right>
      <top/>
      <bottom style="hair">
        <color rgb="FFDEE8E3"/>
      </bottom>
      <diagonal/>
    </border>
    <border>
      <left style="hair">
        <color rgb="FFDEE8E3"/>
      </left>
      <right/>
      <top style="hair">
        <color rgb="FFDEE8E3"/>
      </top>
      <bottom style="hair">
        <color rgb="FFDEE8E3"/>
      </bottom>
      <diagonal/>
    </border>
    <border>
      <left/>
      <right style="hair">
        <color rgb="FFDEE8E3"/>
      </right>
      <top style="hair">
        <color rgb="FFDEE8E3"/>
      </top>
      <bottom style="hair">
        <color rgb="FFDEE8E3"/>
      </bottom>
      <diagonal/>
    </border>
    <border>
      <left style="thin">
        <color rgb="FFCBD8D2"/>
      </left>
      <right/>
      <top style="thin">
        <color rgb="FFCBD8D2"/>
      </top>
      <bottom style="medium">
        <color rgb="FFC86B3C"/>
      </bottom>
      <diagonal/>
    </border>
    <border>
      <left/>
      <right/>
      <top style="thin">
        <color rgb="FFCBD8D2"/>
      </top>
      <bottom style="medium">
        <color rgb="FFC86B3C"/>
      </bottom>
      <diagonal/>
    </border>
    <border>
      <left/>
      <right style="thin">
        <color rgb="FFCBD8D2"/>
      </right>
      <top style="thin">
        <color rgb="FFCBD8D2"/>
      </top>
      <bottom style="medium">
        <color rgb="FFC86B3C"/>
      </bottom>
      <diagonal/>
    </border>
    <border>
      <left style="hair">
        <color rgb="FFDEE8E3"/>
      </left>
      <right style="hair">
        <color rgb="FFDEE8E3"/>
      </right>
      <top style="hair">
        <color rgb="FFDEE8E3"/>
      </top>
      <bottom style="hair">
        <color rgb="FFDEE8E3"/>
      </bottom>
      <diagonal/>
    </border>
    <border>
      <left/>
      <right/>
      <top/>
      <bottom style="medium">
        <color rgb="FFC86B3C"/>
      </bottom>
      <diagonal/>
    </border>
  </borders>
  <cellStyleXfs count="1">
    <xf numFmtId="0" fontId="0" fillId="0" borderId="0"/>
  </cellStyleXfs>
  <cellXfs count="151">
    <xf numFmtId="0" fontId="0" fillId="0" borderId="0" xfId="0"/>
    <xf numFmtId="169" fontId="19" fillId="5" borderId="12" xfId="0" applyNumberFormat="1" applyFont="1" applyFill="1" applyBorder="1" applyAlignment="1">
      <alignment horizontal="left" vertical="center" indent="1"/>
    </xf>
    <xf numFmtId="169" fontId="18" fillId="5" borderId="11" xfId="0" applyNumberFormat="1" applyFont="1" applyFill="1" applyBorder="1" applyAlignment="1">
      <alignment horizontal="left" vertical="center" indent="1"/>
    </xf>
    <xf numFmtId="1" fontId="17" fillId="5" borderId="10" xfId="0" applyNumberFormat="1" applyFont="1" applyFill="1" applyBorder="1" applyAlignment="1">
      <alignment horizontal="left" vertical="center" indent="1"/>
    </xf>
    <xf numFmtId="0" fontId="16" fillId="0" borderId="9" xfId="0" applyFont="1" applyBorder="1" applyAlignment="1">
      <alignment horizontal="left" vertical="center"/>
    </xf>
    <xf numFmtId="0" fontId="11" fillId="9" borderId="6" xfId="0" applyFont="1" applyFill="1" applyBorder="1" applyAlignment="1">
      <alignment horizontal="right" vertical="center"/>
    </xf>
    <xf numFmtId="0" fontId="13" fillId="9" borderId="8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164" fontId="0" fillId="0" borderId="0" xfId="0" applyNumberFormat="1"/>
    <xf numFmtId="0" fontId="5" fillId="3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center" vertical="center"/>
    </xf>
    <xf numFmtId="165" fontId="11" fillId="6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166" fontId="11" fillId="6" borderId="0" xfId="0" applyNumberFormat="1" applyFont="1" applyFill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1" fontId="7" fillId="7" borderId="4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/>
    </xf>
    <xf numFmtId="165" fontId="11" fillId="6" borderId="7" xfId="0" applyNumberFormat="1" applyFont="1" applyFill="1" applyBorder="1" applyAlignment="1">
      <alignment horizontal="center" vertical="center"/>
    </xf>
    <xf numFmtId="165" fontId="12" fillId="6" borderId="7" xfId="0" applyNumberFormat="1" applyFont="1" applyFill="1" applyBorder="1" applyAlignment="1">
      <alignment horizontal="center" vertical="center"/>
    </xf>
    <xf numFmtId="166" fontId="11" fillId="6" borderId="7" xfId="0" applyNumberFormat="1" applyFont="1" applyFill="1" applyBorder="1" applyAlignment="1">
      <alignment horizontal="center" vertical="center"/>
    </xf>
    <xf numFmtId="167" fontId="12" fillId="6" borderId="8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68" fontId="10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0" fillId="0" borderId="0" xfId="0" applyNumberFormat="1"/>
    <xf numFmtId="0" fontId="15" fillId="2" borderId="9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center" vertical="center"/>
    </xf>
    <xf numFmtId="166" fontId="11" fillId="5" borderId="5" xfId="0" applyNumberFormat="1" applyFont="1" applyFill="1" applyBorder="1" applyAlignment="1">
      <alignment horizontal="center" vertical="center"/>
    </xf>
    <xf numFmtId="172" fontId="12" fillId="7" borderId="0" xfId="0" applyNumberFormat="1" applyFont="1" applyFill="1" applyAlignment="1">
      <alignment horizontal="center" vertical="center"/>
    </xf>
    <xf numFmtId="166" fontId="11" fillId="7" borderId="5" xfId="0" applyNumberFormat="1" applyFont="1" applyFill="1" applyBorder="1" applyAlignment="1">
      <alignment horizontal="center" vertical="center"/>
    </xf>
    <xf numFmtId="172" fontId="12" fillId="5" borderId="7" xfId="0" applyNumberFormat="1" applyFont="1" applyFill="1" applyBorder="1" applyAlignment="1">
      <alignment horizontal="center" vertical="center"/>
    </xf>
    <xf numFmtId="166" fontId="11" fillId="5" borderId="8" xfId="0" applyNumberFormat="1" applyFont="1" applyFill="1" applyBorder="1" applyAlignment="1">
      <alignment horizontal="center" vertical="center"/>
    </xf>
    <xf numFmtId="173" fontId="12" fillId="5" borderId="0" xfId="0" applyNumberFormat="1" applyFont="1" applyFill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/>
    </xf>
    <xf numFmtId="173" fontId="12" fillId="7" borderId="0" xfId="0" applyNumberFormat="1" applyFont="1" applyFill="1" applyAlignment="1">
      <alignment horizontal="center" vertical="center"/>
    </xf>
    <xf numFmtId="9" fontId="12" fillId="7" borderId="5" xfId="0" applyNumberFormat="1" applyFont="1" applyFill="1" applyBorder="1" applyAlignment="1">
      <alignment horizontal="center" vertical="center"/>
    </xf>
    <xf numFmtId="173" fontId="12" fillId="7" borderId="7" xfId="0" applyNumberFormat="1" applyFont="1" applyFill="1" applyBorder="1" applyAlignment="1">
      <alignment horizontal="center" vertical="center"/>
    </xf>
    <xf numFmtId="9" fontId="12" fillId="7" borderId="8" xfId="0" applyNumberFormat="1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" fontId="29" fillId="6" borderId="4" xfId="0" applyNumberFormat="1" applyFont="1" applyFill="1" applyBorder="1" applyAlignment="1">
      <alignment horizontal="center" vertical="center"/>
    </xf>
    <xf numFmtId="0" fontId="27" fillId="10" borderId="0" xfId="0" applyFont="1" applyFill="1" applyAlignment="1">
      <alignment horizontal="left" vertical="center" wrapText="1"/>
    </xf>
    <xf numFmtId="0" fontId="29" fillId="10" borderId="0" xfId="0" applyFont="1" applyFill="1" applyAlignment="1">
      <alignment horizontal="left" vertical="center" wrapText="1"/>
    </xf>
    <xf numFmtId="0" fontId="29" fillId="10" borderId="0" xfId="0" applyFont="1" applyFill="1" applyAlignment="1">
      <alignment horizontal="center" vertical="center"/>
    </xf>
    <xf numFmtId="1" fontId="30" fillId="10" borderId="0" xfId="0" applyNumberFormat="1" applyFont="1" applyFill="1" applyAlignment="1">
      <alignment horizontal="center" vertical="center"/>
    </xf>
    <xf numFmtId="174" fontId="31" fillId="6" borderId="0" xfId="0" applyNumberFormat="1" applyFont="1" applyFill="1" applyAlignment="1">
      <alignment horizontal="center" vertical="center"/>
    </xf>
    <xf numFmtId="0" fontId="26" fillId="5" borderId="5" xfId="0" applyFont="1" applyFill="1" applyBorder="1" applyAlignment="1">
      <alignment horizontal="left" vertical="center" wrapText="1"/>
    </xf>
    <xf numFmtId="0" fontId="26" fillId="7" borderId="5" xfId="0" applyFont="1" applyFill="1" applyBorder="1" applyAlignment="1">
      <alignment horizontal="left" vertical="center" wrapText="1"/>
    </xf>
    <xf numFmtId="0" fontId="0" fillId="10" borderId="0" xfId="0" applyFill="1"/>
    <xf numFmtId="1" fontId="0" fillId="10" borderId="0" xfId="0" applyNumberFormat="1" applyFill="1" applyAlignment="1">
      <alignment horizontal="center" vertical="center"/>
    </xf>
    <xf numFmtId="0" fontId="0" fillId="7" borderId="5" xfId="0" applyFill="1" applyBorder="1"/>
    <xf numFmtId="0" fontId="0" fillId="5" borderId="5" xfId="0" applyFill="1" applyBorder="1"/>
    <xf numFmtId="1" fontId="29" fillId="6" borderId="6" xfId="0" applyNumberFormat="1" applyFont="1" applyFill="1" applyBorder="1" applyAlignment="1">
      <alignment horizontal="center" vertical="center"/>
    </xf>
    <xf numFmtId="0" fontId="0" fillId="10" borderId="7" xfId="0" applyFill="1" applyBorder="1"/>
    <xf numFmtId="1" fontId="0" fillId="10" borderId="7" xfId="0" applyNumberFormat="1" applyFill="1" applyBorder="1" applyAlignment="1">
      <alignment horizontal="center" vertical="center"/>
    </xf>
    <xf numFmtId="174" fontId="31" fillId="6" borderId="7" xfId="0" applyNumberFormat="1" applyFont="1" applyFill="1" applyBorder="1" applyAlignment="1">
      <alignment horizontal="center" vertical="center"/>
    </xf>
    <xf numFmtId="0" fontId="0" fillId="7" borderId="8" xfId="0" applyFill="1" applyBorder="1"/>
    <xf numFmtId="1" fontId="32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2" fontId="32" fillId="4" borderId="0" xfId="0" applyNumberFormat="1" applyFont="1" applyFill="1" applyAlignment="1">
      <alignment horizontal="center" vertical="center"/>
    </xf>
    <xf numFmtId="0" fontId="0" fillId="4" borderId="0" xfId="0" applyFill="1"/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 wrapText="1"/>
    </xf>
    <xf numFmtId="0" fontId="30" fillId="10" borderId="0" xfId="0" applyFont="1" applyFill="1" applyAlignment="1">
      <alignment horizontal="center" vertical="center"/>
    </xf>
    <xf numFmtId="173" fontId="30" fillId="10" borderId="0" xfId="0" applyNumberFormat="1" applyFont="1" applyFill="1" applyAlignment="1">
      <alignment horizontal="center" vertical="center"/>
    </xf>
    <xf numFmtId="2" fontId="27" fillId="6" borderId="0" xfId="0" applyNumberFormat="1" applyFont="1" applyFill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center" vertical="center"/>
    </xf>
    <xf numFmtId="0" fontId="30" fillId="7" borderId="0" xfId="0" applyFont="1" applyFill="1" applyAlignment="1">
      <alignment horizontal="left" vertical="center" wrapText="1"/>
    </xf>
    <xf numFmtId="0" fontId="30" fillId="7" borderId="5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left" vertical="center" wrapText="1"/>
    </xf>
    <xf numFmtId="0" fontId="30" fillId="10" borderId="7" xfId="0" applyFont="1" applyFill="1" applyBorder="1" applyAlignment="1">
      <alignment horizontal="center" vertical="center"/>
    </xf>
    <xf numFmtId="173" fontId="30" fillId="10" borderId="7" xfId="0" applyNumberFormat="1" applyFont="1" applyFill="1" applyBorder="1" applyAlignment="1">
      <alignment horizontal="center" vertical="center"/>
    </xf>
    <xf numFmtId="2" fontId="27" fillId="6" borderId="7" xfId="0" applyNumberFormat="1" applyFont="1" applyFill="1" applyBorder="1" applyAlignment="1">
      <alignment horizontal="center" vertical="center"/>
    </xf>
    <xf numFmtId="0" fontId="30" fillId="5" borderId="8" xfId="0" applyFont="1" applyFill="1" applyBorder="1" applyAlignment="1">
      <alignment horizontal="center" vertical="center"/>
    </xf>
    <xf numFmtId="0" fontId="30" fillId="5" borderId="31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164" fontId="30" fillId="10" borderId="31" xfId="0" applyNumberFormat="1" applyFont="1" applyFill="1" applyBorder="1" applyAlignment="1">
      <alignment horizontal="center" vertical="center"/>
    </xf>
    <xf numFmtId="170" fontId="20" fillId="5" borderId="13" xfId="0" applyNumberFormat="1" applyFont="1" applyFill="1" applyBorder="1" applyAlignment="1">
      <alignment horizontal="left" vertical="center" indent="1"/>
    </xf>
    <xf numFmtId="0" fontId="21" fillId="5" borderId="14" xfId="0" applyFont="1" applyFill="1" applyBorder="1" applyAlignment="1">
      <alignment horizontal="left" vertical="center" wrapText="1" indent="1"/>
    </xf>
    <xf numFmtId="0" fontId="21" fillId="5" borderId="15" xfId="0" applyFont="1" applyFill="1" applyBorder="1" applyAlignment="1">
      <alignment horizontal="left" vertical="center" wrapText="1" indent="1"/>
    </xf>
    <xf numFmtId="0" fontId="21" fillId="5" borderId="16" xfId="0" applyFont="1" applyFill="1" applyBorder="1" applyAlignment="1">
      <alignment horizontal="left" vertical="center" wrapText="1" indent="1"/>
    </xf>
    <xf numFmtId="0" fontId="21" fillId="5" borderId="17" xfId="0" applyFont="1" applyFill="1" applyBorder="1" applyAlignment="1">
      <alignment horizontal="left" vertical="center" wrapText="1" indent="1"/>
    </xf>
    <xf numFmtId="171" fontId="22" fillId="5" borderId="18" xfId="0" applyNumberFormat="1" applyFont="1" applyFill="1" applyBorder="1" applyAlignment="1">
      <alignment horizontal="left" vertical="center" indent="1"/>
    </xf>
    <xf numFmtId="171" fontId="23" fillId="5" borderId="19" xfId="0" applyNumberFormat="1" applyFont="1" applyFill="1" applyBorder="1" applyAlignment="1">
      <alignment horizontal="left" vertical="center" indent="1"/>
    </xf>
    <xf numFmtId="171" fontId="24" fillId="5" borderId="20" xfId="0" applyNumberFormat="1" applyFont="1" applyFill="1" applyBorder="1" applyAlignment="1">
      <alignment horizontal="left" vertical="center" indent="1"/>
    </xf>
    <xf numFmtId="9" fontId="25" fillId="5" borderId="21" xfId="0" applyNumberFormat="1" applyFont="1" applyFill="1" applyBorder="1" applyAlignment="1">
      <alignment horizontal="left" vertical="center" indent="1"/>
    </xf>
    <xf numFmtId="0" fontId="21" fillId="5" borderId="22" xfId="0" applyFont="1" applyFill="1" applyBorder="1" applyAlignment="1">
      <alignment horizontal="left" vertical="center" wrapText="1" indent="1"/>
    </xf>
    <xf numFmtId="0" fontId="21" fillId="5" borderId="23" xfId="0" applyFont="1" applyFill="1" applyBorder="1" applyAlignment="1">
      <alignment horizontal="left" vertical="center" wrapText="1" indent="1"/>
    </xf>
    <xf numFmtId="0" fontId="21" fillId="5" borderId="24" xfId="0" applyFont="1" applyFill="1" applyBorder="1" applyAlignment="1">
      <alignment horizontal="left" vertical="center" wrapText="1" indent="1"/>
    </xf>
    <xf numFmtId="0" fontId="21" fillId="5" borderId="25" xfId="0" applyFont="1" applyFill="1" applyBorder="1" applyAlignment="1">
      <alignment horizontal="left" vertical="center" wrapText="1" indent="1"/>
    </xf>
    <xf numFmtId="0" fontId="26" fillId="0" borderId="26" xfId="0" applyFont="1" applyBorder="1" applyAlignment="1">
      <alignment horizontal="left" vertical="center" wrapText="1"/>
    </xf>
    <xf numFmtId="1" fontId="27" fillId="6" borderId="27" xfId="0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 wrapText="1"/>
    </xf>
    <xf numFmtId="172" fontId="27" fillId="6" borderId="27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left" vertical="center" wrapText="1"/>
    </xf>
    <xf numFmtId="2" fontId="27" fillId="6" borderId="27" xfId="0" applyNumberFormat="1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left" vertical="center" wrapText="1"/>
    </xf>
    <xf numFmtId="9" fontId="27" fillId="6" borderId="27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32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0" fontId="27" fillId="10" borderId="31" xfId="0" applyFont="1" applyFill="1" applyBorder="1" applyAlignment="1">
      <alignment horizontal="center" vertical="center"/>
    </xf>
    <xf numFmtId="175" fontId="27" fillId="10" borderId="31" xfId="0" applyNumberFormat="1" applyFont="1" applyFill="1" applyBorder="1" applyAlignment="1">
      <alignment horizontal="center" vertical="center"/>
    </xf>
    <xf numFmtId="1" fontId="27" fillId="10" borderId="31" xfId="0" applyNumberFormat="1" applyFont="1" applyFill="1" applyBorder="1" applyAlignment="1">
      <alignment horizontal="center" vertical="center"/>
    </xf>
    <xf numFmtId="172" fontId="27" fillId="10" borderId="31" xfId="0" applyNumberFormat="1" applyFont="1" applyFill="1" applyBorder="1" applyAlignment="1">
      <alignment horizontal="center" vertical="center"/>
    </xf>
    <xf numFmtId="9" fontId="27" fillId="10" borderId="31" xfId="0" applyNumberFormat="1" applyFont="1" applyFill="1" applyBorder="1" applyAlignment="1">
      <alignment horizontal="center" vertical="center"/>
    </xf>
    <xf numFmtId="164" fontId="27" fillId="10" borderId="3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31" fillId="6" borderId="3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0" fillId="5" borderId="31" xfId="0" applyFont="1" applyFill="1" applyBorder="1" applyAlignment="1">
      <alignment horizontal="left" vertical="center" wrapText="1"/>
    </xf>
    <xf numFmtId="0" fontId="30" fillId="7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 vertical="center" wrapText="1"/>
    </xf>
    <xf numFmtId="0" fontId="36" fillId="12" borderId="31" xfId="0" applyFont="1" applyFill="1" applyBorder="1" applyAlignment="1">
      <alignment horizontal="left" vertical="center" wrapText="1"/>
    </xf>
    <xf numFmtId="0" fontId="37" fillId="13" borderId="31" xfId="0" applyFont="1" applyFill="1" applyBorder="1" applyAlignment="1">
      <alignment horizontal="left" vertical="center" wrapText="1"/>
    </xf>
    <xf numFmtId="0" fontId="8" fillId="10" borderId="31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</cellXfs>
  <cellStyles count="1">
    <cellStyle name="Standard" xfId="0" builtinId="0"/>
  </cellStyles>
  <dxfs count="22">
    <dxf>
      <font>
        <b/>
        <sz val="9"/>
        <color rgb="FF345A6E"/>
        <name val="Calibri"/>
        <charset val="1"/>
      </font>
      <fill>
        <patternFill>
          <bgColor rgb="FFDCE6EC"/>
        </patternFill>
      </fill>
    </dxf>
    <dxf>
      <font>
        <b/>
        <sz val="9"/>
        <color rgb="FF8A6412"/>
        <name val="Calibri"/>
        <charset val="1"/>
      </font>
      <fill>
        <patternFill>
          <bgColor rgb="FFFBEBCB"/>
        </patternFill>
      </fill>
    </dxf>
    <dxf>
      <font>
        <b/>
        <sz val="8"/>
        <color rgb="FF2E7D4A"/>
        <name val="Calibri"/>
        <charset val="1"/>
      </font>
    </dxf>
    <dxf>
      <font>
        <b/>
        <sz val="8"/>
        <color rgb="FFB23A2A"/>
        <name val="Calibri"/>
        <charset val="1"/>
      </font>
    </dxf>
    <dxf>
      <font>
        <b/>
        <sz val="10"/>
        <color rgb="FFFFFFFF"/>
        <name val="Calibri"/>
        <charset val="1"/>
      </font>
      <fill>
        <patternFill>
          <bgColor rgb="FFC0432B"/>
        </patternFill>
      </fill>
    </dxf>
    <dxf>
      <font>
        <b/>
        <sz val="10"/>
        <color rgb="FFFFFFFF"/>
        <name val="Calibri"/>
        <charset val="1"/>
      </font>
      <fill>
        <patternFill>
          <bgColor rgb="FF3E8E5E"/>
        </patternFill>
      </fill>
    </dxf>
    <dxf>
      <font>
        <b/>
        <sz val="8"/>
        <color rgb="FFB23A2A"/>
        <name val="Calibri"/>
        <charset val="1"/>
      </font>
    </dxf>
    <dxf>
      <font>
        <b/>
        <sz val="8"/>
        <color rgb="FF2E7D4A"/>
        <name val="Calibri"/>
        <charset val="1"/>
      </font>
    </dxf>
    <dxf>
      <font>
        <b/>
        <sz val="7"/>
        <color rgb="FFFFFFFF"/>
        <name val="Calibri"/>
        <charset val="1"/>
      </font>
      <fill>
        <patternFill>
          <bgColor rgb="FF3E8E5E"/>
        </patternFill>
      </fill>
    </dxf>
    <dxf>
      <font>
        <b/>
        <sz val="7"/>
        <color rgb="FFFFFFFF"/>
        <name val="Calibri"/>
        <charset val="1"/>
      </font>
      <fill>
        <patternFill>
          <bgColor rgb="FFD9922B"/>
        </patternFill>
      </fill>
    </dxf>
    <dxf>
      <font>
        <b/>
        <sz val="7"/>
        <color rgb="FFFFFFFF"/>
        <name val="Calibri"/>
        <charset val="1"/>
      </font>
      <fill>
        <patternFill>
          <bgColor rgb="FFC0432B"/>
        </patternFill>
      </fill>
    </dxf>
    <dxf>
      <font>
        <b/>
        <sz val="8"/>
        <color rgb="FFB23A2A"/>
        <name val="Calibri"/>
        <charset val="1"/>
      </font>
      <fill>
        <patternFill>
          <bgColor rgb="FFF6DBD6"/>
        </patternFill>
      </fill>
    </dxf>
    <dxf>
      <fill>
        <patternFill>
          <bgColor rgb="FFEDEDE9"/>
        </patternFill>
      </fill>
    </dxf>
    <dxf>
      <font>
        <b/>
        <sz val="8"/>
        <color rgb="FF5A645F"/>
        <name val="Calibri"/>
        <charset val="1"/>
      </font>
      <fill>
        <patternFill>
          <bgColor rgb="FFE6E9E7"/>
        </patternFill>
      </fill>
    </dxf>
    <dxf>
      <font>
        <b/>
        <sz val="8"/>
        <color rgb="FFB23A2A"/>
        <name val="Calibri"/>
        <charset val="1"/>
      </font>
      <fill>
        <patternFill>
          <bgColor rgb="FFF6DBD6"/>
        </patternFill>
      </fill>
    </dxf>
    <dxf>
      <font>
        <b/>
        <sz val="8"/>
        <color rgb="FF8A6412"/>
        <name val="Calibri"/>
        <charset val="1"/>
      </font>
      <fill>
        <patternFill>
          <bgColor rgb="FFFBEBCB"/>
        </patternFill>
      </fill>
    </dxf>
    <dxf>
      <font>
        <b/>
        <sz val="8"/>
        <color rgb="FF6A4E86"/>
        <name val="Calibri"/>
        <charset val="1"/>
      </font>
      <fill>
        <patternFill>
          <bgColor rgb="FFE7E0EC"/>
        </patternFill>
      </fill>
    </dxf>
    <dxf>
      <font>
        <b/>
        <sz val="8"/>
        <color rgb="FF345A6E"/>
        <name val="Calibri"/>
        <charset val="1"/>
      </font>
      <fill>
        <patternFill>
          <bgColor rgb="FFE2ECF0"/>
        </patternFill>
      </fill>
    </dxf>
    <dxf>
      <font>
        <b/>
        <sz val="8"/>
        <color rgb="FF345A6E"/>
        <name val="Calibri"/>
        <charset val="1"/>
      </font>
      <fill>
        <patternFill>
          <bgColor rgb="FFDCE6EC"/>
        </patternFill>
      </fill>
    </dxf>
    <dxf>
      <font>
        <b/>
        <sz val="8"/>
        <color rgb="FF22302B"/>
        <name val="Calibri"/>
        <charset val="1"/>
      </font>
      <fill>
        <patternFill>
          <bgColor rgb="FFBFE0CD"/>
        </patternFill>
      </fill>
    </dxf>
    <dxf>
      <font>
        <b/>
        <sz val="8"/>
        <color rgb="FF2E7D4A"/>
        <name val="Calibri"/>
        <charset val="1"/>
      </font>
      <fill>
        <patternFill>
          <bgColor rgb="FFCDEBD6"/>
        </patternFill>
      </fill>
    </dxf>
    <dxf>
      <font>
        <b/>
        <sz val="8"/>
        <color rgb="FF2E7D4A"/>
        <name val="Calibri"/>
        <charset val="1"/>
      </font>
      <fill>
        <patternFill>
          <bgColor rgb="FFD9EBD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DEDE9"/>
      <rgbColor rgb="FFFF00FF"/>
      <rgbColor rgb="FFF1F5F3"/>
      <rgbColor rgb="FF800000"/>
      <rgbColor rgb="FF4A9179"/>
      <rgbColor rgb="FF000080"/>
      <rgbColor rgb="FF8A6412"/>
      <rgbColor rgb="FF800080"/>
      <rgbColor rgb="FF2C6E57"/>
      <rgbColor rgb="FF9DB8C4"/>
      <rgbColor rgb="FF878787"/>
      <rgbColor rgb="FFDCE6EC"/>
      <rgbColor rgb="FFC0432B"/>
      <rgbColor rgb="FFFBF3E6"/>
      <rgbColor rgb="FFE2ECF0"/>
      <rgbColor rgb="FF660066"/>
      <rgbColor rgb="FFEDF1EE"/>
      <rgbColor rgb="FF3C7E93"/>
      <rgbColor rgb="FFCBD8D2"/>
      <rgbColor rgb="FF000080"/>
      <rgbColor rgb="FFFF00FF"/>
      <rgbColor rgb="FFDEE8E3"/>
      <rgbColor rgb="FFF8FAF9"/>
      <rgbColor rgb="FF800080"/>
      <rgbColor rgb="FF800000"/>
      <rgbColor rgb="FF2E7D4A"/>
      <rgbColor rgb="FF0000FF"/>
      <rgbColor rgb="FF00CCFF"/>
      <rgbColor rgb="FFD9EBDD"/>
      <rgbColor rgb="FFCDEBD6"/>
      <rgbColor rgb="FFFBEBCB"/>
      <rgbColor rgb="FFBFE0CD"/>
      <rgbColor rgb="FFE7E0EC"/>
      <rgbColor rgb="FFD9D9D9"/>
      <rgbColor rgb="FFF6DBD6"/>
      <rgbColor rgb="FF4F81BD"/>
      <rgbColor rgb="FF5FA97F"/>
      <rgbColor rgb="FFEFF3F1"/>
      <rgbColor rgb="FFE6E9E7"/>
      <rgbColor rgb="FFD9922B"/>
      <rgbColor rgb="FFC86B3C"/>
      <rgbColor rgb="FF6A4E86"/>
      <rgbColor rgb="FF7C8C84"/>
      <rgbColor rgb="FF5A645F"/>
      <rgbColor rgb="FF3E8E5E"/>
      <rgbColor rgb="FF003300"/>
      <rgbColor rgb="FF35594B"/>
      <rgbColor rgb="FFB23A2A"/>
      <rgbColor rgb="FFA2521F"/>
      <rgbColor rgb="FF345A6E"/>
      <rgbColor rgb="FF2230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Ist- und Soll-Stunden je Person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Auswertung!$K$18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2C6E5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Auswertung!$H$19:$H$29</c:f>
              <c:strCache>
                <c:ptCount val="11"/>
                <c:pt idx="0">
                  <c:v>Andrea Vogt</c:v>
                </c:pt>
                <c:pt idx="1">
                  <c:v>Bianca Roth</c:v>
                </c:pt>
                <c:pt idx="2">
                  <c:v>Carmen Löw</c:v>
                </c:pt>
                <c:pt idx="3">
                  <c:v>Deniz Kaya</c:v>
                </c:pt>
                <c:pt idx="4">
                  <c:v>Eva Sander</c:v>
                </c:pt>
                <c:pt idx="5">
                  <c:v>Frank Bauer</c:v>
                </c:pt>
                <c:pt idx="6">
                  <c:v>Gscheidle Nele</c:v>
                </c:pt>
                <c:pt idx="7">
                  <c:v>Hana Petri</c:v>
                </c:pt>
                <c:pt idx="8">
                  <c:v>Ines Kurz</c:v>
                </c:pt>
                <c:pt idx="9">
                  <c:v>Jonas Mai</c:v>
                </c:pt>
                <c:pt idx="10">
                  <c:v>Katrin Ilic</c:v>
                </c:pt>
              </c:strCache>
            </c:strRef>
          </c:cat>
          <c:val>
            <c:numRef>
              <c:f>Auswertung!$K$19:$K$29</c:f>
              <c:numCache>
                <c:formatCode>0.0</c:formatCode>
                <c:ptCount val="11"/>
                <c:pt idx="0">
                  <c:v>127.5</c:v>
                </c:pt>
                <c:pt idx="1">
                  <c:v>142.5</c:v>
                </c:pt>
                <c:pt idx="2">
                  <c:v>111</c:v>
                </c:pt>
                <c:pt idx="3">
                  <c:v>135</c:v>
                </c:pt>
                <c:pt idx="4">
                  <c:v>150</c:v>
                </c:pt>
                <c:pt idx="5">
                  <c:v>127.5</c:v>
                </c:pt>
                <c:pt idx="6">
                  <c:v>93.000000000000028</c:v>
                </c:pt>
                <c:pt idx="7">
                  <c:v>157.5</c:v>
                </c:pt>
                <c:pt idx="8">
                  <c:v>108.00000000000001</c:v>
                </c:pt>
                <c:pt idx="9">
                  <c:v>157.5</c:v>
                </c:pt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4-4D17-A938-55AFEABDDAA1}"/>
            </c:ext>
          </c:extLst>
        </c:ser>
        <c:ser>
          <c:idx val="1"/>
          <c:order val="1"/>
          <c:tx>
            <c:strRef>
              <c:f>Auswertung!$L$18</c:f>
              <c:strCache>
                <c:ptCount val="1"/>
                <c:pt idx="0">
                  <c:v>Soll</c:v>
                </c:pt>
              </c:strCache>
            </c:strRef>
          </c:tx>
          <c:spPr>
            <a:solidFill>
              <a:srgbClr val="C86B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Auswertung!$H$19:$H$29</c:f>
              <c:strCache>
                <c:ptCount val="11"/>
                <c:pt idx="0">
                  <c:v>Andrea Vogt</c:v>
                </c:pt>
                <c:pt idx="1">
                  <c:v>Bianca Roth</c:v>
                </c:pt>
                <c:pt idx="2">
                  <c:v>Carmen Löw</c:v>
                </c:pt>
                <c:pt idx="3">
                  <c:v>Deniz Kaya</c:v>
                </c:pt>
                <c:pt idx="4">
                  <c:v>Eva Sander</c:v>
                </c:pt>
                <c:pt idx="5">
                  <c:v>Frank Bauer</c:v>
                </c:pt>
                <c:pt idx="6">
                  <c:v>Gscheidle Nele</c:v>
                </c:pt>
                <c:pt idx="7">
                  <c:v>Hana Petri</c:v>
                </c:pt>
                <c:pt idx="8">
                  <c:v>Ines Kurz</c:v>
                </c:pt>
                <c:pt idx="9">
                  <c:v>Jonas Mai</c:v>
                </c:pt>
                <c:pt idx="10">
                  <c:v>Katrin Ilic</c:v>
                </c:pt>
              </c:strCache>
            </c:strRef>
          </c:cat>
          <c:val>
            <c:numRef>
              <c:f>Auswertung!$L$19:$L$29</c:f>
              <c:numCache>
                <c:formatCode>0.0</c:formatCode>
                <c:ptCount val="11"/>
                <c:pt idx="0">
                  <c:v>163.80000000000001</c:v>
                </c:pt>
                <c:pt idx="1">
                  <c:v>163.80000000000001</c:v>
                </c:pt>
                <c:pt idx="2">
                  <c:v>126</c:v>
                </c:pt>
                <c:pt idx="3">
                  <c:v>163.80000000000001</c:v>
                </c:pt>
                <c:pt idx="4">
                  <c:v>163.80000000000001</c:v>
                </c:pt>
                <c:pt idx="5">
                  <c:v>163.80000000000001</c:v>
                </c:pt>
                <c:pt idx="6">
                  <c:v>105</c:v>
                </c:pt>
                <c:pt idx="7">
                  <c:v>163.80000000000001</c:v>
                </c:pt>
                <c:pt idx="8">
                  <c:v>126</c:v>
                </c:pt>
                <c:pt idx="9">
                  <c:v>163.80000000000001</c:v>
                </c:pt>
                <c:pt idx="1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4-4D17-A938-55AFEABDD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55312"/>
        <c:axId val="60089604"/>
      </c:barChart>
      <c:catAx>
        <c:axId val="2625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0089604"/>
        <c:crosses val="autoZero"/>
        <c:auto val="1"/>
        <c:lblAlgn val="ctr"/>
        <c:lblOffset val="100"/>
        <c:noMultiLvlLbl val="0"/>
      </c:catAx>
      <c:valAx>
        <c:axId val="6008960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625531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Verteilung der Dienstarten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Auswertung!$E$32</c:f>
              <c:strCache>
                <c:ptCount val="1"/>
                <c:pt idx="0">
                  <c:v>Tage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E8E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4340-4319-ABBA-316D841B3DD2}"/>
              </c:ext>
            </c:extLst>
          </c:dPt>
          <c:dPt>
            <c:idx val="1"/>
            <c:bubble3D val="0"/>
            <c:spPr>
              <a:solidFill>
                <a:srgbClr val="5FA97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40-4319-ABBA-316D841B3DD2}"/>
              </c:ext>
            </c:extLst>
          </c:dPt>
          <c:dPt>
            <c:idx val="2"/>
            <c:bubble3D val="0"/>
            <c:spPr>
              <a:solidFill>
                <a:srgbClr val="4A917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40-4319-ABBA-316D841B3DD2}"/>
              </c:ext>
            </c:extLst>
          </c:dPt>
          <c:dPt>
            <c:idx val="3"/>
            <c:bubble3D val="0"/>
            <c:spPr>
              <a:solidFill>
                <a:srgbClr val="3C7E9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40-4319-ABBA-316D841B3DD2}"/>
              </c:ext>
            </c:extLst>
          </c:dPt>
          <c:dPt>
            <c:idx val="4"/>
            <c:bubble3D val="0"/>
            <c:spPr>
              <a:solidFill>
                <a:srgbClr val="9DB8C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40-4319-ABBA-316D841B3DD2}"/>
              </c:ext>
            </c:extLst>
          </c:dPt>
          <c:dPt>
            <c:idx val="5"/>
            <c:bubble3D val="0"/>
            <c:spPr>
              <a:solidFill>
                <a:srgbClr val="D9922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40-4319-ABBA-316D841B3DD2}"/>
              </c:ext>
            </c:extLst>
          </c:dPt>
          <c:dPt>
            <c:idx val="6"/>
            <c:bubble3D val="0"/>
            <c:spPr>
              <a:solidFill>
                <a:srgbClr val="C0432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40-4319-ABBA-316D841B3DD2}"/>
              </c:ext>
            </c:extLst>
          </c:dPt>
          <c:dPt>
            <c:idx val="7"/>
            <c:bubble3D val="0"/>
            <c:spPr>
              <a:solidFill>
                <a:srgbClr val="6A4E8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4340-4319-ABBA-316D841B3DD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4340-4319-ABBA-316D841B3DD2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4340-4319-ABBA-316D841B3DD2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4340-4319-ABBA-316D841B3DD2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4340-4319-ABBA-316D841B3DD2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4340-4319-ABBA-316D841B3DD2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4340-4319-ABBA-316D841B3DD2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4340-4319-ABBA-316D841B3DD2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4340-4319-ABBA-316D841B3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Auswertung!$B$33:$B$40</c:f>
              <c:strCache>
                <c:ptCount val="8"/>
                <c:pt idx="0">
                  <c:v>Frühdienst (F)</c:v>
                </c:pt>
                <c:pt idx="1">
                  <c:v>Mitteldienst (M)</c:v>
                </c:pt>
                <c:pt idx="2">
                  <c:v>Spätdienst (S)</c:v>
                </c:pt>
                <c:pt idx="3">
                  <c:v>Teildienst (T)</c:v>
                </c:pt>
                <c:pt idx="4">
                  <c:v>Verfügungszeit (VZ)</c:v>
                </c:pt>
                <c:pt idx="5">
                  <c:v>Urlaub (U)</c:v>
                </c:pt>
                <c:pt idx="6">
                  <c:v>Krank (K)</c:v>
                </c:pt>
                <c:pt idx="7">
                  <c:v>Fortbildung (FB)</c:v>
                </c:pt>
              </c:strCache>
            </c:strRef>
          </c:cat>
          <c:val>
            <c:numRef>
              <c:f>Auswertung!$E$33:$E$40</c:f>
              <c:numCache>
                <c:formatCode>0;;\–</c:formatCode>
                <c:ptCount val="8"/>
                <c:pt idx="0">
                  <c:v>63</c:v>
                </c:pt>
                <c:pt idx="1">
                  <c:v>69</c:v>
                </c:pt>
                <c:pt idx="2">
                  <c:v>35</c:v>
                </c:pt>
                <c:pt idx="3">
                  <c:v>26</c:v>
                </c:pt>
                <c:pt idx="4">
                  <c:v>14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40-4319-ABBA-316D841B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9</xdr:col>
      <xdr:colOff>39960</xdr:colOff>
      <xdr:row>53</xdr:row>
      <xdr:rowOff>89640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41</xdr:row>
      <xdr:rowOff>0</xdr:rowOff>
    </xdr:from>
    <xdr:to>
      <xdr:col>12</xdr:col>
      <xdr:colOff>272160</xdr:colOff>
      <xdr:row>53</xdr:row>
      <xdr:rowOff>89640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25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B5" sqref="B5:AM5"/>
    </sheetView>
  </sheetViews>
  <sheetFormatPr baseColWidth="10" defaultColWidth="8.7109375" defaultRowHeight="15" x14ac:dyDescent="0.25"/>
  <cols>
    <col min="1" max="1" width="1.5703125" customWidth="1"/>
    <col min="2" max="2" width="3.42578125" customWidth="1"/>
    <col min="3" max="3" width="18" customWidth="1"/>
    <col min="4" max="4" width="12" customWidth="1"/>
    <col min="5" max="35" width="3.5703125" customWidth="1"/>
    <col min="36" max="38" width="6.5703125" customWidth="1"/>
    <col min="39" max="39" width="8" customWidth="1"/>
  </cols>
  <sheetData>
    <row r="1" spans="2:39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</row>
    <row r="2" spans="2:39" ht="15.75" customHeight="1" x14ac:dyDescent="0.25">
      <c r="B2" s="14" t="s">
        <v>166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3" t="str">
        <f>"Einrichtung: "&amp;Einrichtung&amp;CHAR(10)&amp;"Monat: "&amp;TEXT(Planmonat,"MMMM AAAA")</f>
        <v>Einrichtung: Kita Sonnenwiese
Monat: marzo 2026</v>
      </c>
      <c r="AL2" s="13"/>
      <c r="AM2" s="13"/>
    </row>
    <row r="3" spans="2:39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3"/>
      <c r="AL3" s="13"/>
      <c r="AM3" s="13"/>
    </row>
    <row r="4" spans="2:39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3"/>
      <c r="AL4" s="13"/>
      <c r="AM4" s="13"/>
    </row>
    <row r="5" spans="2:39" ht="15.75" customHeight="1" x14ac:dyDescent="0.25">
      <c r="B5" s="12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7" spans="2:39" hidden="1" x14ac:dyDescent="0.25">
      <c r="E7" s="16">
        <v>46082</v>
      </c>
      <c r="F7" s="16">
        <v>46083</v>
      </c>
      <c r="G7" s="16">
        <v>46084</v>
      </c>
      <c r="H7" s="16">
        <v>46085</v>
      </c>
      <c r="I7" s="16">
        <v>46086</v>
      </c>
      <c r="J7" s="16">
        <v>46087</v>
      </c>
      <c r="K7" s="16">
        <v>46088</v>
      </c>
      <c r="L7" s="16">
        <v>46089</v>
      </c>
      <c r="M7" s="16">
        <v>46090</v>
      </c>
      <c r="N7" s="16">
        <v>46091</v>
      </c>
      <c r="O7" s="16">
        <v>46092</v>
      </c>
      <c r="P7" s="16">
        <v>46093</v>
      </c>
      <c r="Q7" s="16">
        <v>46094</v>
      </c>
      <c r="R7" s="16">
        <v>46095</v>
      </c>
      <c r="S7" s="16">
        <v>46096</v>
      </c>
      <c r="T7" s="16">
        <v>46097</v>
      </c>
      <c r="U7" s="16">
        <v>46098</v>
      </c>
      <c r="V7" s="16">
        <v>46099</v>
      </c>
      <c r="W7" s="16">
        <v>46100</v>
      </c>
      <c r="X7" s="16">
        <v>46101</v>
      </c>
      <c r="Y7" s="16">
        <v>46102</v>
      </c>
      <c r="Z7" s="16">
        <v>46103</v>
      </c>
      <c r="AA7" s="16">
        <v>46104</v>
      </c>
      <c r="AB7" s="16">
        <v>46105</v>
      </c>
      <c r="AC7" s="16">
        <v>46106</v>
      </c>
      <c r="AD7" s="16">
        <v>46107</v>
      </c>
      <c r="AE7" s="16">
        <v>46108</v>
      </c>
      <c r="AF7" s="16">
        <v>46109</v>
      </c>
      <c r="AG7" s="16">
        <v>46110</v>
      </c>
      <c r="AH7" s="16">
        <v>46111</v>
      </c>
      <c r="AI7" s="16">
        <v>46112</v>
      </c>
    </row>
    <row r="8" spans="2:39" ht="13.5" customHeight="1" x14ac:dyDescent="0.25">
      <c r="B8" s="11" t="s">
        <v>1</v>
      </c>
      <c r="C8" s="11"/>
      <c r="D8" s="11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0" t="s">
        <v>2</v>
      </c>
      <c r="AK8" s="10" t="s">
        <v>3</v>
      </c>
      <c r="AL8" s="10" t="s">
        <v>4</v>
      </c>
      <c r="AM8" s="9" t="s">
        <v>5</v>
      </c>
    </row>
    <row r="9" spans="2:39" ht="12" customHeight="1" x14ac:dyDescent="0.25">
      <c r="B9" s="11"/>
      <c r="C9" s="11"/>
      <c r="D9" s="11"/>
      <c r="E9" s="18" t="s">
        <v>6</v>
      </c>
      <c r="F9" s="19" t="s">
        <v>7</v>
      </c>
      <c r="G9" s="19" t="s">
        <v>8</v>
      </c>
      <c r="H9" s="19" t="s">
        <v>9</v>
      </c>
      <c r="I9" s="19" t="s">
        <v>10</v>
      </c>
      <c r="J9" s="19" t="s">
        <v>11</v>
      </c>
      <c r="K9" s="18" t="s">
        <v>12</v>
      </c>
      <c r="L9" s="18" t="s">
        <v>6</v>
      </c>
      <c r="M9" s="19" t="s">
        <v>7</v>
      </c>
      <c r="N9" s="19" t="s">
        <v>8</v>
      </c>
      <c r="O9" s="19" t="s">
        <v>9</v>
      </c>
      <c r="P9" s="19" t="s">
        <v>10</v>
      </c>
      <c r="Q9" s="19" t="s">
        <v>11</v>
      </c>
      <c r="R9" s="18" t="s">
        <v>12</v>
      </c>
      <c r="S9" s="18" t="s">
        <v>6</v>
      </c>
      <c r="T9" s="19" t="s">
        <v>7</v>
      </c>
      <c r="U9" s="19" t="s">
        <v>8</v>
      </c>
      <c r="V9" s="19" t="s">
        <v>9</v>
      </c>
      <c r="W9" s="19" t="s">
        <v>10</v>
      </c>
      <c r="X9" s="19" t="s">
        <v>11</v>
      </c>
      <c r="Y9" s="18" t="s">
        <v>12</v>
      </c>
      <c r="Z9" s="18" t="s">
        <v>6</v>
      </c>
      <c r="AA9" s="19" t="s">
        <v>7</v>
      </c>
      <c r="AB9" s="19" t="s">
        <v>8</v>
      </c>
      <c r="AC9" s="19" t="s">
        <v>9</v>
      </c>
      <c r="AD9" s="19" t="s">
        <v>10</v>
      </c>
      <c r="AE9" s="19" t="s">
        <v>11</v>
      </c>
      <c r="AF9" s="18" t="s">
        <v>12</v>
      </c>
      <c r="AG9" s="18" t="s">
        <v>6</v>
      </c>
      <c r="AH9" s="19" t="s">
        <v>7</v>
      </c>
      <c r="AI9" s="19" t="s">
        <v>8</v>
      </c>
      <c r="AJ9" s="10"/>
      <c r="AK9" s="10"/>
      <c r="AL9" s="10"/>
      <c r="AM9" s="9"/>
    </row>
    <row r="10" spans="2:39" ht="15" customHeight="1" x14ac:dyDescent="0.25">
      <c r="B10" s="20">
        <f>IF(Mitarbeitende!$C$8="","",Mitarbeitende!$B$8)</f>
        <v>1</v>
      </c>
      <c r="C10" s="21" t="str">
        <f>Mitarbeitende!$C$8</f>
        <v>Andrea Vogt</v>
      </c>
      <c r="D10" s="22" t="str">
        <f>Mitarbeitende!$E$8</f>
        <v>Gruppenübergreifend</v>
      </c>
      <c r="E10" s="23"/>
      <c r="F10" s="23" t="s">
        <v>13</v>
      </c>
      <c r="G10" s="23" t="s">
        <v>14</v>
      </c>
      <c r="H10" s="23" t="s">
        <v>15</v>
      </c>
      <c r="I10" s="23" t="s">
        <v>16</v>
      </c>
      <c r="J10" s="23" t="s">
        <v>14</v>
      </c>
      <c r="K10" s="23"/>
      <c r="L10" s="23"/>
      <c r="M10" s="23" t="s">
        <v>13</v>
      </c>
      <c r="N10" s="23" t="s">
        <v>14</v>
      </c>
      <c r="O10" s="23" t="s">
        <v>15</v>
      </c>
      <c r="P10" s="23" t="s">
        <v>16</v>
      </c>
      <c r="Q10" s="23" t="s">
        <v>14</v>
      </c>
      <c r="R10" s="23"/>
      <c r="S10" s="23"/>
      <c r="T10" s="23" t="s">
        <v>13</v>
      </c>
      <c r="U10" s="23" t="s">
        <v>14</v>
      </c>
      <c r="V10" s="23" t="s">
        <v>15</v>
      </c>
      <c r="W10" s="23" t="s">
        <v>16</v>
      </c>
      <c r="X10" s="23" t="s">
        <v>14</v>
      </c>
      <c r="Y10" s="23"/>
      <c r="Z10" s="23"/>
      <c r="AA10" s="23" t="s">
        <v>13</v>
      </c>
      <c r="AB10" s="23" t="s">
        <v>14</v>
      </c>
      <c r="AC10" s="23" t="s">
        <v>15</v>
      </c>
      <c r="AD10" s="23" t="s">
        <v>16</v>
      </c>
      <c r="AE10" s="23" t="s">
        <v>14</v>
      </c>
      <c r="AF10" s="23"/>
      <c r="AG10" s="23"/>
      <c r="AH10" s="23" t="s">
        <v>13</v>
      </c>
      <c r="AI10" s="23" t="s">
        <v>14</v>
      </c>
      <c r="AJ10" s="24">
        <f t="shared" ref="AJ10:AJ20" si="0">SUMPRODUCT(COUNTIF(E10:AI10,CodesTab),StdTab)</f>
        <v>127.5</v>
      </c>
      <c r="AK10" s="25">
        <f>ROUND(Mitarbeitende!$G$8/5*SUMPRODUCT((WEEKDAY($E$7:$AI$7,2)&lt;6)*(COUNTIF(Feiertage,$E$7:$AI$7)=0)),1)</f>
        <v>163.80000000000001</v>
      </c>
      <c r="AL10" s="26">
        <f t="shared" ref="AL10:AL20" si="1">$AJ10-$AK10</f>
        <v>-36.300000000000011</v>
      </c>
      <c r="AM10" s="27">
        <f t="shared" ref="AM10:AM20" si="2">COUNTIF(E10:AI10,"U")+COUNTIF(E10:AI10,"K")+COUNTIF(E10:AI10,"FB")</f>
        <v>0</v>
      </c>
    </row>
    <row r="11" spans="2:39" ht="15" customHeight="1" x14ac:dyDescent="0.25">
      <c r="B11" s="28">
        <f>IF(Mitarbeitende!$C$9="","",Mitarbeitende!$B$9)</f>
        <v>2</v>
      </c>
      <c r="C11" s="29" t="str">
        <f>Mitarbeitende!$C$9</f>
        <v>Bianca Roth</v>
      </c>
      <c r="D11" s="30" t="str">
        <f>Mitarbeitende!$E$9</f>
        <v>Sonnenkäfer</v>
      </c>
      <c r="E11" s="31"/>
      <c r="F11" s="31" t="s">
        <v>14</v>
      </c>
      <c r="G11" s="31" t="s">
        <v>14</v>
      </c>
      <c r="H11" s="31" t="s">
        <v>15</v>
      </c>
      <c r="I11" s="31" t="s">
        <v>16</v>
      </c>
      <c r="J11" s="31" t="s">
        <v>15</v>
      </c>
      <c r="K11" s="31"/>
      <c r="L11" s="31"/>
      <c r="M11" s="31" t="s">
        <v>14</v>
      </c>
      <c r="N11" s="31" t="s">
        <v>17</v>
      </c>
      <c r="O11" s="31" t="s">
        <v>17</v>
      </c>
      <c r="P11" s="31" t="s">
        <v>17</v>
      </c>
      <c r="Q11" s="31" t="s">
        <v>15</v>
      </c>
      <c r="R11" s="31"/>
      <c r="S11" s="31"/>
      <c r="T11" s="31" t="s">
        <v>14</v>
      </c>
      <c r="U11" s="31" t="s">
        <v>14</v>
      </c>
      <c r="V11" s="31" t="s">
        <v>15</v>
      </c>
      <c r="W11" s="31" t="s">
        <v>16</v>
      </c>
      <c r="X11" s="31" t="s">
        <v>15</v>
      </c>
      <c r="Y11" s="31"/>
      <c r="Z11" s="31"/>
      <c r="AA11" s="31" t="s">
        <v>14</v>
      </c>
      <c r="AB11" s="31" t="s">
        <v>14</v>
      </c>
      <c r="AC11" s="31" t="s">
        <v>15</v>
      </c>
      <c r="AD11" s="31" t="s">
        <v>16</v>
      </c>
      <c r="AE11" s="31" t="s">
        <v>15</v>
      </c>
      <c r="AF11" s="31"/>
      <c r="AG11" s="31"/>
      <c r="AH11" s="31" t="s">
        <v>14</v>
      </c>
      <c r="AI11" s="31" t="s">
        <v>14</v>
      </c>
      <c r="AJ11" s="24">
        <f t="shared" si="0"/>
        <v>142.5</v>
      </c>
      <c r="AK11" s="25">
        <f>ROUND(Mitarbeitende!$G$9/5*SUMPRODUCT((WEEKDAY($E$7:$AI$7,2)&lt;6)*(COUNTIF(Feiertage,$E$7:$AI$7)=0)),1)</f>
        <v>163.80000000000001</v>
      </c>
      <c r="AL11" s="26">
        <f t="shared" si="1"/>
        <v>-21.300000000000011</v>
      </c>
      <c r="AM11" s="27">
        <f t="shared" si="2"/>
        <v>3</v>
      </c>
    </row>
    <row r="12" spans="2:39" ht="15" customHeight="1" x14ac:dyDescent="0.25">
      <c r="B12" s="20">
        <f>IF(Mitarbeitende!$C$10="","",Mitarbeitende!$B$10)</f>
        <v>3</v>
      </c>
      <c r="C12" s="21" t="str">
        <f>Mitarbeitende!$C$10</f>
        <v>Carmen Löw</v>
      </c>
      <c r="D12" s="22" t="str">
        <f>Mitarbeitende!$E$10</f>
        <v>Sonnenkäfer</v>
      </c>
      <c r="E12" s="23"/>
      <c r="F12" s="23" t="s">
        <v>15</v>
      </c>
      <c r="G12" s="23" t="s">
        <v>15</v>
      </c>
      <c r="H12" s="23" t="s">
        <v>18</v>
      </c>
      <c r="I12" s="23" t="s">
        <v>19</v>
      </c>
      <c r="J12" s="23" t="s">
        <v>14</v>
      </c>
      <c r="K12" s="23"/>
      <c r="L12" s="23"/>
      <c r="M12" s="23" t="s">
        <v>15</v>
      </c>
      <c r="N12" s="23" t="s">
        <v>15</v>
      </c>
      <c r="O12" s="23" t="s">
        <v>18</v>
      </c>
      <c r="P12" s="23" t="s">
        <v>19</v>
      </c>
      <c r="Q12" s="23" t="s">
        <v>14</v>
      </c>
      <c r="R12" s="23"/>
      <c r="S12" s="23"/>
      <c r="T12" s="23" t="s">
        <v>15</v>
      </c>
      <c r="U12" s="23" t="s">
        <v>15</v>
      </c>
      <c r="V12" s="23" t="s">
        <v>18</v>
      </c>
      <c r="W12" s="23" t="s">
        <v>19</v>
      </c>
      <c r="X12" s="23" t="s">
        <v>14</v>
      </c>
      <c r="Y12" s="23"/>
      <c r="Z12" s="23"/>
      <c r="AA12" s="23" t="s">
        <v>15</v>
      </c>
      <c r="AB12" s="23" t="s">
        <v>17</v>
      </c>
      <c r="AC12" s="23" t="s">
        <v>17</v>
      </c>
      <c r="AD12" s="23" t="s">
        <v>19</v>
      </c>
      <c r="AE12" s="23" t="s">
        <v>14</v>
      </c>
      <c r="AF12" s="23"/>
      <c r="AG12" s="23"/>
      <c r="AH12" s="23" t="s">
        <v>15</v>
      </c>
      <c r="AI12" s="23" t="s">
        <v>15</v>
      </c>
      <c r="AJ12" s="24">
        <f t="shared" si="0"/>
        <v>111</v>
      </c>
      <c r="AK12" s="25">
        <f>ROUND(Mitarbeitende!$G$10/5*SUMPRODUCT((WEEKDAY($E$7:$AI$7,2)&lt;6)*(COUNTIF(Feiertage,$E$7:$AI$7)=0)),1)</f>
        <v>126</v>
      </c>
      <c r="AL12" s="26">
        <f t="shared" si="1"/>
        <v>-15</v>
      </c>
      <c r="AM12" s="27">
        <f t="shared" si="2"/>
        <v>2</v>
      </c>
    </row>
    <row r="13" spans="2:39" ht="15" customHeight="1" x14ac:dyDescent="0.25">
      <c r="B13" s="28">
        <f>IF(Mitarbeitende!$C$11="","",Mitarbeitende!$B$11)</f>
        <v>4</v>
      </c>
      <c r="C13" s="29" t="str">
        <f>Mitarbeitende!$C$11</f>
        <v>Deniz Kaya</v>
      </c>
      <c r="D13" s="30" t="str">
        <f>Mitarbeitende!$E$11</f>
        <v>Sonnenkäfer</v>
      </c>
      <c r="E13" s="31"/>
      <c r="F13" s="31" t="s">
        <v>16</v>
      </c>
      <c r="G13" s="31" t="s">
        <v>16</v>
      </c>
      <c r="H13" s="31" t="s">
        <v>14</v>
      </c>
      <c r="I13" s="31" t="s">
        <v>15</v>
      </c>
      <c r="J13" s="31" t="s">
        <v>13</v>
      </c>
      <c r="K13" s="31"/>
      <c r="L13" s="31"/>
      <c r="M13" s="31" t="s">
        <v>16</v>
      </c>
      <c r="N13" s="31" t="s">
        <v>16</v>
      </c>
      <c r="O13" s="31" t="s">
        <v>14</v>
      </c>
      <c r="P13" s="31" t="s">
        <v>15</v>
      </c>
      <c r="Q13" s="31" t="s">
        <v>13</v>
      </c>
      <c r="R13" s="31"/>
      <c r="S13" s="31"/>
      <c r="T13" s="31" t="s">
        <v>16</v>
      </c>
      <c r="U13" s="31" t="s">
        <v>16</v>
      </c>
      <c r="V13" s="31" t="s">
        <v>14</v>
      </c>
      <c r="W13" s="31" t="s">
        <v>15</v>
      </c>
      <c r="X13" s="31" t="s">
        <v>13</v>
      </c>
      <c r="Y13" s="31"/>
      <c r="Z13" s="31"/>
      <c r="AA13" s="31" t="s">
        <v>16</v>
      </c>
      <c r="AB13" s="31" t="s">
        <v>16</v>
      </c>
      <c r="AC13" s="31" t="s">
        <v>14</v>
      </c>
      <c r="AD13" s="31" t="s">
        <v>15</v>
      </c>
      <c r="AE13" s="31" t="s">
        <v>13</v>
      </c>
      <c r="AF13" s="31"/>
      <c r="AG13" s="31"/>
      <c r="AH13" s="31" t="s">
        <v>16</v>
      </c>
      <c r="AI13" s="31" t="s">
        <v>16</v>
      </c>
      <c r="AJ13" s="24">
        <f t="shared" si="0"/>
        <v>135</v>
      </c>
      <c r="AK13" s="25">
        <f>ROUND(Mitarbeitende!$G$11/5*SUMPRODUCT((WEEKDAY($E$7:$AI$7,2)&lt;6)*(COUNTIF(Feiertage,$E$7:$AI$7)=0)),1)</f>
        <v>163.80000000000001</v>
      </c>
      <c r="AL13" s="26">
        <f t="shared" si="1"/>
        <v>-28.800000000000011</v>
      </c>
      <c r="AM13" s="27">
        <f t="shared" si="2"/>
        <v>0</v>
      </c>
    </row>
    <row r="14" spans="2:39" ht="15" customHeight="1" x14ac:dyDescent="0.25">
      <c r="B14" s="20">
        <f>IF(Mitarbeitende!$C$12="","",Mitarbeitende!$B$12)</f>
        <v>5</v>
      </c>
      <c r="C14" s="21" t="str">
        <f>Mitarbeitende!$C$12</f>
        <v>Eva Sander</v>
      </c>
      <c r="D14" s="22" t="str">
        <f>Mitarbeitende!$E$12</f>
        <v>Regenbogen</v>
      </c>
      <c r="E14" s="23"/>
      <c r="F14" s="23" t="s">
        <v>15</v>
      </c>
      <c r="G14" s="23" t="s">
        <v>14</v>
      </c>
      <c r="H14" s="23" t="s">
        <v>20</v>
      </c>
      <c r="I14" s="23" t="s">
        <v>20</v>
      </c>
      <c r="J14" s="23" t="s">
        <v>15</v>
      </c>
      <c r="K14" s="23"/>
      <c r="L14" s="23"/>
      <c r="M14" s="23" t="s">
        <v>15</v>
      </c>
      <c r="N14" s="23" t="s">
        <v>14</v>
      </c>
      <c r="O14" s="23" t="s">
        <v>16</v>
      </c>
      <c r="P14" s="23" t="s">
        <v>14</v>
      </c>
      <c r="Q14" s="23" t="s">
        <v>15</v>
      </c>
      <c r="R14" s="23"/>
      <c r="S14" s="23"/>
      <c r="T14" s="23" t="s">
        <v>15</v>
      </c>
      <c r="U14" s="23" t="s">
        <v>14</v>
      </c>
      <c r="V14" s="23" t="s">
        <v>16</v>
      </c>
      <c r="W14" s="23" t="s">
        <v>14</v>
      </c>
      <c r="X14" s="23" t="s">
        <v>15</v>
      </c>
      <c r="Y14" s="23"/>
      <c r="Z14" s="23"/>
      <c r="AA14" s="23" t="s">
        <v>15</v>
      </c>
      <c r="AB14" s="23" t="s">
        <v>14</v>
      </c>
      <c r="AC14" s="23" t="s">
        <v>16</v>
      </c>
      <c r="AD14" s="23" t="s">
        <v>14</v>
      </c>
      <c r="AE14" s="23" t="s">
        <v>15</v>
      </c>
      <c r="AF14" s="23"/>
      <c r="AG14" s="23"/>
      <c r="AH14" s="23" t="s">
        <v>15</v>
      </c>
      <c r="AI14" s="23" t="s">
        <v>14</v>
      </c>
      <c r="AJ14" s="24">
        <f t="shared" si="0"/>
        <v>150</v>
      </c>
      <c r="AK14" s="25">
        <f>ROUND(Mitarbeitende!$G$12/5*SUMPRODUCT((WEEKDAY($E$7:$AI$7,2)&lt;6)*(COUNTIF(Feiertage,$E$7:$AI$7)=0)),1)</f>
        <v>163.80000000000001</v>
      </c>
      <c r="AL14" s="26">
        <f t="shared" si="1"/>
        <v>-13.800000000000011</v>
      </c>
      <c r="AM14" s="27">
        <f t="shared" si="2"/>
        <v>2</v>
      </c>
    </row>
    <row r="15" spans="2:39" ht="15" customHeight="1" x14ac:dyDescent="0.25">
      <c r="B15" s="28">
        <f>IF(Mitarbeitende!$C$13="","",Mitarbeitende!$B$13)</f>
        <v>6</v>
      </c>
      <c r="C15" s="29" t="str">
        <f>Mitarbeitende!$C$13</f>
        <v>Frank Bauer</v>
      </c>
      <c r="D15" s="30" t="str">
        <f>Mitarbeitende!$E$13</f>
        <v>Regenbogen</v>
      </c>
      <c r="E15" s="31"/>
      <c r="F15" s="31" t="s">
        <v>13</v>
      </c>
      <c r="G15" s="31" t="s">
        <v>15</v>
      </c>
      <c r="H15" s="31" t="s">
        <v>14</v>
      </c>
      <c r="I15" s="31" t="s">
        <v>16</v>
      </c>
      <c r="J15" s="31" t="s">
        <v>14</v>
      </c>
      <c r="K15" s="31"/>
      <c r="L15" s="31"/>
      <c r="M15" s="31" t="s">
        <v>13</v>
      </c>
      <c r="N15" s="31" t="s">
        <v>15</v>
      </c>
      <c r="O15" s="31" t="s">
        <v>14</v>
      </c>
      <c r="P15" s="31" t="s">
        <v>16</v>
      </c>
      <c r="Q15" s="31" t="s">
        <v>14</v>
      </c>
      <c r="R15" s="31"/>
      <c r="S15" s="31"/>
      <c r="T15" s="31" t="s">
        <v>13</v>
      </c>
      <c r="U15" s="31" t="s">
        <v>15</v>
      </c>
      <c r="V15" s="31" t="s">
        <v>14</v>
      </c>
      <c r="W15" s="31" t="s">
        <v>16</v>
      </c>
      <c r="X15" s="31" t="s">
        <v>14</v>
      </c>
      <c r="Y15" s="31"/>
      <c r="Z15" s="31"/>
      <c r="AA15" s="31" t="s">
        <v>13</v>
      </c>
      <c r="AB15" s="31" t="s">
        <v>15</v>
      </c>
      <c r="AC15" s="31" t="s">
        <v>14</v>
      </c>
      <c r="AD15" s="31" t="s">
        <v>16</v>
      </c>
      <c r="AE15" s="31" t="s">
        <v>14</v>
      </c>
      <c r="AF15" s="31"/>
      <c r="AG15" s="31"/>
      <c r="AH15" s="31" t="s">
        <v>13</v>
      </c>
      <c r="AI15" s="31" t="s">
        <v>15</v>
      </c>
      <c r="AJ15" s="24">
        <f t="shared" si="0"/>
        <v>127.5</v>
      </c>
      <c r="AK15" s="25">
        <f>ROUND(Mitarbeitende!$G$13/5*SUMPRODUCT((WEEKDAY($E$7:$AI$7,2)&lt;6)*(COUNTIF(Feiertage,$E$7:$AI$7)=0)),1)</f>
        <v>163.80000000000001</v>
      </c>
      <c r="AL15" s="26">
        <f t="shared" si="1"/>
        <v>-36.300000000000011</v>
      </c>
      <c r="AM15" s="27">
        <f t="shared" si="2"/>
        <v>0</v>
      </c>
    </row>
    <row r="16" spans="2:39" ht="15" customHeight="1" x14ac:dyDescent="0.25">
      <c r="B16" s="20">
        <f>IF(Mitarbeitende!$C$14="","",Mitarbeitende!$B$14)</f>
        <v>7</v>
      </c>
      <c r="C16" s="21" t="str">
        <f>Mitarbeitende!$C$14</f>
        <v>Gscheidle Nele</v>
      </c>
      <c r="D16" s="22" t="str">
        <f>Mitarbeitende!$E$14</f>
        <v>Regenbogen</v>
      </c>
      <c r="E16" s="23"/>
      <c r="F16" s="23" t="s">
        <v>18</v>
      </c>
      <c r="G16" s="23" t="s">
        <v>18</v>
      </c>
      <c r="H16" s="23" t="s">
        <v>15</v>
      </c>
      <c r="I16" s="23" t="s">
        <v>19</v>
      </c>
      <c r="J16" s="23" t="s">
        <v>18</v>
      </c>
      <c r="K16" s="23"/>
      <c r="L16" s="23"/>
      <c r="M16" s="23" t="s">
        <v>18</v>
      </c>
      <c r="N16" s="23" t="s">
        <v>18</v>
      </c>
      <c r="O16" s="23" t="s">
        <v>15</v>
      </c>
      <c r="P16" s="23" t="s">
        <v>19</v>
      </c>
      <c r="Q16" s="23" t="s">
        <v>18</v>
      </c>
      <c r="R16" s="23"/>
      <c r="S16" s="23"/>
      <c r="T16" s="23" t="s">
        <v>18</v>
      </c>
      <c r="U16" s="23" t="s">
        <v>18</v>
      </c>
      <c r="V16" s="23" t="s">
        <v>15</v>
      </c>
      <c r="W16" s="23" t="s">
        <v>19</v>
      </c>
      <c r="X16" s="23" t="s">
        <v>18</v>
      </c>
      <c r="Y16" s="23"/>
      <c r="Z16" s="23"/>
      <c r="AA16" s="23" t="s">
        <v>18</v>
      </c>
      <c r="AB16" s="23" t="s">
        <v>18</v>
      </c>
      <c r="AC16" s="23" t="s">
        <v>15</v>
      </c>
      <c r="AD16" s="23" t="s">
        <v>19</v>
      </c>
      <c r="AE16" s="23" t="s">
        <v>18</v>
      </c>
      <c r="AF16" s="23"/>
      <c r="AG16" s="23"/>
      <c r="AH16" s="23" t="s">
        <v>18</v>
      </c>
      <c r="AI16" s="23" t="s">
        <v>18</v>
      </c>
      <c r="AJ16" s="24">
        <f t="shared" si="0"/>
        <v>93.000000000000028</v>
      </c>
      <c r="AK16" s="25">
        <f>ROUND(Mitarbeitende!$G$14/5*SUMPRODUCT((WEEKDAY($E$7:$AI$7,2)&lt;6)*(COUNTIF(Feiertage,$E$7:$AI$7)=0)),1)</f>
        <v>105</v>
      </c>
      <c r="AL16" s="26">
        <f t="shared" si="1"/>
        <v>-11.999999999999972</v>
      </c>
      <c r="AM16" s="27">
        <f t="shared" si="2"/>
        <v>0</v>
      </c>
    </row>
    <row r="17" spans="2:39" ht="15" customHeight="1" x14ac:dyDescent="0.25">
      <c r="B17" s="28">
        <f>IF(Mitarbeitende!$C$15="","",Mitarbeitende!$B$15)</f>
        <v>8</v>
      </c>
      <c r="C17" s="29" t="str">
        <f>Mitarbeitende!$C$15</f>
        <v>Hana Petri</v>
      </c>
      <c r="D17" s="30" t="str">
        <f>Mitarbeitende!$E$15</f>
        <v>Sternschnuppen</v>
      </c>
      <c r="E17" s="31"/>
      <c r="F17" s="31" t="s">
        <v>14</v>
      </c>
      <c r="G17" s="31" t="s">
        <v>16</v>
      </c>
      <c r="H17" s="31" t="s">
        <v>15</v>
      </c>
      <c r="I17" s="31" t="s">
        <v>14</v>
      </c>
      <c r="J17" s="31" t="s">
        <v>16</v>
      </c>
      <c r="K17" s="31"/>
      <c r="L17" s="31"/>
      <c r="M17" s="31" t="s">
        <v>14</v>
      </c>
      <c r="N17" s="31" t="s">
        <v>16</v>
      </c>
      <c r="O17" s="31" t="s">
        <v>15</v>
      </c>
      <c r="P17" s="31" t="s">
        <v>14</v>
      </c>
      <c r="Q17" s="31" t="s">
        <v>16</v>
      </c>
      <c r="R17" s="31"/>
      <c r="S17" s="31"/>
      <c r="T17" s="31" t="s">
        <v>14</v>
      </c>
      <c r="U17" s="31" t="s">
        <v>21</v>
      </c>
      <c r="V17" s="31" t="s">
        <v>15</v>
      </c>
      <c r="W17" s="31" t="s">
        <v>14</v>
      </c>
      <c r="X17" s="31" t="s">
        <v>16</v>
      </c>
      <c r="Y17" s="31"/>
      <c r="Z17" s="31"/>
      <c r="AA17" s="31" t="s">
        <v>14</v>
      </c>
      <c r="AB17" s="31" t="s">
        <v>16</v>
      </c>
      <c r="AC17" s="31" t="s">
        <v>15</v>
      </c>
      <c r="AD17" s="31" t="s">
        <v>14</v>
      </c>
      <c r="AE17" s="31" t="s">
        <v>16</v>
      </c>
      <c r="AF17" s="31"/>
      <c r="AG17" s="31"/>
      <c r="AH17" s="31" t="s">
        <v>14</v>
      </c>
      <c r="AI17" s="31" t="s">
        <v>16</v>
      </c>
      <c r="AJ17" s="24">
        <f t="shared" si="0"/>
        <v>157.5</v>
      </c>
      <c r="AK17" s="25">
        <f>ROUND(Mitarbeitende!$G$15/5*SUMPRODUCT((WEEKDAY($E$7:$AI$7,2)&lt;6)*(COUNTIF(Feiertage,$E$7:$AI$7)=0)),1)</f>
        <v>163.80000000000001</v>
      </c>
      <c r="AL17" s="26">
        <f t="shared" si="1"/>
        <v>-6.3000000000000114</v>
      </c>
      <c r="AM17" s="27">
        <f t="shared" si="2"/>
        <v>1</v>
      </c>
    </row>
    <row r="18" spans="2:39" ht="15" customHeight="1" x14ac:dyDescent="0.25">
      <c r="B18" s="20">
        <f>IF(Mitarbeitende!$C$16="","",Mitarbeitende!$B$16)</f>
        <v>9</v>
      </c>
      <c r="C18" s="21" t="str">
        <f>Mitarbeitende!$C$16</f>
        <v>Ines Kurz</v>
      </c>
      <c r="D18" s="22" t="str">
        <f>Mitarbeitende!$E$16</f>
        <v>Sternschnuppen</v>
      </c>
      <c r="E18" s="23"/>
      <c r="F18" s="23" t="s">
        <v>15</v>
      </c>
      <c r="G18" s="23" t="s">
        <v>18</v>
      </c>
      <c r="H18" s="23" t="s">
        <v>19</v>
      </c>
      <c r="I18" s="23" t="s">
        <v>15</v>
      </c>
      <c r="J18" s="23" t="s">
        <v>18</v>
      </c>
      <c r="K18" s="23"/>
      <c r="L18" s="23"/>
      <c r="M18" s="23" t="s">
        <v>15</v>
      </c>
      <c r="N18" s="23" t="s">
        <v>18</v>
      </c>
      <c r="O18" s="23" t="s">
        <v>19</v>
      </c>
      <c r="P18" s="23" t="s">
        <v>15</v>
      </c>
      <c r="Q18" s="23" t="s">
        <v>18</v>
      </c>
      <c r="R18" s="23"/>
      <c r="S18" s="23"/>
      <c r="T18" s="23" t="s">
        <v>15</v>
      </c>
      <c r="U18" s="23" t="s">
        <v>18</v>
      </c>
      <c r="V18" s="23" t="s">
        <v>19</v>
      </c>
      <c r="W18" s="23" t="s">
        <v>15</v>
      </c>
      <c r="X18" s="23" t="s">
        <v>18</v>
      </c>
      <c r="Y18" s="23"/>
      <c r="Z18" s="23"/>
      <c r="AA18" s="23" t="s">
        <v>15</v>
      </c>
      <c r="AB18" s="23" t="s">
        <v>18</v>
      </c>
      <c r="AC18" s="23" t="s">
        <v>19</v>
      </c>
      <c r="AD18" s="23" t="s">
        <v>15</v>
      </c>
      <c r="AE18" s="23" t="s">
        <v>18</v>
      </c>
      <c r="AF18" s="23"/>
      <c r="AG18" s="23"/>
      <c r="AH18" s="23" t="s">
        <v>15</v>
      </c>
      <c r="AI18" s="23" t="s">
        <v>18</v>
      </c>
      <c r="AJ18" s="24">
        <f t="shared" si="0"/>
        <v>108.00000000000001</v>
      </c>
      <c r="AK18" s="25">
        <f>ROUND(Mitarbeitende!$G$16/5*SUMPRODUCT((WEEKDAY($E$7:$AI$7,2)&lt;6)*(COUNTIF(Feiertage,$E$7:$AI$7)=0)),1)</f>
        <v>126</v>
      </c>
      <c r="AL18" s="26">
        <f t="shared" si="1"/>
        <v>-17.999999999999986</v>
      </c>
      <c r="AM18" s="27">
        <f t="shared" si="2"/>
        <v>0</v>
      </c>
    </row>
    <row r="19" spans="2:39" ht="15" customHeight="1" x14ac:dyDescent="0.25">
      <c r="B19" s="28">
        <f>IF(Mitarbeitende!$C$17="","",Mitarbeitende!$B$17)</f>
        <v>10</v>
      </c>
      <c r="C19" s="29" t="str">
        <f>Mitarbeitende!$C$17</f>
        <v>Jonas Mai</v>
      </c>
      <c r="D19" s="30" t="str">
        <f>Mitarbeitende!$E$17</f>
        <v>Sternschnuppen</v>
      </c>
      <c r="E19" s="31"/>
      <c r="F19" s="31" t="s">
        <v>15</v>
      </c>
      <c r="G19" s="31" t="s">
        <v>15</v>
      </c>
      <c r="H19" s="31" t="s">
        <v>14</v>
      </c>
      <c r="I19" s="31" t="s">
        <v>16</v>
      </c>
      <c r="J19" s="31" t="s">
        <v>14</v>
      </c>
      <c r="K19" s="31"/>
      <c r="L19" s="31"/>
      <c r="M19" s="31" t="s">
        <v>15</v>
      </c>
      <c r="N19" s="31" t="s">
        <v>15</v>
      </c>
      <c r="O19" s="31" t="s">
        <v>14</v>
      </c>
      <c r="P19" s="31" t="s">
        <v>16</v>
      </c>
      <c r="Q19" s="31" t="s">
        <v>14</v>
      </c>
      <c r="R19" s="31"/>
      <c r="S19" s="31"/>
      <c r="T19" s="31" t="s">
        <v>15</v>
      </c>
      <c r="U19" s="31" t="s">
        <v>15</v>
      </c>
      <c r="V19" s="31" t="s">
        <v>14</v>
      </c>
      <c r="W19" s="31" t="s">
        <v>21</v>
      </c>
      <c r="X19" s="31" t="s">
        <v>14</v>
      </c>
      <c r="Y19" s="31"/>
      <c r="Z19" s="31"/>
      <c r="AA19" s="31" t="s">
        <v>15</v>
      </c>
      <c r="AB19" s="31" t="s">
        <v>15</v>
      </c>
      <c r="AC19" s="31" t="s">
        <v>14</v>
      </c>
      <c r="AD19" s="31" t="s">
        <v>16</v>
      </c>
      <c r="AE19" s="31" t="s">
        <v>14</v>
      </c>
      <c r="AF19" s="31"/>
      <c r="AG19" s="31"/>
      <c r="AH19" s="31" t="s">
        <v>15</v>
      </c>
      <c r="AI19" s="31" t="s">
        <v>15</v>
      </c>
      <c r="AJ19" s="24">
        <f t="shared" si="0"/>
        <v>157.5</v>
      </c>
      <c r="AK19" s="25">
        <f>ROUND(Mitarbeitende!$G$17/5*SUMPRODUCT((WEEKDAY($E$7:$AI$7,2)&lt;6)*(COUNTIF(Feiertage,$E$7:$AI$7)=0)),1)</f>
        <v>163.80000000000001</v>
      </c>
      <c r="AL19" s="26">
        <f t="shared" si="1"/>
        <v>-6.3000000000000114</v>
      </c>
      <c r="AM19" s="27">
        <f t="shared" si="2"/>
        <v>1</v>
      </c>
    </row>
    <row r="20" spans="2:39" ht="15" customHeight="1" x14ac:dyDescent="0.25">
      <c r="B20" s="32">
        <f>IF(Mitarbeitende!$C$18="","",Mitarbeitende!$B$18)</f>
        <v>11</v>
      </c>
      <c r="C20" s="33" t="str">
        <f>Mitarbeitende!$C$18</f>
        <v>Katrin Ilic</v>
      </c>
      <c r="D20" s="34" t="str">
        <f>Mitarbeitende!$E$18</f>
        <v>Gruppenübergreifend</v>
      </c>
      <c r="E20" s="35"/>
      <c r="F20" s="35" t="s">
        <v>19</v>
      </c>
      <c r="G20" s="35" t="s">
        <v>19</v>
      </c>
      <c r="H20" s="35" t="s">
        <v>15</v>
      </c>
      <c r="I20" s="35" t="s">
        <v>19</v>
      </c>
      <c r="J20" s="35" t="s">
        <v>14</v>
      </c>
      <c r="K20" s="35"/>
      <c r="L20" s="35"/>
      <c r="M20" s="35" t="s">
        <v>19</v>
      </c>
      <c r="N20" s="35" t="s">
        <v>19</v>
      </c>
      <c r="O20" s="35" t="s">
        <v>15</v>
      </c>
      <c r="P20" s="35" t="s">
        <v>19</v>
      </c>
      <c r="Q20" s="35" t="s">
        <v>14</v>
      </c>
      <c r="R20" s="35"/>
      <c r="S20" s="35"/>
      <c r="T20" s="35" t="s">
        <v>19</v>
      </c>
      <c r="U20" s="35" t="s">
        <v>19</v>
      </c>
      <c r="V20" s="35" t="s">
        <v>15</v>
      </c>
      <c r="W20" s="35" t="s">
        <v>19</v>
      </c>
      <c r="X20" s="35" t="s">
        <v>14</v>
      </c>
      <c r="Y20" s="35"/>
      <c r="Z20" s="35"/>
      <c r="AA20" s="35" t="s">
        <v>19</v>
      </c>
      <c r="AB20" s="35" t="s">
        <v>19</v>
      </c>
      <c r="AC20" s="35" t="s">
        <v>15</v>
      </c>
      <c r="AD20" s="35" t="s">
        <v>19</v>
      </c>
      <c r="AE20" s="35" t="s">
        <v>14</v>
      </c>
      <c r="AF20" s="35"/>
      <c r="AG20" s="35"/>
      <c r="AH20" s="35" t="s">
        <v>19</v>
      </c>
      <c r="AI20" s="35" t="s">
        <v>19</v>
      </c>
      <c r="AJ20" s="36">
        <f t="shared" si="0"/>
        <v>60</v>
      </c>
      <c r="AK20" s="37">
        <f>ROUND(Mitarbeitende!$G$18/5*SUMPRODUCT((WEEKDAY($E$7:$AI$7,2)&lt;6)*(COUNTIF(Feiertage,$E$7:$AI$7)=0)),1)</f>
        <v>84</v>
      </c>
      <c r="AL20" s="38">
        <f t="shared" si="1"/>
        <v>-24</v>
      </c>
      <c r="AM20" s="39">
        <f t="shared" si="2"/>
        <v>0</v>
      </c>
    </row>
    <row r="22" spans="2:39" ht="15" customHeight="1" x14ac:dyDescent="0.25">
      <c r="B22" s="8" t="s">
        <v>22</v>
      </c>
      <c r="C22" s="8"/>
      <c r="D22" s="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</row>
    <row r="23" spans="2:39" x14ac:dyDescent="0.25">
      <c r="B23" s="7" t="s">
        <v>23</v>
      </c>
      <c r="C23" s="7"/>
      <c r="D23" s="7"/>
      <c r="E23" s="42" t="str">
        <f>IF((WEEKDAY($E$7,2)&lt;6)*(COUNTIF(Feiertage,$E$7)=0)=0,"",COUNTIF(E10:E20,"F")+COUNTIF(E10:E20,"M")+COUNTIF(E10:E20,"S")+COUNTIF(E10:E20,"T"))</f>
        <v/>
      </c>
      <c r="F23" s="42" t="str">
        <f>IF((WEEKDAY($F$7,2)&lt;6)*(COUNTIF(Feiertage,$F$7)=0)=0,"",COUNTIF(F10:F20,"F")+COUNTIF(F10:F20,"M")+COUNTIF(F10:F20,"S")+COUNTIF(F10:F20,"T"))</f>
        <v/>
      </c>
      <c r="G23" s="42">
        <f>IF((WEEKDAY($G$7,2)&lt;6)*(COUNTIF(Feiertage,$G$7)=0)=0,"",COUNTIF(G10:G20,"F")+COUNTIF(G10:G20,"M")+COUNTIF(G10:G20,"S")+COUNTIF(G10:G20,"T"))</f>
        <v>10</v>
      </c>
      <c r="H23" s="42">
        <f>IF((WEEKDAY($H$7,2)&lt;6)*(COUNTIF(Feiertage,$H$7)=0)=0,"",COUNTIF(H10:H20,"F")+COUNTIF(H10:H20,"M")+COUNTIF(H10:H20,"S")+COUNTIF(H10:H20,"T"))</f>
        <v>9</v>
      </c>
      <c r="I23" s="42">
        <f>IF((WEEKDAY($I$7,2)&lt;6)*(COUNTIF(Feiertage,$I$7)=0)=0,"",COUNTIF(I10:I20,"F")+COUNTIF(I10:I20,"M")+COUNTIF(I10:I20,"S")+COUNTIF(I10:I20,"T"))</f>
        <v>7</v>
      </c>
      <c r="J23" s="42">
        <f>IF((WEEKDAY($J$7,2)&lt;6)*(COUNTIF(Feiertage,$J$7)=0)=0,"",COUNTIF(J10:J20,"F")+COUNTIF(J10:J20,"M")+COUNTIF(J10:J20,"S")+COUNTIF(J10:J20,"T"))</f>
        <v>10</v>
      </c>
      <c r="K23" s="42" t="str">
        <f>IF((WEEKDAY($K$7,2)&lt;6)*(COUNTIF(Feiertage,$K$7)=0)=0,"",COUNTIF(K10:K20,"F")+COUNTIF(K10:K20,"M")+COUNTIF(K10:K20,"S")+COUNTIF(K10:K20,"T"))</f>
        <v/>
      </c>
      <c r="L23" s="42" t="str">
        <f>IF((WEEKDAY($L$7,2)&lt;6)*(COUNTIF(Feiertage,$L$7)=0)=0,"",COUNTIF(L10:L20,"F")+COUNTIF(L10:L20,"M")+COUNTIF(L10:L20,"S")+COUNTIF(L10:L20,"T"))</f>
        <v/>
      </c>
      <c r="M23" s="42">
        <f>IF((WEEKDAY($M$7,2)&lt;6)*(COUNTIF(Feiertage,$M$7)=0)=0,"",COUNTIF(M10:M20,"F")+COUNTIF(M10:M20,"M")+COUNTIF(M10:M20,"S")+COUNTIF(M10:M20,"T"))</f>
        <v>8</v>
      </c>
      <c r="N23" s="42">
        <f>IF((WEEKDAY($N$7,2)&lt;6)*(COUNTIF(Feiertage,$N$7)=0)=0,"",COUNTIF(N10:N20,"F")+COUNTIF(N10:N20,"M")+COUNTIF(N10:N20,"S")+COUNTIF(N10:N20,"T"))</f>
        <v>9</v>
      </c>
      <c r="O23" s="42">
        <f>IF((WEEKDAY($O$7,2)&lt;6)*(COUNTIF(Feiertage,$O$7)=0)=0,"",COUNTIF(O10:O20,"F")+COUNTIF(O10:O20,"M")+COUNTIF(O10:O20,"S")+COUNTIF(O10:O20,"T"))</f>
        <v>9</v>
      </c>
      <c r="P23" s="42">
        <f>IF((WEEKDAY($P$7,2)&lt;6)*(COUNTIF(Feiertage,$P$7)=0)=0,"",COUNTIF(P10:P20,"F")+COUNTIF(P10:P20,"M")+COUNTIF(P10:P20,"S")+COUNTIF(P10:P20,"T"))</f>
        <v>7</v>
      </c>
      <c r="Q23" s="42">
        <f>IF((WEEKDAY($Q$7,2)&lt;6)*(COUNTIF(Feiertage,$Q$7)=0)=0,"",COUNTIF(Q10:Q20,"F")+COUNTIF(Q10:Q20,"M")+COUNTIF(Q10:Q20,"S")+COUNTIF(Q10:Q20,"T"))</f>
        <v>10</v>
      </c>
      <c r="R23" s="42" t="str">
        <f>IF((WEEKDAY($R$7,2)&lt;6)*(COUNTIF(Feiertage,$R$7)=0)=0,"",COUNTIF(R10:R20,"F")+COUNTIF(R10:R20,"M")+COUNTIF(R10:R20,"S")+COUNTIF(R10:R20,"T"))</f>
        <v/>
      </c>
      <c r="S23" s="42" t="str">
        <f>IF((WEEKDAY($S$7,2)&lt;6)*(COUNTIF(Feiertage,$S$7)=0)=0,"",COUNTIF(S10:S20,"F")+COUNTIF(S10:S20,"M")+COUNTIF(S10:S20,"S")+COUNTIF(S10:S20,"T"))</f>
        <v/>
      </c>
      <c r="T23" s="42">
        <f>IF((WEEKDAY($T$7,2)&lt;6)*(COUNTIF(Feiertage,$T$7)=0)=0,"",COUNTIF(T10:T20,"F")+COUNTIF(T10:T20,"M")+COUNTIF(T10:T20,"S")+COUNTIF(T10:T20,"T"))</f>
        <v>8</v>
      </c>
      <c r="U23" s="42">
        <f>IF((WEEKDAY($U$7,2)&lt;6)*(COUNTIF(Feiertage,$U$7)=0)=0,"",COUNTIF(U10:U20,"F")+COUNTIF(U10:U20,"M")+COUNTIF(U10:U20,"S")+COUNTIF(U10:U20,"T"))</f>
        <v>9</v>
      </c>
      <c r="V23" s="42">
        <f>IF((WEEKDAY($V$7,2)&lt;6)*(COUNTIF(Feiertage,$V$7)=0)=0,"",COUNTIF(V10:V20,"F")+COUNTIF(V10:V20,"M")+COUNTIF(V10:V20,"S")+COUNTIF(V10:V20,"T"))</f>
        <v>10</v>
      </c>
      <c r="W23" s="42">
        <f>IF((WEEKDAY($W$7,2)&lt;6)*(COUNTIF(Feiertage,$W$7)=0)=0,"",COUNTIF(W10:W20,"F")+COUNTIF(W10:W20,"M")+COUNTIF(W10:W20,"S")+COUNTIF(W10:W20,"T"))</f>
        <v>7</v>
      </c>
      <c r="X23" s="42">
        <f>IF((WEEKDAY($X$7,2)&lt;6)*(COUNTIF(Feiertage,$X$7)=0)=0,"",COUNTIF(X10:X20,"F")+COUNTIF(X10:X20,"M")+COUNTIF(X10:X20,"S")+COUNTIF(X10:X20,"T"))</f>
        <v>10</v>
      </c>
      <c r="Y23" s="42" t="str">
        <f>IF((WEEKDAY($Y$7,2)&lt;6)*(COUNTIF(Feiertage,$Y$7)=0)=0,"",COUNTIF(Y10:Y20,"F")+COUNTIF(Y10:Y20,"M")+COUNTIF(Y10:Y20,"S")+COUNTIF(Y10:Y20,"T"))</f>
        <v/>
      </c>
      <c r="Z23" s="42" t="str">
        <f>IF((WEEKDAY($Z$7,2)&lt;6)*(COUNTIF(Feiertage,$Z$7)=0)=0,"",COUNTIF(Z10:Z20,"F")+COUNTIF(Z10:Z20,"M")+COUNTIF(Z10:Z20,"S")+COUNTIF(Z10:Z20,"T"))</f>
        <v/>
      </c>
      <c r="AA23" s="42">
        <f>IF((WEEKDAY($AA$7,2)&lt;6)*(COUNTIF(Feiertage,$AA$7)=0)=0,"",COUNTIF(AA10:AA20,"F")+COUNTIF(AA10:AA20,"M")+COUNTIF(AA10:AA20,"S")+COUNTIF(AA10:AA20,"T"))</f>
        <v>8</v>
      </c>
      <c r="AB23" s="42">
        <f>IF((WEEKDAY($AB$7,2)&lt;6)*(COUNTIF(Feiertage,$AB$7)=0)=0,"",COUNTIF(AB10:AB20,"F")+COUNTIF(AB10:AB20,"M")+COUNTIF(AB10:AB20,"S")+COUNTIF(AB10:AB20,"T"))</f>
        <v>9</v>
      </c>
      <c r="AC23" s="42">
        <f>IF((WEEKDAY($AC$7,2)&lt;6)*(COUNTIF(Feiertage,$AC$7)=0)=0,"",COUNTIF(AC10:AC20,"F")+COUNTIF(AC10:AC20,"M")+COUNTIF(AC10:AC20,"S")+COUNTIF(AC10:AC20,"T"))</f>
        <v>9</v>
      </c>
      <c r="AD23" s="42">
        <f>IF((WEEKDAY($AD$7,2)&lt;6)*(COUNTIF(Feiertage,$AD$7)=0)=0,"",COUNTIF(AD10:AD20,"F")+COUNTIF(AD10:AD20,"M")+COUNTIF(AD10:AD20,"S")+COUNTIF(AD10:AD20,"T"))</f>
        <v>8</v>
      </c>
      <c r="AE23" s="42">
        <f>IF((WEEKDAY($AE$7,2)&lt;6)*(COUNTIF(Feiertage,$AE$7)=0)=0,"",COUNTIF(AE10:AE20,"F")+COUNTIF(AE10:AE20,"M")+COUNTIF(AE10:AE20,"S")+COUNTIF(AE10:AE20,"T"))</f>
        <v>10</v>
      </c>
      <c r="AF23" s="42" t="str">
        <f>IF((WEEKDAY($AF$7,2)&lt;6)*(COUNTIF(Feiertage,$AF$7)=0)=0,"",COUNTIF(AF10:AF20,"F")+COUNTIF(AF10:AF20,"M")+COUNTIF(AF10:AF20,"S")+COUNTIF(AF10:AF20,"T"))</f>
        <v/>
      </c>
      <c r="AG23" s="42" t="str">
        <f>IF((WEEKDAY($AG$7,2)&lt;6)*(COUNTIF(Feiertage,$AG$7)=0)=0,"",COUNTIF(AG10:AG20,"F")+COUNTIF(AG10:AG20,"M")+COUNTIF(AG10:AG20,"S")+COUNTIF(AG10:AG20,"T"))</f>
        <v/>
      </c>
      <c r="AH23" s="42">
        <f>IF((WEEKDAY($AH$7,2)&lt;6)*(COUNTIF(Feiertage,$AH$7)=0)=0,"",COUNTIF(AH10:AH20,"F")+COUNTIF(AH10:AH20,"M")+COUNTIF(AH10:AH20,"S")+COUNTIF(AH10:AH20,"T"))</f>
        <v>8</v>
      </c>
      <c r="AI23" s="42">
        <f>IF((WEEKDAY($AI$7,2)&lt;6)*(COUNTIF(Feiertage,$AI$7)=0)=0,"",COUNTIF(AI10:AI20,"F")+COUNTIF(AI10:AI20,"M")+COUNTIF(AI10:AI20,"S")+COUNTIF(AI10:AI20,"T"))</f>
        <v>10</v>
      </c>
      <c r="AJ23" s="6" t="str">
        <f>IF(Kinder="","","Soll je Tag: mind. "&amp;ROUNDUP(Kinder/Schluessel,0)&amp;" Kräfte am Kind")</f>
        <v>Soll je Tag: mind. 7 Kräfte am Kind</v>
      </c>
      <c r="AK23" s="6"/>
      <c r="AL23" s="6"/>
      <c r="AM23" s="6"/>
    </row>
    <row r="24" spans="2:39" x14ac:dyDescent="0.25">
      <c r="B24" s="7" t="s">
        <v>24</v>
      </c>
      <c r="C24" s="7"/>
      <c r="D24" s="7"/>
      <c r="E24" s="43" t="str">
        <f>IF((WEEKDAY($E$7,2)&lt;6)*(COUNTIF(Feiertage,$E$7)=0)=0,"",COUNTIF(E10:E20,"VZ"))</f>
        <v/>
      </c>
      <c r="F24" s="43" t="str">
        <f>IF((WEEKDAY($F$7,2)&lt;6)*(COUNTIF(Feiertage,$F$7)=0)=0,"",COUNTIF(F10:F20,"VZ"))</f>
        <v/>
      </c>
      <c r="G24" s="43">
        <f>IF((WEEKDAY($G$7,2)&lt;6)*(COUNTIF(Feiertage,$G$7)=0)=0,"",COUNTIF(G10:G20,"VZ"))</f>
        <v>0</v>
      </c>
      <c r="H24" s="43">
        <f>IF((WEEKDAY($H$7,2)&lt;6)*(COUNTIF(Feiertage,$H$7)=0)=0,"",COUNTIF(H10:H20,"VZ"))</f>
        <v>0</v>
      </c>
      <c r="I24" s="43">
        <f>IF((WEEKDAY($I$7,2)&lt;6)*(COUNTIF(Feiertage,$I$7)=0)=0,"",COUNTIF(I10:I20,"VZ"))</f>
        <v>0</v>
      </c>
      <c r="J24" s="43">
        <f>IF((WEEKDAY($J$7,2)&lt;6)*(COUNTIF(Feiertage,$J$7)=0)=0,"",COUNTIF(J10:J20,"VZ"))</f>
        <v>1</v>
      </c>
      <c r="K24" s="43" t="str">
        <f>IF((WEEKDAY($K$7,2)&lt;6)*(COUNTIF(Feiertage,$K$7)=0)=0,"",COUNTIF(K10:K20,"VZ"))</f>
        <v/>
      </c>
      <c r="L24" s="43" t="str">
        <f>IF((WEEKDAY($L$7,2)&lt;6)*(COUNTIF(Feiertage,$L$7)=0)=0,"",COUNTIF(L10:L20,"VZ"))</f>
        <v/>
      </c>
      <c r="M24" s="43">
        <f>IF((WEEKDAY($M$7,2)&lt;6)*(COUNTIF(Feiertage,$M$7)=0)=0,"",COUNTIF(M10:M20,"VZ"))</f>
        <v>2</v>
      </c>
      <c r="N24" s="43">
        <f>IF((WEEKDAY($N$7,2)&lt;6)*(COUNTIF(Feiertage,$N$7)=0)=0,"",COUNTIF(N10:N20,"VZ"))</f>
        <v>0</v>
      </c>
      <c r="O24" s="43">
        <f>IF((WEEKDAY($O$7,2)&lt;6)*(COUNTIF(Feiertage,$O$7)=0)=0,"",COUNTIF(O10:O20,"VZ"))</f>
        <v>0</v>
      </c>
      <c r="P24" s="43">
        <f>IF((WEEKDAY($P$7,2)&lt;6)*(COUNTIF(Feiertage,$P$7)=0)=0,"",COUNTIF(P10:P20,"VZ"))</f>
        <v>0</v>
      </c>
      <c r="Q24" s="43">
        <f>IF((WEEKDAY($Q$7,2)&lt;6)*(COUNTIF(Feiertage,$Q$7)=0)=0,"",COUNTIF(Q10:Q20,"VZ"))</f>
        <v>1</v>
      </c>
      <c r="R24" s="43" t="str">
        <f>IF((WEEKDAY($R$7,2)&lt;6)*(COUNTIF(Feiertage,$R$7)=0)=0,"",COUNTIF(R10:R20,"VZ"))</f>
        <v/>
      </c>
      <c r="S24" s="43" t="str">
        <f>IF((WEEKDAY($S$7,2)&lt;6)*(COUNTIF(Feiertage,$S$7)=0)=0,"",COUNTIF(S10:S20,"VZ"))</f>
        <v/>
      </c>
      <c r="T24" s="43">
        <f>IF((WEEKDAY($T$7,2)&lt;6)*(COUNTIF(Feiertage,$T$7)=0)=0,"",COUNTIF(T10:T20,"VZ"))</f>
        <v>2</v>
      </c>
      <c r="U24" s="43">
        <f>IF((WEEKDAY($U$7,2)&lt;6)*(COUNTIF(Feiertage,$U$7)=0)=0,"",COUNTIF(U10:U20,"VZ"))</f>
        <v>0</v>
      </c>
      <c r="V24" s="43">
        <f>IF((WEEKDAY($V$7,2)&lt;6)*(COUNTIF(Feiertage,$V$7)=0)=0,"",COUNTIF(V10:V20,"VZ"))</f>
        <v>0</v>
      </c>
      <c r="W24" s="43">
        <f>IF((WEEKDAY($W$7,2)&lt;6)*(COUNTIF(Feiertage,$W$7)=0)=0,"",COUNTIF(W10:W20,"VZ"))</f>
        <v>0</v>
      </c>
      <c r="X24" s="43">
        <f>IF((WEEKDAY($X$7,2)&lt;6)*(COUNTIF(Feiertage,$X$7)=0)=0,"",COUNTIF(X10:X20,"VZ"))</f>
        <v>1</v>
      </c>
      <c r="Y24" s="43" t="str">
        <f>IF((WEEKDAY($Y$7,2)&lt;6)*(COUNTIF(Feiertage,$Y$7)=0)=0,"",COUNTIF(Y10:Y20,"VZ"))</f>
        <v/>
      </c>
      <c r="Z24" s="43" t="str">
        <f>IF((WEEKDAY($Z$7,2)&lt;6)*(COUNTIF(Feiertage,$Z$7)=0)=0,"",COUNTIF(Z10:Z20,"VZ"))</f>
        <v/>
      </c>
      <c r="AA24" s="43">
        <f>IF((WEEKDAY($AA$7,2)&lt;6)*(COUNTIF(Feiertage,$AA$7)=0)=0,"",COUNTIF(AA10:AA20,"VZ"))</f>
        <v>2</v>
      </c>
      <c r="AB24" s="43">
        <f>IF((WEEKDAY($AB$7,2)&lt;6)*(COUNTIF(Feiertage,$AB$7)=0)=0,"",COUNTIF(AB10:AB20,"VZ"))</f>
        <v>0</v>
      </c>
      <c r="AC24" s="43">
        <f>IF((WEEKDAY($AC$7,2)&lt;6)*(COUNTIF(Feiertage,$AC$7)=0)=0,"",COUNTIF(AC10:AC20,"VZ"))</f>
        <v>0</v>
      </c>
      <c r="AD24" s="43">
        <f>IF((WEEKDAY($AD$7,2)&lt;6)*(COUNTIF(Feiertage,$AD$7)=0)=0,"",COUNTIF(AD10:AD20,"VZ"))</f>
        <v>0</v>
      </c>
      <c r="AE24" s="43">
        <f>IF((WEEKDAY($AE$7,2)&lt;6)*(COUNTIF(Feiertage,$AE$7)=0)=0,"",COUNTIF(AE10:AE20,"VZ"))</f>
        <v>1</v>
      </c>
      <c r="AF24" s="43" t="str">
        <f>IF((WEEKDAY($AF$7,2)&lt;6)*(COUNTIF(Feiertage,$AF$7)=0)=0,"",COUNTIF(AF10:AF20,"VZ"))</f>
        <v/>
      </c>
      <c r="AG24" s="43" t="str">
        <f>IF((WEEKDAY($AG$7,2)&lt;6)*(COUNTIF(Feiertage,$AG$7)=0)=0,"",COUNTIF(AG10:AG20,"VZ"))</f>
        <v/>
      </c>
      <c r="AH24" s="43">
        <f>IF((WEEKDAY($AH$7,2)&lt;6)*(COUNTIF(Feiertage,$AH$7)=0)=0,"",COUNTIF(AH10:AH20,"VZ"))</f>
        <v>2</v>
      </c>
      <c r="AI24" s="43">
        <f>IF((WEEKDAY($AI$7,2)&lt;6)*(COUNTIF(Feiertage,$AI$7)=0)=0,"",COUNTIF(AI10:AI20,"VZ"))</f>
        <v>0</v>
      </c>
      <c r="AJ24" s="6"/>
      <c r="AK24" s="6"/>
      <c r="AL24" s="6"/>
      <c r="AM24" s="6"/>
    </row>
    <row r="25" spans="2:39" x14ac:dyDescent="0.25">
      <c r="B25" s="5" t="s">
        <v>25</v>
      </c>
      <c r="C25" s="5"/>
      <c r="D25" s="5"/>
      <c r="E25" s="44" t="str">
        <f>IF((WEEKDAY($E$7,2)&lt;6)*(COUNTIF(Feiertage,$E$7)=0)=0,"",IF(E23&gt;=ROUNDUP(Kinder/Schluessel,0),"OK",IF(E23&gt;=ROUNDUP(Kinder/Schluessel,0)-1,"knapp","eng")))</f>
        <v/>
      </c>
      <c r="F25" s="44" t="str">
        <f>IF((WEEKDAY($F$7,2)&lt;6)*(COUNTIF(Feiertage,$F$7)=0)=0,"",IF(F23&gt;=ROUNDUP(Kinder/Schluessel,0),"OK",IF(F23&gt;=ROUNDUP(Kinder/Schluessel,0)-1,"knapp","eng")))</f>
        <v/>
      </c>
      <c r="G25" s="44" t="str">
        <f>IF((WEEKDAY($G$7,2)&lt;6)*(COUNTIF(Feiertage,$G$7)=0)=0,"",IF(G23&gt;=ROUNDUP(Kinder/Schluessel,0),"OK",IF(G23&gt;=ROUNDUP(Kinder/Schluessel,0)-1,"knapp","eng")))</f>
        <v>OK</v>
      </c>
      <c r="H25" s="44" t="str">
        <f>IF((WEEKDAY($H$7,2)&lt;6)*(COUNTIF(Feiertage,$H$7)=0)=0,"",IF(H23&gt;=ROUNDUP(Kinder/Schluessel,0),"OK",IF(H23&gt;=ROUNDUP(Kinder/Schluessel,0)-1,"knapp","eng")))</f>
        <v>OK</v>
      </c>
      <c r="I25" s="44" t="str">
        <f>IF((WEEKDAY($I$7,2)&lt;6)*(COUNTIF(Feiertage,$I$7)=0)=0,"",IF(I23&gt;=ROUNDUP(Kinder/Schluessel,0),"OK",IF(I23&gt;=ROUNDUP(Kinder/Schluessel,0)-1,"knapp","eng")))</f>
        <v>OK</v>
      </c>
      <c r="J25" s="44" t="str">
        <f>IF((WEEKDAY($J$7,2)&lt;6)*(COUNTIF(Feiertage,$J$7)=0)=0,"",IF(J23&gt;=ROUNDUP(Kinder/Schluessel,0),"OK",IF(J23&gt;=ROUNDUP(Kinder/Schluessel,0)-1,"knapp","eng")))</f>
        <v>OK</v>
      </c>
      <c r="K25" s="44" t="str">
        <f>IF((WEEKDAY($K$7,2)&lt;6)*(COUNTIF(Feiertage,$K$7)=0)=0,"",IF(K23&gt;=ROUNDUP(Kinder/Schluessel,0),"OK",IF(K23&gt;=ROUNDUP(Kinder/Schluessel,0)-1,"knapp","eng")))</f>
        <v/>
      </c>
      <c r="L25" s="44" t="str">
        <f>IF((WEEKDAY($L$7,2)&lt;6)*(COUNTIF(Feiertage,$L$7)=0)=0,"",IF(L23&gt;=ROUNDUP(Kinder/Schluessel,0),"OK",IF(L23&gt;=ROUNDUP(Kinder/Schluessel,0)-1,"knapp","eng")))</f>
        <v/>
      </c>
      <c r="M25" s="44" t="str">
        <f>IF((WEEKDAY($M$7,2)&lt;6)*(COUNTIF(Feiertage,$M$7)=0)=0,"",IF(M23&gt;=ROUNDUP(Kinder/Schluessel,0),"OK",IF(M23&gt;=ROUNDUP(Kinder/Schluessel,0)-1,"knapp","eng")))</f>
        <v>OK</v>
      </c>
      <c r="N25" s="44" t="str">
        <f>IF((WEEKDAY($N$7,2)&lt;6)*(COUNTIF(Feiertage,$N$7)=0)=0,"",IF(N23&gt;=ROUNDUP(Kinder/Schluessel,0),"OK",IF(N23&gt;=ROUNDUP(Kinder/Schluessel,0)-1,"knapp","eng")))</f>
        <v>OK</v>
      </c>
      <c r="O25" s="44" t="str">
        <f>IF((WEEKDAY($O$7,2)&lt;6)*(COUNTIF(Feiertage,$O$7)=0)=0,"",IF(O23&gt;=ROUNDUP(Kinder/Schluessel,0),"OK",IF(O23&gt;=ROUNDUP(Kinder/Schluessel,0)-1,"knapp","eng")))</f>
        <v>OK</v>
      </c>
      <c r="P25" s="44" t="str">
        <f>IF((WEEKDAY($P$7,2)&lt;6)*(COUNTIF(Feiertage,$P$7)=0)=0,"",IF(P23&gt;=ROUNDUP(Kinder/Schluessel,0),"OK",IF(P23&gt;=ROUNDUP(Kinder/Schluessel,0)-1,"knapp","eng")))</f>
        <v>OK</v>
      </c>
      <c r="Q25" s="44" t="str">
        <f>IF((WEEKDAY($Q$7,2)&lt;6)*(COUNTIF(Feiertage,$Q$7)=0)=0,"",IF(Q23&gt;=ROUNDUP(Kinder/Schluessel,0),"OK",IF(Q23&gt;=ROUNDUP(Kinder/Schluessel,0)-1,"knapp","eng")))</f>
        <v>OK</v>
      </c>
      <c r="R25" s="44" t="str">
        <f>IF((WEEKDAY($R$7,2)&lt;6)*(COUNTIF(Feiertage,$R$7)=0)=0,"",IF(R23&gt;=ROUNDUP(Kinder/Schluessel,0),"OK",IF(R23&gt;=ROUNDUP(Kinder/Schluessel,0)-1,"knapp","eng")))</f>
        <v/>
      </c>
      <c r="S25" s="44" t="str">
        <f>IF((WEEKDAY($S$7,2)&lt;6)*(COUNTIF(Feiertage,$S$7)=0)=0,"",IF(S23&gt;=ROUNDUP(Kinder/Schluessel,0),"OK",IF(S23&gt;=ROUNDUP(Kinder/Schluessel,0)-1,"knapp","eng")))</f>
        <v/>
      </c>
      <c r="T25" s="44" t="str">
        <f>IF((WEEKDAY($T$7,2)&lt;6)*(COUNTIF(Feiertage,$T$7)=0)=0,"",IF(T23&gt;=ROUNDUP(Kinder/Schluessel,0),"OK",IF(T23&gt;=ROUNDUP(Kinder/Schluessel,0)-1,"knapp","eng")))</f>
        <v>OK</v>
      </c>
      <c r="U25" s="44" t="str">
        <f>IF((WEEKDAY($U$7,2)&lt;6)*(COUNTIF(Feiertage,$U$7)=0)=0,"",IF(U23&gt;=ROUNDUP(Kinder/Schluessel,0),"OK",IF(U23&gt;=ROUNDUP(Kinder/Schluessel,0)-1,"knapp","eng")))</f>
        <v>OK</v>
      </c>
      <c r="V25" s="44" t="str">
        <f>IF((WEEKDAY($V$7,2)&lt;6)*(COUNTIF(Feiertage,$V$7)=0)=0,"",IF(V23&gt;=ROUNDUP(Kinder/Schluessel,0),"OK",IF(V23&gt;=ROUNDUP(Kinder/Schluessel,0)-1,"knapp","eng")))</f>
        <v>OK</v>
      </c>
      <c r="W25" s="44" t="str">
        <f>IF((WEEKDAY($W$7,2)&lt;6)*(COUNTIF(Feiertage,$W$7)=0)=0,"",IF(W23&gt;=ROUNDUP(Kinder/Schluessel,0),"OK",IF(W23&gt;=ROUNDUP(Kinder/Schluessel,0)-1,"knapp","eng")))</f>
        <v>OK</v>
      </c>
      <c r="X25" s="44" t="str">
        <f>IF((WEEKDAY($X$7,2)&lt;6)*(COUNTIF(Feiertage,$X$7)=0)=0,"",IF(X23&gt;=ROUNDUP(Kinder/Schluessel,0),"OK",IF(X23&gt;=ROUNDUP(Kinder/Schluessel,0)-1,"knapp","eng")))</f>
        <v>OK</v>
      </c>
      <c r="Y25" s="44" t="str">
        <f>IF((WEEKDAY($Y$7,2)&lt;6)*(COUNTIF(Feiertage,$Y$7)=0)=0,"",IF(Y23&gt;=ROUNDUP(Kinder/Schluessel,0),"OK",IF(Y23&gt;=ROUNDUP(Kinder/Schluessel,0)-1,"knapp","eng")))</f>
        <v/>
      </c>
      <c r="Z25" s="44" t="str">
        <f>IF((WEEKDAY($Z$7,2)&lt;6)*(COUNTIF(Feiertage,$Z$7)=0)=0,"",IF(Z23&gt;=ROUNDUP(Kinder/Schluessel,0),"OK",IF(Z23&gt;=ROUNDUP(Kinder/Schluessel,0)-1,"knapp","eng")))</f>
        <v/>
      </c>
      <c r="AA25" s="44" t="str">
        <f>IF((WEEKDAY($AA$7,2)&lt;6)*(COUNTIF(Feiertage,$AA$7)=0)=0,"",IF(AA23&gt;=ROUNDUP(Kinder/Schluessel,0),"OK",IF(AA23&gt;=ROUNDUP(Kinder/Schluessel,0)-1,"knapp","eng")))</f>
        <v>OK</v>
      </c>
      <c r="AB25" s="44" t="str">
        <f>IF((WEEKDAY($AB$7,2)&lt;6)*(COUNTIF(Feiertage,$AB$7)=0)=0,"",IF(AB23&gt;=ROUNDUP(Kinder/Schluessel,0),"OK",IF(AB23&gt;=ROUNDUP(Kinder/Schluessel,0)-1,"knapp","eng")))</f>
        <v>OK</v>
      </c>
      <c r="AC25" s="44" t="str">
        <f>IF((WEEKDAY($AC$7,2)&lt;6)*(COUNTIF(Feiertage,$AC$7)=0)=0,"",IF(AC23&gt;=ROUNDUP(Kinder/Schluessel,0),"OK",IF(AC23&gt;=ROUNDUP(Kinder/Schluessel,0)-1,"knapp","eng")))</f>
        <v>OK</v>
      </c>
      <c r="AD25" s="44" t="str">
        <f>IF((WEEKDAY($AD$7,2)&lt;6)*(COUNTIF(Feiertage,$AD$7)=0)=0,"",IF(AD23&gt;=ROUNDUP(Kinder/Schluessel,0),"OK",IF(AD23&gt;=ROUNDUP(Kinder/Schluessel,0)-1,"knapp","eng")))</f>
        <v>OK</v>
      </c>
      <c r="AE25" s="44" t="str">
        <f>IF((WEEKDAY($AE$7,2)&lt;6)*(COUNTIF(Feiertage,$AE$7)=0)=0,"",IF(AE23&gt;=ROUNDUP(Kinder/Schluessel,0),"OK",IF(AE23&gt;=ROUNDUP(Kinder/Schluessel,0)-1,"knapp","eng")))</f>
        <v>OK</v>
      </c>
      <c r="AF25" s="44" t="str">
        <f>IF((WEEKDAY($AF$7,2)&lt;6)*(COUNTIF(Feiertage,$AF$7)=0)=0,"",IF(AF23&gt;=ROUNDUP(Kinder/Schluessel,0),"OK",IF(AF23&gt;=ROUNDUP(Kinder/Schluessel,0)-1,"knapp","eng")))</f>
        <v/>
      </c>
      <c r="AG25" s="44" t="str">
        <f>IF((WEEKDAY($AG$7,2)&lt;6)*(COUNTIF(Feiertage,$AG$7)=0)=0,"",IF(AG23&gt;=ROUNDUP(Kinder/Schluessel,0),"OK",IF(AG23&gt;=ROUNDUP(Kinder/Schluessel,0)-1,"knapp","eng")))</f>
        <v/>
      </c>
      <c r="AH25" s="44" t="str">
        <f>IF((WEEKDAY($AH$7,2)&lt;6)*(COUNTIF(Feiertage,$AH$7)=0)=0,"",IF(AH23&gt;=ROUNDUP(Kinder/Schluessel,0),"OK",IF(AH23&gt;=ROUNDUP(Kinder/Schluessel,0)-1,"knapp","eng")))</f>
        <v>OK</v>
      </c>
      <c r="AI25" s="44" t="str">
        <f>IF((WEEKDAY($AI$7,2)&lt;6)*(COUNTIF(Feiertage,$AI$7)=0)=0,"",IF(AI23&gt;=ROUNDUP(Kinder/Schluessel,0),"OK",IF(AI23&gt;=ROUNDUP(Kinder/Schluessel,0)-1,"knapp","eng")))</f>
        <v>OK</v>
      </c>
      <c r="AJ25" s="6"/>
      <c r="AK25" s="6"/>
      <c r="AL25" s="6"/>
      <c r="AM25" s="6"/>
    </row>
  </sheetData>
  <mergeCells count="13">
    <mergeCell ref="B22:D22"/>
    <mergeCell ref="B23:D23"/>
    <mergeCell ref="AJ23:AM25"/>
    <mergeCell ref="B24:D24"/>
    <mergeCell ref="B25:D25"/>
    <mergeCell ref="B2:AJ4"/>
    <mergeCell ref="AK2:AM4"/>
    <mergeCell ref="B5:AM5"/>
    <mergeCell ref="B8:D9"/>
    <mergeCell ref="AJ8:AJ9"/>
    <mergeCell ref="AK8:AK9"/>
    <mergeCell ref="AL8:AL9"/>
    <mergeCell ref="AM8:AM9"/>
  </mergeCells>
  <conditionalFormatting sqref="E10:AI20">
    <cfRule type="cellIs" dxfId="21" priority="2" operator="equal">
      <formula>"F"</formula>
    </cfRule>
    <cfRule type="cellIs" dxfId="20" priority="3" operator="equal">
      <formula>"M"</formula>
    </cfRule>
    <cfRule type="cellIs" dxfId="19" priority="4" operator="equal">
      <formula>"S"</formula>
    </cfRule>
    <cfRule type="cellIs" dxfId="18" priority="5" operator="equal">
      <formula>"T"</formula>
    </cfRule>
    <cfRule type="cellIs" dxfId="17" priority="6" operator="equal">
      <formula>"VZ"</formula>
    </cfRule>
    <cfRule type="cellIs" dxfId="16" priority="7" operator="equal">
      <formula>"FB"</formula>
    </cfRule>
    <cfRule type="cellIs" dxfId="15" priority="8" operator="equal">
      <formula>"U"</formula>
    </cfRule>
    <cfRule type="cellIs" dxfId="14" priority="9" operator="equal">
      <formula>"K"</formula>
    </cfRule>
    <cfRule type="cellIs" dxfId="13" priority="10" operator="equal">
      <formula>"FR"</formula>
    </cfRule>
    <cfRule type="expression" dxfId="12" priority="11">
      <formula>OR(WEEKDAY(E$7,2)&gt;5,COUNTIF(Feiertage,E$7)&gt;0)</formula>
    </cfRule>
  </conditionalFormatting>
  <conditionalFormatting sqref="E23:AI23">
    <cfRule type="expression" dxfId="11" priority="47">
      <formula>AND(E23&lt;&gt;"",E23&lt;ROUNDUP(Kinder/Schluessel,0))</formula>
    </cfRule>
  </conditionalFormatting>
  <conditionalFormatting sqref="E25:AI25">
    <cfRule type="cellIs" dxfId="10" priority="46" operator="equal">
      <formula>"eng"</formula>
    </cfRule>
    <cfRule type="cellIs" dxfId="9" priority="45" operator="equal">
      <formula>"knapp"</formula>
    </cfRule>
    <cfRule type="cellIs" dxfId="8" priority="44" operator="equal">
      <formula>"OK"</formula>
    </cfRule>
  </conditionalFormatting>
  <conditionalFormatting sqref="AL10:AL20">
    <cfRule type="cellIs" dxfId="7" priority="43" operator="greaterThan">
      <formula>0.01</formula>
    </cfRule>
    <cfRule type="cellIs" dxfId="6" priority="42" operator="lessThan">
      <formula>-0.01</formula>
    </cfRule>
  </conditionalFormatting>
  <dataValidations count="1">
    <dataValidation type="list" allowBlank="1" sqref="E10:AI20" xr:uid="{00000000-0002-0000-0000-000000000000}">
      <formula1>CodeListe</formula1>
      <formula2>0</formula2>
    </dataValidation>
  </dataValidations>
  <pageMargins left="0.2" right="0.2" top="0.3" bottom="0.3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40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13" width="9.5703125" customWidth="1"/>
    <col min="20" max="20" width="13" hidden="1" customWidth="1"/>
  </cols>
  <sheetData>
    <row r="1" spans="2:20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T1" s="45">
        <f>VZAE_Ist</f>
        <v>9.69</v>
      </c>
    </row>
    <row r="2" spans="2:20" ht="15.75" customHeight="1" x14ac:dyDescent="0.25">
      <c r="B2" s="14" t="s">
        <v>26</v>
      </c>
      <c r="C2" s="14"/>
      <c r="D2" s="14"/>
      <c r="E2" s="14"/>
      <c r="F2" s="14"/>
      <c r="G2" s="14"/>
      <c r="H2" s="14"/>
      <c r="I2" s="14"/>
      <c r="J2" s="14"/>
      <c r="K2" s="13" t="str">
        <f>"Einrichtung: "&amp;Einrichtung&amp;CHAR(10)&amp;"Monat: "&amp;TEXT(Planmonat,"MMMM JJJJ")</f>
        <v>Einrichtung: Kita Sonnenwiese
Monat: marzo JJJJ</v>
      </c>
      <c r="L2" s="13"/>
      <c r="M2" s="13"/>
      <c r="T2" s="45">
        <f>VZAE_Soll</f>
        <v>8.06</v>
      </c>
    </row>
    <row r="3" spans="2:20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3"/>
      <c r="L3" s="13"/>
      <c r="M3" s="13"/>
    </row>
    <row r="4" spans="2:20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3"/>
      <c r="L4" s="13"/>
      <c r="M4" s="13"/>
    </row>
    <row r="5" spans="2:20" ht="15.75" customHeight="1" x14ac:dyDescent="0.25">
      <c r="B5" s="12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7" spans="2:20" ht="19.5" customHeight="1" x14ac:dyDescent="0.25">
      <c r="B7" s="46" t="s">
        <v>28</v>
      </c>
      <c r="C7" s="4" t="s">
        <v>29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9" spans="2:20" ht="16.5" customHeight="1" x14ac:dyDescent="0.25">
      <c r="B9" s="3">
        <f>COUNTA(Dienstplan!$C$10:$C$20)</f>
        <v>11</v>
      </c>
      <c r="C9" s="3"/>
      <c r="D9" s="3"/>
      <c r="E9" s="2">
        <f>SUM(Dienstplan!$AJ$10:$AJ$20)</f>
        <v>1369.5</v>
      </c>
      <c r="F9" s="2"/>
      <c r="G9" s="2"/>
      <c r="H9" s="1">
        <f>SUM(Dienstplan!$AK$10:$AK$20)</f>
        <v>1587.6</v>
      </c>
      <c r="I9" s="1"/>
      <c r="J9" s="1"/>
      <c r="K9" s="107">
        <f>SUM(Dienstplan!$AL$10:$AL$20)</f>
        <v>-218.10000000000002</v>
      </c>
      <c r="L9" s="107"/>
      <c r="M9" s="107"/>
    </row>
    <row r="10" spans="2:20" ht="4.5" customHeight="1" x14ac:dyDescent="0.25">
      <c r="B10" s="3"/>
      <c r="C10" s="3"/>
      <c r="D10" s="3"/>
      <c r="E10" s="2"/>
      <c r="F10" s="2"/>
      <c r="G10" s="2"/>
      <c r="H10" s="1"/>
      <c r="I10" s="1"/>
      <c r="J10" s="1"/>
      <c r="K10" s="107"/>
      <c r="L10" s="107"/>
      <c r="M10" s="107"/>
    </row>
    <row r="11" spans="2:20" ht="13.5" customHeight="1" x14ac:dyDescent="0.25">
      <c r="B11" s="108" t="s">
        <v>30</v>
      </c>
      <c r="C11" s="108"/>
      <c r="D11" s="108"/>
      <c r="E11" s="109" t="s">
        <v>31</v>
      </c>
      <c r="F11" s="109"/>
      <c r="G11" s="109"/>
      <c r="H11" s="110" t="s">
        <v>32</v>
      </c>
      <c r="I11" s="110"/>
      <c r="J11" s="110"/>
      <c r="K11" s="111" t="s">
        <v>33</v>
      </c>
      <c r="L11" s="111"/>
      <c r="M11" s="111"/>
    </row>
    <row r="13" spans="2:20" ht="16.5" customHeight="1" x14ac:dyDescent="0.25">
      <c r="B13" s="112">
        <f>COUNTIF(Dienstplan!$E$10:$AI$20,"U")</f>
        <v>5</v>
      </c>
      <c r="C13" s="112"/>
      <c r="D13" s="112"/>
      <c r="E13" s="113">
        <f>COUNTIF(Dienstplan!$E$10:$AI$20,"K")</f>
        <v>2</v>
      </c>
      <c r="F13" s="113"/>
      <c r="G13" s="113"/>
      <c r="H13" s="114">
        <f>COUNTIF(Dienstplan!$E$10:$AI$20,"FB")</f>
        <v>2</v>
      </c>
      <c r="I13" s="114"/>
      <c r="J13" s="114"/>
      <c r="K13" s="115">
        <f>IFERROR(SUM(Dienstplan!$AJ$10:$AJ$20)/SUM(Dienstplan!$AK$10:$AK$20),0)</f>
        <v>0.8626228269085412</v>
      </c>
      <c r="L13" s="115"/>
      <c r="M13" s="115"/>
    </row>
    <row r="14" spans="2:20" ht="4.5" customHeight="1" x14ac:dyDescent="0.25">
      <c r="B14" s="112"/>
      <c r="C14" s="112"/>
      <c r="D14" s="112"/>
      <c r="E14" s="113"/>
      <c r="F14" s="113"/>
      <c r="G14" s="113"/>
      <c r="H14" s="114"/>
      <c r="I14" s="114"/>
      <c r="J14" s="114"/>
      <c r="K14" s="115"/>
      <c r="L14" s="115"/>
      <c r="M14" s="115"/>
    </row>
    <row r="15" spans="2:20" ht="13.5" customHeight="1" x14ac:dyDescent="0.25">
      <c r="B15" s="116" t="s">
        <v>34</v>
      </c>
      <c r="C15" s="116"/>
      <c r="D15" s="116"/>
      <c r="E15" s="117" t="s">
        <v>35</v>
      </c>
      <c r="F15" s="117"/>
      <c r="G15" s="117"/>
      <c r="H15" s="118" t="s">
        <v>36</v>
      </c>
      <c r="I15" s="118"/>
      <c r="J15" s="118"/>
      <c r="K15" s="119" t="s">
        <v>37</v>
      </c>
      <c r="L15" s="119"/>
      <c r="M15" s="119"/>
    </row>
    <row r="17" spans="2:13" ht="19.5" customHeight="1" x14ac:dyDescent="0.25">
      <c r="B17" s="46" t="s">
        <v>38</v>
      </c>
      <c r="C17" s="4" t="s">
        <v>39</v>
      </c>
      <c r="D17" s="4"/>
      <c r="E17" s="4"/>
      <c r="F17" s="4"/>
      <c r="G17" s="4"/>
      <c r="H17" s="46" t="s">
        <v>40</v>
      </c>
      <c r="I17" s="4" t="s">
        <v>41</v>
      </c>
      <c r="J17" s="4"/>
      <c r="K17" s="4"/>
      <c r="L17" s="4"/>
      <c r="M17" s="4"/>
    </row>
    <row r="18" spans="2:13" ht="15" customHeight="1" x14ac:dyDescent="0.25">
      <c r="B18" s="120" t="s">
        <v>42</v>
      </c>
      <c r="C18" s="120"/>
      <c r="D18" s="120"/>
      <c r="E18" s="120"/>
      <c r="F18" s="121">
        <f>Kinder</f>
        <v>58</v>
      </c>
      <c r="G18" s="121"/>
      <c r="H18" s="122" t="s">
        <v>1</v>
      </c>
      <c r="I18" s="122"/>
      <c r="J18" s="122"/>
      <c r="K18" s="47" t="s">
        <v>2</v>
      </c>
      <c r="L18" s="47" t="s">
        <v>3</v>
      </c>
      <c r="M18" s="48" t="s">
        <v>4</v>
      </c>
    </row>
    <row r="19" spans="2:13" ht="13.5" customHeight="1" x14ac:dyDescent="0.25">
      <c r="B19" s="120" t="s">
        <v>43</v>
      </c>
      <c r="C19" s="120"/>
      <c r="D19" s="120"/>
      <c r="E19" s="120"/>
      <c r="F19" s="123">
        <f>Schluessel</f>
        <v>9</v>
      </c>
      <c r="G19" s="123"/>
      <c r="H19" s="124" t="str">
        <f>Dienstplan!$C$10</f>
        <v>Andrea Vogt</v>
      </c>
      <c r="I19" s="124"/>
      <c r="J19" s="124"/>
      <c r="K19" s="49">
        <f>Dienstplan!$AJ$10</f>
        <v>127.5</v>
      </c>
      <c r="L19" s="49">
        <f>Dienstplan!$AK$10</f>
        <v>163.80000000000001</v>
      </c>
      <c r="M19" s="50">
        <f>Dienstplan!$AL$10</f>
        <v>-36.300000000000011</v>
      </c>
    </row>
    <row r="20" spans="2:13" ht="13.5" customHeight="1" x14ac:dyDescent="0.25">
      <c r="B20" s="120" t="s">
        <v>44</v>
      </c>
      <c r="C20" s="120"/>
      <c r="D20" s="120"/>
      <c r="E20" s="120"/>
      <c r="F20" s="125">
        <f>VZAE_Soll</f>
        <v>8.06</v>
      </c>
      <c r="G20" s="125"/>
      <c r="H20" s="126" t="str">
        <f>Dienstplan!$C$11</f>
        <v>Bianca Roth</v>
      </c>
      <c r="I20" s="126"/>
      <c r="J20" s="126"/>
      <c r="K20" s="51">
        <f>Dienstplan!$AJ$11</f>
        <v>142.5</v>
      </c>
      <c r="L20" s="51">
        <f>Dienstplan!$AK$11</f>
        <v>163.80000000000001</v>
      </c>
      <c r="M20" s="52">
        <f>Dienstplan!$AL$11</f>
        <v>-21.300000000000011</v>
      </c>
    </row>
    <row r="21" spans="2:13" ht="13.5" customHeight="1" x14ac:dyDescent="0.25">
      <c r="B21" s="120" t="s">
        <v>45</v>
      </c>
      <c r="C21" s="120"/>
      <c r="D21" s="120"/>
      <c r="E21" s="120"/>
      <c r="F21" s="125">
        <f>VZAE_Ist</f>
        <v>9.69</v>
      </c>
      <c r="G21" s="125"/>
      <c r="H21" s="124" t="str">
        <f>Dienstplan!$C$12</f>
        <v>Carmen Löw</v>
      </c>
      <c r="I21" s="124"/>
      <c r="J21" s="124"/>
      <c r="K21" s="49">
        <f>Dienstplan!$AJ$12</f>
        <v>111</v>
      </c>
      <c r="L21" s="49">
        <f>Dienstplan!$AK$12</f>
        <v>126</v>
      </c>
      <c r="M21" s="50">
        <f>Dienstplan!$AL$12</f>
        <v>-15</v>
      </c>
    </row>
    <row r="22" spans="2:13" ht="13.5" customHeight="1" x14ac:dyDescent="0.25">
      <c r="B22" s="120" t="s">
        <v>46</v>
      </c>
      <c r="C22" s="120"/>
      <c r="D22" s="120"/>
      <c r="E22" s="120"/>
      <c r="F22" s="127">
        <f>IFERROR(VZAE_Ist/VZAE_Soll,0)</f>
        <v>1.2022332506203472</v>
      </c>
      <c r="G22" s="127"/>
      <c r="H22" s="126" t="str">
        <f>Dienstplan!$C$13</f>
        <v>Deniz Kaya</v>
      </c>
      <c r="I22" s="126"/>
      <c r="J22" s="126"/>
      <c r="K22" s="51">
        <f>Dienstplan!$AJ$13</f>
        <v>135</v>
      </c>
      <c r="L22" s="51">
        <f>Dienstplan!$AK$13</f>
        <v>163.80000000000001</v>
      </c>
      <c r="M22" s="52">
        <f>Dienstplan!$AL$13</f>
        <v>-28.800000000000011</v>
      </c>
    </row>
    <row r="23" spans="2:13" ht="13.5" customHeight="1" x14ac:dyDescent="0.25">
      <c r="B23" s="128" t="str">
        <f>IF(VZAE_Ist&gt;=VZAE_Soll,"✓ Personalschlüssel erfüllt","⚠ Unterdeckung – "&amp;TEXT(VZAE_Soll-VZAE_Ist,"0.00")&amp;" VZÄ fehlen")</f>
        <v>✓ Personalschlüssel erfüllt</v>
      </c>
      <c r="C23" s="128"/>
      <c r="D23" s="128"/>
      <c r="E23" s="128"/>
      <c r="F23" s="128"/>
      <c r="G23" s="128"/>
      <c r="H23" s="124" t="str">
        <f>Dienstplan!$C$14</f>
        <v>Eva Sander</v>
      </c>
      <c r="I23" s="124"/>
      <c r="J23" s="124"/>
      <c r="K23" s="49">
        <f>Dienstplan!$AJ$14</f>
        <v>150</v>
      </c>
      <c r="L23" s="49">
        <f>Dienstplan!$AK$14</f>
        <v>163.80000000000001</v>
      </c>
      <c r="M23" s="50">
        <f>Dienstplan!$AL$14</f>
        <v>-13.800000000000011</v>
      </c>
    </row>
    <row r="24" spans="2:13" ht="13.5" customHeight="1" x14ac:dyDescent="0.25">
      <c r="H24" s="126" t="str">
        <f>Dienstplan!$C$15</f>
        <v>Frank Bauer</v>
      </c>
      <c r="I24" s="126"/>
      <c r="J24" s="126"/>
      <c r="K24" s="51">
        <f>Dienstplan!$AJ$15</f>
        <v>127.5</v>
      </c>
      <c r="L24" s="51">
        <f>Dienstplan!$AK$15</f>
        <v>163.80000000000001</v>
      </c>
      <c r="M24" s="52">
        <f>Dienstplan!$AL$15</f>
        <v>-36.300000000000011</v>
      </c>
    </row>
    <row r="25" spans="2:13" ht="13.5" customHeight="1" x14ac:dyDescent="0.25">
      <c r="H25" s="124" t="str">
        <f>Dienstplan!$C$16</f>
        <v>Gscheidle Nele</v>
      </c>
      <c r="I25" s="124"/>
      <c r="J25" s="124"/>
      <c r="K25" s="49">
        <f>Dienstplan!$AJ$16</f>
        <v>93.000000000000028</v>
      </c>
      <c r="L25" s="49">
        <f>Dienstplan!$AK$16</f>
        <v>105</v>
      </c>
      <c r="M25" s="50">
        <f>Dienstplan!$AL$16</f>
        <v>-11.999999999999972</v>
      </c>
    </row>
    <row r="26" spans="2:13" ht="13.5" customHeight="1" x14ac:dyDescent="0.25">
      <c r="H26" s="126" t="str">
        <f>Dienstplan!$C$17</f>
        <v>Hana Petri</v>
      </c>
      <c r="I26" s="126"/>
      <c r="J26" s="126"/>
      <c r="K26" s="51">
        <f>Dienstplan!$AJ$17</f>
        <v>157.5</v>
      </c>
      <c r="L26" s="51">
        <f>Dienstplan!$AK$17</f>
        <v>163.80000000000001</v>
      </c>
      <c r="M26" s="52">
        <f>Dienstplan!$AL$17</f>
        <v>-6.3000000000000114</v>
      </c>
    </row>
    <row r="27" spans="2:13" ht="13.5" customHeight="1" x14ac:dyDescent="0.25">
      <c r="H27" s="124" t="str">
        <f>Dienstplan!$C$18</f>
        <v>Ines Kurz</v>
      </c>
      <c r="I27" s="124"/>
      <c r="J27" s="124"/>
      <c r="K27" s="49">
        <f>Dienstplan!$AJ$18</f>
        <v>108.00000000000001</v>
      </c>
      <c r="L27" s="49">
        <f>Dienstplan!$AK$18</f>
        <v>126</v>
      </c>
      <c r="M27" s="50">
        <f>Dienstplan!$AL$18</f>
        <v>-17.999999999999986</v>
      </c>
    </row>
    <row r="28" spans="2:13" ht="13.5" customHeight="1" x14ac:dyDescent="0.25">
      <c r="H28" s="126" t="str">
        <f>Dienstplan!$C$19</f>
        <v>Jonas Mai</v>
      </c>
      <c r="I28" s="126"/>
      <c r="J28" s="126"/>
      <c r="K28" s="51">
        <f>Dienstplan!$AJ$19</f>
        <v>157.5</v>
      </c>
      <c r="L28" s="51">
        <f>Dienstplan!$AK$19</f>
        <v>163.80000000000001</v>
      </c>
      <c r="M28" s="52">
        <f>Dienstplan!$AL$19</f>
        <v>-6.3000000000000114</v>
      </c>
    </row>
    <row r="29" spans="2:13" ht="13.5" customHeight="1" x14ac:dyDescent="0.25">
      <c r="H29" s="129" t="str">
        <f>Dienstplan!$C$20</f>
        <v>Katrin Ilic</v>
      </c>
      <c r="I29" s="129"/>
      <c r="J29" s="129"/>
      <c r="K29" s="53">
        <f>Dienstplan!$AJ$20</f>
        <v>60</v>
      </c>
      <c r="L29" s="53">
        <f>Dienstplan!$AK$20</f>
        <v>84</v>
      </c>
      <c r="M29" s="54">
        <f>Dienstplan!$AL$20</f>
        <v>-24</v>
      </c>
    </row>
    <row r="31" spans="2:13" ht="19.5" customHeight="1" x14ac:dyDescent="0.25">
      <c r="B31" s="46" t="s">
        <v>47</v>
      </c>
      <c r="C31" s="4" t="s">
        <v>48</v>
      </c>
      <c r="D31" s="4"/>
      <c r="E31" s="4"/>
      <c r="F31" s="4"/>
      <c r="G31" s="4"/>
    </row>
    <row r="32" spans="2:13" ht="15" customHeight="1" x14ac:dyDescent="0.25">
      <c r="B32" s="122" t="s">
        <v>49</v>
      </c>
      <c r="C32" s="122"/>
      <c r="D32" s="122"/>
      <c r="E32" s="47" t="s">
        <v>50</v>
      </c>
      <c r="F32" s="48" t="s">
        <v>51</v>
      </c>
    </row>
    <row r="33" spans="2:6" ht="13.5" customHeight="1" x14ac:dyDescent="0.25">
      <c r="B33" s="124" t="s">
        <v>52</v>
      </c>
      <c r="C33" s="124"/>
      <c r="D33" s="124"/>
      <c r="E33" s="55">
        <f>COUNTIF(Dienstplan!$E$10:$AI$20,"F")</f>
        <v>63</v>
      </c>
      <c r="F33" s="56">
        <f>IFERROR($E33/COUNTA(Dienstplan!$E$10:$AI$20),0)</f>
        <v>0.26033057851239672</v>
      </c>
    </row>
    <row r="34" spans="2:6" ht="13.5" customHeight="1" x14ac:dyDescent="0.25">
      <c r="B34" s="126" t="s">
        <v>53</v>
      </c>
      <c r="C34" s="126"/>
      <c r="D34" s="126"/>
      <c r="E34" s="57">
        <f>COUNTIF(Dienstplan!$E$10:$AI$20,"M")</f>
        <v>69</v>
      </c>
      <c r="F34" s="58">
        <f>IFERROR($E34/COUNTA(Dienstplan!$E$10:$AI$20),0)</f>
        <v>0.28512396694214875</v>
      </c>
    </row>
    <row r="35" spans="2:6" ht="13.5" customHeight="1" x14ac:dyDescent="0.25">
      <c r="B35" s="124" t="s">
        <v>54</v>
      </c>
      <c r="C35" s="124"/>
      <c r="D35" s="124"/>
      <c r="E35" s="55">
        <f>COUNTIF(Dienstplan!$E$10:$AI$20,"S")</f>
        <v>35</v>
      </c>
      <c r="F35" s="56">
        <f>IFERROR($E35/COUNTA(Dienstplan!$E$10:$AI$20),0)</f>
        <v>0.14462809917355371</v>
      </c>
    </row>
    <row r="36" spans="2:6" ht="13.5" customHeight="1" x14ac:dyDescent="0.25">
      <c r="B36" s="126" t="s">
        <v>55</v>
      </c>
      <c r="C36" s="126"/>
      <c r="D36" s="126"/>
      <c r="E36" s="57">
        <f>COUNTIF(Dienstplan!$E$10:$AI$20,"T")</f>
        <v>26</v>
      </c>
      <c r="F36" s="58">
        <f>IFERROR($E36/COUNTA(Dienstplan!$E$10:$AI$20),0)</f>
        <v>0.10743801652892562</v>
      </c>
    </row>
    <row r="37" spans="2:6" ht="13.5" customHeight="1" x14ac:dyDescent="0.25">
      <c r="B37" s="124" t="s">
        <v>56</v>
      </c>
      <c r="C37" s="124"/>
      <c r="D37" s="124"/>
      <c r="E37" s="55">
        <f>COUNTIF(Dienstplan!$E$10:$AI$20,"VZ")</f>
        <v>14</v>
      </c>
      <c r="F37" s="56">
        <f>IFERROR($E37/COUNTA(Dienstplan!$E$10:$AI$20),0)</f>
        <v>5.7851239669421489E-2</v>
      </c>
    </row>
    <row r="38" spans="2:6" ht="13.5" customHeight="1" x14ac:dyDescent="0.25">
      <c r="B38" s="126" t="s">
        <v>57</v>
      </c>
      <c r="C38" s="126"/>
      <c r="D38" s="126"/>
      <c r="E38" s="57">
        <f>COUNTIF(Dienstplan!$E$10:$AI$20,"U")</f>
        <v>5</v>
      </c>
      <c r="F38" s="58">
        <f>IFERROR($E38/COUNTA(Dienstplan!$E$10:$AI$20),0)</f>
        <v>2.0661157024793389E-2</v>
      </c>
    </row>
    <row r="39" spans="2:6" ht="13.5" customHeight="1" x14ac:dyDescent="0.25">
      <c r="B39" s="124" t="s">
        <v>58</v>
      </c>
      <c r="C39" s="124"/>
      <c r="D39" s="124"/>
      <c r="E39" s="55">
        <f>COUNTIF(Dienstplan!$E$10:$AI$20,"K")</f>
        <v>2</v>
      </c>
      <c r="F39" s="56">
        <f>IFERROR($E39/COUNTA(Dienstplan!$E$10:$AI$20),0)</f>
        <v>8.2644628099173556E-3</v>
      </c>
    </row>
    <row r="40" spans="2:6" ht="13.5" customHeight="1" x14ac:dyDescent="0.25">
      <c r="B40" s="130" t="s">
        <v>59</v>
      </c>
      <c r="C40" s="130"/>
      <c r="D40" s="130"/>
      <c r="E40" s="59">
        <f>COUNTIF(Dienstplan!$E$10:$AI$20,"FB")</f>
        <v>2</v>
      </c>
      <c r="F40" s="60">
        <f>IFERROR($E40/COUNTA(Dienstplan!$E$10:$AI$20),0)</f>
        <v>8.2644628099173556E-3</v>
      </c>
    </row>
  </sheetData>
  <mergeCells count="55">
    <mergeCell ref="B40:D40"/>
    <mergeCell ref="B35:D35"/>
    <mergeCell ref="B36:D36"/>
    <mergeCell ref="B37:D37"/>
    <mergeCell ref="B38:D38"/>
    <mergeCell ref="B39:D39"/>
    <mergeCell ref="H29:J29"/>
    <mergeCell ref="C31:G31"/>
    <mergeCell ref="B32:D32"/>
    <mergeCell ref="B33:D33"/>
    <mergeCell ref="B34:D34"/>
    <mergeCell ref="H24:J24"/>
    <mergeCell ref="H25:J25"/>
    <mergeCell ref="H26:J26"/>
    <mergeCell ref="H27:J27"/>
    <mergeCell ref="H28:J28"/>
    <mergeCell ref="B22:E22"/>
    <mergeCell ref="F22:G22"/>
    <mergeCell ref="H22:J22"/>
    <mergeCell ref="B23:G23"/>
    <mergeCell ref="H23:J23"/>
    <mergeCell ref="B20:E20"/>
    <mergeCell ref="F20:G20"/>
    <mergeCell ref="H20:J20"/>
    <mergeCell ref="B21:E21"/>
    <mergeCell ref="F21:G21"/>
    <mergeCell ref="H21:J21"/>
    <mergeCell ref="B18:E18"/>
    <mergeCell ref="F18:G18"/>
    <mergeCell ref="H18:J18"/>
    <mergeCell ref="B19:E19"/>
    <mergeCell ref="F19:G19"/>
    <mergeCell ref="H19:J19"/>
    <mergeCell ref="B15:D15"/>
    <mergeCell ref="E15:G15"/>
    <mergeCell ref="H15:J15"/>
    <mergeCell ref="K15:M15"/>
    <mergeCell ref="C17:G17"/>
    <mergeCell ref="I17:M17"/>
    <mergeCell ref="B11:D11"/>
    <mergeCell ref="E11:G11"/>
    <mergeCell ref="H11:J11"/>
    <mergeCell ref="K11:M11"/>
    <mergeCell ref="B13:D14"/>
    <mergeCell ref="E13:G14"/>
    <mergeCell ref="H13:J14"/>
    <mergeCell ref="K13:M14"/>
    <mergeCell ref="B2:J4"/>
    <mergeCell ref="K2:M4"/>
    <mergeCell ref="B5:M5"/>
    <mergeCell ref="C7:M7"/>
    <mergeCell ref="B9:D10"/>
    <mergeCell ref="E9:G10"/>
    <mergeCell ref="H9:J10"/>
    <mergeCell ref="K9:M10"/>
  </mergeCells>
  <conditionalFormatting sqref="B23:G23">
    <cfRule type="expression" dxfId="5" priority="2">
      <formula>$T$1&gt;=$T$2</formula>
    </cfRule>
    <cfRule type="expression" dxfId="4" priority="3">
      <formula>$T$1&lt;$T$2</formula>
    </cfRule>
  </conditionalFormatting>
  <conditionalFormatting sqref="E33:E40">
    <cfRule type="dataBar" priority="6">
      <dataBar>
        <cfvo type="num" val="0"/>
        <cfvo type="max"/>
        <color rgb="FFC86B3C"/>
      </dataBar>
      <extLst>
        <ext xmlns:x14="http://schemas.microsoft.com/office/spreadsheetml/2009/9/main" uri="{B025F937-C7B1-47D3-B67F-A62EFF666E3E}">
          <x14:id>{F242B13F-285F-4E8D-8776-9AAD67E84D78}</x14:id>
        </ext>
      </extLst>
    </cfRule>
  </conditionalFormatting>
  <conditionalFormatting sqref="M19:M29">
    <cfRule type="cellIs" dxfId="3" priority="4" operator="lessThan">
      <formula>-0.01</formula>
    </cfRule>
    <cfRule type="cellIs" dxfId="2" priority="5" operator="greaterThan">
      <formula>0.01</formula>
    </cfRule>
  </conditionalFormatting>
  <pageMargins left="0.3" right="0.3" top="0.4" bottom="0.4" header="0.511811023622047" footer="0.511811023622047"/>
  <pageSetup fitToHeight="2" orientation="landscape" horizontalDpi="300" verticalDpi="300"/>
  <rowBreaks count="1" manualBreakCount="1">
    <brk id="30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42B13F-285F-4E8D-8776-9AAD67E84D78}">
            <x14:dataBar axisPosition="none">
              <x14:cfvo type="num">
                <xm:f>0</xm:f>
              </x14:cfvo>
              <x14:cfvo type="max"/>
              <x14:negativeFillColor rgb="FFC86B3C"/>
            </x14:dataBar>
          </x14:cfRule>
          <xm:sqref>E33:E40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24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6" customWidth="1"/>
    <col min="3" max="4" width="22" customWidth="1"/>
    <col min="5" max="5" width="20" customWidth="1"/>
    <col min="6" max="6" width="10" customWidth="1"/>
    <col min="7" max="7" width="14" customWidth="1"/>
    <col min="8" max="8" width="16" customWidth="1"/>
    <col min="9" max="9" width="10" customWidth="1"/>
    <col min="10" max="10" width="26" customWidth="1"/>
  </cols>
  <sheetData>
    <row r="1" spans="2:10" ht="6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2:10" ht="15.75" customHeight="1" x14ac:dyDescent="0.25">
      <c r="B2" s="14" t="s">
        <v>30</v>
      </c>
      <c r="C2" s="14"/>
      <c r="D2" s="14"/>
      <c r="E2" s="14"/>
      <c r="F2" s="14"/>
      <c r="G2" s="14"/>
      <c r="H2" s="13" t="str">
        <f>"Einrichtung: "&amp;Einrichtung&amp;CHAR(10)&amp;"Monat: "&amp;TEXT(Planmonat,"MMMM JJJJ")</f>
        <v>Einrichtung: Kita Sonnenwiese
Monat: marzo JJJJ</v>
      </c>
      <c r="I2" s="13"/>
      <c r="J2" s="13"/>
    </row>
    <row r="3" spans="2:10" ht="19.5" customHeight="1" x14ac:dyDescent="0.25">
      <c r="B3" s="14"/>
      <c r="C3" s="14"/>
      <c r="D3" s="14"/>
      <c r="E3" s="14"/>
      <c r="F3" s="14"/>
      <c r="G3" s="14"/>
      <c r="H3" s="13"/>
      <c r="I3" s="13"/>
      <c r="J3" s="13"/>
    </row>
    <row r="4" spans="2:10" ht="12" customHeight="1" x14ac:dyDescent="0.25">
      <c r="B4" s="14"/>
      <c r="C4" s="14"/>
      <c r="D4" s="14"/>
      <c r="E4" s="14"/>
      <c r="F4" s="14"/>
      <c r="G4" s="14"/>
      <c r="H4" s="13"/>
      <c r="I4" s="13"/>
      <c r="J4" s="13"/>
    </row>
    <row r="5" spans="2:10" ht="15.75" customHeight="1" x14ac:dyDescent="0.25">
      <c r="B5" s="12" t="s">
        <v>60</v>
      </c>
      <c r="C5" s="12"/>
      <c r="D5" s="12"/>
      <c r="E5" s="12"/>
      <c r="F5" s="12"/>
      <c r="G5" s="12"/>
      <c r="H5" s="12"/>
      <c r="I5" s="12"/>
      <c r="J5" s="12"/>
    </row>
    <row r="7" spans="2:10" ht="21.75" customHeight="1" x14ac:dyDescent="0.25">
      <c r="B7" s="61" t="s">
        <v>61</v>
      </c>
      <c r="C7" s="62" t="s">
        <v>62</v>
      </c>
      <c r="D7" s="62" t="s">
        <v>63</v>
      </c>
      <c r="E7" s="62" t="s">
        <v>64</v>
      </c>
      <c r="F7" s="62" t="s">
        <v>65</v>
      </c>
      <c r="G7" s="62" t="s">
        <v>66</v>
      </c>
      <c r="H7" s="62" t="s">
        <v>67</v>
      </c>
      <c r="I7" s="62" t="s">
        <v>68</v>
      </c>
      <c r="J7" s="63" t="s">
        <v>69</v>
      </c>
    </row>
    <row r="8" spans="2:10" ht="15.75" customHeight="1" x14ac:dyDescent="0.25">
      <c r="B8" s="64">
        <f>IF($C8="","",COUNTA($C$8:$C8))</f>
        <v>1</v>
      </c>
      <c r="C8" s="65" t="s">
        <v>70</v>
      </c>
      <c r="D8" s="66" t="s">
        <v>71</v>
      </c>
      <c r="E8" s="66" t="s">
        <v>72</v>
      </c>
      <c r="F8" s="67" t="s">
        <v>13</v>
      </c>
      <c r="G8" s="68">
        <v>39</v>
      </c>
      <c r="H8" s="67" t="s">
        <v>73</v>
      </c>
      <c r="I8" s="69">
        <f t="shared" ref="I8:I23" si="0">IF($C8="","",ROUND($G8/VZAE_Std,2))</f>
        <v>1</v>
      </c>
      <c r="J8" s="70"/>
    </row>
    <row r="9" spans="2:10" ht="15.75" customHeight="1" x14ac:dyDescent="0.25">
      <c r="B9" s="64">
        <f>IF($C9="","",COUNTA($C$8:$C9))</f>
        <v>2</v>
      </c>
      <c r="C9" s="65" t="s">
        <v>74</v>
      </c>
      <c r="D9" s="66" t="s">
        <v>75</v>
      </c>
      <c r="E9" s="66" t="s">
        <v>76</v>
      </c>
      <c r="F9" s="67" t="s">
        <v>13</v>
      </c>
      <c r="G9" s="68">
        <v>39</v>
      </c>
      <c r="H9" s="67" t="s">
        <v>73</v>
      </c>
      <c r="I9" s="69">
        <f t="shared" si="0"/>
        <v>1</v>
      </c>
      <c r="J9" s="71"/>
    </row>
    <row r="10" spans="2:10" ht="15.75" customHeight="1" x14ac:dyDescent="0.25">
      <c r="B10" s="64">
        <f>IF($C10="","",COUNTA($C$8:$C10))</f>
        <v>3</v>
      </c>
      <c r="C10" s="65" t="s">
        <v>77</v>
      </c>
      <c r="D10" s="66" t="s">
        <v>75</v>
      </c>
      <c r="E10" s="66" t="s">
        <v>76</v>
      </c>
      <c r="F10" s="67" t="s">
        <v>78</v>
      </c>
      <c r="G10" s="68">
        <v>30</v>
      </c>
      <c r="H10" s="67" t="s">
        <v>73</v>
      </c>
      <c r="I10" s="69">
        <f t="shared" si="0"/>
        <v>0.77</v>
      </c>
      <c r="J10" s="70"/>
    </row>
    <row r="11" spans="2:10" ht="15.75" customHeight="1" x14ac:dyDescent="0.25">
      <c r="B11" s="64">
        <f>IF($C11="","",COUNTA($C$8:$C11))</f>
        <v>4</v>
      </c>
      <c r="C11" s="65" t="s">
        <v>79</v>
      </c>
      <c r="D11" s="66" t="s">
        <v>80</v>
      </c>
      <c r="E11" s="66" t="s">
        <v>76</v>
      </c>
      <c r="F11" s="67" t="s">
        <v>13</v>
      </c>
      <c r="G11" s="68">
        <v>39</v>
      </c>
      <c r="H11" s="67" t="s">
        <v>81</v>
      </c>
      <c r="I11" s="69">
        <f t="shared" si="0"/>
        <v>1</v>
      </c>
      <c r="J11" s="71"/>
    </row>
    <row r="12" spans="2:10" ht="15.75" customHeight="1" x14ac:dyDescent="0.25">
      <c r="B12" s="64">
        <f>IF($C12="","",COUNTA($C$8:$C12))</f>
        <v>5</v>
      </c>
      <c r="C12" s="65" t="s">
        <v>82</v>
      </c>
      <c r="D12" s="66" t="s">
        <v>75</v>
      </c>
      <c r="E12" s="66" t="s">
        <v>83</v>
      </c>
      <c r="F12" s="67" t="s">
        <v>13</v>
      </c>
      <c r="G12" s="68">
        <v>39</v>
      </c>
      <c r="H12" s="67" t="s">
        <v>73</v>
      </c>
      <c r="I12" s="69">
        <f t="shared" si="0"/>
        <v>1</v>
      </c>
      <c r="J12" s="70"/>
    </row>
    <row r="13" spans="2:10" ht="15.75" customHeight="1" x14ac:dyDescent="0.25">
      <c r="B13" s="64">
        <f>IF($C13="","",COUNTA($C$8:$C13))</f>
        <v>6</v>
      </c>
      <c r="C13" s="65" t="s">
        <v>84</v>
      </c>
      <c r="D13" s="66" t="s">
        <v>85</v>
      </c>
      <c r="E13" s="66" t="s">
        <v>83</v>
      </c>
      <c r="F13" s="67" t="s">
        <v>13</v>
      </c>
      <c r="G13" s="68">
        <v>39</v>
      </c>
      <c r="H13" s="67" t="s">
        <v>73</v>
      </c>
      <c r="I13" s="69">
        <f t="shared" si="0"/>
        <v>1</v>
      </c>
      <c r="J13" s="71"/>
    </row>
    <row r="14" spans="2:10" ht="15.75" customHeight="1" x14ac:dyDescent="0.25">
      <c r="B14" s="64">
        <f>IF($C14="","",COUNTA($C$8:$C14))</f>
        <v>7</v>
      </c>
      <c r="C14" s="65" t="s">
        <v>86</v>
      </c>
      <c r="D14" s="66" t="s">
        <v>80</v>
      </c>
      <c r="E14" s="66" t="s">
        <v>83</v>
      </c>
      <c r="F14" s="67" t="s">
        <v>78</v>
      </c>
      <c r="G14" s="68">
        <v>25</v>
      </c>
      <c r="H14" s="67" t="s">
        <v>81</v>
      </c>
      <c r="I14" s="69">
        <f t="shared" si="0"/>
        <v>0.64</v>
      </c>
      <c r="J14" s="70"/>
    </row>
    <row r="15" spans="2:10" ht="15.75" customHeight="1" x14ac:dyDescent="0.25">
      <c r="B15" s="64">
        <f>IF($C15="","",COUNTA($C$8:$C15))</f>
        <v>8</v>
      </c>
      <c r="C15" s="65" t="s">
        <v>87</v>
      </c>
      <c r="D15" s="66" t="s">
        <v>75</v>
      </c>
      <c r="E15" s="66" t="s">
        <v>88</v>
      </c>
      <c r="F15" s="67" t="s">
        <v>13</v>
      </c>
      <c r="G15" s="68">
        <v>39</v>
      </c>
      <c r="H15" s="67" t="s">
        <v>73</v>
      </c>
      <c r="I15" s="69">
        <f t="shared" si="0"/>
        <v>1</v>
      </c>
      <c r="J15" s="71"/>
    </row>
    <row r="16" spans="2:10" ht="15.75" customHeight="1" x14ac:dyDescent="0.25">
      <c r="B16" s="64">
        <f>IF($C16="","",COUNTA($C$8:$C16))</f>
        <v>9</v>
      </c>
      <c r="C16" s="65" t="s">
        <v>89</v>
      </c>
      <c r="D16" s="66" t="s">
        <v>75</v>
      </c>
      <c r="E16" s="66" t="s">
        <v>88</v>
      </c>
      <c r="F16" s="67" t="s">
        <v>78</v>
      </c>
      <c r="G16" s="68">
        <v>30</v>
      </c>
      <c r="H16" s="67" t="s">
        <v>73</v>
      </c>
      <c r="I16" s="69">
        <f t="shared" si="0"/>
        <v>0.77</v>
      </c>
      <c r="J16" s="70"/>
    </row>
    <row r="17" spans="2:10" ht="15.75" customHeight="1" x14ac:dyDescent="0.25">
      <c r="B17" s="64">
        <f>IF($C17="","",COUNTA($C$8:$C17))</f>
        <v>10</v>
      </c>
      <c r="C17" s="65" t="s">
        <v>90</v>
      </c>
      <c r="D17" s="66" t="s">
        <v>91</v>
      </c>
      <c r="E17" s="66" t="s">
        <v>88</v>
      </c>
      <c r="F17" s="67" t="s">
        <v>13</v>
      </c>
      <c r="G17" s="68">
        <v>39</v>
      </c>
      <c r="H17" s="67" t="s">
        <v>92</v>
      </c>
      <c r="I17" s="69">
        <f t="shared" si="0"/>
        <v>1</v>
      </c>
      <c r="J17" s="71"/>
    </row>
    <row r="18" spans="2:10" ht="15.75" customHeight="1" x14ac:dyDescent="0.25">
      <c r="B18" s="64">
        <f>IF($C18="","",COUNTA($C$8:$C18))</f>
        <v>11</v>
      </c>
      <c r="C18" s="65" t="s">
        <v>93</v>
      </c>
      <c r="D18" s="66" t="s">
        <v>94</v>
      </c>
      <c r="E18" s="66" t="s">
        <v>72</v>
      </c>
      <c r="F18" s="67" t="s">
        <v>78</v>
      </c>
      <c r="G18" s="68">
        <v>20</v>
      </c>
      <c r="H18" s="67" t="s">
        <v>73</v>
      </c>
      <c r="I18" s="69">
        <f t="shared" si="0"/>
        <v>0.51</v>
      </c>
      <c r="J18" s="70"/>
    </row>
    <row r="19" spans="2:10" ht="15.75" customHeight="1" x14ac:dyDescent="0.25">
      <c r="B19" s="64" t="str">
        <f>IF($C19="","",COUNTA($C$8:$C19))</f>
        <v/>
      </c>
      <c r="C19" s="72"/>
      <c r="D19" s="72"/>
      <c r="E19" s="72"/>
      <c r="F19" s="72"/>
      <c r="G19" s="73"/>
      <c r="H19" s="72"/>
      <c r="I19" s="69" t="str">
        <f t="shared" si="0"/>
        <v/>
      </c>
      <c r="J19" s="74"/>
    </row>
    <row r="20" spans="2:10" ht="15.75" customHeight="1" x14ac:dyDescent="0.25">
      <c r="B20" s="64" t="str">
        <f>IF($C20="","",COUNTA($C$8:$C20))</f>
        <v/>
      </c>
      <c r="C20" s="72"/>
      <c r="D20" s="72"/>
      <c r="E20" s="72"/>
      <c r="F20" s="72"/>
      <c r="G20" s="73"/>
      <c r="H20" s="72"/>
      <c r="I20" s="69" t="str">
        <f t="shared" si="0"/>
        <v/>
      </c>
      <c r="J20" s="75"/>
    </row>
    <row r="21" spans="2:10" ht="15.75" customHeight="1" x14ac:dyDescent="0.25">
      <c r="B21" s="64" t="str">
        <f>IF($C21="","",COUNTA($C$8:$C21))</f>
        <v/>
      </c>
      <c r="C21" s="72"/>
      <c r="D21" s="72"/>
      <c r="E21" s="72"/>
      <c r="F21" s="72"/>
      <c r="G21" s="73"/>
      <c r="H21" s="72"/>
      <c r="I21" s="69" t="str">
        <f t="shared" si="0"/>
        <v/>
      </c>
      <c r="J21" s="74"/>
    </row>
    <row r="22" spans="2:10" ht="15.75" customHeight="1" x14ac:dyDescent="0.25">
      <c r="B22" s="64" t="str">
        <f>IF($C22="","",COUNTA($C$8:$C22))</f>
        <v/>
      </c>
      <c r="C22" s="72"/>
      <c r="D22" s="72"/>
      <c r="E22" s="72"/>
      <c r="F22" s="72"/>
      <c r="G22" s="73"/>
      <c r="H22" s="72"/>
      <c r="I22" s="69" t="str">
        <f t="shared" si="0"/>
        <v/>
      </c>
      <c r="J22" s="75"/>
    </row>
    <row r="23" spans="2:10" ht="15.75" customHeight="1" x14ac:dyDescent="0.25">
      <c r="B23" s="76" t="str">
        <f>IF($C23="","",COUNTA($C$8:$C23))</f>
        <v/>
      </c>
      <c r="C23" s="77"/>
      <c r="D23" s="77"/>
      <c r="E23" s="77"/>
      <c r="F23" s="77"/>
      <c r="G23" s="78"/>
      <c r="H23" s="77"/>
      <c r="I23" s="79" t="str">
        <f t="shared" si="0"/>
        <v/>
      </c>
      <c r="J23" s="80"/>
    </row>
    <row r="24" spans="2:10" ht="16.5" customHeight="1" x14ac:dyDescent="0.25">
      <c r="B24" s="131" t="s">
        <v>95</v>
      </c>
      <c r="C24" s="131"/>
      <c r="D24" s="131"/>
      <c r="E24" s="131"/>
      <c r="F24" s="131"/>
      <c r="G24" s="81">
        <f>SUM($G$8:$G$23)</f>
        <v>378</v>
      </c>
      <c r="H24" s="82" t="str">
        <f>COUNTA($C$8:$C$23)&amp;" MA"</f>
        <v>11 MA</v>
      </c>
      <c r="I24" s="83">
        <f>SUM($I$8:$I$23)</f>
        <v>9.69</v>
      </c>
      <c r="J24" s="84"/>
    </row>
  </sheetData>
  <autoFilter ref="B7:J23" xr:uid="{00000000-0009-0000-0000-000002000000}"/>
  <mergeCells count="4">
    <mergeCell ref="B2:G4"/>
    <mergeCell ref="H2:J4"/>
    <mergeCell ref="B5:J5"/>
    <mergeCell ref="B24:F24"/>
  </mergeCells>
  <conditionalFormatting sqref="F8:F23">
    <cfRule type="cellIs" dxfId="1" priority="2" operator="equal">
      <formula>"TZ"</formula>
    </cfRule>
    <cfRule type="cellIs" dxfId="0" priority="3" operator="equal">
      <formula>"VZ"</formula>
    </cfRule>
  </conditionalFormatting>
  <conditionalFormatting sqref="I8:I23">
    <cfRule type="dataBar" priority="4">
      <dataBar>
        <cfvo type="num" val="0"/>
        <cfvo type="max"/>
        <color rgb="FF4A9179"/>
      </dataBar>
      <extLst>
        <ext xmlns:x14="http://schemas.microsoft.com/office/spreadsheetml/2009/9/main" uri="{B025F937-C7B1-47D3-B67F-A62EFF666E3E}">
          <x14:id>{A0768FB0-3C53-4FE5-854A-9A93AE8956EC}</x14:id>
        </ext>
      </extLst>
    </cfRule>
  </conditionalFormatting>
  <dataValidations count="3">
    <dataValidation type="list" allowBlank="1" sqref="D8:D23" xr:uid="{00000000-0002-0000-0200-000000000000}">
      <formula1>FunktionListe</formula1>
      <formula2>0</formula2>
    </dataValidation>
    <dataValidation type="list" allowBlank="1" sqref="E8:E23" xr:uid="{00000000-0002-0000-0200-000001000000}">
      <formula1>GruppenListe</formula1>
      <formula2>0</formula2>
    </dataValidation>
    <dataValidation type="list" allowBlank="1" sqref="F8:F23" xr:uid="{00000000-0002-0000-0200-000002000000}">
      <formula1>VertragListe</formula1>
      <formula2>0</formula2>
    </dataValidation>
  </dataValidations>
  <pageMargins left="0.4" right="0.4" top="0.45" bottom="0.4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768FB0-3C53-4FE5-854A-9A93AE8956EC}">
            <x14:dataBar axisPosition="none">
              <x14:cfvo type="num">
                <xm:f>0</xm:f>
              </x14:cfvo>
              <x14:cfvo type="max"/>
              <x14:negativeFillColor rgb="FF4A9179"/>
            </x14:dataBar>
          </x14:cfRule>
          <xm:sqref>I8:I23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61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18" customWidth="1"/>
    <col min="4" max="7" width="9" customWidth="1"/>
    <col min="8" max="8" width="8" customWidth="1"/>
    <col min="9" max="9" width="3" customWidth="1"/>
    <col min="10" max="10" width="20" customWidth="1"/>
    <col min="11" max="11" width="12" customWidth="1"/>
  </cols>
  <sheetData>
    <row r="1" spans="2:11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2:11" ht="15.75" customHeight="1" x14ac:dyDescent="0.25">
      <c r="B2" s="14" t="s">
        <v>96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2:11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2:11" ht="15.75" customHeight="1" x14ac:dyDescent="0.25">
      <c r="B5" s="12" t="s">
        <v>97</v>
      </c>
      <c r="C5" s="12"/>
      <c r="D5" s="12"/>
      <c r="E5" s="12"/>
      <c r="F5" s="12"/>
      <c r="G5" s="12"/>
      <c r="H5" s="12"/>
      <c r="I5" s="12"/>
      <c r="J5" s="12"/>
      <c r="K5" s="12"/>
    </row>
    <row r="7" spans="2:11" ht="19.5" customHeight="1" x14ac:dyDescent="0.25">
      <c r="B7" s="46" t="s">
        <v>28</v>
      </c>
      <c r="C7" s="4" t="s">
        <v>98</v>
      </c>
      <c r="D7" s="4"/>
      <c r="E7" s="4"/>
      <c r="F7" s="4"/>
      <c r="G7" s="4"/>
      <c r="H7" s="4"/>
    </row>
    <row r="8" spans="2:11" ht="24" customHeight="1" x14ac:dyDescent="0.25">
      <c r="B8" s="85" t="s">
        <v>99</v>
      </c>
      <c r="C8" s="86" t="s">
        <v>100</v>
      </c>
      <c r="D8" s="86" t="s">
        <v>101</v>
      </c>
      <c r="E8" s="86" t="s">
        <v>102</v>
      </c>
      <c r="F8" s="86" t="s">
        <v>103</v>
      </c>
      <c r="G8" s="86" t="s">
        <v>104</v>
      </c>
      <c r="H8" s="87" t="s">
        <v>105</v>
      </c>
    </row>
    <row r="9" spans="2:11" ht="15" customHeight="1" x14ac:dyDescent="0.25">
      <c r="B9" s="88" t="s">
        <v>14</v>
      </c>
      <c r="C9" s="89" t="s">
        <v>106</v>
      </c>
      <c r="D9" s="90" t="s">
        <v>107</v>
      </c>
      <c r="E9" s="90" t="s">
        <v>108</v>
      </c>
      <c r="F9" s="91">
        <v>30</v>
      </c>
      <c r="G9" s="92">
        <f>IFERROR((TIMEVALUE($E9)-TIMEVALUE($D9))*24-$F9/60,0)</f>
        <v>7.5</v>
      </c>
      <c r="H9" s="93" t="s">
        <v>109</v>
      </c>
    </row>
    <row r="10" spans="2:11" ht="15" customHeight="1" x14ac:dyDescent="0.25">
      <c r="B10" s="94" t="s">
        <v>15</v>
      </c>
      <c r="C10" s="95" t="s">
        <v>110</v>
      </c>
      <c r="D10" s="90" t="s">
        <v>111</v>
      </c>
      <c r="E10" s="90" t="s">
        <v>112</v>
      </c>
      <c r="F10" s="91">
        <v>30</v>
      </c>
      <c r="G10" s="92">
        <f>IFERROR((TIMEVALUE($E10)-TIMEVALUE($D10))*24-$F10/60,0)</f>
        <v>7.5</v>
      </c>
      <c r="H10" s="96" t="s">
        <v>109</v>
      </c>
    </row>
    <row r="11" spans="2:11" ht="15" customHeight="1" x14ac:dyDescent="0.25">
      <c r="B11" s="88" t="s">
        <v>16</v>
      </c>
      <c r="C11" s="89" t="s">
        <v>113</v>
      </c>
      <c r="D11" s="90" t="s">
        <v>114</v>
      </c>
      <c r="E11" s="90" t="s">
        <v>115</v>
      </c>
      <c r="F11" s="91">
        <v>30</v>
      </c>
      <c r="G11" s="92">
        <f>IFERROR((TIMEVALUE($E11)-TIMEVALUE($D11))*24-$F11/60,0)</f>
        <v>7.5</v>
      </c>
      <c r="H11" s="93" t="s">
        <v>109</v>
      </c>
    </row>
    <row r="12" spans="2:11" ht="15" customHeight="1" x14ac:dyDescent="0.25">
      <c r="B12" s="94" t="s">
        <v>18</v>
      </c>
      <c r="C12" s="95" t="s">
        <v>116</v>
      </c>
      <c r="D12" s="90" t="s">
        <v>117</v>
      </c>
      <c r="E12" s="90" t="s">
        <v>118</v>
      </c>
      <c r="F12" s="91">
        <v>0</v>
      </c>
      <c r="G12" s="92">
        <f>IFERROR((TIMEVALUE($E12)-TIMEVALUE($D12))*24-$F12/60,0)</f>
        <v>4.5000000000000018</v>
      </c>
      <c r="H12" s="96" t="s">
        <v>109</v>
      </c>
    </row>
    <row r="13" spans="2:11" ht="15" customHeight="1" x14ac:dyDescent="0.25">
      <c r="B13" s="88" t="s">
        <v>13</v>
      </c>
      <c r="C13" s="89" t="s">
        <v>119</v>
      </c>
      <c r="D13" s="90" t="s">
        <v>120</v>
      </c>
      <c r="E13" s="90" t="s">
        <v>120</v>
      </c>
      <c r="F13" s="91"/>
      <c r="G13" s="92">
        <v>0</v>
      </c>
      <c r="H13" s="93" t="s">
        <v>121</v>
      </c>
    </row>
    <row r="14" spans="2:11" ht="15" customHeight="1" x14ac:dyDescent="0.25">
      <c r="B14" s="94" t="s">
        <v>21</v>
      </c>
      <c r="C14" s="95" t="s">
        <v>122</v>
      </c>
      <c r="D14" s="90" t="s">
        <v>120</v>
      </c>
      <c r="E14" s="90" t="s">
        <v>120</v>
      </c>
      <c r="F14" s="91"/>
      <c r="G14" s="92">
        <v>0</v>
      </c>
      <c r="H14" s="96" t="s">
        <v>121</v>
      </c>
    </row>
    <row r="15" spans="2:11" ht="15" customHeight="1" x14ac:dyDescent="0.25">
      <c r="B15" s="88" t="s">
        <v>17</v>
      </c>
      <c r="C15" s="89" t="s">
        <v>123</v>
      </c>
      <c r="D15" s="90" t="s">
        <v>120</v>
      </c>
      <c r="E15" s="90" t="s">
        <v>120</v>
      </c>
      <c r="F15" s="91"/>
      <c r="G15" s="92">
        <v>0</v>
      </c>
      <c r="H15" s="93" t="s">
        <v>121</v>
      </c>
    </row>
    <row r="16" spans="2:11" ht="15" customHeight="1" x14ac:dyDescent="0.25">
      <c r="B16" s="94" t="s">
        <v>20</v>
      </c>
      <c r="C16" s="95" t="s">
        <v>124</v>
      </c>
      <c r="D16" s="90" t="s">
        <v>120</v>
      </c>
      <c r="E16" s="90" t="s">
        <v>120</v>
      </c>
      <c r="F16" s="91"/>
      <c r="G16" s="92">
        <v>0</v>
      </c>
      <c r="H16" s="96" t="s">
        <v>121</v>
      </c>
    </row>
    <row r="17" spans="2:8" ht="15" customHeight="1" x14ac:dyDescent="0.25">
      <c r="B17" s="97" t="s">
        <v>19</v>
      </c>
      <c r="C17" s="98" t="s">
        <v>125</v>
      </c>
      <c r="D17" s="99" t="s">
        <v>120</v>
      </c>
      <c r="E17" s="99" t="s">
        <v>120</v>
      </c>
      <c r="F17" s="100"/>
      <c r="G17" s="101">
        <v>0</v>
      </c>
      <c r="H17" s="102" t="s">
        <v>121</v>
      </c>
    </row>
    <row r="19" spans="2:8" ht="19.5" customHeight="1" x14ac:dyDescent="0.25">
      <c r="B19" s="46" t="s">
        <v>38</v>
      </c>
      <c r="C19" s="4" t="s">
        <v>126</v>
      </c>
      <c r="D19" s="4"/>
      <c r="E19" s="4"/>
      <c r="F19" s="4"/>
      <c r="G19" s="4"/>
      <c r="H19" s="4"/>
    </row>
    <row r="20" spans="2:8" ht="15.75" customHeight="1" x14ac:dyDescent="0.25">
      <c r="B20" s="132" t="s">
        <v>127</v>
      </c>
      <c r="C20" s="132"/>
      <c r="D20" s="132"/>
      <c r="E20" s="132"/>
      <c r="F20" s="133" t="s">
        <v>128</v>
      </c>
      <c r="G20" s="133"/>
    </row>
    <row r="21" spans="2:8" ht="15.75" customHeight="1" x14ac:dyDescent="0.25">
      <c r="B21" s="132" t="s">
        <v>129</v>
      </c>
      <c r="C21" s="132"/>
      <c r="D21" s="132"/>
      <c r="E21" s="132"/>
      <c r="F21" s="133" t="s">
        <v>130</v>
      </c>
      <c r="G21" s="133"/>
    </row>
    <row r="22" spans="2:8" ht="15.75" customHeight="1" x14ac:dyDescent="0.25">
      <c r="B22" s="132" t="s">
        <v>131</v>
      </c>
      <c r="C22" s="132"/>
      <c r="D22" s="132"/>
      <c r="E22" s="132"/>
      <c r="F22" s="134">
        <v>46082</v>
      </c>
      <c r="G22" s="134"/>
    </row>
    <row r="23" spans="2:8" ht="15.75" customHeight="1" x14ac:dyDescent="0.25">
      <c r="B23" s="132" t="s">
        <v>132</v>
      </c>
      <c r="C23" s="132"/>
      <c r="D23" s="132"/>
      <c r="E23" s="132"/>
      <c r="F23" s="133" t="s">
        <v>133</v>
      </c>
      <c r="G23" s="133"/>
    </row>
    <row r="24" spans="2:8" ht="15.75" customHeight="1" x14ac:dyDescent="0.25">
      <c r="B24" s="132" t="s">
        <v>134</v>
      </c>
      <c r="C24" s="132"/>
      <c r="D24" s="132"/>
      <c r="E24" s="132"/>
      <c r="F24" s="133" t="s">
        <v>135</v>
      </c>
      <c r="G24" s="133"/>
    </row>
    <row r="25" spans="2:8" ht="15.75" customHeight="1" x14ac:dyDescent="0.25">
      <c r="B25" s="132" t="s">
        <v>136</v>
      </c>
      <c r="C25" s="132"/>
      <c r="D25" s="132"/>
      <c r="E25" s="132"/>
      <c r="F25" s="135">
        <v>58</v>
      </c>
      <c r="G25" s="135"/>
    </row>
    <row r="26" spans="2:8" ht="15.75" customHeight="1" x14ac:dyDescent="0.25">
      <c r="B26" s="132" t="s">
        <v>137</v>
      </c>
      <c r="C26" s="132"/>
      <c r="D26" s="132"/>
      <c r="E26" s="132"/>
      <c r="F26" s="136">
        <v>9</v>
      </c>
      <c r="G26" s="136"/>
    </row>
    <row r="27" spans="2:8" ht="15.75" customHeight="1" x14ac:dyDescent="0.25">
      <c r="B27" s="132" t="s">
        <v>138</v>
      </c>
      <c r="C27" s="132"/>
      <c r="D27" s="132"/>
      <c r="E27" s="132"/>
      <c r="F27" s="137">
        <v>0.25</v>
      </c>
      <c r="G27" s="137"/>
    </row>
    <row r="28" spans="2:8" ht="15.75" customHeight="1" x14ac:dyDescent="0.25">
      <c r="B28" s="132" t="s">
        <v>139</v>
      </c>
      <c r="C28" s="132"/>
      <c r="D28" s="132"/>
      <c r="E28" s="132"/>
      <c r="F28" s="135">
        <v>39</v>
      </c>
      <c r="G28" s="135"/>
    </row>
    <row r="29" spans="2:8" ht="15.75" customHeight="1" x14ac:dyDescent="0.25">
      <c r="B29" s="132" t="s">
        <v>140</v>
      </c>
      <c r="C29" s="132"/>
      <c r="D29" s="132"/>
      <c r="E29" s="132"/>
      <c r="F29" s="135">
        <v>11</v>
      </c>
      <c r="G29" s="135"/>
    </row>
    <row r="30" spans="2:8" ht="15.75" customHeight="1" x14ac:dyDescent="0.25">
      <c r="B30" s="132" t="s">
        <v>141</v>
      </c>
      <c r="C30" s="132"/>
      <c r="D30" s="132"/>
      <c r="E30" s="132"/>
      <c r="F30" s="138">
        <f ca="1">TODAY()</f>
        <v>46231</v>
      </c>
      <c r="G30" s="138"/>
    </row>
    <row r="31" spans="2:8" ht="15.75" customHeight="1" x14ac:dyDescent="0.25">
      <c r="B31" s="139" t="s">
        <v>142</v>
      </c>
      <c r="C31" s="139"/>
      <c r="D31" s="139"/>
      <c r="E31" s="139"/>
      <c r="F31" s="140">
        <f>ROUND(Kinder/Schluessel*(1+Aufschlag),2)</f>
        <v>8.06</v>
      </c>
      <c r="G31" s="140"/>
    </row>
    <row r="32" spans="2:8" ht="15.75" customHeight="1" x14ac:dyDescent="0.25">
      <c r="B32" s="139" t="s">
        <v>143</v>
      </c>
      <c r="C32" s="139"/>
      <c r="D32" s="139"/>
      <c r="E32" s="139"/>
      <c r="F32" s="140">
        <f>SUM(Mitarbeitende!$I$8:$I$23)</f>
        <v>9.69</v>
      </c>
      <c r="G32" s="140"/>
    </row>
    <row r="33" spans="2:8" ht="19.5" customHeight="1" x14ac:dyDescent="0.25">
      <c r="B33" s="46" t="s">
        <v>40</v>
      </c>
      <c r="C33" s="4" t="s">
        <v>144</v>
      </c>
      <c r="D33" s="4"/>
      <c r="E33" s="4"/>
      <c r="F33" s="4"/>
      <c r="G33" s="4"/>
      <c r="H33" s="4"/>
    </row>
    <row r="34" spans="2:8" ht="15" customHeight="1" x14ac:dyDescent="0.25">
      <c r="B34" s="141" t="s">
        <v>145</v>
      </c>
      <c r="C34" s="141"/>
      <c r="D34" s="141"/>
      <c r="E34" s="141" t="s">
        <v>63</v>
      </c>
      <c r="F34" s="141"/>
      <c r="G34" s="141"/>
      <c r="H34" s="82" t="s">
        <v>65</v>
      </c>
    </row>
    <row r="35" spans="2:8" ht="15" customHeight="1" x14ac:dyDescent="0.25">
      <c r="B35" s="142" t="s">
        <v>76</v>
      </c>
      <c r="C35" s="142"/>
      <c r="D35" s="142"/>
      <c r="E35" s="142" t="s">
        <v>71</v>
      </c>
      <c r="F35" s="142"/>
      <c r="G35" s="142"/>
      <c r="H35" s="103" t="s">
        <v>13</v>
      </c>
    </row>
    <row r="36" spans="2:8" ht="15" customHeight="1" x14ac:dyDescent="0.25">
      <c r="B36" s="143" t="s">
        <v>83</v>
      </c>
      <c r="C36" s="143"/>
      <c r="D36" s="143"/>
      <c r="E36" s="143" t="s">
        <v>75</v>
      </c>
      <c r="F36" s="143"/>
      <c r="G36" s="143"/>
      <c r="H36" s="104" t="s">
        <v>78</v>
      </c>
    </row>
    <row r="37" spans="2:8" ht="15" customHeight="1" x14ac:dyDescent="0.25">
      <c r="B37" s="142" t="s">
        <v>88</v>
      </c>
      <c r="C37" s="142"/>
      <c r="D37" s="142"/>
      <c r="E37" s="142" t="s">
        <v>80</v>
      </c>
      <c r="F37" s="142"/>
      <c r="G37" s="142"/>
    </row>
    <row r="38" spans="2:8" ht="15" customHeight="1" x14ac:dyDescent="0.25">
      <c r="B38" s="143" t="s">
        <v>72</v>
      </c>
      <c r="C38" s="143"/>
      <c r="D38" s="143"/>
      <c r="E38" s="143" t="s">
        <v>85</v>
      </c>
      <c r="F38" s="143"/>
      <c r="G38" s="143"/>
    </row>
    <row r="39" spans="2:8" ht="15" customHeight="1" x14ac:dyDescent="0.25">
      <c r="E39" s="142" t="s">
        <v>91</v>
      </c>
      <c r="F39" s="142"/>
      <c r="G39" s="142"/>
    </row>
    <row r="40" spans="2:8" ht="15" customHeight="1" x14ac:dyDescent="0.25">
      <c r="E40" s="143" t="s">
        <v>94</v>
      </c>
      <c r="F40" s="143"/>
      <c r="G40" s="143"/>
    </row>
    <row r="42" spans="2:8" ht="19.5" customHeight="1" x14ac:dyDescent="0.25">
      <c r="B42" s="46" t="s">
        <v>47</v>
      </c>
      <c r="C42" s="4" t="s">
        <v>146</v>
      </c>
      <c r="D42" s="4"/>
      <c r="E42" s="4"/>
      <c r="F42" s="4"/>
      <c r="G42" s="4"/>
      <c r="H42" s="4"/>
    </row>
    <row r="43" spans="2:8" x14ac:dyDescent="0.25">
      <c r="B43" s="105" t="s">
        <v>147</v>
      </c>
      <c r="C43" s="144" t="s">
        <v>148</v>
      </c>
      <c r="D43" s="144"/>
      <c r="E43" s="144"/>
    </row>
    <row r="44" spans="2:8" ht="15" customHeight="1" x14ac:dyDescent="0.25">
      <c r="B44" s="106">
        <v>46083</v>
      </c>
      <c r="C44" s="142" t="s">
        <v>149</v>
      </c>
      <c r="D44" s="142"/>
      <c r="E44" s="142"/>
    </row>
    <row r="45" spans="2:8" ht="15" customHeight="1" x14ac:dyDescent="0.25">
      <c r="B45" s="106">
        <v>46115</v>
      </c>
      <c r="C45" s="143" t="s">
        <v>150</v>
      </c>
      <c r="D45" s="143"/>
      <c r="E45" s="143"/>
    </row>
    <row r="46" spans="2:8" ht="15" customHeight="1" x14ac:dyDescent="0.25">
      <c r="B46" s="106">
        <v>46118</v>
      </c>
      <c r="C46" s="142" t="s">
        <v>151</v>
      </c>
      <c r="D46" s="142"/>
      <c r="E46" s="142"/>
    </row>
    <row r="47" spans="2:8" ht="15" customHeight="1" x14ac:dyDescent="0.25">
      <c r="B47" s="106">
        <v>46143</v>
      </c>
      <c r="C47" s="143" t="s">
        <v>152</v>
      </c>
      <c r="D47" s="143"/>
      <c r="E47" s="143"/>
    </row>
    <row r="48" spans="2:8" ht="15" customHeight="1" x14ac:dyDescent="0.25">
      <c r="B48" s="106">
        <v>46156</v>
      </c>
      <c r="C48" s="142" t="s">
        <v>153</v>
      </c>
      <c r="D48" s="142"/>
      <c r="E48" s="142"/>
    </row>
    <row r="49" spans="2:8" ht="15" customHeight="1" x14ac:dyDescent="0.25">
      <c r="B49" s="106">
        <v>46167</v>
      </c>
      <c r="C49" s="143" t="s">
        <v>154</v>
      </c>
      <c r="D49" s="143"/>
      <c r="E49" s="143"/>
    </row>
    <row r="51" spans="2:8" ht="19.5" customHeight="1" x14ac:dyDescent="0.25">
      <c r="B51" s="46" t="s">
        <v>155</v>
      </c>
      <c r="C51" s="4" t="s">
        <v>156</v>
      </c>
      <c r="D51" s="4"/>
      <c r="E51" s="4"/>
      <c r="F51" s="4"/>
      <c r="G51" s="4"/>
      <c r="H51" s="4"/>
    </row>
    <row r="52" spans="2:8" ht="15.75" customHeight="1" x14ac:dyDescent="0.25">
      <c r="B52" s="145" t="s">
        <v>157</v>
      </c>
      <c r="C52" s="145"/>
      <c r="D52" s="145"/>
      <c r="E52" s="145"/>
      <c r="F52" s="145"/>
      <c r="G52" s="145"/>
      <c r="H52" s="145"/>
    </row>
    <row r="53" spans="2:8" ht="15.75" customHeight="1" x14ac:dyDescent="0.25">
      <c r="B53" s="146" t="s">
        <v>158</v>
      </c>
      <c r="C53" s="146"/>
      <c r="D53" s="146"/>
      <c r="E53" s="146"/>
      <c r="F53" s="146"/>
      <c r="G53" s="146"/>
      <c r="H53" s="146"/>
    </row>
    <row r="54" spans="2:8" ht="15.75" customHeight="1" x14ac:dyDescent="0.25">
      <c r="B54" s="147" t="s">
        <v>159</v>
      </c>
      <c r="C54" s="147"/>
      <c r="D54" s="147"/>
      <c r="E54" s="147"/>
      <c r="F54" s="147"/>
      <c r="G54" s="147"/>
      <c r="H54" s="147"/>
    </row>
    <row r="55" spans="2:8" ht="15.75" customHeight="1" x14ac:dyDescent="0.25">
      <c r="B55" s="148" t="s">
        <v>160</v>
      </c>
      <c r="C55" s="148"/>
      <c r="D55" s="148"/>
      <c r="E55" s="148"/>
      <c r="F55" s="148"/>
      <c r="G55" s="148"/>
      <c r="H55" s="148"/>
    </row>
    <row r="56" spans="2:8" ht="25.5" customHeight="1" x14ac:dyDescent="0.25">
      <c r="B56" s="149" t="s">
        <v>161</v>
      </c>
      <c r="C56" s="149"/>
      <c r="D56" s="149"/>
      <c r="E56" s="149"/>
      <c r="F56" s="149"/>
      <c r="G56" s="149"/>
      <c r="H56" s="149"/>
    </row>
    <row r="57" spans="2:8" ht="25.5" customHeight="1" x14ac:dyDescent="0.25">
      <c r="B57" s="149" t="s">
        <v>162</v>
      </c>
      <c r="C57" s="149"/>
      <c r="D57" s="149"/>
      <c r="E57" s="149"/>
      <c r="F57" s="149"/>
      <c r="G57" s="149"/>
      <c r="H57" s="149"/>
    </row>
    <row r="58" spans="2:8" ht="25.5" customHeight="1" x14ac:dyDescent="0.25">
      <c r="B58" s="149" t="s">
        <v>163</v>
      </c>
      <c r="C58" s="149"/>
      <c r="D58" s="149"/>
      <c r="E58" s="149"/>
      <c r="F58" s="149"/>
      <c r="G58" s="149"/>
      <c r="H58" s="149"/>
    </row>
    <row r="59" spans="2:8" ht="25.5" customHeight="1" x14ac:dyDescent="0.25">
      <c r="B59" s="149" t="s">
        <v>164</v>
      </c>
      <c r="C59" s="149"/>
      <c r="D59" s="149"/>
      <c r="E59" s="149"/>
      <c r="F59" s="149"/>
      <c r="G59" s="149"/>
      <c r="H59" s="149"/>
    </row>
    <row r="61" spans="2:8" ht="27.75" customHeight="1" x14ac:dyDescent="0.25">
      <c r="B61" s="150" t="s">
        <v>165</v>
      </c>
      <c r="C61" s="150"/>
      <c r="D61" s="150"/>
      <c r="E61" s="150"/>
      <c r="F61" s="150"/>
      <c r="G61" s="150"/>
      <c r="H61" s="150"/>
    </row>
  </sheetData>
  <mergeCells count="61">
    <mergeCell ref="B56:H56"/>
    <mergeCell ref="B57:H57"/>
    <mergeCell ref="B58:H58"/>
    <mergeCell ref="B59:H59"/>
    <mergeCell ref="B61:H61"/>
    <mergeCell ref="C51:H51"/>
    <mergeCell ref="B52:H52"/>
    <mergeCell ref="B53:H53"/>
    <mergeCell ref="B54:H54"/>
    <mergeCell ref="B55:H55"/>
    <mergeCell ref="C45:E45"/>
    <mergeCell ref="C46:E46"/>
    <mergeCell ref="C47:E47"/>
    <mergeCell ref="C48:E48"/>
    <mergeCell ref="C49:E49"/>
    <mergeCell ref="E39:G39"/>
    <mergeCell ref="E40:G40"/>
    <mergeCell ref="C42:H42"/>
    <mergeCell ref="C43:E43"/>
    <mergeCell ref="C44:E44"/>
    <mergeCell ref="B36:D36"/>
    <mergeCell ref="E36:G36"/>
    <mergeCell ref="B37:D37"/>
    <mergeCell ref="E37:G37"/>
    <mergeCell ref="B38:D38"/>
    <mergeCell ref="E38:G38"/>
    <mergeCell ref="C33:H33"/>
    <mergeCell ref="B34:D34"/>
    <mergeCell ref="E34:G34"/>
    <mergeCell ref="B35:D35"/>
    <mergeCell ref="E35:G35"/>
    <mergeCell ref="B30:E30"/>
    <mergeCell ref="F30:G30"/>
    <mergeCell ref="B31:E31"/>
    <mergeCell ref="F31:G31"/>
    <mergeCell ref="B32:E32"/>
    <mergeCell ref="F32:G32"/>
    <mergeCell ref="B27:E27"/>
    <mergeCell ref="F27:G27"/>
    <mergeCell ref="B28:E28"/>
    <mergeCell ref="F28:G28"/>
    <mergeCell ref="B29:E29"/>
    <mergeCell ref="F29:G29"/>
    <mergeCell ref="B24:E24"/>
    <mergeCell ref="F24:G24"/>
    <mergeCell ref="B25:E25"/>
    <mergeCell ref="F25:G25"/>
    <mergeCell ref="B26:E26"/>
    <mergeCell ref="F26:G26"/>
    <mergeCell ref="B21:E21"/>
    <mergeCell ref="F21:G21"/>
    <mergeCell ref="B22:E22"/>
    <mergeCell ref="F22:G22"/>
    <mergeCell ref="B23:E23"/>
    <mergeCell ref="F23:G23"/>
    <mergeCell ref="B2:K4"/>
    <mergeCell ref="B5:K5"/>
    <mergeCell ref="C7:H7"/>
    <mergeCell ref="C19:H19"/>
    <mergeCell ref="B20:E20"/>
    <mergeCell ref="F20:G20"/>
  </mergeCells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23</vt:i4>
      </vt:variant>
    </vt:vector>
  </HeadingPairs>
  <TitlesOfParts>
    <vt:vector size="27" baseType="lpstr">
      <vt:lpstr>Dienstplan</vt:lpstr>
      <vt:lpstr>Auswertung</vt:lpstr>
      <vt:lpstr>Mitarbeitende</vt:lpstr>
      <vt:lpstr>Schichten</vt:lpstr>
      <vt:lpstr>AmKindTab</vt:lpstr>
      <vt:lpstr>Aufschlag</vt:lpstr>
      <vt:lpstr>CodeListe</vt:lpstr>
      <vt:lpstr>CodesTab</vt:lpstr>
      <vt:lpstr>Dienstplan!Drucktitel</vt:lpstr>
      <vt:lpstr>Mitarbeitende!Drucktitel</vt:lpstr>
      <vt:lpstr>Einrichtung</vt:lpstr>
      <vt:lpstr>Feiertage</vt:lpstr>
      <vt:lpstr>FunktionListe</vt:lpstr>
      <vt:lpstr>GruppenListe</vt:lpstr>
      <vt:lpstr>Kinder</vt:lpstr>
      <vt:lpstr>Oeffnung_bis</vt:lpstr>
      <vt:lpstr>Oeffnung_von</vt:lpstr>
      <vt:lpstr>Planmonat</vt:lpstr>
      <vt:lpstr>Ruhezeit</vt:lpstr>
      <vt:lpstr>Schluessel</vt:lpstr>
      <vt:lpstr>StdTab</vt:lpstr>
      <vt:lpstr>Stichtag</vt:lpstr>
      <vt:lpstr>Traeger</vt:lpstr>
      <vt:lpstr>VertragListe</vt:lpstr>
      <vt:lpstr>VZAE_Ist</vt:lpstr>
      <vt:lpstr>VZAE_Soll</vt:lpstr>
      <vt:lpstr>VZAE_Std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2026-07-28T13:32:00Z</dcterms:created>
  <dcterms:modified xsi:type="dcterms:W3CDTF">2026-07-28T14:41:28Z</dcterms:modified>
  <dc:language>en-US</dc:language>
</cp:coreProperties>
</file>