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736D0448-2532-410A-B438-75B2FF0309A4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Bestellliste" sheetId="1" r:id="rId1"/>
    <sheet name="Auswertung" sheetId="2" r:id="rId2"/>
    <sheet name="Anleitung" sheetId="3" r:id="rId3"/>
  </sheets>
  <definedNames>
    <definedName name="_xlnm.Print_Area" localSheetId="0">Bestellliste!$A$1:$S$55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2" l="1"/>
  <c r="F21" i="2"/>
  <c r="F20" i="2"/>
  <c r="F19" i="2"/>
  <c r="F18" i="2"/>
  <c r="B15" i="2"/>
  <c r="F14" i="2"/>
  <c r="B14" i="2"/>
  <c r="F13" i="2"/>
  <c r="B13" i="2"/>
  <c r="F12" i="2"/>
  <c r="B12" i="2"/>
  <c r="F11" i="2"/>
  <c r="B11" i="2"/>
  <c r="F10" i="2"/>
  <c r="B10" i="2"/>
  <c r="G5" i="2"/>
  <c r="N55" i="1"/>
  <c r="M53" i="1"/>
  <c r="O53" i="1" s="1"/>
  <c r="L53" i="1"/>
  <c r="O52" i="1"/>
  <c r="M52" i="1"/>
  <c r="L52" i="1"/>
  <c r="O51" i="1"/>
  <c r="M51" i="1"/>
  <c r="L51" i="1"/>
  <c r="M50" i="1"/>
  <c r="O50" i="1" s="1"/>
  <c r="L50" i="1"/>
  <c r="M49" i="1"/>
  <c r="O49" i="1" s="1"/>
  <c r="L49" i="1"/>
  <c r="M48" i="1"/>
  <c r="O48" i="1" s="1"/>
  <c r="L48" i="1"/>
  <c r="M47" i="1"/>
  <c r="O47" i="1" s="1"/>
  <c r="L47" i="1"/>
  <c r="M46" i="1"/>
  <c r="O46" i="1" s="1"/>
  <c r="L46" i="1"/>
  <c r="M45" i="1"/>
  <c r="O45" i="1" s="1"/>
  <c r="L45" i="1"/>
  <c r="M44" i="1"/>
  <c r="O44" i="1" s="1"/>
  <c r="L44" i="1"/>
  <c r="M43" i="1"/>
  <c r="O43" i="1" s="1"/>
  <c r="L43" i="1"/>
  <c r="M42" i="1"/>
  <c r="O42" i="1" s="1"/>
  <c r="L42" i="1"/>
  <c r="O41" i="1"/>
  <c r="M41" i="1"/>
  <c r="L41" i="1"/>
  <c r="M40" i="1"/>
  <c r="O40" i="1" s="1"/>
  <c r="L40" i="1"/>
  <c r="M39" i="1"/>
  <c r="O39" i="1" s="1"/>
  <c r="L39" i="1"/>
  <c r="M38" i="1"/>
  <c r="O38" i="1" s="1"/>
  <c r="L38" i="1"/>
  <c r="M37" i="1"/>
  <c r="O37" i="1" s="1"/>
  <c r="L37" i="1"/>
  <c r="O36" i="1"/>
  <c r="M36" i="1"/>
  <c r="L36" i="1"/>
  <c r="O35" i="1"/>
  <c r="M35" i="1"/>
  <c r="L35" i="1"/>
  <c r="M34" i="1"/>
  <c r="O34" i="1" s="1"/>
  <c r="L34" i="1"/>
  <c r="L33" i="1"/>
  <c r="M33" i="1" s="1"/>
  <c r="O33" i="1" s="1"/>
  <c r="L32" i="1"/>
  <c r="M32" i="1" s="1"/>
  <c r="O32" i="1" s="1"/>
  <c r="L31" i="1"/>
  <c r="M31" i="1" s="1"/>
  <c r="O31" i="1" s="1"/>
  <c r="L30" i="1"/>
  <c r="M30" i="1" s="1"/>
  <c r="O30" i="1" s="1"/>
  <c r="L29" i="1"/>
  <c r="M29" i="1" s="1"/>
  <c r="M28" i="1"/>
  <c r="O28" i="1" s="1"/>
  <c r="C15" i="2" s="1"/>
  <c r="L28" i="1"/>
  <c r="L27" i="1"/>
  <c r="M27" i="1" s="1"/>
  <c r="O27" i="1" s="1"/>
  <c r="L26" i="1"/>
  <c r="M26" i="1" s="1"/>
  <c r="O26" i="1" s="1"/>
  <c r="L25" i="1"/>
  <c r="M25" i="1" s="1"/>
  <c r="O25" i="1" s="1"/>
  <c r="L24" i="1"/>
  <c r="M24" i="1" s="1"/>
  <c r="M23" i="1"/>
  <c r="O23" i="1" s="1"/>
  <c r="L23" i="1"/>
  <c r="M22" i="1"/>
  <c r="O22" i="1" s="1"/>
  <c r="L22" i="1"/>
  <c r="L21" i="1"/>
  <c r="M21" i="1" s="1"/>
  <c r="O21" i="1" s="1"/>
  <c r="C10" i="2" s="1"/>
  <c r="L20" i="1"/>
  <c r="M20" i="1" s="1"/>
  <c r="M19" i="1"/>
  <c r="O19" i="1" s="1"/>
  <c r="L19" i="1"/>
  <c r="M18" i="1"/>
  <c r="G12" i="2" s="1"/>
  <c r="L18" i="1"/>
  <c r="L17" i="1"/>
  <c r="M17" i="1" s="1"/>
  <c r="O17" i="1" s="1"/>
  <c r="O16" i="1"/>
  <c r="H19" i="2" s="1"/>
  <c r="M16" i="1"/>
  <c r="G19" i="2" s="1"/>
  <c r="L16" i="1"/>
  <c r="L15" i="1"/>
  <c r="M15" i="1" s="1"/>
  <c r="O15" i="1" s="1"/>
  <c r="L14" i="1"/>
  <c r="M14" i="1" s="1"/>
  <c r="O24" i="1" l="1"/>
  <c r="G22" i="2"/>
  <c r="G14" i="2"/>
  <c r="O14" i="1"/>
  <c r="M54" i="1"/>
  <c r="D5" i="2" s="1"/>
  <c r="G18" i="2"/>
  <c r="G10" i="2"/>
  <c r="G13" i="2"/>
  <c r="G21" i="2"/>
  <c r="O20" i="1"/>
  <c r="C13" i="2"/>
  <c r="H55" i="1"/>
  <c r="J5" i="2"/>
  <c r="B55" i="1"/>
  <c r="C11" i="2"/>
  <c r="O29" i="1"/>
  <c r="G20" i="2"/>
  <c r="C14" i="2"/>
  <c r="K55" i="1"/>
  <c r="O18" i="1"/>
  <c r="H11" i="2"/>
  <c r="G11" i="2"/>
  <c r="H20" i="2" l="1"/>
  <c r="H12" i="2"/>
  <c r="E55" i="1"/>
  <c r="C12" i="2"/>
  <c r="E7" i="1"/>
  <c r="O54" i="1"/>
  <c r="A5" i="2" s="1"/>
  <c r="H18" i="2"/>
  <c r="H10" i="2"/>
  <c r="H13" i="2"/>
  <c r="H21" i="2"/>
  <c r="H22" i="2"/>
  <c r="H14" i="2"/>
</calcChain>
</file>

<file path=xl/sharedStrings.xml><?xml version="1.0" encoding="utf-8"?>
<sst xmlns="http://schemas.openxmlformats.org/spreadsheetml/2006/main" count="278" uniqueCount="174">
  <si>
    <t>BESTELLLISTE  |  Einkaufs- &amp; Bestellverwaltung</t>
  </si>
  <si>
    <t>Vorlage zur strukturierten Erfassung und Kontrolle aller Bestellvorgänge  ·  Geschäftsjahr 2026</t>
  </si>
  <si>
    <t>Stand: 04.08.2026</t>
  </si>
  <si>
    <t>Auftraggeber / Abteilung:</t>
  </si>
  <si>
    <t>Einkauf / Verwaltung</t>
  </si>
  <si>
    <t>KST-2026-04</t>
  </si>
  <si>
    <t>Lieferadresse:</t>
  </si>
  <si>
    <t>Musterstraße 12, 10115 Berlin</t>
  </si>
  <si>
    <t>Ansprechpartner:</t>
  </si>
  <si>
    <t>M. Richter</t>
  </si>
  <si>
    <t>PRJ-2026-001</t>
  </si>
  <si>
    <t>2. OG, Raum 204</t>
  </si>
  <si>
    <t>Bestelldatum:</t>
  </si>
  <si>
    <t>15.07.2026</t>
  </si>
  <si>
    <t>T. Keller</t>
  </si>
  <si>
    <t>Zahlungsart:</t>
  </si>
  <si>
    <t>Überweisung 30 Tage netto</t>
  </si>
  <si>
    <t>Lieferwunschdatum:</t>
  </si>
  <si>
    <t>28.07.2026</t>
  </si>
  <si>
    <t>Währung:</t>
  </si>
  <si>
    <t>EUR (€)</t>
  </si>
  <si>
    <t>▶  ARTIKELLISTE</t>
  </si>
  <si>
    <t>● Legende Bestellstatus:</t>
  </si>
  <si>
    <t>■ Entwurf</t>
  </si>
  <si>
    <t>■ Bestellt</t>
  </si>
  <si>
    <t>■ Geliefert</t>
  </si>
  <si>
    <t>■ In Prüfung</t>
  </si>
  <si>
    <t>■ Storniert</t>
  </si>
  <si>
    <t>■ Teillieferung</t>
  </si>
  <si>
    <t>● Priorität:</t>
  </si>
  <si>
    <t>🔴 Dringend</t>
  </si>
  <si>
    <t>🟡 Normal</t>
  </si>
  <si>
    <t>🟢 Niedrig</t>
  </si>
  <si>
    <t>#</t>
  </si>
  <si>
    <t>Art.-Nr.</t>
  </si>
  <si>
    <t>Bezeichnung</t>
  </si>
  <si>
    <t>Kategorie</t>
  </si>
  <si>
    <t>Lieferant</t>
  </si>
  <si>
    <t>Einheit</t>
  </si>
  <si>
    <t>Menge
Bestellt</t>
  </si>
  <si>
    <t>Menge
Erhalten</t>
  </si>
  <si>
    <t>Einzelpreis
(€)</t>
  </si>
  <si>
    <t>Rabatt
(%)</t>
  </si>
  <si>
    <t>Netto-EP
(€)</t>
  </si>
  <si>
    <t>Netto-
Gesamt (€)</t>
  </si>
  <si>
    <t>MwSt.
(%)</t>
  </si>
  <si>
    <t>Brutto-
Gesamt (€)</t>
  </si>
  <si>
    <t>Bestellstatus</t>
  </si>
  <si>
    <t>Priorität</t>
  </si>
  <si>
    <t>Lieferdatum</t>
  </si>
  <si>
    <t>Anmerkungen</t>
  </si>
  <si>
    <t>BM-1001</t>
  </si>
  <si>
    <t>Kopierpapier A4 (500 Blatt)</t>
  </si>
  <si>
    <t>Büromaterial</t>
  </si>
  <si>
    <t>Schreiber &amp; Co. KG</t>
  </si>
  <si>
    <t>Karton</t>
  </si>
  <si>
    <t>Geliefert</t>
  </si>
  <si>
    <t>10.07.2026</t>
  </si>
  <si>
    <t>BM-1042</t>
  </si>
  <si>
    <t>Kugelschreiber blau (Schachtel 50 St)</t>
  </si>
  <si>
    <t>Stk.</t>
  </si>
  <si>
    <t>IT-2015</t>
  </si>
  <si>
    <t>USB-C Ladekabel 2m</t>
  </si>
  <si>
    <t>IT &amp; Technik</t>
  </si>
  <si>
    <t>TechDirect GmbH</t>
  </si>
  <si>
    <t>Teillieferung</t>
  </si>
  <si>
    <t>14.07.2026</t>
  </si>
  <si>
    <t>Restlieferung ausstehend</t>
  </si>
  <si>
    <t>IT-2088</t>
  </si>
  <si>
    <t>Wireless Maus ergonomisch</t>
  </si>
  <si>
    <t>Bestellt</t>
  </si>
  <si>
    <t>22.07.2026</t>
  </si>
  <si>
    <t>RE-3005</t>
  </si>
  <si>
    <t>Reinigungstücher Bildschirm (100er)</t>
  </si>
  <si>
    <t>Reinigung</t>
  </si>
  <si>
    <t>CleanPro Vertriebs GmbH</t>
  </si>
  <si>
    <t>Pck.</t>
  </si>
  <si>
    <t>08.07.2026</t>
  </si>
  <si>
    <t>IT-2101</t>
  </si>
  <si>
    <t>Externe SSD 1 TB</t>
  </si>
  <si>
    <t>20.07.2026</t>
  </si>
  <si>
    <t>Für Projektarchiv benötigt</t>
  </si>
  <si>
    <t>KA-4002</t>
  </si>
  <si>
    <t>Filterkaffee 500g gemahlen</t>
  </si>
  <si>
    <t>Küche &amp; Verpfl.</t>
  </si>
  <si>
    <t>Genuss Großhandel oHG</t>
  </si>
  <si>
    <t>09.07.2026</t>
  </si>
  <si>
    <t>BM-1078</t>
  </si>
  <si>
    <t>Ordner A4 breit (10er-Set)</t>
  </si>
  <si>
    <t>Set</t>
  </si>
  <si>
    <t>Entwurf</t>
  </si>
  <si>
    <t>30.07.2026</t>
  </si>
  <si>
    <t>Genehmigung ausstehend</t>
  </si>
  <si>
    <t>SB-5003</t>
  </si>
  <si>
    <t>Hygienespender Wandmontage</t>
  </si>
  <si>
    <t>05.07.2026</t>
  </si>
  <si>
    <t>IT-2200</t>
  </si>
  <si>
    <t>Monitor 27" Full HD</t>
  </si>
  <si>
    <t>In Prüfung</t>
  </si>
  <si>
    <t>25.07.2026</t>
  </si>
  <si>
    <t>Angebot wird verglichen</t>
  </si>
  <si>
    <t>VE-6001</t>
  </si>
  <si>
    <t>Verpackungsfolie transparent 500m</t>
  </si>
  <si>
    <t>Versand &amp; Lager</t>
  </si>
  <si>
    <t>LogiSupply AG</t>
  </si>
  <si>
    <t>Rolle</t>
  </si>
  <si>
    <t>07.07.2026</t>
  </si>
  <si>
    <t>KA-4015</t>
  </si>
  <si>
    <t>Mineralwasser 0,5L (Palette 24 Fl.)</t>
  </si>
  <si>
    <t>Palette</t>
  </si>
  <si>
    <t>06.07.2026</t>
  </si>
  <si>
    <t>BM-1099</t>
  </si>
  <si>
    <t>Locher elektrisch</t>
  </si>
  <si>
    <t>VE-6022</t>
  </si>
  <si>
    <t>Kartonagen mittel (25er Bündel)</t>
  </si>
  <si>
    <t>Bündel</t>
  </si>
  <si>
    <t>IT-2305</t>
  </si>
  <si>
    <t>Headset USB mit Mikrofon</t>
  </si>
  <si>
    <t>18.07.2026</t>
  </si>
  <si>
    <t>2 Stk. Restbestellung</t>
  </si>
  <si>
    <t>SB-5010</t>
  </si>
  <si>
    <t>Handseife Nachfüllpack 1L</t>
  </si>
  <si>
    <t>BM-1120</t>
  </si>
  <si>
    <t>Haftnotizen 75x75mm (12er-Pack)</t>
  </si>
  <si>
    <t>Pack</t>
  </si>
  <si>
    <t>Storniert</t>
  </si>
  <si>
    <t>Alternativprodukt bestellt</t>
  </si>
  <si>
    <t>VE-6030</t>
  </si>
  <si>
    <t>Versandtaschen B4 (250 St.)</t>
  </si>
  <si>
    <t>KA-4020</t>
  </si>
  <si>
    <t>Teeauswahl gemischt 100 Btl.</t>
  </si>
  <si>
    <t>29.07.2026</t>
  </si>
  <si>
    <t>IT-2410</t>
  </si>
  <si>
    <t>Druckerpatrone Schwarz (3er-Pack)</t>
  </si>
  <si>
    <t>GESAMTÜBERSICHT</t>
  </si>
  <si>
    <t>Netto-Summe</t>
  </si>
  <si>
    <t>MwSt.</t>
  </si>
  <si>
    <t>BRUTTO GESAMT</t>
  </si>
  <si>
    <t>Bestellt:</t>
  </si>
  <si>
    <t>Geliefert:</t>
  </si>
  <si>
    <t>In Prüfung:</t>
  </si>
  <si>
    <t>Storniert:</t>
  </si>
  <si>
    <t>Anz. Pos. (gesamt):</t>
  </si>
  <si>
    <t>AUSWERTUNG &amp; ÜBERSICHT  |  Bestellliste 2026</t>
  </si>
  <si>
    <t>Automatische Kennzahlen auf Basis der Bestellliste</t>
  </si>
  <si>
    <t>NETTO GESAMT</t>
  </si>
  <si>
    <t>ANZAHL POSITIONEN</t>
  </si>
  <si>
    <t>OFFENE BESTELLWERT</t>
  </si>
  <si>
    <t>STATUS-ÜBERSICHT</t>
  </si>
  <si>
    <t>KATEGORIE-AUSWERTUNG</t>
  </si>
  <si>
    <t>Status</t>
  </si>
  <si>
    <t>Anzahl</t>
  </si>
  <si>
    <t>Brutto-Wert (€)</t>
  </si>
  <si>
    <t>Anz. Pos.</t>
  </si>
  <si>
    <t>Netto (€)</t>
  </si>
  <si>
    <t>Brutto (€)</t>
  </si>
  <si>
    <t>LIEFERANTEN-ÜBERSICHT</t>
  </si>
  <si>
    <t>ANLEITUNG  |  So nutzen Sie diese Vorlage</t>
  </si>
  <si>
    <t>SCHRITT 1 – Kopfbereich ausfüllen</t>
  </si>
  <si>
    <t>Tragen Sie Abteilung, Ansprechpartner, Kostenstelle, Projekt und Lieferadresse in Zeile 4–7 der Bestellliste ein.</t>
  </si>
  <si>
    <t>SCHRITT 2 – Artikel erfassen</t>
  </si>
  <si>
    <t>Füllen Sie die Spalten B–J für jeden Artikel aus: Art.-Nr., Bezeichnung, Kategorie, Lieferant, Einheit, Menge, Einzelpreis und ggf. Rabatt. Die Spalten L, M und O werden automatisch berechnet.</t>
  </si>
  <si>
    <t>SCHRITT 3 – Status setzen</t>
  </si>
  <si>
    <t>Wählen Sie in Spalte P den aktuellen Bestellstatus aus dem Dropdown-Menü: Entwurf, Bestellt, Geliefert, In Prüfung, Storniert oder Teillieferung.</t>
  </si>
  <si>
    <t>SCHRITT 4 – Priorität &amp; Lieferdatum</t>
  </si>
  <si>
    <t>Vergeben Sie in Spalte Q die Priorität (🔴 Dringend / 🟡 Normal / 🟢 Niedrig) und tragen Sie das erwartete Lieferdatum in Spalte R ein (Format: TT.MM.JJJJ).</t>
  </si>
  <si>
    <t>SCHRITT 5 – Auswertung prüfen</t>
  </si>
  <si>
    <t>Wechseln Sie zur Registerkarte 'Auswertung': Dort sehen Sie automatisch berechnete KPIs, die Status- und Kategorieübersicht sowie die Lieferantenanalyse.</t>
  </si>
  <si>
    <t>HINWEISE ZU FORMELN</t>
  </si>
  <si>
    <t>Bitte Spalten L, M, N und O NICHT manuell überschreiben – diese enthalten Formeln. Neue Zeilen: Kopieren Sie eine bestehende Zeile und überschreiben Sie die Inhalte, damit Formate und Formeln übernommen werden.</t>
  </si>
  <si>
    <t>MwSt.-SATZ ANPASSEN</t>
  </si>
  <si>
    <t>Standard-MwSt. ist 19 % (Spalte N). Für reduzierte Artikel (7 %) wählen Sie per Dropdown '0.07'. Für steuerfreie Leistungen wählen Sie '0.0'.</t>
  </si>
  <si>
    <t>VORLAGE ANPASSEN</t>
  </si>
  <si>
    <t>Passen Sie Firmennamen, Abteilungsbezeichnungen und Kategorienamen nach Bedarf an. Für mehr Zeilen kopieren Sie die letzte Zeile des Bereichs nach unten und aktualisieren Sie die SUMME-Formeln in Zeile 54 entsprechend.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</si>
</sst>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.0%"/>
  </numFmts>
  <fonts count="35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"/>
      <color rgb="FFFFFFFF"/>
      <name val="Calibri"/>
      <charset val="1"/>
    </font>
    <font>
      <b/>
      <sz val="9"/>
      <color rgb="FF1B2A4A"/>
      <name val="Calibri"/>
      <charset val="1"/>
    </font>
    <font>
      <sz val="10"/>
      <color rgb="FF000000"/>
      <name val="Calibri"/>
      <charset val="1"/>
    </font>
    <font>
      <b/>
      <sz val="11"/>
      <color rgb="FFFFFFFF"/>
      <name val="Calibri"/>
      <charset val="1"/>
    </font>
    <font>
      <sz val="9"/>
      <color rgb="FF808080"/>
      <name val="Calibri"/>
      <charset val="1"/>
    </font>
    <font>
      <sz val="9"/>
      <color rgb="FF007A87"/>
      <name val="Calibri"/>
      <charset val="1"/>
    </font>
    <font>
      <sz val="9"/>
      <color rgb="FF1E8449"/>
      <name val="Calibri"/>
      <charset val="1"/>
    </font>
    <font>
      <sz val="9"/>
      <color rgb="FFD35400"/>
      <name val="Calibri"/>
      <charset val="1"/>
    </font>
    <font>
      <sz val="9"/>
      <color rgb="FFC0392B"/>
      <name val="Calibri"/>
      <charset val="1"/>
    </font>
    <font>
      <sz val="9"/>
      <color rgb="FF7D3C98"/>
      <name val="Calibri"/>
      <charset val="1"/>
    </font>
    <font>
      <sz val="9"/>
      <color rgb="FF1B2A4A"/>
      <name val="Calibri"/>
      <charset val="1"/>
    </font>
    <font>
      <b/>
      <sz val="9"/>
      <color rgb="FFFFFFFF"/>
      <name val="Calibri"/>
      <charset val="1"/>
    </font>
    <font>
      <sz val="9"/>
      <color rgb="FF000000"/>
      <name val="Calibri"/>
      <charset val="1"/>
    </font>
    <font>
      <b/>
      <sz val="9"/>
      <color rgb="FF000000"/>
      <name val="Calibri"/>
      <charset val="1"/>
    </font>
    <font>
      <sz val="9"/>
      <color rgb="FF555555"/>
      <name val="Calibri"/>
      <charset val="1"/>
    </font>
    <font>
      <b/>
      <sz val="10"/>
      <color rgb="FF1B2A4A"/>
      <name val="Calibri"/>
      <charset val="1"/>
    </font>
    <font>
      <b/>
      <sz val="8"/>
      <color rgb="FFFFFFFF"/>
      <name val="Calibri"/>
      <charset val="1"/>
    </font>
    <font>
      <sz val="9"/>
      <color rgb="FF444444"/>
      <name val="Calibri"/>
      <charset val="1"/>
    </font>
    <font>
      <i/>
      <sz val="9"/>
      <color rgb="FF444444"/>
      <name val="Calibri"/>
      <charset val="1"/>
    </font>
    <font>
      <b/>
      <sz val="11"/>
      <color rgb="FF007A87"/>
      <name val="Calibri"/>
      <charset val="1"/>
    </font>
    <font>
      <b/>
      <sz val="12"/>
      <color rgb="FF1B2A4A"/>
      <name val="Calibri"/>
      <charset val="1"/>
    </font>
    <font>
      <b/>
      <sz val="9"/>
      <color rgb="FF007A87"/>
      <name val="Calibri"/>
      <charset val="1"/>
    </font>
    <font>
      <b/>
      <sz val="9"/>
      <color rgb="FF1E8449"/>
      <name val="Calibri"/>
      <charset val="1"/>
    </font>
    <font>
      <b/>
      <sz val="9"/>
      <color rgb="FFD35400"/>
      <name val="Calibri"/>
      <charset val="1"/>
    </font>
    <font>
      <b/>
      <sz val="9"/>
      <color rgb="FFC0392B"/>
      <name val="Calibri"/>
      <charset val="1"/>
    </font>
    <font>
      <b/>
      <sz val="18"/>
      <color rgb="FFFFFFFF"/>
      <name val="Calibri"/>
      <charset val="1"/>
    </font>
    <font>
      <b/>
      <sz val="18"/>
      <color rgb="FF1B2A4A"/>
      <name val="Calibri"/>
      <charset val="1"/>
    </font>
    <font>
      <b/>
      <sz val="18"/>
      <color rgb="FF007A87"/>
      <name val="Calibri"/>
      <charset val="1"/>
    </font>
    <font>
      <b/>
      <sz val="18"/>
      <color rgb="FFC89B3C"/>
      <name val="Calibri"/>
      <charset val="1"/>
    </font>
    <font>
      <b/>
      <sz val="18"/>
      <color rgb="FFC0392B"/>
      <name val="Calibri"/>
      <charset val="1"/>
    </font>
    <font>
      <b/>
      <sz val="10"/>
      <color rgb="FF000000"/>
      <name val="Calibri"/>
      <charset val="1"/>
    </font>
    <font>
      <b/>
      <sz val="16"/>
      <color rgb="FFFFFFFF"/>
      <name val="Calibri"/>
      <charset val="1"/>
    </font>
    <font>
      <sz val="10"/>
      <color rgb="FF222222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1B2A4A"/>
        <bgColor rgb="FF222222"/>
      </patternFill>
    </fill>
    <fill>
      <patternFill patternType="solid">
        <fgColor rgb="FF007A87"/>
        <bgColor rgb="FF008080"/>
      </patternFill>
    </fill>
    <fill>
      <patternFill patternType="solid">
        <fgColor rgb="FFC89B3C"/>
        <bgColor rgb="FF969696"/>
      </patternFill>
    </fill>
    <fill>
      <patternFill patternType="solid">
        <fgColor rgb="FFE0F4F6"/>
        <bgColor rgb="FFF0F3F7"/>
      </patternFill>
    </fill>
    <fill>
      <patternFill patternType="solid">
        <fgColor rgb="FF1E8449"/>
        <bgColor rgb="FF008080"/>
      </patternFill>
    </fill>
    <fill>
      <patternFill patternType="solid">
        <fgColor rgb="FFFFFFFF"/>
        <bgColor rgb="FFF0F3F7"/>
      </patternFill>
    </fill>
    <fill>
      <patternFill patternType="solid">
        <fgColor rgb="FF7D3C98"/>
        <bgColor rgb="FF993366"/>
      </patternFill>
    </fill>
    <fill>
      <patternFill patternType="solid">
        <fgColor rgb="FF808080"/>
        <bgColor rgb="FF969696"/>
      </patternFill>
    </fill>
    <fill>
      <patternFill patternType="solid">
        <fgColor rgb="FFD35400"/>
        <bgColor rgb="FFC0392B"/>
      </patternFill>
    </fill>
    <fill>
      <patternFill patternType="solid">
        <fgColor rgb="FFC0392B"/>
        <bgColor rgb="FFD35400"/>
      </patternFill>
    </fill>
    <fill>
      <patternFill patternType="solid">
        <fgColor rgb="FFF0F3F7"/>
        <bgColor rgb="FFE0F4F6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7A87"/>
      </bottom>
      <diagonal/>
    </border>
    <border>
      <left style="thin">
        <color rgb="FF1B2A4A"/>
      </left>
      <right style="thin">
        <color rgb="FF1B2A4A"/>
      </right>
      <top style="medium">
        <color rgb="FF1B2A4A"/>
      </top>
      <bottom style="medium">
        <color rgb="FFC89B3C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  <border>
      <left style="thin">
        <color rgb="FFD6DCE4"/>
      </left>
      <right/>
      <top style="thin">
        <color rgb="FFD6DCE4"/>
      </top>
      <bottom style="thin">
        <color rgb="FFD6DCE4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medium">
        <color rgb="FF1B2A4A"/>
      </bottom>
      <diagonal/>
    </border>
    <border>
      <left style="thin">
        <color rgb="FFD6DCE4"/>
      </left>
      <right/>
      <top style="thin">
        <color rgb="FFD6DCE4"/>
      </top>
      <bottom style="medium">
        <color rgb="FF1B2A4A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7" fillId="3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7" borderId="6" xfId="0" applyFill="1" applyBorder="1"/>
    <xf numFmtId="0" fontId="0" fillId="7" borderId="4" xfId="0" applyFill="1" applyBorder="1"/>
    <xf numFmtId="0" fontId="0" fillId="5" borderId="4" xfId="0" applyFill="1" applyBorder="1"/>
    <xf numFmtId="0" fontId="14" fillId="7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left" vertical="center"/>
    </xf>
    <xf numFmtId="3" fontId="14" fillId="5" borderId="3" xfId="0" applyNumberFormat="1" applyFont="1" applyFill="1" applyBorder="1" applyAlignment="1">
      <alignment horizontal="center" vertical="center"/>
    </xf>
    <xf numFmtId="164" fontId="14" fillId="5" borderId="3" xfId="0" applyNumberFormat="1" applyFont="1" applyFill="1" applyBorder="1" applyAlignment="1">
      <alignment horizontal="right" vertical="center"/>
    </xf>
    <xf numFmtId="165" fontId="14" fillId="5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15" fillId="5" borderId="3" xfId="0" applyNumberFormat="1" applyFont="1" applyFill="1" applyBorder="1" applyAlignment="1">
      <alignment horizontal="right" vertical="center"/>
    </xf>
    <xf numFmtId="9" fontId="16" fillId="5" borderId="3" xfId="0" applyNumberFormat="1" applyFont="1" applyFill="1" applyBorder="1" applyAlignment="1">
      <alignment horizontal="center" vertical="center"/>
    </xf>
    <xf numFmtId="164" fontId="17" fillId="5" borderId="3" xfId="0" applyNumberFormat="1" applyFont="1" applyFill="1" applyBorder="1" applyAlignment="1">
      <alignment horizontal="right" vertical="center"/>
    </xf>
    <xf numFmtId="0" fontId="18" fillId="6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left" vertical="center"/>
    </xf>
    <xf numFmtId="3" fontId="14" fillId="7" borderId="3" xfId="0" applyNumberFormat="1" applyFont="1" applyFill="1" applyBorder="1" applyAlignment="1">
      <alignment horizontal="center" vertical="center"/>
    </xf>
    <xf numFmtId="164" fontId="14" fillId="7" borderId="3" xfId="0" applyNumberFormat="1" applyFont="1" applyFill="1" applyBorder="1" applyAlignment="1">
      <alignment horizontal="right" vertical="center"/>
    </xf>
    <xf numFmtId="165" fontId="14" fillId="7" borderId="3" xfId="0" applyNumberFormat="1" applyFont="1" applyFill="1" applyBorder="1" applyAlignment="1">
      <alignment horizontal="center" vertical="center"/>
    </xf>
    <xf numFmtId="164" fontId="7" fillId="7" borderId="3" xfId="0" applyNumberFormat="1" applyFont="1" applyFill="1" applyBorder="1" applyAlignment="1">
      <alignment horizontal="right" vertical="center"/>
    </xf>
    <xf numFmtId="164" fontId="15" fillId="7" borderId="3" xfId="0" applyNumberFormat="1" applyFont="1" applyFill="1" applyBorder="1" applyAlignment="1">
      <alignment horizontal="right" vertical="center"/>
    </xf>
    <xf numFmtId="9" fontId="16" fillId="7" borderId="3" xfId="0" applyNumberFormat="1" applyFont="1" applyFill="1" applyBorder="1" applyAlignment="1">
      <alignment horizontal="center" vertical="center"/>
    </xf>
    <xf numFmtId="164" fontId="17" fillId="7" borderId="3" xfId="0" applyNumberFormat="1" applyFont="1" applyFill="1" applyBorder="1" applyAlignment="1">
      <alignment horizontal="right" vertical="center"/>
    </xf>
    <xf numFmtId="0" fontId="14" fillId="7" borderId="3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0" fontId="0" fillId="5" borderId="3" xfId="0" applyFill="1" applyBorder="1"/>
    <xf numFmtId="164" fontId="0" fillId="5" borderId="3" xfId="0" applyNumberFormat="1" applyFill="1" applyBorder="1"/>
    <xf numFmtId="165" fontId="0" fillId="5" borderId="3" xfId="0" applyNumberFormat="1" applyFill="1" applyBorder="1"/>
    <xf numFmtId="9" fontId="0" fillId="0" borderId="0" xfId="0" applyNumberFormat="1"/>
    <xf numFmtId="0" fontId="0" fillId="7" borderId="3" xfId="0" applyFill="1" applyBorder="1"/>
    <xf numFmtId="164" fontId="0" fillId="7" borderId="3" xfId="0" applyNumberFormat="1" applyFill="1" applyBorder="1"/>
    <xf numFmtId="165" fontId="0" fillId="7" borderId="3" xfId="0" applyNumberFormat="1" applyFill="1" applyBorder="1"/>
    <xf numFmtId="0" fontId="0" fillId="7" borderId="5" xfId="0" applyFill="1" applyBorder="1"/>
    <xf numFmtId="164" fontId="0" fillId="7" borderId="5" xfId="0" applyNumberFormat="1" applyFill="1" applyBorder="1"/>
    <xf numFmtId="165" fontId="0" fillId="7" borderId="5" xfId="0" applyNumberFormat="1" applyFill="1" applyBorder="1"/>
    <xf numFmtId="9" fontId="0" fillId="0" borderId="5" xfId="0" applyNumberFormat="1" applyBorder="1"/>
    <xf numFmtId="0" fontId="17" fillId="12" borderId="0" xfId="0" applyFont="1" applyFill="1" applyAlignment="1">
      <alignment horizontal="center" vertical="center"/>
    </xf>
    <xf numFmtId="164" fontId="21" fillId="12" borderId="0" xfId="0" applyNumberFormat="1" applyFont="1" applyFill="1" applyAlignment="1">
      <alignment horizontal="right" vertical="center"/>
    </xf>
    <xf numFmtId="164" fontId="22" fillId="4" borderId="0" xfId="0" applyNumberFormat="1" applyFont="1" applyFill="1" applyAlignment="1">
      <alignment horizontal="right" vertical="center"/>
    </xf>
    <xf numFmtId="0" fontId="23" fillId="0" borderId="0" xfId="0" applyFont="1"/>
    <xf numFmtId="164" fontId="7" fillId="0" borderId="0" xfId="0" applyNumberFormat="1" applyFont="1"/>
    <xf numFmtId="0" fontId="24" fillId="0" borderId="0" xfId="0" applyFont="1"/>
    <xf numFmtId="164" fontId="8" fillId="0" borderId="0" xfId="0" applyNumberFormat="1" applyFont="1"/>
    <xf numFmtId="0" fontId="25" fillId="0" borderId="0" xfId="0" applyFont="1"/>
    <xf numFmtId="164" fontId="9" fillId="0" borderId="0" xfId="0" applyNumberFormat="1" applyFont="1"/>
    <xf numFmtId="0" fontId="26" fillId="0" borderId="0" xfId="0" applyFont="1"/>
    <xf numFmtId="164" fontId="10" fillId="0" borderId="0" xfId="0" applyNumberFormat="1" applyFont="1"/>
    <xf numFmtId="0" fontId="3" fillId="0" borderId="0" xfId="0" applyFont="1"/>
    <xf numFmtId="0" fontId="12" fillId="0" borderId="0" xfId="0" applyFont="1"/>
    <xf numFmtId="0" fontId="13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32" fillId="12" borderId="3" xfId="0" applyFont="1" applyFill="1" applyBorder="1" applyAlignment="1">
      <alignment horizontal="center" vertical="center"/>
    </xf>
    <xf numFmtId="164" fontId="14" fillId="12" borderId="3" xfId="0" applyNumberFormat="1" applyFont="1" applyFill="1" applyBorder="1" applyAlignment="1">
      <alignment horizontal="right" vertical="center"/>
    </xf>
    <xf numFmtId="0" fontId="15" fillId="12" borderId="3" xfId="0" applyFont="1" applyFill="1" applyBorder="1" applyAlignment="1">
      <alignment horizontal="left" vertical="center"/>
    </xf>
    <xf numFmtId="0" fontId="14" fillId="12" borderId="3" xfId="0" applyFont="1" applyFill="1" applyBorder="1" applyAlignment="1">
      <alignment horizontal="center" vertical="center"/>
    </xf>
    <xf numFmtId="164" fontId="15" fillId="12" borderId="3" xfId="0" applyNumberFormat="1" applyFont="1" applyFill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center"/>
    </xf>
    <xf numFmtId="0" fontId="32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164" fontId="28" fillId="12" borderId="0" xfId="0" applyNumberFormat="1" applyFont="1" applyFill="1" applyAlignment="1">
      <alignment horizontal="center" vertical="center"/>
    </xf>
    <xf numFmtId="164" fontId="29" fillId="12" borderId="0" xfId="0" applyNumberFormat="1" applyFont="1" applyFill="1" applyAlignment="1">
      <alignment horizontal="center" vertical="center"/>
    </xf>
    <xf numFmtId="1" fontId="30" fillId="12" borderId="0" xfId="0" applyNumberFormat="1" applyFont="1" applyFill="1" applyAlignment="1">
      <alignment horizontal="center" vertical="center"/>
    </xf>
    <xf numFmtId="164" fontId="31" fillId="12" borderId="0" xfId="0" applyNumberFormat="1" applyFont="1" applyFill="1" applyAlignment="1">
      <alignment horizontal="center" vertical="center"/>
    </xf>
    <xf numFmtId="0" fontId="0" fillId="12" borderId="0" xfId="0" applyFill="1"/>
    <xf numFmtId="0" fontId="5" fillId="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4" fillId="1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0" fillId="5" borderId="3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5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A87"/>
      <rgbColor rgb="FFC0C0C0"/>
      <rgbColor rgb="FF808080"/>
      <rgbColor rgb="FF9999FF"/>
      <rgbColor rgb="FF7D3C98"/>
      <rgbColor rgb="FFF0F3F7"/>
      <rgbColor rgb="FFE0F4F6"/>
      <rgbColor rgb="FF660066"/>
      <rgbColor rgb="FFFF8080"/>
      <rgbColor rgb="FF0066CC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B3C"/>
      <rgbColor rgb="FFD35400"/>
      <rgbColor rgb="FF555555"/>
      <rgbColor rgb="FF969696"/>
      <rgbColor rgb="FF003366"/>
      <rgbColor rgb="FF1E8449"/>
      <rgbColor rgb="FF003300"/>
      <rgbColor rgb="FF222222"/>
      <rgbColor rgb="FFC0392B"/>
      <rgbColor rgb="FF993366"/>
      <rgbColor rgb="FF444444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Normal="100" workbookViewId="0">
      <pane ySplit="13" topLeftCell="A14" activePane="bottomLeft" state="frozen"/>
      <selection pane="bottomLeft" activeCell="U53" sqref="U53"/>
    </sheetView>
  </sheetViews>
  <sheetFormatPr baseColWidth="10" defaultColWidth="8.7109375" defaultRowHeight="15" x14ac:dyDescent="0.25"/>
  <cols>
    <col min="1" max="1" width="19.140625" bestFit="1" customWidth="1"/>
    <col min="2" max="2" width="7.42578125" bestFit="1" customWidth="1"/>
    <col min="3" max="3" width="10.7109375" bestFit="1" customWidth="1"/>
    <col min="4" max="4" width="7.7109375" bestFit="1" customWidth="1"/>
    <col min="5" max="5" width="13.5703125" bestFit="1" customWidth="1"/>
    <col min="6" max="6" width="20.7109375" bestFit="1" customWidth="1"/>
    <col min="7" max="7" width="10.85546875" bestFit="1" customWidth="1"/>
    <col min="8" max="8" width="7" bestFit="1" customWidth="1"/>
    <col min="9" max="9" width="10.28515625" bestFit="1" customWidth="1"/>
    <col min="10" max="10" width="8.5703125" bestFit="1" customWidth="1"/>
    <col min="11" max="11" width="9.140625" bestFit="1" customWidth="1"/>
    <col min="12" max="12" width="12.28515625" bestFit="1" customWidth="1"/>
    <col min="13" max="13" width="14.5703125" bestFit="1" customWidth="1"/>
    <col min="14" max="14" width="6" bestFit="1" customWidth="1"/>
    <col min="15" max="15" width="10.7109375" bestFit="1" customWidth="1"/>
    <col min="16" max="16" width="10.140625" bestFit="1" customWidth="1"/>
    <col min="17" max="17" width="10.7109375" bestFit="1" customWidth="1"/>
    <col min="18" max="18" width="9.5703125" bestFit="1" customWidth="1"/>
    <col min="19" max="19" width="20" bestFit="1" customWidth="1"/>
  </cols>
  <sheetData>
    <row r="1" spans="1:19" ht="37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9" ht="19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2" t="s">
        <v>2</v>
      </c>
      <c r="L2" s="12"/>
      <c r="M2" s="12"/>
      <c r="N2" s="12"/>
      <c r="O2" s="12"/>
      <c r="P2" s="12"/>
    </row>
    <row r="3" spans="1:19" ht="6" customHeight="1" x14ac:dyDescent="0.25"/>
    <row r="4" spans="1:19" ht="18" customHeight="1" x14ac:dyDescent="0.25">
      <c r="A4" s="15" t="s">
        <v>3</v>
      </c>
      <c r="B4" s="11" t="s">
        <v>4</v>
      </c>
      <c r="C4" s="11"/>
      <c r="D4" s="11"/>
      <c r="E4" s="11" t="s">
        <v>5</v>
      </c>
      <c r="F4" s="11"/>
      <c r="G4" s="15" t="s">
        <v>6</v>
      </c>
      <c r="H4" s="11" t="s">
        <v>7</v>
      </c>
      <c r="I4" s="11"/>
      <c r="J4" s="11"/>
      <c r="K4" s="11"/>
      <c r="L4" s="11"/>
    </row>
    <row r="5" spans="1:19" ht="18" customHeight="1" x14ac:dyDescent="0.25">
      <c r="A5" s="15" t="s">
        <v>8</v>
      </c>
      <c r="B5" s="11" t="s">
        <v>9</v>
      </c>
      <c r="C5" s="11"/>
      <c r="D5" s="11"/>
      <c r="E5" s="11" t="s">
        <v>10</v>
      </c>
      <c r="F5" s="11"/>
      <c r="G5" s="15"/>
      <c r="H5" s="11" t="s">
        <v>11</v>
      </c>
      <c r="I5" s="11"/>
      <c r="J5" s="11"/>
      <c r="K5" s="11"/>
      <c r="L5" s="11"/>
    </row>
    <row r="6" spans="1:19" ht="18" customHeight="1" x14ac:dyDescent="0.25">
      <c r="A6" s="15" t="s">
        <v>12</v>
      </c>
      <c r="B6" s="11" t="s">
        <v>13</v>
      </c>
      <c r="C6" s="11"/>
      <c r="D6" s="11"/>
      <c r="E6" s="11" t="s">
        <v>14</v>
      </c>
      <c r="F6" s="11"/>
      <c r="G6" s="15" t="s">
        <v>15</v>
      </c>
      <c r="H6" s="11" t="s">
        <v>16</v>
      </c>
      <c r="I6" s="11"/>
      <c r="J6" s="11"/>
      <c r="K6" s="11"/>
      <c r="L6" s="11"/>
    </row>
    <row r="7" spans="1:19" ht="18" customHeight="1" x14ac:dyDescent="0.25">
      <c r="A7" s="15" t="s">
        <v>17</v>
      </c>
      <c r="B7" s="11" t="s">
        <v>18</v>
      </c>
      <c r="C7" s="11"/>
      <c r="D7" s="11"/>
      <c r="E7" s="11">
        <f>SUM(O14:O43)</f>
        <v>3170.8537699999997</v>
      </c>
      <c r="F7" s="11"/>
      <c r="G7" s="15" t="s">
        <v>19</v>
      </c>
      <c r="H7" s="11" t="s">
        <v>20</v>
      </c>
      <c r="I7" s="11"/>
      <c r="J7" s="11"/>
      <c r="K7" s="11"/>
      <c r="L7" s="11"/>
    </row>
    <row r="8" spans="1:19" ht="7.5" customHeight="1" x14ac:dyDescent="0.25"/>
    <row r="9" spans="1:19" ht="18" customHeight="1" x14ac:dyDescent="0.25">
      <c r="A9" s="10" t="s">
        <v>21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9" ht="15.75" customHeight="1" x14ac:dyDescent="0.25">
      <c r="A10" s="15" t="s">
        <v>22</v>
      </c>
      <c r="C10" s="16" t="s">
        <v>23</v>
      </c>
      <c r="E10" s="17" t="s">
        <v>24</v>
      </c>
      <c r="G10" s="18" t="s">
        <v>25</v>
      </c>
      <c r="I10" s="19" t="s">
        <v>26</v>
      </c>
      <c r="K10" s="20" t="s">
        <v>27</v>
      </c>
      <c r="M10" s="21" t="s">
        <v>28</v>
      </c>
    </row>
    <row r="11" spans="1:19" ht="15.75" customHeight="1" x14ac:dyDescent="0.25">
      <c r="A11" s="22" t="s">
        <v>29</v>
      </c>
      <c r="C11" s="22" t="s">
        <v>30</v>
      </c>
      <c r="E11" s="22" t="s">
        <v>31</v>
      </c>
      <c r="G11" s="22" t="s">
        <v>32</v>
      </c>
    </row>
    <row r="12" spans="1:19" ht="6" customHeight="1" x14ac:dyDescent="0.25"/>
    <row r="13" spans="1:19" ht="31.5" customHeight="1" x14ac:dyDescent="0.25">
      <c r="A13" s="23" t="s">
        <v>33</v>
      </c>
      <c r="B13" s="23" t="s">
        <v>34</v>
      </c>
      <c r="C13" s="9" t="s">
        <v>35</v>
      </c>
      <c r="D13" s="9"/>
      <c r="E13" s="23" t="s">
        <v>36</v>
      </c>
      <c r="F13" s="23" t="s">
        <v>37</v>
      </c>
      <c r="G13" s="23" t="s">
        <v>38</v>
      </c>
      <c r="H13" s="23" t="s">
        <v>39</v>
      </c>
      <c r="I13" s="23" t="s">
        <v>40</v>
      </c>
      <c r="J13" s="23" t="s">
        <v>41</v>
      </c>
      <c r="K13" s="23" t="s">
        <v>42</v>
      </c>
      <c r="L13" s="23" t="s">
        <v>43</v>
      </c>
      <c r="M13" s="23" t="s">
        <v>44</v>
      </c>
      <c r="N13" s="23" t="s">
        <v>45</v>
      </c>
      <c r="O13" s="23" t="s">
        <v>46</v>
      </c>
      <c r="P13" s="23" t="s">
        <v>47</v>
      </c>
      <c r="Q13" s="23" t="s">
        <v>48</v>
      </c>
      <c r="R13" s="23" t="s">
        <v>49</v>
      </c>
      <c r="S13" s="23" t="s">
        <v>50</v>
      </c>
    </row>
    <row r="14" spans="1:19" ht="16.5" customHeight="1" x14ac:dyDescent="0.25">
      <c r="A14" s="24">
        <v>1</v>
      </c>
      <c r="B14" s="25" t="s">
        <v>51</v>
      </c>
      <c r="C14" s="8" t="s">
        <v>52</v>
      </c>
      <c r="D14" s="8"/>
      <c r="E14" s="25" t="s">
        <v>53</v>
      </c>
      <c r="F14" s="25" t="s">
        <v>54</v>
      </c>
      <c r="G14" s="25" t="s">
        <v>55</v>
      </c>
      <c r="H14" s="26">
        <v>20</v>
      </c>
      <c r="I14" s="26">
        <v>20</v>
      </c>
      <c r="J14" s="27">
        <v>8.9</v>
      </c>
      <c r="K14" s="28">
        <v>0.05</v>
      </c>
      <c r="L14" s="29">
        <f t="shared" ref="L14:L33" si="0">J14*(1-K14)</f>
        <v>8.4550000000000001</v>
      </c>
      <c r="M14" s="30">
        <f t="shared" ref="M14:M33" si="1">H14*L14</f>
        <v>169.1</v>
      </c>
      <c r="N14" s="31">
        <v>0.19</v>
      </c>
      <c r="O14" s="32">
        <f t="shared" ref="O14:O33" si="2">M14*(1+N14)</f>
        <v>201.22899999999998</v>
      </c>
      <c r="P14" s="33" t="s">
        <v>56</v>
      </c>
      <c r="Q14" s="25" t="s">
        <v>32</v>
      </c>
      <c r="R14" s="34" t="s">
        <v>57</v>
      </c>
      <c r="S14" s="35"/>
    </row>
    <row r="15" spans="1:19" ht="16.5" customHeight="1" x14ac:dyDescent="0.25">
      <c r="A15" s="36">
        <v>2</v>
      </c>
      <c r="B15" s="37" t="s">
        <v>58</v>
      </c>
      <c r="C15" s="7" t="s">
        <v>59</v>
      </c>
      <c r="D15" s="7"/>
      <c r="E15" s="37" t="s">
        <v>53</v>
      </c>
      <c r="F15" s="37" t="s">
        <v>54</v>
      </c>
      <c r="G15" s="37" t="s">
        <v>60</v>
      </c>
      <c r="H15" s="38">
        <v>4</v>
      </c>
      <c r="I15" s="38">
        <v>4</v>
      </c>
      <c r="J15" s="39">
        <v>12.5</v>
      </c>
      <c r="K15" s="40">
        <v>0</v>
      </c>
      <c r="L15" s="41">
        <f t="shared" si="0"/>
        <v>12.5</v>
      </c>
      <c r="M15" s="42">
        <f t="shared" si="1"/>
        <v>50</v>
      </c>
      <c r="N15" s="43">
        <v>0.19</v>
      </c>
      <c r="O15" s="44">
        <f t="shared" si="2"/>
        <v>59.5</v>
      </c>
      <c r="P15" s="33" t="s">
        <v>56</v>
      </c>
      <c r="Q15" s="37" t="s">
        <v>32</v>
      </c>
      <c r="R15" s="46" t="s">
        <v>57</v>
      </c>
      <c r="S15" s="47"/>
    </row>
    <row r="16" spans="1:19" ht="16.5" customHeight="1" x14ac:dyDescent="0.25">
      <c r="A16" s="24">
        <v>3</v>
      </c>
      <c r="B16" s="25" t="s">
        <v>61</v>
      </c>
      <c r="C16" s="8" t="s">
        <v>62</v>
      </c>
      <c r="D16" s="8"/>
      <c r="E16" s="25" t="s">
        <v>63</v>
      </c>
      <c r="F16" s="25" t="s">
        <v>64</v>
      </c>
      <c r="G16" s="25" t="s">
        <v>60</v>
      </c>
      <c r="H16" s="26">
        <v>10</v>
      </c>
      <c r="I16" s="26">
        <v>8</v>
      </c>
      <c r="J16" s="27">
        <v>9.99</v>
      </c>
      <c r="K16" s="28">
        <v>0</v>
      </c>
      <c r="L16" s="29">
        <f t="shared" si="0"/>
        <v>9.99</v>
      </c>
      <c r="M16" s="30">
        <f t="shared" si="1"/>
        <v>99.9</v>
      </c>
      <c r="N16" s="31">
        <v>0.19</v>
      </c>
      <c r="O16" s="32">
        <f t="shared" si="2"/>
        <v>118.881</v>
      </c>
      <c r="P16" s="48" t="s">
        <v>65</v>
      </c>
      <c r="Q16" s="25" t="s">
        <v>31</v>
      </c>
      <c r="R16" s="34" t="s">
        <v>66</v>
      </c>
      <c r="S16" s="35" t="s">
        <v>67</v>
      </c>
    </row>
    <row r="17" spans="1:19" ht="16.5" customHeight="1" x14ac:dyDescent="0.25">
      <c r="A17" s="36">
        <v>4</v>
      </c>
      <c r="B17" s="37" t="s">
        <v>68</v>
      </c>
      <c r="C17" s="7" t="s">
        <v>69</v>
      </c>
      <c r="D17" s="7"/>
      <c r="E17" s="37" t="s">
        <v>63</v>
      </c>
      <c r="F17" s="37" t="s">
        <v>64</v>
      </c>
      <c r="G17" s="37" t="s">
        <v>60</v>
      </c>
      <c r="H17" s="38">
        <v>5</v>
      </c>
      <c r="I17" s="38">
        <v>0</v>
      </c>
      <c r="J17" s="39">
        <v>34.9</v>
      </c>
      <c r="K17" s="40">
        <v>0.03</v>
      </c>
      <c r="L17" s="41">
        <f t="shared" si="0"/>
        <v>33.852999999999994</v>
      </c>
      <c r="M17" s="42">
        <f t="shared" si="1"/>
        <v>169.26499999999999</v>
      </c>
      <c r="N17" s="43">
        <v>0.19</v>
      </c>
      <c r="O17" s="44">
        <f t="shared" si="2"/>
        <v>201.42534999999998</v>
      </c>
      <c r="P17" s="49" t="s">
        <v>70</v>
      </c>
      <c r="Q17" s="37" t="s">
        <v>31</v>
      </c>
      <c r="R17" s="46" t="s">
        <v>71</v>
      </c>
      <c r="S17" s="47"/>
    </row>
    <row r="18" spans="1:19" ht="16.5" customHeight="1" x14ac:dyDescent="0.25">
      <c r="A18" s="24">
        <v>5</v>
      </c>
      <c r="B18" s="25" t="s">
        <v>72</v>
      </c>
      <c r="C18" s="8" t="s">
        <v>73</v>
      </c>
      <c r="D18" s="8"/>
      <c r="E18" s="25" t="s">
        <v>74</v>
      </c>
      <c r="F18" s="25" t="s">
        <v>75</v>
      </c>
      <c r="G18" s="25" t="s">
        <v>76</v>
      </c>
      <c r="H18" s="26">
        <v>10</v>
      </c>
      <c r="I18" s="26">
        <v>10</v>
      </c>
      <c r="J18" s="27">
        <v>6.4</v>
      </c>
      <c r="K18" s="28">
        <v>0</v>
      </c>
      <c r="L18" s="29">
        <f t="shared" si="0"/>
        <v>6.4</v>
      </c>
      <c r="M18" s="30">
        <f t="shared" si="1"/>
        <v>64</v>
      </c>
      <c r="N18" s="31">
        <v>0.19</v>
      </c>
      <c r="O18" s="32">
        <f t="shared" si="2"/>
        <v>76.16</v>
      </c>
      <c r="P18" s="33" t="s">
        <v>56</v>
      </c>
      <c r="Q18" s="25" t="s">
        <v>32</v>
      </c>
      <c r="R18" s="34" t="s">
        <v>77</v>
      </c>
      <c r="S18" s="35"/>
    </row>
    <row r="19" spans="1:19" ht="16.5" customHeight="1" x14ac:dyDescent="0.25">
      <c r="A19" s="36">
        <v>6</v>
      </c>
      <c r="B19" s="37" t="s">
        <v>78</v>
      </c>
      <c r="C19" s="7" t="s">
        <v>79</v>
      </c>
      <c r="D19" s="7"/>
      <c r="E19" s="37" t="s">
        <v>63</v>
      </c>
      <c r="F19" s="37" t="s">
        <v>64</v>
      </c>
      <c r="G19" s="37" t="s">
        <v>60</v>
      </c>
      <c r="H19" s="38">
        <v>3</v>
      </c>
      <c r="I19" s="38">
        <v>0</v>
      </c>
      <c r="J19" s="39">
        <v>89</v>
      </c>
      <c r="K19" s="40">
        <v>0.05</v>
      </c>
      <c r="L19" s="41">
        <f t="shared" si="0"/>
        <v>84.55</v>
      </c>
      <c r="M19" s="42">
        <f t="shared" si="1"/>
        <v>253.64999999999998</v>
      </c>
      <c r="N19" s="43">
        <v>0.19</v>
      </c>
      <c r="O19" s="44">
        <f t="shared" si="2"/>
        <v>301.84349999999995</v>
      </c>
      <c r="P19" s="49" t="s">
        <v>70</v>
      </c>
      <c r="Q19" s="37" t="s">
        <v>30</v>
      </c>
      <c r="R19" s="46" t="s">
        <v>80</v>
      </c>
      <c r="S19" s="47" t="s">
        <v>81</v>
      </c>
    </row>
    <row r="20" spans="1:19" ht="16.5" customHeight="1" x14ac:dyDescent="0.25">
      <c r="A20" s="24">
        <v>7</v>
      </c>
      <c r="B20" s="25" t="s">
        <v>82</v>
      </c>
      <c r="C20" s="8" t="s">
        <v>83</v>
      </c>
      <c r="D20" s="8"/>
      <c r="E20" s="25" t="s">
        <v>84</v>
      </c>
      <c r="F20" s="25" t="s">
        <v>85</v>
      </c>
      <c r="G20" s="25" t="s">
        <v>76</v>
      </c>
      <c r="H20" s="26">
        <v>12</v>
      </c>
      <c r="I20" s="26">
        <v>12</v>
      </c>
      <c r="J20" s="27">
        <v>5.2</v>
      </c>
      <c r="K20" s="28">
        <v>0.08</v>
      </c>
      <c r="L20" s="29">
        <f t="shared" si="0"/>
        <v>4.7840000000000007</v>
      </c>
      <c r="M20" s="30">
        <f t="shared" si="1"/>
        <v>57.408000000000008</v>
      </c>
      <c r="N20" s="31">
        <v>0.19</v>
      </c>
      <c r="O20" s="32">
        <f t="shared" si="2"/>
        <v>68.315520000000006</v>
      </c>
      <c r="P20" s="33" t="s">
        <v>56</v>
      </c>
      <c r="Q20" s="25" t="s">
        <v>32</v>
      </c>
      <c r="R20" s="34" t="s">
        <v>86</v>
      </c>
      <c r="S20" s="35"/>
    </row>
    <row r="21" spans="1:19" ht="16.5" customHeight="1" x14ac:dyDescent="0.25">
      <c r="A21" s="36">
        <v>8</v>
      </c>
      <c r="B21" s="37" t="s">
        <v>87</v>
      </c>
      <c r="C21" s="7" t="s">
        <v>88</v>
      </c>
      <c r="D21" s="7"/>
      <c r="E21" s="37" t="s">
        <v>53</v>
      </c>
      <c r="F21" s="37" t="s">
        <v>54</v>
      </c>
      <c r="G21" s="37" t="s">
        <v>89</v>
      </c>
      <c r="H21" s="38">
        <v>6</v>
      </c>
      <c r="I21" s="38">
        <v>0</v>
      </c>
      <c r="J21" s="39">
        <v>18.899999999999999</v>
      </c>
      <c r="K21" s="40">
        <v>0</v>
      </c>
      <c r="L21" s="41">
        <f t="shared" si="0"/>
        <v>18.899999999999999</v>
      </c>
      <c r="M21" s="42">
        <f t="shared" si="1"/>
        <v>113.39999999999999</v>
      </c>
      <c r="N21" s="43">
        <v>0.19</v>
      </c>
      <c r="O21" s="44">
        <f t="shared" si="2"/>
        <v>134.946</v>
      </c>
      <c r="P21" s="50" t="s">
        <v>90</v>
      </c>
      <c r="Q21" s="37" t="s">
        <v>31</v>
      </c>
      <c r="R21" s="46" t="s">
        <v>91</v>
      </c>
      <c r="S21" s="47" t="s">
        <v>92</v>
      </c>
    </row>
    <row r="22" spans="1:19" ht="16.5" customHeight="1" x14ac:dyDescent="0.25">
      <c r="A22" s="24">
        <v>9</v>
      </c>
      <c r="B22" s="25" t="s">
        <v>93</v>
      </c>
      <c r="C22" s="8" t="s">
        <v>94</v>
      </c>
      <c r="D22" s="8"/>
      <c r="E22" s="25" t="s">
        <v>74</v>
      </c>
      <c r="F22" s="25" t="s">
        <v>75</v>
      </c>
      <c r="G22" s="25" t="s">
        <v>60</v>
      </c>
      <c r="H22" s="26">
        <v>4</v>
      </c>
      <c r="I22" s="26">
        <v>4</v>
      </c>
      <c r="J22" s="27">
        <v>47.5</v>
      </c>
      <c r="K22" s="28">
        <v>0.1</v>
      </c>
      <c r="L22" s="29">
        <f t="shared" si="0"/>
        <v>42.75</v>
      </c>
      <c r="M22" s="30">
        <f t="shared" si="1"/>
        <v>171</v>
      </c>
      <c r="N22" s="31">
        <v>0.19</v>
      </c>
      <c r="O22" s="32">
        <f t="shared" si="2"/>
        <v>203.48999999999998</v>
      </c>
      <c r="P22" s="33" t="s">
        <v>56</v>
      </c>
      <c r="Q22" s="25" t="s">
        <v>31</v>
      </c>
      <c r="R22" s="34" t="s">
        <v>95</v>
      </c>
      <c r="S22" s="35"/>
    </row>
    <row r="23" spans="1:19" ht="16.5" customHeight="1" x14ac:dyDescent="0.25">
      <c r="A23" s="36">
        <v>10</v>
      </c>
      <c r="B23" s="37" t="s">
        <v>96</v>
      </c>
      <c r="C23" s="7" t="s">
        <v>97</v>
      </c>
      <c r="D23" s="7"/>
      <c r="E23" s="37" t="s">
        <v>63</v>
      </c>
      <c r="F23" s="37" t="s">
        <v>64</v>
      </c>
      <c r="G23" s="37" t="s">
        <v>60</v>
      </c>
      <c r="H23" s="38">
        <v>2</v>
      </c>
      <c r="I23" s="38">
        <v>0</v>
      </c>
      <c r="J23" s="39">
        <v>279</v>
      </c>
      <c r="K23" s="40">
        <v>0.02</v>
      </c>
      <c r="L23" s="41">
        <f t="shared" si="0"/>
        <v>273.42</v>
      </c>
      <c r="M23" s="42">
        <f t="shared" si="1"/>
        <v>546.84</v>
      </c>
      <c r="N23" s="43">
        <v>0.19</v>
      </c>
      <c r="O23" s="44">
        <f t="shared" si="2"/>
        <v>650.7396</v>
      </c>
      <c r="P23" s="51" t="s">
        <v>98</v>
      </c>
      <c r="Q23" s="37" t="s">
        <v>30</v>
      </c>
      <c r="R23" s="46" t="s">
        <v>99</v>
      </c>
      <c r="S23" s="47" t="s">
        <v>100</v>
      </c>
    </row>
    <row r="24" spans="1:19" ht="16.5" customHeight="1" x14ac:dyDescent="0.25">
      <c r="A24" s="24">
        <v>11</v>
      </c>
      <c r="B24" s="25" t="s">
        <v>101</v>
      </c>
      <c r="C24" s="8" t="s">
        <v>102</v>
      </c>
      <c r="D24" s="8"/>
      <c r="E24" s="25" t="s">
        <v>103</v>
      </c>
      <c r="F24" s="25" t="s">
        <v>104</v>
      </c>
      <c r="G24" s="25" t="s">
        <v>105</v>
      </c>
      <c r="H24" s="26">
        <v>5</v>
      </c>
      <c r="I24" s="26">
        <v>5</v>
      </c>
      <c r="J24" s="27">
        <v>22</v>
      </c>
      <c r="K24" s="28">
        <v>0</v>
      </c>
      <c r="L24" s="29">
        <f t="shared" si="0"/>
        <v>22</v>
      </c>
      <c r="M24" s="30">
        <f t="shared" si="1"/>
        <v>110</v>
      </c>
      <c r="N24" s="31">
        <v>0.19</v>
      </c>
      <c r="O24" s="32">
        <f t="shared" si="2"/>
        <v>130.9</v>
      </c>
      <c r="P24" s="33" t="s">
        <v>56</v>
      </c>
      <c r="Q24" s="25" t="s">
        <v>32</v>
      </c>
      <c r="R24" s="34" t="s">
        <v>106</v>
      </c>
      <c r="S24" s="35"/>
    </row>
    <row r="25" spans="1:19" ht="16.5" customHeight="1" x14ac:dyDescent="0.25">
      <c r="A25" s="36">
        <v>12</v>
      </c>
      <c r="B25" s="37" t="s">
        <v>107</v>
      </c>
      <c r="C25" s="7" t="s">
        <v>108</v>
      </c>
      <c r="D25" s="7"/>
      <c r="E25" s="37" t="s">
        <v>84</v>
      </c>
      <c r="F25" s="37" t="s">
        <v>85</v>
      </c>
      <c r="G25" s="37" t="s">
        <v>109</v>
      </c>
      <c r="H25" s="38">
        <v>3</v>
      </c>
      <c r="I25" s="38">
        <v>3</v>
      </c>
      <c r="J25" s="39">
        <v>9.6</v>
      </c>
      <c r="K25" s="40">
        <v>0.05</v>
      </c>
      <c r="L25" s="41">
        <f t="shared" si="0"/>
        <v>9.1199999999999992</v>
      </c>
      <c r="M25" s="42">
        <f t="shared" si="1"/>
        <v>27.36</v>
      </c>
      <c r="N25" s="43">
        <v>0.19</v>
      </c>
      <c r="O25" s="44">
        <f t="shared" si="2"/>
        <v>32.558399999999999</v>
      </c>
      <c r="P25" s="33" t="s">
        <v>56</v>
      </c>
      <c r="Q25" s="37" t="s">
        <v>32</v>
      </c>
      <c r="R25" s="46" t="s">
        <v>110</v>
      </c>
      <c r="S25" s="47"/>
    </row>
    <row r="26" spans="1:19" ht="16.5" customHeight="1" x14ac:dyDescent="0.25">
      <c r="A26" s="24">
        <v>13</v>
      </c>
      <c r="B26" s="25" t="s">
        <v>111</v>
      </c>
      <c r="C26" s="8" t="s">
        <v>112</v>
      </c>
      <c r="D26" s="8"/>
      <c r="E26" s="25" t="s">
        <v>53</v>
      </c>
      <c r="F26" s="25" t="s">
        <v>54</v>
      </c>
      <c r="G26" s="25" t="s">
        <v>60</v>
      </c>
      <c r="H26" s="26">
        <v>1</v>
      </c>
      <c r="I26" s="26">
        <v>0</v>
      </c>
      <c r="J26" s="27">
        <v>64</v>
      </c>
      <c r="K26" s="28">
        <v>0</v>
      </c>
      <c r="L26" s="29">
        <f t="shared" si="0"/>
        <v>64</v>
      </c>
      <c r="M26" s="30">
        <f t="shared" si="1"/>
        <v>64</v>
      </c>
      <c r="N26" s="31">
        <v>0.19</v>
      </c>
      <c r="O26" s="32">
        <f t="shared" si="2"/>
        <v>76.16</v>
      </c>
      <c r="P26" s="49" t="s">
        <v>70</v>
      </c>
      <c r="Q26" s="25" t="s">
        <v>31</v>
      </c>
      <c r="R26" s="34" t="s">
        <v>18</v>
      </c>
      <c r="S26" s="35"/>
    </row>
    <row r="27" spans="1:19" ht="16.5" customHeight="1" x14ac:dyDescent="0.25">
      <c r="A27" s="36">
        <v>14</v>
      </c>
      <c r="B27" s="37" t="s">
        <v>113</v>
      </c>
      <c r="C27" s="7" t="s">
        <v>114</v>
      </c>
      <c r="D27" s="7"/>
      <c r="E27" s="37" t="s">
        <v>103</v>
      </c>
      <c r="F27" s="37" t="s">
        <v>104</v>
      </c>
      <c r="G27" s="37" t="s">
        <v>115</v>
      </c>
      <c r="H27" s="38">
        <v>10</v>
      </c>
      <c r="I27" s="38">
        <v>10</v>
      </c>
      <c r="J27" s="39">
        <v>15.8</v>
      </c>
      <c r="K27" s="40">
        <v>0.03</v>
      </c>
      <c r="L27" s="41">
        <f t="shared" si="0"/>
        <v>15.326000000000001</v>
      </c>
      <c r="M27" s="42">
        <f t="shared" si="1"/>
        <v>153.26</v>
      </c>
      <c r="N27" s="43">
        <v>0.19</v>
      </c>
      <c r="O27" s="44">
        <f t="shared" si="2"/>
        <v>182.37939999999998</v>
      </c>
      <c r="P27" s="33" t="s">
        <v>56</v>
      </c>
      <c r="Q27" s="37" t="s">
        <v>32</v>
      </c>
      <c r="R27" s="46" t="s">
        <v>77</v>
      </c>
      <c r="S27" s="47"/>
    </row>
    <row r="28" spans="1:19" ht="16.5" customHeight="1" x14ac:dyDescent="0.25">
      <c r="A28" s="24">
        <v>15</v>
      </c>
      <c r="B28" s="25" t="s">
        <v>116</v>
      </c>
      <c r="C28" s="8" t="s">
        <v>117</v>
      </c>
      <c r="D28" s="8"/>
      <c r="E28" s="25" t="s">
        <v>63</v>
      </c>
      <c r="F28" s="25" t="s">
        <v>64</v>
      </c>
      <c r="G28" s="25" t="s">
        <v>60</v>
      </c>
      <c r="H28" s="26">
        <v>4</v>
      </c>
      <c r="I28" s="26">
        <v>2</v>
      </c>
      <c r="J28" s="27">
        <v>55</v>
      </c>
      <c r="K28" s="28">
        <v>0</v>
      </c>
      <c r="L28" s="29">
        <f t="shared" si="0"/>
        <v>55</v>
      </c>
      <c r="M28" s="30">
        <f t="shared" si="1"/>
        <v>220</v>
      </c>
      <c r="N28" s="31">
        <v>0.19</v>
      </c>
      <c r="O28" s="32">
        <f t="shared" si="2"/>
        <v>261.8</v>
      </c>
      <c r="P28" s="48" t="s">
        <v>65</v>
      </c>
      <c r="Q28" s="25" t="s">
        <v>31</v>
      </c>
      <c r="R28" s="34" t="s">
        <v>118</v>
      </c>
      <c r="S28" s="35" t="s">
        <v>119</v>
      </c>
    </row>
    <row r="29" spans="1:19" ht="16.5" customHeight="1" x14ac:dyDescent="0.25">
      <c r="A29" s="36">
        <v>16</v>
      </c>
      <c r="B29" s="37" t="s">
        <v>120</v>
      </c>
      <c r="C29" s="7" t="s">
        <v>121</v>
      </c>
      <c r="D29" s="7"/>
      <c r="E29" s="37" t="s">
        <v>74</v>
      </c>
      <c r="F29" s="37" t="s">
        <v>75</v>
      </c>
      <c r="G29" s="37" t="s">
        <v>60</v>
      </c>
      <c r="H29" s="38">
        <v>10</v>
      </c>
      <c r="I29" s="38">
        <v>10</v>
      </c>
      <c r="J29" s="39">
        <v>3.9</v>
      </c>
      <c r="K29" s="40">
        <v>0</v>
      </c>
      <c r="L29" s="41">
        <f t="shared" si="0"/>
        <v>3.9</v>
      </c>
      <c r="M29" s="42">
        <f t="shared" si="1"/>
        <v>39</v>
      </c>
      <c r="N29" s="43">
        <v>0.19</v>
      </c>
      <c r="O29" s="44">
        <f t="shared" si="2"/>
        <v>46.41</v>
      </c>
      <c r="P29" s="33" t="s">
        <v>56</v>
      </c>
      <c r="Q29" s="37" t="s">
        <v>32</v>
      </c>
      <c r="R29" s="46" t="s">
        <v>110</v>
      </c>
      <c r="S29" s="47"/>
    </row>
    <row r="30" spans="1:19" ht="16.5" customHeight="1" x14ac:dyDescent="0.25">
      <c r="A30" s="24">
        <v>17</v>
      </c>
      <c r="B30" s="25" t="s">
        <v>122</v>
      </c>
      <c r="C30" s="8" t="s">
        <v>123</v>
      </c>
      <c r="D30" s="8"/>
      <c r="E30" s="25" t="s">
        <v>53</v>
      </c>
      <c r="F30" s="25" t="s">
        <v>54</v>
      </c>
      <c r="G30" s="25" t="s">
        <v>124</v>
      </c>
      <c r="H30" s="26">
        <v>8</v>
      </c>
      <c r="I30" s="26">
        <v>0</v>
      </c>
      <c r="J30" s="27">
        <v>7.2</v>
      </c>
      <c r="K30" s="28">
        <v>0</v>
      </c>
      <c r="L30" s="29">
        <f t="shared" si="0"/>
        <v>7.2</v>
      </c>
      <c r="M30" s="30">
        <f t="shared" si="1"/>
        <v>57.6</v>
      </c>
      <c r="N30" s="31">
        <v>0.19</v>
      </c>
      <c r="O30" s="32">
        <f t="shared" si="2"/>
        <v>68.543999999999997</v>
      </c>
      <c r="P30" s="52" t="s">
        <v>125</v>
      </c>
      <c r="Q30" s="25" t="s">
        <v>31</v>
      </c>
      <c r="R30" s="34"/>
      <c r="S30" s="35" t="s">
        <v>126</v>
      </c>
    </row>
    <row r="31" spans="1:19" ht="16.5" customHeight="1" x14ac:dyDescent="0.25">
      <c r="A31" s="36">
        <v>18</v>
      </c>
      <c r="B31" s="37" t="s">
        <v>127</v>
      </c>
      <c r="C31" s="7" t="s">
        <v>128</v>
      </c>
      <c r="D31" s="7"/>
      <c r="E31" s="37" t="s">
        <v>103</v>
      </c>
      <c r="F31" s="37" t="s">
        <v>104</v>
      </c>
      <c r="G31" s="37" t="s">
        <v>76</v>
      </c>
      <c r="H31" s="38">
        <v>4</v>
      </c>
      <c r="I31" s="38">
        <v>4</v>
      </c>
      <c r="J31" s="39">
        <v>19.5</v>
      </c>
      <c r="K31" s="40">
        <v>0</v>
      </c>
      <c r="L31" s="41">
        <f t="shared" si="0"/>
        <v>19.5</v>
      </c>
      <c r="M31" s="42">
        <f t="shared" si="1"/>
        <v>78</v>
      </c>
      <c r="N31" s="43">
        <v>0.19</v>
      </c>
      <c r="O31" s="44">
        <f t="shared" si="2"/>
        <v>92.82</v>
      </c>
      <c r="P31" s="33" t="s">
        <v>56</v>
      </c>
      <c r="Q31" s="37" t="s">
        <v>32</v>
      </c>
      <c r="R31" s="46" t="s">
        <v>86</v>
      </c>
      <c r="S31" s="47"/>
    </row>
    <row r="32" spans="1:19" ht="16.5" customHeight="1" x14ac:dyDescent="0.25">
      <c r="A32" s="24">
        <v>19</v>
      </c>
      <c r="B32" s="25" t="s">
        <v>129</v>
      </c>
      <c r="C32" s="8" t="s">
        <v>130</v>
      </c>
      <c r="D32" s="8"/>
      <c r="E32" s="25" t="s">
        <v>84</v>
      </c>
      <c r="F32" s="25" t="s">
        <v>85</v>
      </c>
      <c r="G32" s="25" t="s">
        <v>60</v>
      </c>
      <c r="H32" s="26">
        <v>3</v>
      </c>
      <c r="I32" s="26">
        <v>0</v>
      </c>
      <c r="J32" s="27">
        <v>12.8</v>
      </c>
      <c r="K32" s="28">
        <v>0</v>
      </c>
      <c r="L32" s="29">
        <f t="shared" si="0"/>
        <v>12.8</v>
      </c>
      <c r="M32" s="30">
        <f t="shared" si="1"/>
        <v>38.400000000000006</v>
      </c>
      <c r="N32" s="31">
        <v>0.19</v>
      </c>
      <c r="O32" s="32">
        <f t="shared" si="2"/>
        <v>45.696000000000005</v>
      </c>
      <c r="P32" s="49" t="s">
        <v>70</v>
      </c>
      <c r="Q32" s="25" t="s">
        <v>31</v>
      </c>
      <c r="R32" s="34" t="s">
        <v>131</v>
      </c>
      <c r="S32" s="35"/>
    </row>
    <row r="33" spans="1:19" ht="16.5" customHeight="1" x14ac:dyDescent="0.25">
      <c r="A33" s="36">
        <v>20</v>
      </c>
      <c r="B33" s="37" t="s">
        <v>132</v>
      </c>
      <c r="C33" s="7" t="s">
        <v>133</v>
      </c>
      <c r="D33" s="7"/>
      <c r="E33" s="37" t="s">
        <v>63</v>
      </c>
      <c r="F33" s="37" t="s">
        <v>64</v>
      </c>
      <c r="G33" s="37" t="s">
        <v>124</v>
      </c>
      <c r="H33" s="38">
        <v>5</v>
      </c>
      <c r="I33" s="38">
        <v>5</v>
      </c>
      <c r="J33" s="39">
        <v>38.4</v>
      </c>
      <c r="K33" s="40">
        <v>0.05</v>
      </c>
      <c r="L33" s="41">
        <f t="shared" si="0"/>
        <v>36.479999999999997</v>
      </c>
      <c r="M33" s="42">
        <f t="shared" si="1"/>
        <v>182.39999999999998</v>
      </c>
      <c r="N33" s="43">
        <v>0.19</v>
      </c>
      <c r="O33" s="44">
        <f t="shared" si="2"/>
        <v>217.05599999999995</v>
      </c>
      <c r="P33" s="33" t="s">
        <v>56</v>
      </c>
      <c r="Q33" s="37" t="s">
        <v>31</v>
      </c>
      <c r="R33" s="46" t="s">
        <v>57</v>
      </c>
      <c r="S33" s="47"/>
    </row>
    <row r="34" spans="1:19" ht="16.5" customHeight="1" x14ac:dyDescent="0.25">
      <c r="A34" s="53"/>
      <c r="B34" s="53"/>
      <c r="C34" s="6"/>
      <c r="D34" s="6"/>
      <c r="E34" s="53"/>
      <c r="F34" s="53"/>
      <c r="G34" s="53"/>
      <c r="H34" s="53"/>
      <c r="I34" s="53"/>
      <c r="J34" s="54"/>
      <c r="K34" s="55"/>
      <c r="L34" s="54" t="str">
        <f t="shared" ref="L34:L53" si="3">IF(J34="","",J34*(1-K34))</f>
        <v/>
      </c>
      <c r="M34" s="54" t="str">
        <f t="shared" ref="M34:M53" si="4">IF(H34="","",H34*L34)</f>
        <v/>
      </c>
      <c r="N34" s="56">
        <v>0.19</v>
      </c>
      <c r="O34" s="54" t="str">
        <f t="shared" ref="O34:O53" si="5">IF(M34="","",M34*(1+N34))</f>
        <v/>
      </c>
      <c r="P34" s="53"/>
      <c r="Q34" s="107"/>
      <c r="R34" s="53"/>
      <c r="S34" s="53"/>
    </row>
    <row r="35" spans="1:19" ht="16.5" customHeight="1" x14ac:dyDescent="0.25">
      <c r="A35" s="57"/>
      <c r="B35" s="57"/>
      <c r="C35" s="5"/>
      <c r="D35" s="5"/>
      <c r="E35" s="57"/>
      <c r="F35" s="57"/>
      <c r="G35" s="57"/>
      <c r="H35" s="57"/>
      <c r="I35" s="57"/>
      <c r="J35" s="58"/>
      <c r="K35" s="59"/>
      <c r="L35" s="58" t="str">
        <f t="shared" si="3"/>
        <v/>
      </c>
      <c r="M35" s="58" t="str">
        <f t="shared" si="4"/>
        <v/>
      </c>
      <c r="N35" s="56">
        <v>0.19</v>
      </c>
      <c r="O35" s="58" t="str">
        <f t="shared" si="5"/>
        <v/>
      </c>
      <c r="P35" s="57"/>
      <c r="Q35" s="108"/>
      <c r="R35" s="57"/>
      <c r="S35" s="57"/>
    </row>
    <row r="36" spans="1:19" ht="16.5" customHeight="1" x14ac:dyDescent="0.25">
      <c r="A36" s="53"/>
      <c r="B36" s="53"/>
      <c r="C36" s="6"/>
      <c r="D36" s="6"/>
      <c r="E36" s="53"/>
      <c r="F36" s="53"/>
      <c r="G36" s="53"/>
      <c r="H36" s="53"/>
      <c r="I36" s="53"/>
      <c r="J36" s="54"/>
      <c r="K36" s="55"/>
      <c r="L36" s="54" t="str">
        <f t="shared" si="3"/>
        <v/>
      </c>
      <c r="M36" s="54" t="str">
        <f t="shared" si="4"/>
        <v/>
      </c>
      <c r="N36" s="56">
        <v>0.19</v>
      </c>
      <c r="O36" s="54" t="str">
        <f t="shared" si="5"/>
        <v/>
      </c>
      <c r="P36" s="53"/>
      <c r="Q36" s="107"/>
      <c r="R36" s="53"/>
      <c r="S36" s="53"/>
    </row>
    <row r="37" spans="1:19" ht="16.5" customHeight="1" x14ac:dyDescent="0.25">
      <c r="A37" s="57"/>
      <c r="B37" s="57"/>
      <c r="C37" s="5"/>
      <c r="D37" s="5"/>
      <c r="E37" s="57"/>
      <c r="F37" s="57"/>
      <c r="G37" s="57"/>
      <c r="H37" s="57"/>
      <c r="I37" s="57"/>
      <c r="J37" s="58"/>
      <c r="K37" s="59"/>
      <c r="L37" s="58" t="str">
        <f t="shared" si="3"/>
        <v/>
      </c>
      <c r="M37" s="58" t="str">
        <f t="shared" si="4"/>
        <v/>
      </c>
      <c r="N37" s="56">
        <v>0.19</v>
      </c>
      <c r="O37" s="58" t="str">
        <f t="shared" si="5"/>
        <v/>
      </c>
      <c r="P37" s="57"/>
      <c r="Q37" s="108"/>
      <c r="R37" s="57"/>
      <c r="S37" s="57"/>
    </row>
    <row r="38" spans="1:19" ht="16.5" customHeight="1" x14ac:dyDescent="0.25">
      <c r="A38" s="53"/>
      <c r="B38" s="53"/>
      <c r="C38" s="6"/>
      <c r="D38" s="6"/>
      <c r="E38" s="53"/>
      <c r="F38" s="53"/>
      <c r="G38" s="53"/>
      <c r="H38" s="53"/>
      <c r="I38" s="53"/>
      <c r="J38" s="54"/>
      <c r="K38" s="55"/>
      <c r="L38" s="54" t="str">
        <f t="shared" si="3"/>
        <v/>
      </c>
      <c r="M38" s="54" t="str">
        <f t="shared" si="4"/>
        <v/>
      </c>
      <c r="N38" s="56">
        <v>0.19</v>
      </c>
      <c r="O38" s="54" t="str">
        <f t="shared" si="5"/>
        <v/>
      </c>
      <c r="P38" s="53"/>
      <c r="Q38" s="107"/>
      <c r="R38" s="53"/>
      <c r="S38" s="53"/>
    </row>
    <row r="39" spans="1:19" ht="16.5" customHeight="1" x14ac:dyDescent="0.25">
      <c r="A39" s="57"/>
      <c r="B39" s="57"/>
      <c r="C39" s="5"/>
      <c r="D39" s="5"/>
      <c r="E39" s="57"/>
      <c r="F39" s="57"/>
      <c r="G39" s="57"/>
      <c r="H39" s="57"/>
      <c r="I39" s="57"/>
      <c r="J39" s="58"/>
      <c r="K39" s="59"/>
      <c r="L39" s="58" t="str">
        <f t="shared" si="3"/>
        <v/>
      </c>
      <c r="M39" s="58" t="str">
        <f t="shared" si="4"/>
        <v/>
      </c>
      <c r="N39" s="56">
        <v>0.19</v>
      </c>
      <c r="O39" s="58" t="str">
        <f t="shared" si="5"/>
        <v/>
      </c>
      <c r="P39" s="57"/>
      <c r="Q39" s="108"/>
      <c r="R39" s="57"/>
      <c r="S39" s="57"/>
    </row>
    <row r="40" spans="1:19" ht="16.5" customHeight="1" x14ac:dyDescent="0.25">
      <c r="A40" s="53"/>
      <c r="B40" s="53"/>
      <c r="C40" s="6"/>
      <c r="D40" s="6"/>
      <c r="E40" s="53"/>
      <c r="F40" s="53"/>
      <c r="G40" s="53"/>
      <c r="H40" s="53"/>
      <c r="I40" s="53"/>
      <c r="J40" s="54"/>
      <c r="K40" s="55"/>
      <c r="L40" s="54" t="str">
        <f t="shared" si="3"/>
        <v/>
      </c>
      <c r="M40" s="54" t="str">
        <f t="shared" si="4"/>
        <v/>
      </c>
      <c r="N40" s="56">
        <v>0.19</v>
      </c>
      <c r="O40" s="54" t="str">
        <f t="shared" si="5"/>
        <v/>
      </c>
      <c r="P40" s="53"/>
      <c r="Q40" s="107"/>
      <c r="R40" s="53"/>
      <c r="S40" s="53"/>
    </row>
    <row r="41" spans="1:19" ht="16.5" customHeight="1" x14ac:dyDescent="0.25">
      <c r="A41" s="57"/>
      <c r="B41" s="57"/>
      <c r="C41" s="5"/>
      <c r="D41" s="5"/>
      <c r="E41" s="57"/>
      <c r="F41" s="57"/>
      <c r="G41" s="57"/>
      <c r="H41" s="57"/>
      <c r="I41" s="57"/>
      <c r="J41" s="58"/>
      <c r="K41" s="59"/>
      <c r="L41" s="58" t="str">
        <f t="shared" si="3"/>
        <v/>
      </c>
      <c r="M41" s="58" t="str">
        <f t="shared" si="4"/>
        <v/>
      </c>
      <c r="N41" s="56">
        <v>0.19</v>
      </c>
      <c r="O41" s="58" t="str">
        <f t="shared" si="5"/>
        <v/>
      </c>
      <c r="P41" s="57"/>
      <c r="Q41" s="108"/>
      <c r="R41" s="57"/>
      <c r="S41" s="57"/>
    </row>
    <row r="42" spans="1:19" ht="16.5" customHeight="1" x14ac:dyDescent="0.25">
      <c r="A42" s="53"/>
      <c r="B42" s="53"/>
      <c r="C42" s="6"/>
      <c r="D42" s="6"/>
      <c r="E42" s="53"/>
      <c r="F42" s="53"/>
      <c r="G42" s="53"/>
      <c r="H42" s="53"/>
      <c r="I42" s="53"/>
      <c r="J42" s="54"/>
      <c r="K42" s="55"/>
      <c r="L42" s="54" t="str">
        <f t="shared" si="3"/>
        <v/>
      </c>
      <c r="M42" s="54" t="str">
        <f t="shared" si="4"/>
        <v/>
      </c>
      <c r="N42" s="56">
        <v>0.19</v>
      </c>
      <c r="O42" s="54" t="str">
        <f t="shared" si="5"/>
        <v/>
      </c>
      <c r="P42" s="53"/>
      <c r="Q42" s="107"/>
      <c r="R42" s="53"/>
      <c r="S42" s="53"/>
    </row>
    <row r="43" spans="1:19" ht="16.5" customHeight="1" x14ac:dyDescent="0.25">
      <c r="A43" s="57"/>
      <c r="B43" s="57"/>
      <c r="C43" s="5"/>
      <c r="D43" s="5"/>
      <c r="E43" s="57"/>
      <c r="F43" s="57"/>
      <c r="G43" s="57"/>
      <c r="H43" s="57"/>
      <c r="I43" s="57"/>
      <c r="J43" s="58"/>
      <c r="K43" s="59"/>
      <c r="L43" s="58" t="str">
        <f t="shared" si="3"/>
        <v/>
      </c>
      <c r="M43" s="58" t="str">
        <f t="shared" si="4"/>
        <v/>
      </c>
      <c r="N43" s="56">
        <v>0.19</v>
      </c>
      <c r="O43" s="58" t="str">
        <f t="shared" si="5"/>
        <v/>
      </c>
      <c r="P43" s="57"/>
      <c r="Q43" s="108"/>
      <c r="R43" s="57"/>
      <c r="S43" s="57"/>
    </row>
    <row r="44" spans="1:19" ht="16.5" customHeight="1" x14ac:dyDescent="0.25">
      <c r="A44" s="53"/>
      <c r="B44" s="53"/>
      <c r="C44" s="6"/>
      <c r="D44" s="6"/>
      <c r="E44" s="53"/>
      <c r="F44" s="53"/>
      <c r="G44" s="53"/>
      <c r="H44" s="53"/>
      <c r="I44" s="53"/>
      <c r="J44" s="54"/>
      <c r="K44" s="55"/>
      <c r="L44" s="54" t="str">
        <f t="shared" si="3"/>
        <v/>
      </c>
      <c r="M44" s="54" t="str">
        <f t="shared" si="4"/>
        <v/>
      </c>
      <c r="N44" s="56">
        <v>0.19</v>
      </c>
      <c r="O44" s="54" t="str">
        <f t="shared" si="5"/>
        <v/>
      </c>
      <c r="P44" s="53"/>
      <c r="Q44" s="107"/>
      <c r="R44" s="53"/>
      <c r="S44" s="53"/>
    </row>
    <row r="45" spans="1:19" ht="16.5" customHeight="1" x14ac:dyDescent="0.25">
      <c r="A45" s="57"/>
      <c r="B45" s="57"/>
      <c r="C45" s="5"/>
      <c r="D45" s="5"/>
      <c r="E45" s="57"/>
      <c r="F45" s="57"/>
      <c r="G45" s="57"/>
      <c r="H45" s="57"/>
      <c r="I45" s="57"/>
      <c r="J45" s="58"/>
      <c r="K45" s="59"/>
      <c r="L45" s="58" t="str">
        <f t="shared" si="3"/>
        <v/>
      </c>
      <c r="M45" s="58" t="str">
        <f t="shared" si="4"/>
        <v/>
      </c>
      <c r="N45" s="56">
        <v>0.19</v>
      </c>
      <c r="O45" s="58" t="str">
        <f t="shared" si="5"/>
        <v/>
      </c>
      <c r="P45" s="57"/>
      <c r="Q45" s="108"/>
      <c r="R45" s="57"/>
      <c r="S45" s="57"/>
    </row>
    <row r="46" spans="1:19" ht="16.5" customHeight="1" x14ac:dyDescent="0.25">
      <c r="A46" s="53"/>
      <c r="B46" s="53"/>
      <c r="C46" s="6"/>
      <c r="D46" s="6"/>
      <c r="E46" s="53"/>
      <c r="F46" s="53"/>
      <c r="G46" s="53"/>
      <c r="H46" s="53"/>
      <c r="I46" s="53"/>
      <c r="J46" s="54"/>
      <c r="K46" s="55"/>
      <c r="L46" s="54" t="str">
        <f t="shared" si="3"/>
        <v/>
      </c>
      <c r="M46" s="54" t="str">
        <f t="shared" si="4"/>
        <v/>
      </c>
      <c r="N46" s="56">
        <v>0.19</v>
      </c>
      <c r="O46" s="54" t="str">
        <f t="shared" si="5"/>
        <v/>
      </c>
      <c r="P46" s="53"/>
      <c r="Q46" s="107"/>
      <c r="R46" s="53"/>
      <c r="S46" s="53"/>
    </row>
    <row r="47" spans="1:19" ht="16.5" customHeight="1" x14ac:dyDescent="0.25">
      <c r="A47" s="57"/>
      <c r="B47" s="57"/>
      <c r="C47" s="5"/>
      <c r="D47" s="5"/>
      <c r="E47" s="57"/>
      <c r="F47" s="57"/>
      <c r="G47" s="57"/>
      <c r="H47" s="57"/>
      <c r="I47" s="57"/>
      <c r="J47" s="58"/>
      <c r="K47" s="59"/>
      <c r="L47" s="58" t="str">
        <f t="shared" si="3"/>
        <v/>
      </c>
      <c r="M47" s="58" t="str">
        <f t="shared" si="4"/>
        <v/>
      </c>
      <c r="N47" s="56">
        <v>0.19</v>
      </c>
      <c r="O47" s="58" t="str">
        <f t="shared" si="5"/>
        <v/>
      </c>
      <c r="P47" s="57"/>
      <c r="Q47" s="108"/>
      <c r="R47" s="57"/>
      <c r="S47" s="57"/>
    </row>
    <row r="48" spans="1:19" ht="16.5" customHeight="1" x14ac:dyDescent="0.25">
      <c r="A48" s="53"/>
      <c r="B48" s="53"/>
      <c r="C48" s="6"/>
      <c r="D48" s="6"/>
      <c r="E48" s="53"/>
      <c r="F48" s="53"/>
      <c r="G48" s="53"/>
      <c r="H48" s="53"/>
      <c r="I48" s="53"/>
      <c r="J48" s="54"/>
      <c r="K48" s="55"/>
      <c r="L48" s="54" t="str">
        <f t="shared" si="3"/>
        <v/>
      </c>
      <c r="M48" s="54" t="str">
        <f t="shared" si="4"/>
        <v/>
      </c>
      <c r="N48" s="56">
        <v>0.19</v>
      </c>
      <c r="O48" s="54" t="str">
        <f t="shared" si="5"/>
        <v/>
      </c>
      <c r="P48" s="53"/>
      <c r="Q48" s="107"/>
      <c r="R48" s="53"/>
      <c r="S48" s="53"/>
    </row>
    <row r="49" spans="1:19" ht="16.5" customHeight="1" x14ac:dyDescent="0.25">
      <c r="A49" s="57"/>
      <c r="B49" s="57"/>
      <c r="C49" s="5"/>
      <c r="D49" s="5"/>
      <c r="E49" s="57"/>
      <c r="F49" s="57"/>
      <c r="G49" s="57"/>
      <c r="H49" s="57"/>
      <c r="I49" s="57"/>
      <c r="J49" s="58"/>
      <c r="K49" s="59"/>
      <c r="L49" s="58" t="str">
        <f t="shared" si="3"/>
        <v/>
      </c>
      <c r="M49" s="58" t="str">
        <f t="shared" si="4"/>
        <v/>
      </c>
      <c r="N49" s="56">
        <v>0.19</v>
      </c>
      <c r="O49" s="58" t="str">
        <f t="shared" si="5"/>
        <v/>
      </c>
      <c r="P49" s="57"/>
      <c r="Q49" s="108"/>
      <c r="R49" s="57"/>
      <c r="S49" s="57"/>
    </row>
    <row r="50" spans="1:19" ht="16.5" customHeight="1" x14ac:dyDescent="0.25">
      <c r="A50" s="53"/>
      <c r="B50" s="53"/>
      <c r="C50" s="6"/>
      <c r="D50" s="6"/>
      <c r="E50" s="53"/>
      <c r="F50" s="53"/>
      <c r="G50" s="53"/>
      <c r="H50" s="53"/>
      <c r="I50" s="53"/>
      <c r="J50" s="54"/>
      <c r="K50" s="55"/>
      <c r="L50" s="54" t="str">
        <f t="shared" si="3"/>
        <v/>
      </c>
      <c r="M50" s="54" t="str">
        <f t="shared" si="4"/>
        <v/>
      </c>
      <c r="N50" s="56">
        <v>0.19</v>
      </c>
      <c r="O50" s="54" t="str">
        <f t="shared" si="5"/>
        <v/>
      </c>
      <c r="P50" s="53"/>
      <c r="Q50" s="107"/>
      <c r="R50" s="53"/>
      <c r="S50" s="53"/>
    </row>
    <row r="51" spans="1:19" ht="16.5" customHeight="1" x14ac:dyDescent="0.25">
      <c r="A51" s="57"/>
      <c r="B51" s="57"/>
      <c r="C51" s="5"/>
      <c r="D51" s="5"/>
      <c r="E51" s="57"/>
      <c r="F51" s="57"/>
      <c r="G51" s="57"/>
      <c r="H51" s="57"/>
      <c r="I51" s="57"/>
      <c r="J51" s="58"/>
      <c r="K51" s="59"/>
      <c r="L51" s="58" t="str">
        <f t="shared" si="3"/>
        <v/>
      </c>
      <c r="M51" s="58" t="str">
        <f t="shared" si="4"/>
        <v/>
      </c>
      <c r="N51" s="56">
        <v>0.19</v>
      </c>
      <c r="O51" s="58" t="str">
        <f t="shared" si="5"/>
        <v/>
      </c>
      <c r="P51" s="57"/>
      <c r="Q51" s="108"/>
      <c r="R51" s="57"/>
      <c r="S51" s="57"/>
    </row>
    <row r="52" spans="1:19" ht="16.5" customHeight="1" x14ac:dyDescent="0.25">
      <c r="A52" s="53"/>
      <c r="B52" s="53"/>
      <c r="C52" s="6"/>
      <c r="D52" s="6"/>
      <c r="E52" s="53"/>
      <c r="F52" s="53"/>
      <c r="G52" s="53"/>
      <c r="H52" s="53"/>
      <c r="I52" s="53"/>
      <c r="J52" s="54"/>
      <c r="K52" s="55"/>
      <c r="L52" s="54" t="str">
        <f t="shared" si="3"/>
        <v/>
      </c>
      <c r="M52" s="54" t="str">
        <f t="shared" si="4"/>
        <v/>
      </c>
      <c r="N52" s="56">
        <v>0.19</v>
      </c>
      <c r="O52" s="54" t="str">
        <f t="shared" si="5"/>
        <v/>
      </c>
      <c r="P52" s="53"/>
      <c r="Q52" s="107"/>
      <c r="R52" s="53"/>
      <c r="S52" s="53"/>
    </row>
    <row r="53" spans="1:19" ht="16.5" customHeight="1" x14ac:dyDescent="0.25">
      <c r="A53" s="60"/>
      <c r="B53" s="60"/>
      <c r="C53" s="4"/>
      <c r="D53" s="4"/>
      <c r="E53" s="60"/>
      <c r="F53" s="60"/>
      <c r="G53" s="60"/>
      <c r="H53" s="60"/>
      <c r="I53" s="60"/>
      <c r="J53" s="61"/>
      <c r="K53" s="62"/>
      <c r="L53" s="61" t="str">
        <f t="shared" si="3"/>
        <v/>
      </c>
      <c r="M53" s="61" t="str">
        <f t="shared" si="4"/>
        <v/>
      </c>
      <c r="N53" s="63">
        <v>0.19</v>
      </c>
      <c r="O53" s="61" t="str">
        <f t="shared" si="5"/>
        <v/>
      </c>
      <c r="P53" s="60"/>
      <c r="Q53" s="109"/>
      <c r="R53" s="60"/>
      <c r="S53" s="60"/>
    </row>
    <row r="54" spans="1:19" ht="21.75" customHeight="1" x14ac:dyDescent="0.25">
      <c r="A54" s="3" t="s">
        <v>134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64" t="s">
        <v>135</v>
      </c>
      <c r="M54" s="65">
        <f>SUM(M14:M53)</f>
        <v>2664.5830000000001</v>
      </c>
      <c r="N54" s="64" t="s">
        <v>136</v>
      </c>
      <c r="O54" s="66">
        <f>SUM(O14:O53)</f>
        <v>3170.8537699999997</v>
      </c>
      <c r="P54" s="2" t="s">
        <v>137</v>
      </c>
      <c r="Q54" s="2"/>
      <c r="R54" s="2"/>
      <c r="S54" s="2"/>
    </row>
    <row r="55" spans="1:19" ht="15.75" customHeight="1" x14ac:dyDescent="0.25">
      <c r="A55" s="67" t="s">
        <v>138</v>
      </c>
      <c r="B55" s="68">
        <f>SUMIF(P14:P53,"Bestellt",O14:O53)</f>
        <v>625.12484999999992</v>
      </c>
      <c r="D55" s="69" t="s">
        <v>139</v>
      </c>
      <c r="E55" s="70">
        <f>SUMIF(P14:P53,"Geliefert",O14:O53)</f>
        <v>1310.8183200000001</v>
      </c>
      <c r="G55" s="71" t="s">
        <v>140</v>
      </c>
      <c r="H55" s="72">
        <f>SUMIF(P14:P53,"In Prüfung",O14:O53)</f>
        <v>650.7396</v>
      </c>
      <c r="J55" s="73" t="s">
        <v>141</v>
      </c>
      <c r="K55" s="74">
        <f>SUMIF(P14:P53,"Storniert",O14:O53)</f>
        <v>68.543999999999997</v>
      </c>
      <c r="M55" s="75" t="s">
        <v>142</v>
      </c>
      <c r="N55" s="76">
        <f>COUNTA(B14:B53)</f>
        <v>20</v>
      </c>
    </row>
  </sheetData>
  <mergeCells count="59">
    <mergeCell ref="A54:K54"/>
    <mergeCell ref="P54:S54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B7:D7"/>
    <mergeCell ref="E7:F7"/>
    <mergeCell ref="H7:L7"/>
    <mergeCell ref="A9:P9"/>
    <mergeCell ref="C13:D13"/>
    <mergeCell ref="B5:D5"/>
    <mergeCell ref="E5:F5"/>
    <mergeCell ref="H5:L5"/>
    <mergeCell ref="B6:D6"/>
    <mergeCell ref="E6:F6"/>
    <mergeCell ref="H6:L6"/>
    <mergeCell ref="A1:P1"/>
    <mergeCell ref="A2:J2"/>
    <mergeCell ref="K2:P2"/>
    <mergeCell ref="B4:D4"/>
    <mergeCell ref="E4:F4"/>
    <mergeCell ref="H4:L4"/>
  </mergeCells>
  <dataValidations count="3">
    <dataValidation type="list" allowBlank="1" showErrorMessage="1" errorTitle="Ungültiger Status" error="Bitte einen gültigen Status aus der Liste wählen." sqref="P14:P53" xr:uid="{00000000-0002-0000-0000-000000000000}">
      <formula1>"Entwurf,Bestellt,Geliefert,In Prüfung,Storniert,Teillieferung"</formula1>
      <formula2>0</formula2>
    </dataValidation>
    <dataValidation type="list" allowBlank="1" sqref="Q14:Q53" xr:uid="{00000000-0002-0000-0000-000001000000}">
      <formula1>"🔴 Dringend,🟡 Normal,🟢 Niedrig"</formula1>
      <formula2>0</formula2>
    </dataValidation>
    <dataValidation type="list" allowBlank="1" sqref="N14:N53" xr:uid="{00000000-0002-0000-0000-000002000000}">
      <formula1>"0.19,0.07,0.0"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"/>
  <sheetViews>
    <sheetView zoomScaleNormal="100" workbookViewId="0"/>
  </sheetViews>
  <sheetFormatPr baseColWidth="10" defaultColWidth="8.7109375" defaultRowHeight="15" x14ac:dyDescent="0.25"/>
  <cols>
    <col min="1" max="1" width="16" customWidth="1"/>
    <col min="2" max="2" width="10" customWidth="1"/>
    <col min="3" max="3" width="14" customWidth="1"/>
    <col min="4" max="4" width="2" customWidth="1"/>
    <col min="5" max="5" width="24" customWidth="1"/>
    <col min="6" max="6" width="10" customWidth="1"/>
    <col min="7" max="8" width="14" customWidth="1"/>
  </cols>
  <sheetData>
    <row r="1" spans="1:14" ht="36" customHeight="1" x14ac:dyDescent="0.25">
      <c r="A1" s="1" t="s">
        <v>143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5">
      <c r="A2" s="92" t="s">
        <v>144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9.75" customHeight="1" x14ac:dyDescent="0.25"/>
    <row r="4" spans="1:14" ht="15.75" customHeight="1" x14ac:dyDescent="0.25">
      <c r="A4" s="93" t="s">
        <v>137</v>
      </c>
      <c r="B4" s="93"/>
      <c r="C4" s="93"/>
      <c r="D4" s="94" t="s">
        <v>145</v>
      </c>
      <c r="E4" s="94"/>
      <c r="F4" s="94"/>
      <c r="G4" s="2" t="s">
        <v>146</v>
      </c>
      <c r="H4" s="2"/>
      <c r="I4" s="2"/>
      <c r="J4" s="95" t="s">
        <v>147</v>
      </c>
      <c r="K4" s="95"/>
      <c r="L4" s="95"/>
    </row>
    <row r="5" spans="1:14" ht="24" customHeight="1" x14ac:dyDescent="0.25">
      <c r="A5" s="96">
        <f>Bestellliste!O54</f>
        <v>3170.8537699999997</v>
      </c>
      <c r="B5" s="96"/>
      <c r="C5" s="96"/>
      <c r="D5" s="97">
        <f>Bestellliste!M54</f>
        <v>2664.5830000000001</v>
      </c>
      <c r="E5" s="97"/>
      <c r="F5" s="97"/>
      <c r="G5" s="98">
        <f>COUNTA(Bestellliste!B14:B53)</f>
        <v>20</v>
      </c>
      <c r="H5" s="98"/>
      <c r="I5" s="98"/>
      <c r="J5" s="99">
        <f>SUMIF(Bestellliste!P14:P53,"Bestellt",Bestellliste!O14:O53)</f>
        <v>625.12484999999992</v>
      </c>
      <c r="K5" s="99"/>
      <c r="L5" s="99"/>
    </row>
    <row r="6" spans="1:14" ht="15.75" customHeight="1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1:14" ht="9.75" customHeight="1" x14ac:dyDescent="0.25"/>
    <row r="8" spans="1:14" ht="15" customHeight="1" x14ac:dyDescent="0.25">
      <c r="A8" s="3" t="s">
        <v>148</v>
      </c>
      <c r="B8" s="3"/>
      <c r="C8" s="3"/>
      <c r="E8" s="101" t="s">
        <v>149</v>
      </c>
      <c r="F8" s="101"/>
      <c r="G8" s="101"/>
      <c r="H8" s="101"/>
    </row>
    <row r="9" spans="1:14" ht="18" customHeight="1" x14ac:dyDescent="0.25">
      <c r="A9" s="78" t="s">
        <v>150</v>
      </c>
      <c r="B9" s="78" t="s">
        <v>151</v>
      </c>
      <c r="C9" s="78" t="s">
        <v>152</v>
      </c>
      <c r="E9" s="77" t="s">
        <v>36</v>
      </c>
      <c r="F9" s="77" t="s">
        <v>153</v>
      </c>
      <c r="G9" s="77" t="s">
        <v>154</v>
      </c>
      <c r="H9" s="77" t="s">
        <v>155</v>
      </c>
    </row>
    <row r="10" spans="1:14" ht="18" customHeight="1" x14ac:dyDescent="0.25">
      <c r="A10" s="79" t="s">
        <v>90</v>
      </c>
      <c r="B10" s="80">
        <f>COUNTIF(Bestellliste!P14:P53,"Entwurf")</f>
        <v>1</v>
      </c>
      <c r="C10" s="81">
        <f>SUMIF(Bestellliste!P14:P53,"Entwurf",Bestellliste!O14:O53)</f>
        <v>134.946</v>
      </c>
      <c r="E10" s="82" t="s">
        <v>53</v>
      </c>
      <c r="F10" s="83">
        <f>COUNTIF(Bestellliste!E14:E53,"Büromaterial")</f>
        <v>5</v>
      </c>
      <c r="G10" s="81">
        <f>SUMIF(Bestellliste!E14:E53,"Büromaterial",Bestellliste!M14:M53)</f>
        <v>454.1</v>
      </c>
      <c r="H10" s="84">
        <f>SUMIF(Bestellliste!E14:E53,"Büromaterial",Bestellliste!O14:O53)</f>
        <v>540.37899999999991</v>
      </c>
    </row>
    <row r="11" spans="1:14" ht="18" customHeight="1" x14ac:dyDescent="0.25">
      <c r="A11" s="85" t="s">
        <v>70</v>
      </c>
      <c r="B11" s="86">
        <f>COUNTIF(Bestellliste!P14:P53,"Bestellt")</f>
        <v>4</v>
      </c>
      <c r="C11" s="39">
        <f>SUMIF(Bestellliste!P14:P53,"Bestellt",Bestellliste!O14:O53)</f>
        <v>625.12484999999992</v>
      </c>
      <c r="E11" s="87" t="s">
        <v>63</v>
      </c>
      <c r="F11" s="45">
        <f>COUNTIF(Bestellliste!E14:E53,"IT &amp; Technik")</f>
        <v>6</v>
      </c>
      <c r="G11" s="39">
        <f>SUMIF(Bestellliste!E14:E53,"IT &amp; Technik",Bestellliste!M14:M53)</f>
        <v>1472.0549999999998</v>
      </c>
      <c r="H11" s="42">
        <f>SUMIF(Bestellliste!E14:E53,"IT &amp; Technik",Bestellliste!O14:O53)</f>
        <v>1751.7454499999999</v>
      </c>
    </row>
    <row r="12" spans="1:14" ht="18" customHeight="1" x14ac:dyDescent="0.25">
      <c r="A12" s="88" t="s">
        <v>56</v>
      </c>
      <c r="B12" s="80">
        <f>COUNTIF(Bestellliste!P14:P53,"Geliefert")</f>
        <v>11</v>
      </c>
      <c r="C12" s="81">
        <f>SUMIF(Bestellliste!P14:P53,"Geliefert",Bestellliste!O14:O53)</f>
        <v>1310.8183200000001</v>
      </c>
      <c r="E12" s="82" t="s">
        <v>74</v>
      </c>
      <c r="F12" s="83">
        <f>COUNTIF(Bestellliste!E14:E53,"Reinigung")</f>
        <v>3</v>
      </c>
      <c r="G12" s="81">
        <f>SUMIF(Bestellliste!E14:E53,"Reinigung",Bestellliste!M14:M53)</f>
        <v>274</v>
      </c>
      <c r="H12" s="84">
        <f>SUMIF(Bestellliste!E14:E53,"Reinigung",Bestellliste!O14:O53)</f>
        <v>326.05999999999995</v>
      </c>
    </row>
    <row r="13" spans="1:14" ht="18" customHeight="1" x14ac:dyDescent="0.25">
      <c r="A13" s="89" t="s">
        <v>98</v>
      </c>
      <c r="B13" s="86">
        <f>COUNTIF(Bestellliste!P14:P53,"In Prüfung")</f>
        <v>1</v>
      </c>
      <c r="C13" s="39">
        <f>SUMIF(Bestellliste!P14:P53,"In Prüfung",Bestellliste!O14:O53)</f>
        <v>650.7396</v>
      </c>
      <c r="E13" s="87" t="s">
        <v>84</v>
      </c>
      <c r="F13" s="45">
        <f>COUNTIF(Bestellliste!E14:E53,"Küche &amp; Verpfl.")</f>
        <v>3</v>
      </c>
      <c r="G13" s="39">
        <f>SUMIF(Bestellliste!E14:E53,"Küche &amp; Verpfl.",Bestellliste!M14:M53)</f>
        <v>123.16800000000001</v>
      </c>
      <c r="H13" s="42">
        <f>SUMIF(Bestellliste!E14:E53,"Küche &amp; Verpfl.",Bestellliste!O14:O53)</f>
        <v>146.56992</v>
      </c>
    </row>
    <row r="14" spans="1:14" ht="18" customHeight="1" x14ac:dyDescent="0.25">
      <c r="A14" s="90" t="s">
        <v>125</v>
      </c>
      <c r="B14" s="80">
        <f>COUNTIF(Bestellliste!P14:P53,"Storniert")</f>
        <v>1</v>
      </c>
      <c r="C14" s="81">
        <f>SUMIF(Bestellliste!P14:P53,"Storniert",Bestellliste!O14:O53)</f>
        <v>68.543999999999997</v>
      </c>
      <c r="E14" s="82" t="s">
        <v>103</v>
      </c>
      <c r="F14" s="83">
        <f>COUNTIF(Bestellliste!E14:E53,"Versand &amp; Lager")</f>
        <v>3</v>
      </c>
      <c r="G14" s="81">
        <f>SUMIF(Bestellliste!E14:E53,"Versand &amp; Lager",Bestellliste!M14:M53)</f>
        <v>341.26</v>
      </c>
      <c r="H14" s="84">
        <f>SUMIF(Bestellliste!E14:E53,"Versand &amp; Lager",Bestellliste!O14:O53)</f>
        <v>406.0994</v>
      </c>
    </row>
    <row r="15" spans="1:14" ht="18" customHeight="1" x14ac:dyDescent="0.25">
      <c r="A15" s="91" t="s">
        <v>65</v>
      </c>
      <c r="B15" s="86">
        <f>COUNTIF(Bestellliste!P14:P53,"Teillieferung")</f>
        <v>2</v>
      </c>
      <c r="C15" s="39">
        <f>SUMIF(Bestellliste!P14:P53,"Teillieferung",Bestellliste!O14:O53)</f>
        <v>380.68100000000004</v>
      </c>
    </row>
    <row r="16" spans="1:14" ht="15" customHeight="1" x14ac:dyDescent="0.25">
      <c r="E16" s="102" t="s">
        <v>156</v>
      </c>
      <c r="F16" s="102"/>
      <c r="G16" s="102"/>
      <c r="H16" s="102"/>
    </row>
    <row r="17" spans="5:8" ht="15" customHeight="1" x14ac:dyDescent="0.25">
      <c r="E17" s="77" t="s">
        <v>37</v>
      </c>
      <c r="F17" s="77" t="s">
        <v>153</v>
      </c>
      <c r="G17" s="77" t="s">
        <v>154</v>
      </c>
      <c r="H17" s="77" t="s">
        <v>155</v>
      </c>
    </row>
    <row r="18" spans="5:8" ht="18" customHeight="1" x14ac:dyDescent="0.25">
      <c r="E18" s="82" t="s">
        <v>54</v>
      </c>
      <c r="F18" s="83">
        <f>COUNTIF(Bestellliste!F14:F53,"Schreiber &amp; Co. KG")</f>
        <v>5</v>
      </c>
      <c r="G18" s="81">
        <f>SUMIF(Bestellliste!F14:F53,"Schreiber &amp; Co. KG",Bestellliste!M14:M53)</f>
        <v>454.1</v>
      </c>
      <c r="H18" s="84">
        <f>SUMIF(Bestellliste!F14:F53,"Schreiber &amp; Co. KG",Bestellliste!O14:O53)</f>
        <v>540.37899999999991</v>
      </c>
    </row>
    <row r="19" spans="5:8" ht="18" customHeight="1" x14ac:dyDescent="0.25">
      <c r="E19" s="87" t="s">
        <v>64</v>
      </c>
      <c r="F19" s="45">
        <f>COUNTIF(Bestellliste!F14:F53,"TechDirect GmbH")</f>
        <v>6</v>
      </c>
      <c r="G19" s="39">
        <f>SUMIF(Bestellliste!F14:F53,"TechDirect GmbH",Bestellliste!M14:M53)</f>
        <v>1472.0549999999998</v>
      </c>
      <c r="H19" s="42">
        <f>SUMIF(Bestellliste!F14:F53,"TechDirect GmbH",Bestellliste!O14:O53)</f>
        <v>1751.7454499999999</v>
      </c>
    </row>
    <row r="20" spans="5:8" ht="18" customHeight="1" x14ac:dyDescent="0.25">
      <c r="E20" s="82" t="s">
        <v>75</v>
      </c>
      <c r="F20" s="83">
        <f>COUNTIF(Bestellliste!F14:F53,"CleanPro Vertriebs GmbH")</f>
        <v>3</v>
      </c>
      <c r="G20" s="81">
        <f>SUMIF(Bestellliste!F14:F53,"CleanPro Vertriebs GmbH",Bestellliste!M14:M53)</f>
        <v>274</v>
      </c>
      <c r="H20" s="84">
        <f>SUMIF(Bestellliste!F14:F53,"CleanPro Vertriebs GmbH",Bestellliste!O14:O53)</f>
        <v>326.05999999999995</v>
      </c>
    </row>
    <row r="21" spans="5:8" ht="18" customHeight="1" x14ac:dyDescent="0.25">
      <c r="E21" s="87" t="s">
        <v>85</v>
      </c>
      <c r="F21" s="45">
        <f>COUNTIF(Bestellliste!F14:F53,"Genuss Großhandel oHG")</f>
        <v>3</v>
      </c>
      <c r="G21" s="39">
        <f>SUMIF(Bestellliste!F14:F53,"Genuss Großhandel oHG",Bestellliste!M14:M53)</f>
        <v>123.16800000000001</v>
      </c>
      <c r="H21" s="42">
        <f>SUMIF(Bestellliste!F14:F53,"Genuss Großhandel oHG",Bestellliste!O14:O53)</f>
        <v>146.56992</v>
      </c>
    </row>
    <row r="22" spans="5:8" ht="18" customHeight="1" x14ac:dyDescent="0.25">
      <c r="E22" s="82" t="s">
        <v>104</v>
      </c>
      <c r="F22" s="83">
        <f>COUNTIF(Bestellliste!F14:F53,"LogiSupply AG")</f>
        <v>3</v>
      </c>
      <c r="G22" s="81">
        <f>SUMIF(Bestellliste!F14:F53,"LogiSupply AG",Bestellliste!M14:M53)</f>
        <v>341.26</v>
      </c>
      <c r="H22" s="84">
        <f>SUMIF(Bestellliste!F14:F53,"LogiSupply AG",Bestellliste!O14:O53)</f>
        <v>406.0994</v>
      </c>
    </row>
  </sheetData>
  <mergeCells count="17">
    <mergeCell ref="A8:C8"/>
    <mergeCell ref="E8:H8"/>
    <mergeCell ref="E16:H16"/>
    <mergeCell ref="A5:C5"/>
    <mergeCell ref="D5:F5"/>
    <mergeCell ref="G5:I5"/>
    <mergeCell ref="J5:L5"/>
    <mergeCell ref="A6:C6"/>
    <mergeCell ref="D6:F6"/>
    <mergeCell ref="G6:I6"/>
    <mergeCell ref="J6:L6"/>
    <mergeCell ref="A1:N1"/>
    <mergeCell ref="A2:N2"/>
    <mergeCell ref="A4:C4"/>
    <mergeCell ref="D4:F4"/>
    <mergeCell ref="G4:I4"/>
    <mergeCell ref="J4:L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zoomScaleNormal="100" workbookViewId="0"/>
  </sheetViews>
  <sheetFormatPr baseColWidth="10" defaultColWidth="8.7109375" defaultRowHeight="15" x14ac:dyDescent="0.25"/>
  <cols>
    <col min="1" max="1" width="90" customWidth="1"/>
  </cols>
  <sheetData>
    <row r="1" spans="1:6" ht="31.5" customHeight="1" x14ac:dyDescent="0.25">
      <c r="A1" s="103" t="s">
        <v>157</v>
      </c>
      <c r="B1" s="103"/>
      <c r="C1" s="103"/>
      <c r="D1" s="103"/>
      <c r="E1" s="103"/>
      <c r="F1" s="103"/>
    </row>
    <row r="3" spans="1:6" ht="19.5" customHeight="1" x14ac:dyDescent="0.25">
      <c r="A3" s="104" t="s">
        <v>158</v>
      </c>
      <c r="B3" s="104"/>
      <c r="C3" s="104"/>
      <c r="D3" s="104"/>
      <c r="E3" s="104"/>
      <c r="F3" s="104"/>
    </row>
    <row r="4" spans="1:6" ht="36" customHeight="1" x14ac:dyDescent="0.25">
      <c r="A4" s="105" t="s">
        <v>159</v>
      </c>
      <c r="B4" s="105"/>
      <c r="C4" s="105"/>
      <c r="D4" s="105"/>
      <c r="E4" s="105"/>
      <c r="F4" s="105"/>
    </row>
    <row r="5" spans="1:6" ht="19.5" customHeight="1" x14ac:dyDescent="0.25">
      <c r="A5" s="106" t="s">
        <v>160</v>
      </c>
      <c r="B5" s="106"/>
      <c r="C5" s="106"/>
      <c r="D5" s="106"/>
      <c r="E5" s="106"/>
      <c r="F5" s="106"/>
    </row>
    <row r="6" spans="1:6" ht="36" customHeight="1" x14ac:dyDescent="0.25">
      <c r="A6" s="105" t="s">
        <v>161</v>
      </c>
      <c r="B6" s="105"/>
      <c r="C6" s="105"/>
      <c r="D6" s="105"/>
      <c r="E6" s="105"/>
      <c r="F6" s="105"/>
    </row>
    <row r="7" spans="1:6" ht="19.5" customHeight="1" x14ac:dyDescent="0.25">
      <c r="A7" s="104" t="s">
        <v>162</v>
      </c>
      <c r="B7" s="104"/>
      <c r="C7" s="104"/>
      <c r="D7" s="104"/>
      <c r="E7" s="104"/>
      <c r="F7" s="104"/>
    </row>
    <row r="8" spans="1:6" ht="36" customHeight="1" x14ac:dyDescent="0.25">
      <c r="A8" s="105" t="s">
        <v>163</v>
      </c>
      <c r="B8" s="105"/>
      <c r="C8" s="105"/>
      <c r="D8" s="105"/>
      <c r="E8" s="105"/>
      <c r="F8" s="105"/>
    </row>
    <row r="9" spans="1:6" ht="19.5" customHeight="1" x14ac:dyDescent="0.25">
      <c r="A9" s="106" t="s">
        <v>164</v>
      </c>
      <c r="B9" s="106"/>
      <c r="C9" s="106"/>
      <c r="D9" s="106"/>
      <c r="E9" s="106"/>
      <c r="F9" s="106"/>
    </row>
    <row r="10" spans="1:6" ht="36" customHeight="1" x14ac:dyDescent="0.25">
      <c r="A10" s="105" t="s">
        <v>165</v>
      </c>
      <c r="B10" s="105"/>
      <c r="C10" s="105"/>
      <c r="D10" s="105"/>
      <c r="E10" s="105"/>
      <c r="F10" s="105"/>
    </row>
    <row r="11" spans="1:6" ht="19.5" customHeight="1" x14ac:dyDescent="0.25">
      <c r="A11" s="104" t="s">
        <v>166</v>
      </c>
      <c r="B11" s="104"/>
      <c r="C11" s="104"/>
      <c r="D11" s="104"/>
      <c r="E11" s="104"/>
      <c r="F11" s="104"/>
    </row>
    <row r="12" spans="1:6" ht="36" customHeight="1" x14ac:dyDescent="0.25">
      <c r="A12" s="105" t="s">
        <v>167</v>
      </c>
      <c r="B12" s="105"/>
      <c r="C12" s="105"/>
      <c r="D12" s="105"/>
      <c r="E12" s="105"/>
      <c r="F12" s="105"/>
    </row>
    <row r="13" spans="1:6" ht="19.5" customHeight="1" x14ac:dyDescent="0.25">
      <c r="A13" s="10" t="s">
        <v>168</v>
      </c>
      <c r="B13" s="10"/>
      <c r="C13" s="10"/>
      <c r="D13" s="10"/>
      <c r="E13" s="10"/>
      <c r="F13" s="10"/>
    </row>
    <row r="14" spans="1:6" ht="36" customHeight="1" x14ac:dyDescent="0.25">
      <c r="A14" s="105" t="s">
        <v>169</v>
      </c>
      <c r="B14" s="105"/>
      <c r="C14" s="105"/>
      <c r="D14" s="105"/>
      <c r="E14" s="105"/>
      <c r="F14" s="105"/>
    </row>
    <row r="15" spans="1:6" ht="19.5" customHeight="1" x14ac:dyDescent="0.25">
      <c r="A15" s="106" t="s">
        <v>170</v>
      </c>
      <c r="B15" s="106"/>
      <c r="C15" s="106"/>
      <c r="D15" s="106"/>
      <c r="E15" s="106"/>
      <c r="F15" s="106"/>
    </row>
    <row r="16" spans="1:6" ht="36" customHeight="1" x14ac:dyDescent="0.25">
      <c r="A16" s="105" t="s">
        <v>171</v>
      </c>
      <c r="B16" s="105"/>
      <c r="C16" s="105"/>
      <c r="D16" s="105"/>
      <c r="E16" s="105"/>
      <c r="F16" s="105"/>
    </row>
    <row r="17" spans="1:6" ht="19.5" customHeight="1" x14ac:dyDescent="0.25">
      <c r="A17" s="104" t="s">
        <v>172</v>
      </c>
      <c r="B17" s="104"/>
      <c r="C17" s="104"/>
      <c r="D17" s="104"/>
      <c r="E17" s="104"/>
      <c r="F17" s="104"/>
    </row>
    <row r="18" spans="1:6" ht="36" customHeight="1" x14ac:dyDescent="0.25">
      <c r="A18" s="105" t="s">
        <v>173</v>
      </c>
      <c r="B18" s="105"/>
      <c r="C18" s="105"/>
      <c r="D18" s="105"/>
      <c r="E18" s="105"/>
      <c r="F18" s="105"/>
    </row>
  </sheetData>
  <mergeCells count="17">
    <mergeCell ref="A17:F17"/>
    <mergeCell ref="A18:F18"/>
    <mergeCell ref="A12:F12"/>
    <mergeCell ref="A13:F13"/>
    <mergeCell ref="A14:F14"/>
    <mergeCell ref="A15:F15"/>
    <mergeCell ref="A16:F16"/>
    <mergeCell ref="A7:F7"/>
    <mergeCell ref="A8:F8"/>
    <mergeCell ref="A9:F9"/>
    <mergeCell ref="A10:F10"/>
    <mergeCell ref="A11:F11"/>
    <mergeCell ref="A1:F1"/>
    <mergeCell ref="A3:F3"/>
    <mergeCell ref="A4:F4"/>
    <mergeCell ref="A5:F5"/>
    <mergeCell ref="A6:F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Bestellliste</vt:lpstr>
      <vt:lpstr>Auswertung</vt:lpstr>
      <vt:lpstr>Anleitung</vt:lpstr>
      <vt:lpstr>Bestellliste!Druckbereich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2026-08-04T15:09:23Z</dcterms:created>
  <dcterms:modified xsi:type="dcterms:W3CDTF">2026-08-05T08:58:06Z</dcterms:modified>
  <dc:language>en-US</dc:language>
</cp:coreProperties>
</file>