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stellübersicht" sheetId="1" state="visible" r:id="rId3"/>
    <sheet name="Auswertung" sheetId="2" state="visible" r:id="rId4"/>
    <sheet name="Listen" sheetId="3" state="visible" r:id="rId5"/>
  </sheets>
  <definedNames>
    <definedName function="false" hidden="false" localSheetId="0" name="_xlnm.Print_Area" vbProcedure="false">Bestellübersicht!$A$1:$S$49</definedName>
    <definedName function="false" hidden="true" localSheetId="0" name="_xlnm._FilterDatabase" vbProcedure="false">Bestellübersicht!$A$8:$S$48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<sst xmlns="http://schemas.openxmlformats.org/spreadsheetml/2006/main" count="238" uniqueCount="137">
  <si>
    <t xml:space="preserve">BESTELLÜBERSICHT</t>
  </si>
  <si>
    <t xml:space="preserve">Musterfirma GmbH  ·  Geschäftsjahr 2026  ·  Bestell- und Lieferverwaltung</t>
  </si>
  <si>
    <t xml:space="preserve">GESAMTWERT (BRUTTO, OHNE STORNO)</t>
  </si>
  <si>
    <t xml:space="preserve">BESTELLPOSITIONEN</t>
  </si>
  <si>
    <t xml:space="preserve">OFFENE POSITIONEN</t>
  </si>
  <si>
    <t xml:space="preserve">OFFENER BETRAG (BRUTTO)</t>
  </si>
  <si>
    <t xml:space="preserve">AKTUALISIERT AM</t>
  </si>
  <si>
    <t xml:space="preserve">Pos.</t>
  </si>
  <si>
    <t xml:space="preserve">Bestell-Nr.</t>
  </si>
  <si>
    <t xml:space="preserve">Bestelldatum</t>
  </si>
  <si>
    <t xml:space="preserve">Status</t>
  </si>
  <si>
    <t xml:space="preserve">Priorität</t>
  </si>
  <si>
    <t xml:space="preserve">Artikelbezeichnung</t>
  </si>
  <si>
    <t xml:space="preserve">Artikel-Nr.</t>
  </si>
  <si>
    <t xml:space="preserve">Warengruppe</t>
  </si>
  <si>
    <t xml:space="preserve">Menge</t>
  </si>
  <si>
    <t xml:space="preserve">Einheit</t>
  </si>
  <si>
    <t xml:space="preserve">Einzelpreis
netto</t>
  </si>
  <si>
    <t xml:space="preserve">MwSt.</t>
  </si>
  <si>
    <t xml:space="preserve">Summe netto</t>
  </si>
  <si>
    <t xml:space="preserve">MwSt.-Betrag</t>
  </si>
  <si>
    <t xml:space="preserve">Summe brutto</t>
  </si>
  <si>
    <t xml:space="preserve">Lieferant</t>
  </si>
  <si>
    <t xml:space="preserve">Wunschtermin</t>
  </si>
  <si>
    <t xml:space="preserve">Lieferdatum</t>
  </si>
  <si>
    <t xml:space="preserve">Bemerkung</t>
  </si>
  <si>
    <t xml:space="preserve">BST-2026-0001</t>
  </si>
  <si>
    <t xml:space="preserve">Geliefert</t>
  </si>
  <si>
    <t xml:space="preserve">Mittel</t>
  </si>
  <si>
    <t xml:space="preserve">Kopierpapier A4 80 g/m²</t>
  </si>
  <si>
    <t xml:space="preserve">ART-1001</t>
  </si>
  <si>
    <t xml:space="preserve">Büromaterial</t>
  </si>
  <si>
    <t xml:space="preserve">Karton</t>
  </si>
  <si>
    <t xml:space="preserve">Nordkontor Handels GmbH</t>
  </si>
  <si>
    <t xml:space="preserve">Rahmenvertrag</t>
  </si>
  <si>
    <t xml:space="preserve">BST-2026-0002</t>
  </si>
  <si>
    <t xml:space="preserve">Niedrig</t>
  </si>
  <si>
    <t xml:space="preserve">Notebook 14" Business</t>
  </si>
  <si>
    <t xml:space="preserve">ART-2001</t>
  </si>
  <si>
    <t xml:space="preserve">IT &amp; Zubehör</t>
  </si>
  <si>
    <t xml:space="preserve">Stück</t>
  </si>
  <si>
    <t xml:space="preserve">TechnoParts AG</t>
  </si>
  <si>
    <t xml:space="preserve">inkl. Dockingstation</t>
  </si>
  <si>
    <t xml:space="preserve">BST-2026-0003</t>
  </si>
  <si>
    <t xml:space="preserve">Hoch</t>
  </si>
  <si>
    <t xml:space="preserve">Akkuschrauber-Set 18 V</t>
  </si>
  <si>
    <t xml:space="preserve">ART-3001</t>
  </si>
  <si>
    <t xml:space="preserve">Werkzeuge</t>
  </si>
  <si>
    <t xml:space="preserve">MetallForm Süd GmbH</t>
  </si>
  <si>
    <t xml:space="preserve">BST-2026-0004</t>
  </si>
  <si>
    <t xml:space="preserve">Teillieferung</t>
  </si>
  <si>
    <t xml:space="preserve">Versandkarton 400×300×200</t>
  </si>
  <si>
    <t xml:space="preserve">ART-4001</t>
  </si>
  <si>
    <t xml:space="preserve">Verpackung</t>
  </si>
  <si>
    <t xml:space="preserve">GreenPack Verpackungen GmbH</t>
  </si>
  <si>
    <t xml:space="preserve">300 von 500 geliefert</t>
  </si>
  <si>
    <t xml:space="preserve">BST-2026-0005</t>
  </si>
  <si>
    <t xml:space="preserve">Bestellt</t>
  </si>
  <si>
    <t xml:space="preserve">Toner schwarz XL</t>
  </si>
  <si>
    <t xml:space="preserve">ART-2002</t>
  </si>
  <si>
    <t xml:space="preserve">Bürowelt Sander KG</t>
  </si>
  <si>
    <t xml:space="preserve">BST-2026-0006</t>
  </si>
  <si>
    <t xml:space="preserve">Reinigungstücher (Rolle)</t>
  </si>
  <si>
    <t xml:space="preserve">ART-5001</t>
  </si>
  <si>
    <t xml:space="preserve">Reinigung</t>
  </si>
  <si>
    <t xml:space="preserve">Paket</t>
  </si>
  <si>
    <t xml:space="preserve">CleanPro Service</t>
  </si>
  <si>
    <t xml:space="preserve">1 Tag verspätet</t>
  </si>
  <si>
    <t xml:space="preserve">BST-2026-0007</t>
  </si>
  <si>
    <t xml:space="preserve">Offen</t>
  </si>
  <si>
    <t xml:space="preserve">Edelstahlblech 2 mm</t>
  </si>
  <si>
    <t xml:space="preserve">ART-6001</t>
  </si>
  <si>
    <t xml:space="preserve">Rohstoffe</t>
  </si>
  <si>
    <t xml:space="preserve">Kilogramm</t>
  </si>
  <si>
    <t xml:space="preserve">Alpha Rohstoffe GmbH</t>
  </si>
  <si>
    <t xml:space="preserve">Angebot prüfen</t>
  </si>
  <si>
    <t xml:space="preserve">BST-2026-0008</t>
  </si>
  <si>
    <t xml:space="preserve">Büroschrank abschließbar</t>
  </si>
  <si>
    <t xml:space="preserve">ART-7001</t>
  </si>
  <si>
    <t xml:space="preserve">Betriebsausstattung</t>
  </si>
  <si>
    <t xml:space="preserve">BST-2026-0009</t>
  </si>
  <si>
    <t xml:space="preserve">Wartung Klimaanlage</t>
  </si>
  <si>
    <t xml:space="preserve">ART-8001</t>
  </si>
  <si>
    <t xml:space="preserve">Dienstleistung</t>
  </si>
  <si>
    <t xml:space="preserve">Stunde</t>
  </si>
  <si>
    <t xml:space="preserve">Jährliche Wartung</t>
  </si>
  <si>
    <t xml:space="preserve">BST-2026-0010</t>
  </si>
  <si>
    <t xml:space="preserve">Kabelbinder-Sortiment</t>
  </si>
  <si>
    <t xml:space="preserve">ART-3002</t>
  </si>
  <si>
    <t xml:space="preserve">BST-2026-0011</t>
  </si>
  <si>
    <t xml:space="preserve">Storniert</t>
  </si>
  <si>
    <t xml:space="preserve">Monitor 27" QHD</t>
  </si>
  <si>
    <t xml:space="preserve">ART-2003</t>
  </si>
  <si>
    <t xml:space="preserve">Falsches Modell – storniert</t>
  </si>
  <si>
    <t xml:space="preserve">BST-2026-0012</t>
  </si>
  <si>
    <t xml:space="preserve">Verpackungsfolie (Palettenware)</t>
  </si>
  <si>
    <t xml:space="preserve">ART-4002</t>
  </si>
  <si>
    <t xml:space="preserve">Palette</t>
  </si>
  <si>
    <t xml:space="preserve">Eilbestellung</t>
  </si>
  <si>
    <t xml:space="preserve">BST-2026-0013</t>
  </si>
  <si>
    <t xml:space="preserve">Fachbücher Normen (Sammelband)</t>
  </si>
  <si>
    <t xml:space="preserve">ART-9001</t>
  </si>
  <si>
    <t xml:space="preserve">7 % MwSt. (Bücher)</t>
  </si>
  <si>
    <t xml:space="preserve">BST-2026-0014</t>
  </si>
  <si>
    <t xml:space="preserve">Arbeitshandschuhe Gr. 10</t>
  </si>
  <si>
    <t xml:space="preserve">ART-5002</t>
  </si>
  <si>
    <t xml:space="preserve">BST-2026-0015</t>
  </si>
  <si>
    <t xml:space="preserve">Aluminiumprofil 40×40</t>
  </si>
  <si>
    <t xml:space="preserve">ART-6002</t>
  </si>
  <si>
    <t xml:space="preserve">Meter</t>
  </si>
  <si>
    <t xml:space="preserve">Projekt Montagegestell</t>
  </si>
  <si>
    <t xml:space="preserve">Summe</t>
  </si>
  <si>
    <t xml:space="preserve">AUSWERTUNG</t>
  </si>
  <si>
    <t xml:space="preserve">Kennzahlen zur Bestellübersicht – automatisch aus den erfassten Daten</t>
  </si>
  <si>
    <t xml:space="preserve">Nach Status</t>
  </si>
  <si>
    <t xml:space="preserve">Nach Warengruppe</t>
  </si>
  <si>
    <t xml:space="preserve">Anzahl</t>
  </si>
  <si>
    <t xml:space="preserve">Betrag brutto</t>
  </si>
  <si>
    <t xml:space="preserve">Anteil</t>
  </si>
  <si>
    <t xml:space="preserve">Gesamt</t>
  </si>
  <si>
    <t xml:space="preserve">Geschäftsjahr:</t>
  </si>
  <si>
    <t xml:space="preserve">Nach Monat</t>
  </si>
  <si>
    <t xml:space="preserve">Monat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</si>
  <si>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</si>
  <si>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</si>
  <si>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</si>
  <si>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</si>
  <si>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</si>
  <si>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</si>
  <si>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</si>
  <si>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</si>
  <si>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</si>
  <si>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</si>
  <si>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</si>
  <si>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</si>
  <si>
    <t xml:space="preserve">Auswahllisten – hier Werte pflegen</t>
  </si>
  <si>
    <t xml:space="preserve">Liter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</si>
</sst>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&quot; €&quot;"/>
    <numFmt numFmtId="166" formatCode="#,##0"/>
    <numFmt numFmtId="167" formatCode="dd\.mm\.yyyy"/>
    <numFmt numFmtId="168" formatCode="0%"/>
    <numFmt numFmtId="169" formatCode="0.0%"/>
    <numFmt numFmtId="170" formatCode="#,##0&quot; €&quot;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6"/>
      <color rgb="FF114B5F"/>
      <name val="Calibri"/>
      <family val="0"/>
      <charset val="1"/>
    </font>
    <font>
      <b val="true"/>
      <sz val="18"/>
      <color rgb="FF3D5A80"/>
      <name val="Calibri"/>
      <family val="0"/>
      <charset val="1"/>
    </font>
    <font>
      <b val="true"/>
      <sz val="18"/>
      <color rgb="FFE08A3C"/>
      <name val="Calibri"/>
      <family val="0"/>
      <charset val="1"/>
    </font>
    <font>
      <b val="true"/>
      <sz val="16"/>
      <color rgb="FFD15B4A"/>
      <name val="Calibri"/>
      <family val="0"/>
      <charset val="1"/>
    </font>
    <font>
      <b val="true"/>
      <sz val="13"/>
      <color rgb="FF3FA34D"/>
      <name val="Calibri"/>
      <family val="0"/>
      <charset val="1"/>
    </font>
    <font>
      <sz val="10"/>
      <color rgb="FF1E2A32"/>
      <name val="Calibri"/>
      <family val="0"/>
      <charset val="1"/>
    </font>
    <font>
      <b val="true"/>
      <sz val="10"/>
      <color rgb="FF1E2A32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i val="true"/>
      <sz val="10"/>
      <color rgb="FF55707A"/>
      <name val="Calibri"/>
      <family val="0"/>
      <charset val="1"/>
    </font>
    <font>
      <b val="true"/>
      <sz val="12"/>
      <color rgb="FF114B5F"/>
      <name val="Calibri"/>
      <family val="0"/>
      <charset val="1"/>
    </font>
    <font>
      <b val="true"/>
      <sz val="10"/>
      <color rgb="FF114B5F"/>
      <name val="Calibri"/>
      <family val="0"/>
      <charset val="1"/>
    </font>
    <font>
      <b val="true"/>
      <sz val="11"/>
      <color rgb="FF0000CC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3"/>
      <color rgb="FF114B5F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114B5F"/>
        <bgColor rgb="FF3D5A80"/>
      </patternFill>
    </fill>
    <fill>
      <patternFill patternType="solid">
        <fgColor rgb="FF1A6F80"/>
        <bgColor rgb="FF3D5A80"/>
      </patternFill>
    </fill>
    <fill>
      <patternFill patternType="solid">
        <fgColor rgb="FF3D5A80"/>
        <bgColor rgb="FF55707A"/>
      </patternFill>
    </fill>
    <fill>
      <patternFill patternType="solid">
        <fgColor rgb="FFE08A3C"/>
        <bgColor rgb="FFFF8080"/>
      </patternFill>
    </fill>
    <fill>
      <patternFill patternType="solid">
        <fgColor rgb="FFD15B4A"/>
        <bgColor rgb="FFE08A3C"/>
      </patternFill>
    </fill>
    <fill>
      <patternFill patternType="solid">
        <fgColor rgb="FF3FA34D"/>
        <bgColor rgb="FF3D7EA6"/>
      </patternFill>
    </fill>
    <fill>
      <patternFill patternType="solid">
        <fgColor rgb="FFF4F8F9"/>
        <bgColor rgb="FFF9F9F9"/>
      </patternFill>
    </fill>
    <fill>
      <patternFill patternType="solid">
        <fgColor rgb="FFFFFFFF"/>
        <bgColor rgb="FFF9F9F9"/>
      </patternFill>
    </fill>
    <fill>
      <patternFill patternType="solid">
        <fgColor rgb="FFEAF3F4"/>
        <bgColor rgb="FFF4F8F9"/>
      </patternFill>
    </fill>
    <fill>
      <patternFill patternType="solid">
        <fgColor rgb="FFFFF7D6"/>
        <bgColor rgb="FFF9F9F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4D8"/>
      </left>
      <right style="thin">
        <color rgb="FFC9D4D8"/>
      </right>
      <top style="medium">
        <color rgb="FF114B5F"/>
      </top>
      <bottom style="medium">
        <color rgb="FF114B5F"/>
      </bottom>
      <diagonal/>
    </border>
    <border diagonalUp="false" diagonalDown="false">
      <left style="thin">
        <color rgb="FFC9D4D8"/>
      </left>
      <right style="thin">
        <color rgb="FFC9D4D8"/>
      </right>
      <top style="thin">
        <color rgb="FFC9D4D8"/>
      </top>
      <bottom style="thin">
        <color rgb="FFC9D4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7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8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9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1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2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2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1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1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4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6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9">
    <dxf>
      <fill>
        <patternFill patternType="solid">
          <fgColor rgb="FF1A6F80"/>
          <bgColor rgb="FF000000"/>
        </patternFill>
      </fill>
    </dxf>
    <dxf>
      <fill>
        <patternFill patternType="solid">
          <fgColor rgb="FFEAF3F4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E2A32"/>
          <bgColor rgb="FF000000"/>
        </patternFill>
      </fill>
    </dxf>
    <dxf>
      <fill>
        <patternFill patternType="solid">
          <fgColor rgb="FF3D7EA6"/>
          <bgColor rgb="FF000000"/>
        </patternFill>
      </fill>
    </dxf>
    <dxf>
      <fill>
        <patternFill patternType="solid">
          <fgColor rgb="FF3FA34D"/>
          <bgColor rgb="FF000000"/>
        </patternFill>
      </fill>
    </dxf>
    <dxf>
      <fill>
        <patternFill patternType="solid">
          <fgColor rgb="FF8A9BA8"/>
          <bgColor rgb="FF000000"/>
        </patternFill>
      </fill>
    </dxf>
    <dxf>
      <fill>
        <patternFill patternType="solid">
          <fgColor rgb="FFE08A3C"/>
          <bgColor rgb="FF000000"/>
        </patternFill>
      </fill>
    </dxf>
    <dxf>
      <fill>
        <patternFill patternType="solid">
          <fgColor rgb="FFF2B705"/>
          <bgColor rgb="FF000000"/>
        </patternFill>
      </fill>
    </dxf>
    <dxf>
      <fill>
        <patternFill patternType="solid">
          <fgColor rgb="FF5A4500"/>
          <bgColor rgb="FF000000"/>
        </patternFill>
      </fill>
    </dxf>
    <dxf>
      <fill>
        <patternFill patternType="solid">
          <fgColor rgb="FFD15B4A"/>
          <bgColor rgb="FF000000"/>
        </patternFill>
      </fill>
    </dxf>
    <dxf>
      <fill>
        <patternFill patternType="solid">
          <fgColor rgb="FFF6D2CE"/>
          <bgColor rgb="FF000000"/>
        </patternFill>
      </fill>
    </dxf>
    <dxf>
      <font>
        <name val="Calibri"/>
        <charset val="1"/>
        <family val="0"/>
        <b val="1"/>
        <color rgb="FF5A4500"/>
        <sz val="10"/>
      </font>
      <fill>
        <patternFill>
          <bgColor rgb="FFF2B705"/>
        </patternFill>
      </fill>
    </dxf>
    <dxf>
      <font>
        <name val="Calibri"/>
        <charset val="1"/>
        <family val="0"/>
        <b val="1"/>
        <color rgb="FFFFFFFF"/>
        <sz val="10"/>
      </font>
      <fill>
        <patternFill>
          <bgColor rgb="FF3D7EA6"/>
        </patternFill>
      </fill>
    </dxf>
    <dxf>
      <font>
        <name val="Calibri"/>
        <charset val="1"/>
        <family val="0"/>
        <b val="1"/>
        <color rgb="FFFFFFFF"/>
        <sz val="10"/>
      </font>
      <fill>
        <patternFill>
          <bgColor rgb="FFE08A3C"/>
        </patternFill>
      </fill>
    </dxf>
    <dxf>
      <font>
        <name val="Calibri"/>
        <charset val="1"/>
        <family val="0"/>
        <b val="1"/>
        <color rgb="FFFFFFFF"/>
        <sz val="10"/>
      </font>
      <fill>
        <patternFill>
          <bgColor rgb="FF3FA34D"/>
        </patternFill>
      </fill>
    </dxf>
    <dxf>
      <font>
        <name val="Calibri"/>
        <charset val="1"/>
        <family val="0"/>
        <b val="1"/>
        <color rgb="FFFFFFFF"/>
        <sz val="10"/>
      </font>
      <fill>
        <patternFill>
          <bgColor rgb="FF8A9BA8"/>
        </patternFill>
      </fill>
    </dxf>
    <dxf>
      <font>
        <name val="Calibri"/>
        <charset val="1"/>
        <family val="0"/>
        <b val="1"/>
        <color rgb="FFFFFFFF"/>
        <sz val="10"/>
      </font>
      <fill>
        <patternFill>
          <bgColor rgb="FFD15B4A"/>
        </patternFill>
      </fill>
    </dxf>
    <dxf>
      <font>
        <name val="Calibri"/>
        <charset val="1"/>
        <family val="0"/>
        <b val="1"/>
        <color rgb="FFD15B4A"/>
        <sz val="10"/>
      </font>
      <fill>
        <patternFill>
          <bgColor rgb="FFF6D2CE"/>
        </patternFill>
      </fill>
    </dxf>
  </dxfs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A6F80"/>
      <rgbColor rgb="FFD9D9D9"/>
      <rgbColor rgb="FF878787"/>
      <rgbColor rgb="FF9999FF"/>
      <rgbColor rgb="FF993366"/>
      <rgbColor rgb="FFFFF7D6"/>
      <rgbColor rgb="FFEAF3F4"/>
      <rgbColor rgb="FF660066"/>
      <rgbColor rgb="FFFF8080"/>
      <rgbColor rgb="FF0066CC"/>
      <rgbColor rgb="FFC9D4D8"/>
      <rgbColor rgb="FF000080"/>
      <rgbColor rgb="FFFF00FF"/>
      <rgbColor rgb="FFFFFF00"/>
      <rgbColor rgb="FF00FFFF"/>
      <rgbColor rgb="FF800080"/>
      <rgbColor rgb="FF800000"/>
      <rgbColor rgb="FF3D7EA6"/>
      <rgbColor rgb="FF0000FF"/>
      <rgbColor rgb="FF00CCFF"/>
      <rgbColor rgb="FFF4F8F9"/>
      <rgbColor rgb="FFF9F9F9"/>
      <rgbColor rgb="FFFFFF99"/>
      <rgbColor rgb="FF99CCFF"/>
      <rgbColor rgb="FFFF99CC"/>
      <rgbColor rgb="FFCC99FF"/>
      <rgbColor rgb="FFF6D2CE"/>
      <rgbColor rgb="FF4F81BD"/>
      <rgbColor rgb="FF33CCCC"/>
      <rgbColor rgb="FF99CC00"/>
      <rgbColor rgb="FFF2B705"/>
      <rgbColor rgb="FFE08A3C"/>
      <rgbColor rgb="FFD15B4A"/>
      <rgbColor rgb="FF55707A"/>
      <rgbColor rgb="FF8A9BA8"/>
      <rgbColor rgb="FF114B5F"/>
      <rgbColor rgb="FF3FA34D"/>
      <rgbColor rgb="FF003300"/>
      <rgbColor rgb="FF5A4500"/>
      <rgbColor rgb="FF993300"/>
      <rgbColor rgb="FF993366"/>
      <rgbColor rgb="FF3D5A80"/>
      <rgbColor rgb="FF1E2A3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Bestellwert brutto je Monat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Auswertung!C16</c:f>
              <c:strCache>
                <c:ptCount val="1"/>
                <c:pt idx="0">
                  <c:v>Betrag brutto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Auswertung!$B$17:$B$28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Auswertung!$C$17:$C$28</c:f>
              <c:numCache>
                <c:formatCode>#,##0.00" €"</c:formatCode>
                <c:ptCount val="12"/>
                <c:pt idx="0">
                  <c:v>5468.645</c:v>
                </c:pt>
                <c:pt idx="1">
                  <c:v>2074.17</c:v>
                </c:pt>
                <c:pt idx="2">
                  <c:v>1598.17</c:v>
                </c:pt>
                <c:pt idx="3">
                  <c:v>2554.09</c:v>
                </c:pt>
                <c:pt idx="4">
                  <c:v>847.28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gapWidth val="150"/>
        <c:overlap val="0"/>
        <c:axId val="62963394"/>
        <c:axId val="35486967"/>
      </c:barChart>
      <c:catAx>
        <c:axId val="6296339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5486967"/>
        <c:crosses val="autoZero"/>
        <c:auto val="1"/>
        <c:lblAlgn val="ctr"/>
        <c:lblOffset val="100"/>
        <c:noMultiLvlLbl val="0"/>
      </c:catAx>
      <c:valAx>
        <c:axId val="35486967"/>
        <c:scaling>
          <c:orientation val="minMax"/>
        </c:scaling>
        <c:delete val="0"/>
        <c:axPos val="l"/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296339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14</xdr:row>
      <xdr:rowOff>0</xdr:rowOff>
    </xdr:from>
    <xdr:to>
      <xdr:col>11</xdr:col>
      <xdr:colOff>277200</xdr:colOff>
      <xdr:row>28</xdr:row>
      <xdr:rowOff>32400</xdr:rowOff>
    </xdr:to>
    <xdr:graphicFrame>
      <xdr:nvGraphicFramePr>
        <xdr:cNvPr id="0" name="Chart 1"/>
        <xdr:cNvGraphicFramePr/>
      </xdr:nvGraphicFramePr>
      <xdr:xfrm>
        <a:off x="3665160" y="2933640"/>
        <a:ext cx="539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14B5F"/>
    <pageSetUpPr fitToPage="true"/>
  </sheetPr>
  <dimension ref="A1:S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4"/>
    <col collapsed="false" customWidth="true" hidden="false" outlineLevel="0" max="3" min="3" style="0" width="13"/>
    <col collapsed="false" customWidth="true" hidden="false" outlineLevel="0" max="4" min="4" style="0" width="14"/>
    <col collapsed="false" customWidth="true" hidden="false" outlineLevel="0" max="5" min="5" style="0" width="11"/>
    <col collapsed="false" customWidth="true" hidden="false" outlineLevel="0" max="6" min="6" style="0" width="30"/>
    <col collapsed="false" customWidth="true" hidden="false" outlineLevel="0" max="7" min="7" style="0" width="12"/>
    <col collapsed="false" customWidth="true" hidden="false" outlineLevel="0" max="8" min="8" style="0" width="18"/>
    <col collapsed="false" customWidth="true" hidden="false" outlineLevel="0" max="9" min="9" style="0" width="8"/>
    <col collapsed="false" customWidth="true" hidden="false" outlineLevel="0" max="10" min="10" style="0" width="11"/>
    <col collapsed="false" customWidth="true" hidden="false" outlineLevel="0" max="11" min="11" style="0" width="13"/>
    <col collapsed="false" customWidth="true" hidden="false" outlineLevel="0" max="12" min="12" style="0" width="7"/>
    <col collapsed="false" customWidth="true" hidden="false" outlineLevel="0" max="14" min="13" style="0" width="13"/>
    <col collapsed="false" customWidth="true" hidden="false" outlineLevel="0" max="15" min="15" style="0" width="14"/>
    <col collapsed="false" customWidth="true" hidden="false" outlineLevel="0" max="16" min="16" style="0" width="24"/>
    <col collapsed="false" customWidth="true" hidden="false" outlineLevel="0" max="18" min="17" style="0" width="13"/>
    <col collapsed="false" customWidth="true" hidden="false" outlineLevel="0" max="19" min="19" style="0" width="26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Format="false" ht="7.5" hidden="false" customHeight="true" outlineLevel="0" collapsed="false"/>
    <row r="4" customFormat="false" ht="15.75" hidden="false" customHeight="true" outlineLevel="0" collapsed="false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5" t="s">
        <v>4</v>
      </c>
      <c r="J4" s="5"/>
      <c r="K4" s="5"/>
      <c r="L4" s="5"/>
      <c r="M4" s="6" t="s">
        <v>5</v>
      </c>
      <c r="N4" s="6"/>
      <c r="O4" s="6"/>
      <c r="P4" s="6"/>
      <c r="Q4" s="7" t="s">
        <v>6</v>
      </c>
      <c r="R4" s="7"/>
      <c r="S4" s="7"/>
    </row>
    <row r="5" customFormat="false" ht="15.75" hidden="false" customHeight="true" outlineLevel="0" collapsed="false">
      <c r="A5" s="8" t="n">
        <f aca="false">SUMIF($D$9:$D$48,"&lt;&gt;Storniert",$O$9:$O$48)</f>
        <v>12542.355</v>
      </c>
      <c r="B5" s="8"/>
      <c r="C5" s="8"/>
      <c r="D5" s="8"/>
      <c r="E5" s="9" t="n">
        <f aca="false">COUNTA($B$9:$B$48)</f>
        <v>15</v>
      </c>
      <c r="F5" s="9"/>
      <c r="G5" s="9"/>
      <c r="H5" s="9"/>
      <c r="I5" s="10" t="n">
        <f aca="false">COUNTIF($D$9:$D$48,"Offen")</f>
        <v>3</v>
      </c>
      <c r="J5" s="10"/>
      <c r="K5" s="10"/>
      <c r="L5" s="10"/>
      <c r="M5" s="11" t="n">
        <f aca="false">SUMIF($D$9:$D$48,"Offen",$O$9:$O$48)</f>
        <v>3453.38</v>
      </c>
      <c r="N5" s="11"/>
      <c r="O5" s="11"/>
      <c r="P5" s="11"/>
      <c r="Q5" s="12" t="n">
        <f aca="true">TODAY()</f>
        <v>46238</v>
      </c>
      <c r="R5" s="12"/>
      <c r="S5" s="12"/>
    </row>
    <row r="6" customFormat="false" ht="15.75" hidden="false" customHeight="true" outlineLevel="0" collapsed="false">
      <c r="A6" s="8"/>
      <c r="B6" s="8"/>
      <c r="C6" s="8"/>
      <c r="D6" s="8"/>
      <c r="E6" s="9"/>
      <c r="F6" s="9"/>
      <c r="G6" s="9"/>
      <c r="H6" s="9"/>
      <c r="I6" s="10"/>
      <c r="J6" s="10"/>
      <c r="K6" s="10"/>
      <c r="L6" s="10"/>
      <c r="M6" s="11"/>
      <c r="N6" s="11"/>
      <c r="O6" s="11"/>
      <c r="P6" s="11"/>
      <c r="Q6" s="12"/>
      <c r="R6" s="12"/>
      <c r="S6" s="12"/>
    </row>
    <row r="7" customFormat="false" ht="7.5" hidden="false" customHeight="true" outlineLevel="0" collapsed="false"/>
    <row r="8" customFormat="false" ht="33.75" hidden="false" customHeight="true" outlineLevel="0" collapsed="false">
      <c r="A8" s="13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12</v>
      </c>
      <c r="G8" s="13" t="s">
        <v>13</v>
      </c>
      <c r="H8" s="13" t="s">
        <v>14</v>
      </c>
      <c r="I8" s="13" t="s">
        <v>15</v>
      </c>
      <c r="J8" s="13" t="s">
        <v>16</v>
      </c>
      <c r="K8" s="13" t="s">
        <v>17</v>
      </c>
      <c r="L8" s="13" t="s">
        <v>18</v>
      </c>
      <c r="M8" s="13" t="s">
        <v>19</v>
      </c>
      <c r="N8" s="13" t="s">
        <v>20</v>
      </c>
      <c r="O8" s="13" t="s">
        <v>21</v>
      </c>
      <c r="P8" s="13" t="s">
        <v>22</v>
      </c>
      <c r="Q8" s="13" t="s">
        <v>23</v>
      </c>
      <c r="R8" s="13" t="s">
        <v>24</v>
      </c>
      <c r="S8" s="13" t="s">
        <v>25</v>
      </c>
    </row>
    <row r="9" customFormat="false" ht="19.5" hidden="false" customHeight="true" outlineLevel="0" collapsed="false">
      <c r="A9" s="14" t="n">
        <v>1</v>
      </c>
      <c r="B9" s="15" t="s">
        <v>26</v>
      </c>
      <c r="C9" s="16" t="n">
        <v>46030</v>
      </c>
      <c r="D9" s="14" t="s">
        <v>27</v>
      </c>
      <c r="E9" s="14" t="s">
        <v>28</v>
      </c>
      <c r="F9" s="15" t="s">
        <v>29</v>
      </c>
      <c r="G9" s="14" t="s">
        <v>30</v>
      </c>
      <c r="H9" s="15" t="s">
        <v>31</v>
      </c>
      <c r="I9" s="17" t="n">
        <v>25</v>
      </c>
      <c r="J9" s="14" t="s">
        <v>32</v>
      </c>
      <c r="K9" s="18" t="n">
        <v>32.9</v>
      </c>
      <c r="L9" s="19" t="n">
        <v>0.19</v>
      </c>
      <c r="M9" s="18" t="n">
        <f aca="false">I9*K9</f>
        <v>822.5</v>
      </c>
      <c r="N9" s="18" t="n">
        <f aca="false">M9*L9</f>
        <v>156.275</v>
      </c>
      <c r="O9" s="20" t="n">
        <f aca="false">M9+N9</f>
        <v>978.775</v>
      </c>
      <c r="P9" s="15" t="s">
        <v>33</v>
      </c>
      <c r="Q9" s="16" t="n">
        <v>46037</v>
      </c>
      <c r="R9" s="16" t="n">
        <v>46036</v>
      </c>
      <c r="S9" s="15" t="s">
        <v>34</v>
      </c>
    </row>
    <row r="10" customFormat="false" ht="19.5" hidden="false" customHeight="true" outlineLevel="0" collapsed="false">
      <c r="A10" s="21" t="n">
        <v>2</v>
      </c>
      <c r="B10" s="22" t="s">
        <v>35</v>
      </c>
      <c r="C10" s="23" t="n">
        <v>46034</v>
      </c>
      <c r="D10" s="21" t="s">
        <v>27</v>
      </c>
      <c r="E10" s="21" t="s">
        <v>36</v>
      </c>
      <c r="F10" s="22" t="s">
        <v>37</v>
      </c>
      <c r="G10" s="21" t="s">
        <v>38</v>
      </c>
      <c r="H10" s="22" t="s">
        <v>39</v>
      </c>
      <c r="I10" s="24" t="n">
        <v>4</v>
      </c>
      <c r="J10" s="21" t="s">
        <v>40</v>
      </c>
      <c r="K10" s="25" t="n">
        <v>749</v>
      </c>
      <c r="L10" s="26" t="n">
        <v>0.19</v>
      </c>
      <c r="M10" s="25" t="n">
        <f aca="false">I10*K10</f>
        <v>2996</v>
      </c>
      <c r="N10" s="25" t="n">
        <f aca="false">M10*L10</f>
        <v>569.24</v>
      </c>
      <c r="O10" s="27" t="n">
        <f aca="false">M10+N10</f>
        <v>3565.24</v>
      </c>
      <c r="P10" s="22" t="s">
        <v>41</v>
      </c>
      <c r="Q10" s="23" t="n">
        <v>46044</v>
      </c>
      <c r="R10" s="23" t="n">
        <v>46042</v>
      </c>
      <c r="S10" s="22" t="s">
        <v>42</v>
      </c>
    </row>
    <row r="11" customFormat="false" ht="19.5" hidden="false" customHeight="true" outlineLevel="0" collapsed="false">
      <c r="A11" s="14" t="n">
        <v>3</v>
      </c>
      <c r="B11" s="15" t="s">
        <v>43</v>
      </c>
      <c r="C11" s="16" t="n">
        <v>46042</v>
      </c>
      <c r="D11" s="14" t="s">
        <v>27</v>
      </c>
      <c r="E11" s="14" t="s">
        <v>44</v>
      </c>
      <c r="F11" s="15" t="s">
        <v>45</v>
      </c>
      <c r="G11" s="14" t="s">
        <v>46</v>
      </c>
      <c r="H11" s="15" t="s">
        <v>47</v>
      </c>
      <c r="I11" s="17" t="n">
        <v>6</v>
      </c>
      <c r="J11" s="14" t="s">
        <v>40</v>
      </c>
      <c r="K11" s="18" t="n">
        <v>129.5</v>
      </c>
      <c r="L11" s="19" t="n">
        <v>0.19</v>
      </c>
      <c r="M11" s="18" t="n">
        <f aca="false">I11*K11</f>
        <v>777</v>
      </c>
      <c r="N11" s="18" t="n">
        <f aca="false">M11*L11</f>
        <v>147.63</v>
      </c>
      <c r="O11" s="20" t="n">
        <f aca="false">M11+N11</f>
        <v>924.63</v>
      </c>
      <c r="P11" s="15" t="s">
        <v>48</v>
      </c>
      <c r="Q11" s="16" t="n">
        <v>46049</v>
      </c>
      <c r="R11" s="16" t="n">
        <v>46048</v>
      </c>
      <c r="S11" s="15"/>
    </row>
    <row r="12" customFormat="false" ht="19.5" hidden="false" customHeight="true" outlineLevel="0" collapsed="false">
      <c r="A12" s="21" t="n">
        <v>4</v>
      </c>
      <c r="B12" s="22" t="s">
        <v>49</v>
      </c>
      <c r="C12" s="23" t="n">
        <v>46056</v>
      </c>
      <c r="D12" s="21" t="s">
        <v>50</v>
      </c>
      <c r="E12" s="21" t="s">
        <v>28</v>
      </c>
      <c r="F12" s="22" t="s">
        <v>51</v>
      </c>
      <c r="G12" s="21" t="s">
        <v>52</v>
      </c>
      <c r="H12" s="22" t="s">
        <v>53</v>
      </c>
      <c r="I12" s="24" t="n">
        <v>500</v>
      </c>
      <c r="J12" s="21" t="s">
        <v>40</v>
      </c>
      <c r="K12" s="25" t="n">
        <v>0.89</v>
      </c>
      <c r="L12" s="26" t="n">
        <v>0.19</v>
      </c>
      <c r="M12" s="25" t="n">
        <f aca="false">I12*K12</f>
        <v>445</v>
      </c>
      <c r="N12" s="25" t="n">
        <f aca="false">M12*L12</f>
        <v>84.55</v>
      </c>
      <c r="O12" s="27" t="n">
        <f aca="false">M12+N12</f>
        <v>529.55</v>
      </c>
      <c r="P12" s="22" t="s">
        <v>54</v>
      </c>
      <c r="Q12" s="23" t="n">
        <v>46065</v>
      </c>
      <c r="R12" s="23" t="n">
        <v>46064</v>
      </c>
      <c r="S12" s="22" t="s">
        <v>55</v>
      </c>
    </row>
    <row r="13" customFormat="false" ht="19.5" hidden="false" customHeight="true" outlineLevel="0" collapsed="false">
      <c r="A13" s="14" t="n">
        <v>5</v>
      </c>
      <c r="B13" s="15" t="s">
        <v>56</v>
      </c>
      <c r="C13" s="16" t="n">
        <v>46062</v>
      </c>
      <c r="D13" s="14" t="s">
        <v>57</v>
      </c>
      <c r="E13" s="14" t="s">
        <v>28</v>
      </c>
      <c r="F13" s="15" t="s">
        <v>58</v>
      </c>
      <c r="G13" s="14" t="s">
        <v>59</v>
      </c>
      <c r="H13" s="15" t="s">
        <v>39</v>
      </c>
      <c r="I13" s="17" t="n">
        <v>10</v>
      </c>
      <c r="J13" s="14" t="s">
        <v>40</v>
      </c>
      <c r="K13" s="18" t="n">
        <v>68</v>
      </c>
      <c r="L13" s="19" t="n">
        <v>0.19</v>
      </c>
      <c r="M13" s="18" t="n">
        <f aca="false">I13*K13</f>
        <v>680</v>
      </c>
      <c r="N13" s="18" t="n">
        <f aca="false">M13*L13</f>
        <v>129.2</v>
      </c>
      <c r="O13" s="20" t="n">
        <f aca="false">M13+N13</f>
        <v>809.2</v>
      </c>
      <c r="P13" s="15" t="s">
        <v>60</v>
      </c>
      <c r="Q13" s="16" t="n">
        <v>46071</v>
      </c>
      <c r="R13" s="16"/>
      <c r="S13" s="15"/>
    </row>
    <row r="14" customFormat="false" ht="19.5" hidden="false" customHeight="true" outlineLevel="0" collapsed="false">
      <c r="A14" s="21" t="n">
        <v>6</v>
      </c>
      <c r="B14" s="22" t="s">
        <v>61</v>
      </c>
      <c r="C14" s="23" t="n">
        <v>46069</v>
      </c>
      <c r="D14" s="21" t="s">
        <v>27</v>
      </c>
      <c r="E14" s="21" t="s">
        <v>36</v>
      </c>
      <c r="F14" s="22" t="s">
        <v>62</v>
      </c>
      <c r="G14" s="21" t="s">
        <v>63</v>
      </c>
      <c r="H14" s="22" t="s">
        <v>64</v>
      </c>
      <c r="I14" s="24" t="n">
        <v>40</v>
      </c>
      <c r="J14" s="21" t="s">
        <v>65</v>
      </c>
      <c r="K14" s="25" t="n">
        <v>4.2</v>
      </c>
      <c r="L14" s="26" t="n">
        <v>0.19</v>
      </c>
      <c r="M14" s="25" t="n">
        <f aca="false">I14*K14</f>
        <v>168</v>
      </c>
      <c r="N14" s="25" t="n">
        <f aca="false">M14*L14</f>
        <v>31.92</v>
      </c>
      <c r="O14" s="27" t="n">
        <f aca="false">M14+N14</f>
        <v>199.92</v>
      </c>
      <c r="P14" s="22" t="s">
        <v>66</v>
      </c>
      <c r="Q14" s="23" t="n">
        <v>46076</v>
      </c>
      <c r="R14" s="23" t="n">
        <v>46077</v>
      </c>
      <c r="S14" s="22" t="s">
        <v>67</v>
      </c>
    </row>
    <row r="15" customFormat="false" ht="19.5" hidden="false" customHeight="true" outlineLevel="0" collapsed="false">
      <c r="A15" s="14" t="n">
        <v>7</v>
      </c>
      <c r="B15" s="15" t="s">
        <v>68</v>
      </c>
      <c r="C15" s="16" t="n">
        <v>46078</v>
      </c>
      <c r="D15" s="14" t="s">
        <v>69</v>
      </c>
      <c r="E15" s="14" t="s">
        <v>44</v>
      </c>
      <c r="F15" s="15" t="s">
        <v>70</v>
      </c>
      <c r="G15" s="14" t="s">
        <v>71</v>
      </c>
      <c r="H15" s="15" t="s">
        <v>72</v>
      </c>
      <c r="I15" s="17" t="n">
        <v>120</v>
      </c>
      <c r="J15" s="14" t="s">
        <v>73</v>
      </c>
      <c r="K15" s="18" t="n">
        <v>3.75</v>
      </c>
      <c r="L15" s="19" t="n">
        <v>0.19</v>
      </c>
      <c r="M15" s="18" t="n">
        <f aca="false">I15*K15</f>
        <v>450</v>
      </c>
      <c r="N15" s="18" t="n">
        <f aca="false">M15*L15</f>
        <v>85.5</v>
      </c>
      <c r="O15" s="20" t="n">
        <f aca="false">M15+N15</f>
        <v>535.5</v>
      </c>
      <c r="P15" s="15" t="s">
        <v>74</v>
      </c>
      <c r="Q15" s="16" t="n">
        <v>46091</v>
      </c>
      <c r="R15" s="16"/>
      <c r="S15" s="15" t="s">
        <v>75</v>
      </c>
    </row>
    <row r="16" customFormat="false" ht="19.5" hidden="false" customHeight="true" outlineLevel="0" collapsed="false">
      <c r="A16" s="21" t="n">
        <v>8</v>
      </c>
      <c r="B16" s="22" t="s">
        <v>76</v>
      </c>
      <c r="C16" s="23" t="n">
        <v>46083</v>
      </c>
      <c r="D16" s="21" t="s">
        <v>27</v>
      </c>
      <c r="E16" s="21" t="s">
        <v>28</v>
      </c>
      <c r="F16" s="22" t="s">
        <v>77</v>
      </c>
      <c r="G16" s="21" t="s">
        <v>78</v>
      </c>
      <c r="H16" s="22" t="s">
        <v>79</v>
      </c>
      <c r="I16" s="24" t="n">
        <v>3</v>
      </c>
      <c r="J16" s="21" t="s">
        <v>40</v>
      </c>
      <c r="K16" s="25" t="n">
        <v>189</v>
      </c>
      <c r="L16" s="26" t="n">
        <v>0.19</v>
      </c>
      <c r="M16" s="25" t="n">
        <f aca="false">I16*K16</f>
        <v>567</v>
      </c>
      <c r="N16" s="25" t="n">
        <f aca="false">M16*L16</f>
        <v>107.73</v>
      </c>
      <c r="O16" s="27" t="n">
        <f aca="false">M16+N16</f>
        <v>674.73</v>
      </c>
      <c r="P16" s="22" t="s">
        <v>60</v>
      </c>
      <c r="Q16" s="23" t="n">
        <v>46094</v>
      </c>
      <c r="R16" s="23" t="n">
        <v>46093</v>
      </c>
      <c r="S16" s="22"/>
    </row>
    <row r="17" customFormat="false" ht="19.5" hidden="false" customHeight="true" outlineLevel="0" collapsed="false">
      <c r="A17" s="14" t="n">
        <v>9</v>
      </c>
      <c r="B17" s="15" t="s">
        <v>80</v>
      </c>
      <c r="C17" s="16" t="n">
        <v>46091</v>
      </c>
      <c r="D17" s="14" t="s">
        <v>57</v>
      </c>
      <c r="E17" s="14" t="s">
        <v>36</v>
      </c>
      <c r="F17" s="15" t="s">
        <v>81</v>
      </c>
      <c r="G17" s="14" t="s">
        <v>82</v>
      </c>
      <c r="H17" s="15" t="s">
        <v>83</v>
      </c>
      <c r="I17" s="17" t="n">
        <v>8</v>
      </c>
      <c r="J17" s="14" t="s">
        <v>84</v>
      </c>
      <c r="K17" s="18" t="n">
        <v>85</v>
      </c>
      <c r="L17" s="19" t="n">
        <v>0.19</v>
      </c>
      <c r="M17" s="18" t="n">
        <f aca="false">I17*K17</f>
        <v>680</v>
      </c>
      <c r="N17" s="18" t="n">
        <f aca="false">M17*L17</f>
        <v>129.2</v>
      </c>
      <c r="O17" s="20" t="n">
        <f aca="false">M17+N17</f>
        <v>809.2</v>
      </c>
      <c r="P17" s="15" t="s">
        <v>66</v>
      </c>
      <c r="Q17" s="16" t="n">
        <v>46105</v>
      </c>
      <c r="R17" s="16"/>
      <c r="S17" s="15" t="s">
        <v>85</v>
      </c>
    </row>
    <row r="18" customFormat="false" ht="19.5" hidden="false" customHeight="true" outlineLevel="0" collapsed="false">
      <c r="A18" s="21" t="n">
        <v>10</v>
      </c>
      <c r="B18" s="22" t="s">
        <v>86</v>
      </c>
      <c r="C18" s="23" t="n">
        <v>46099</v>
      </c>
      <c r="D18" s="21" t="s">
        <v>27</v>
      </c>
      <c r="E18" s="21" t="s">
        <v>28</v>
      </c>
      <c r="F18" s="22" t="s">
        <v>87</v>
      </c>
      <c r="G18" s="21" t="s">
        <v>88</v>
      </c>
      <c r="H18" s="22" t="s">
        <v>47</v>
      </c>
      <c r="I18" s="24" t="n">
        <v>15</v>
      </c>
      <c r="J18" s="21" t="s">
        <v>65</v>
      </c>
      <c r="K18" s="25" t="n">
        <v>6.4</v>
      </c>
      <c r="L18" s="26" t="n">
        <v>0.19</v>
      </c>
      <c r="M18" s="25" t="n">
        <f aca="false">I18*K18</f>
        <v>96</v>
      </c>
      <c r="N18" s="25" t="n">
        <f aca="false">M18*L18</f>
        <v>18.24</v>
      </c>
      <c r="O18" s="27" t="n">
        <f aca="false">M18+N18</f>
        <v>114.24</v>
      </c>
      <c r="P18" s="22" t="s">
        <v>41</v>
      </c>
      <c r="Q18" s="23" t="n">
        <v>46106</v>
      </c>
      <c r="R18" s="23" t="n">
        <v>46106</v>
      </c>
      <c r="S18" s="22"/>
    </row>
    <row r="19" customFormat="false" ht="19.5" hidden="false" customHeight="true" outlineLevel="0" collapsed="false">
      <c r="A19" s="14" t="n">
        <v>11</v>
      </c>
      <c r="B19" s="15" t="s">
        <v>89</v>
      </c>
      <c r="C19" s="16" t="n">
        <v>46108</v>
      </c>
      <c r="D19" s="14" t="s">
        <v>90</v>
      </c>
      <c r="E19" s="14" t="s">
        <v>36</v>
      </c>
      <c r="F19" s="15" t="s">
        <v>91</v>
      </c>
      <c r="G19" s="14" t="s">
        <v>92</v>
      </c>
      <c r="H19" s="15" t="s">
        <v>39</v>
      </c>
      <c r="I19" s="17" t="n">
        <v>6</v>
      </c>
      <c r="J19" s="14" t="s">
        <v>40</v>
      </c>
      <c r="K19" s="18" t="n">
        <v>219</v>
      </c>
      <c r="L19" s="19" t="n">
        <v>0.19</v>
      </c>
      <c r="M19" s="18" t="n">
        <f aca="false">I19*K19</f>
        <v>1314</v>
      </c>
      <c r="N19" s="18" t="n">
        <f aca="false">M19*L19</f>
        <v>249.66</v>
      </c>
      <c r="O19" s="20" t="n">
        <f aca="false">M19+N19</f>
        <v>1563.66</v>
      </c>
      <c r="P19" s="15" t="s">
        <v>41</v>
      </c>
      <c r="Q19" s="16" t="n">
        <v>46119</v>
      </c>
      <c r="R19" s="16"/>
      <c r="S19" s="15" t="s">
        <v>93</v>
      </c>
    </row>
    <row r="20" customFormat="false" ht="19.5" hidden="false" customHeight="true" outlineLevel="0" collapsed="false">
      <c r="A20" s="21" t="n">
        <v>12</v>
      </c>
      <c r="B20" s="22" t="s">
        <v>94</v>
      </c>
      <c r="C20" s="23" t="n">
        <v>46118</v>
      </c>
      <c r="D20" s="21" t="s">
        <v>69</v>
      </c>
      <c r="E20" s="21" t="s">
        <v>44</v>
      </c>
      <c r="F20" s="22" t="s">
        <v>95</v>
      </c>
      <c r="G20" s="21" t="s">
        <v>96</v>
      </c>
      <c r="H20" s="22" t="s">
        <v>53</v>
      </c>
      <c r="I20" s="24" t="n">
        <v>12</v>
      </c>
      <c r="J20" s="21" t="s">
        <v>97</v>
      </c>
      <c r="K20" s="25" t="n">
        <v>145</v>
      </c>
      <c r="L20" s="26" t="n">
        <v>0.19</v>
      </c>
      <c r="M20" s="25" t="n">
        <f aca="false">I20*K20</f>
        <v>1740</v>
      </c>
      <c r="N20" s="25" t="n">
        <f aca="false">M20*L20</f>
        <v>330.6</v>
      </c>
      <c r="O20" s="27" t="n">
        <f aca="false">M20+N20</f>
        <v>2070.6</v>
      </c>
      <c r="P20" s="22" t="s">
        <v>54</v>
      </c>
      <c r="Q20" s="23" t="n">
        <v>46132</v>
      </c>
      <c r="R20" s="23"/>
      <c r="S20" s="22" t="s">
        <v>98</v>
      </c>
    </row>
    <row r="21" customFormat="false" ht="19.5" hidden="false" customHeight="true" outlineLevel="0" collapsed="false">
      <c r="A21" s="14" t="n">
        <v>13</v>
      </c>
      <c r="B21" s="15" t="s">
        <v>99</v>
      </c>
      <c r="C21" s="16" t="n">
        <v>46126</v>
      </c>
      <c r="D21" s="14" t="s">
        <v>27</v>
      </c>
      <c r="E21" s="14" t="s">
        <v>28</v>
      </c>
      <c r="F21" s="15" t="s">
        <v>100</v>
      </c>
      <c r="G21" s="14" t="s">
        <v>101</v>
      </c>
      <c r="H21" s="15" t="s">
        <v>31</v>
      </c>
      <c r="I21" s="17" t="n">
        <v>5</v>
      </c>
      <c r="J21" s="14" t="s">
        <v>40</v>
      </c>
      <c r="K21" s="18" t="n">
        <v>49</v>
      </c>
      <c r="L21" s="19" t="n">
        <v>0.07</v>
      </c>
      <c r="M21" s="18" t="n">
        <f aca="false">I21*K21</f>
        <v>245</v>
      </c>
      <c r="N21" s="18" t="n">
        <f aca="false">M21*L21</f>
        <v>17.15</v>
      </c>
      <c r="O21" s="20" t="n">
        <f aca="false">M21+N21</f>
        <v>262.15</v>
      </c>
      <c r="P21" s="15" t="s">
        <v>33</v>
      </c>
      <c r="Q21" s="16" t="n">
        <v>46136</v>
      </c>
      <c r="R21" s="16" t="n">
        <v>46135</v>
      </c>
      <c r="S21" s="15" t="s">
        <v>102</v>
      </c>
    </row>
    <row r="22" customFormat="false" ht="19.5" hidden="false" customHeight="true" outlineLevel="0" collapsed="false">
      <c r="A22" s="21" t="n">
        <v>14</v>
      </c>
      <c r="B22" s="22" t="s">
        <v>103</v>
      </c>
      <c r="C22" s="23" t="n">
        <v>46134</v>
      </c>
      <c r="D22" s="21" t="s">
        <v>57</v>
      </c>
      <c r="E22" s="21" t="s">
        <v>28</v>
      </c>
      <c r="F22" s="22" t="s">
        <v>104</v>
      </c>
      <c r="G22" s="21" t="s">
        <v>105</v>
      </c>
      <c r="H22" s="22" t="s">
        <v>64</v>
      </c>
      <c r="I22" s="24" t="n">
        <v>60</v>
      </c>
      <c r="J22" s="21" t="s">
        <v>65</v>
      </c>
      <c r="K22" s="25" t="n">
        <v>3.1</v>
      </c>
      <c r="L22" s="26" t="n">
        <v>0.19</v>
      </c>
      <c r="M22" s="25" t="n">
        <f aca="false">I22*K22</f>
        <v>186</v>
      </c>
      <c r="N22" s="25" t="n">
        <f aca="false">M22*L22</f>
        <v>35.34</v>
      </c>
      <c r="O22" s="27" t="n">
        <f aca="false">M22+N22</f>
        <v>221.34</v>
      </c>
      <c r="P22" s="22" t="s">
        <v>66</v>
      </c>
      <c r="Q22" s="23" t="n">
        <v>46146</v>
      </c>
      <c r="R22" s="23"/>
      <c r="S22" s="22"/>
    </row>
    <row r="23" customFormat="false" ht="19.5" hidden="false" customHeight="true" outlineLevel="0" collapsed="false">
      <c r="A23" s="14" t="n">
        <v>15</v>
      </c>
      <c r="B23" s="15" t="s">
        <v>106</v>
      </c>
      <c r="C23" s="16" t="n">
        <v>46146</v>
      </c>
      <c r="D23" s="14" t="s">
        <v>69</v>
      </c>
      <c r="E23" s="14" t="s">
        <v>44</v>
      </c>
      <c r="F23" s="15" t="s">
        <v>107</v>
      </c>
      <c r="G23" s="14" t="s">
        <v>108</v>
      </c>
      <c r="H23" s="15" t="s">
        <v>72</v>
      </c>
      <c r="I23" s="17" t="n">
        <v>80</v>
      </c>
      <c r="J23" s="14" t="s">
        <v>109</v>
      </c>
      <c r="K23" s="18" t="n">
        <v>8.9</v>
      </c>
      <c r="L23" s="19" t="n">
        <v>0.19</v>
      </c>
      <c r="M23" s="18" t="n">
        <f aca="false">I23*K23</f>
        <v>712</v>
      </c>
      <c r="N23" s="18" t="n">
        <f aca="false">M23*L23</f>
        <v>135.28</v>
      </c>
      <c r="O23" s="20" t="n">
        <f aca="false">M23+N23</f>
        <v>847.28</v>
      </c>
      <c r="P23" s="15" t="s">
        <v>74</v>
      </c>
      <c r="Q23" s="16" t="n">
        <v>46160</v>
      </c>
      <c r="R23" s="16"/>
      <c r="S23" s="15" t="s">
        <v>110</v>
      </c>
    </row>
    <row r="24" customFormat="false" ht="19.5" hidden="false" customHeight="true" outlineLevel="0" collapsed="false">
      <c r="A24" s="28"/>
      <c r="B24" s="28"/>
      <c r="C24" s="29"/>
      <c r="D24" s="28"/>
      <c r="E24" s="28"/>
      <c r="F24" s="28"/>
      <c r="G24" s="28"/>
      <c r="H24" s="28"/>
      <c r="I24" s="30"/>
      <c r="J24" s="28"/>
      <c r="K24" s="31"/>
      <c r="L24" s="32"/>
      <c r="M24" s="31" t="str">
        <f aca="false">IF(AND(I24&lt;&gt;"",K24&lt;&gt;""),I24*K24,"")</f>
        <v/>
      </c>
      <c r="N24" s="31" t="str">
        <f aca="false">IF(M24&lt;&gt;"",M24*L24,"")</f>
        <v/>
      </c>
      <c r="O24" s="33" t="str">
        <f aca="false">IF(M24&lt;&gt;"",M24+N24,"")</f>
        <v/>
      </c>
      <c r="P24" s="28"/>
      <c r="Q24" s="29"/>
      <c r="R24" s="29"/>
      <c r="S24" s="28"/>
    </row>
    <row r="25" customFormat="false" ht="19.5" hidden="false" customHeight="true" outlineLevel="0" collapsed="false">
      <c r="A25" s="34"/>
      <c r="B25" s="34"/>
      <c r="C25" s="35"/>
      <c r="D25" s="34"/>
      <c r="E25" s="34"/>
      <c r="F25" s="34"/>
      <c r="G25" s="34"/>
      <c r="H25" s="34"/>
      <c r="I25" s="36"/>
      <c r="J25" s="34"/>
      <c r="K25" s="37"/>
      <c r="L25" s="38"/>
      <c r="M25" s="37" t="str">
        <f aca="false">IF(AND(I25&lt;&gt;"",K25&lt;&gt;""),I25*K25,"")</f>
        <v/>
      </c>
      <c r="N25" s="37" t="str">
        <f aca="false">IF(M25&lt;&gt;"",M25*L25,"")</f>
        <v/>
      </c>
      <c r="O25" s="39" t="str">
        <f aca="false">IF(M25&lt;&gt;"",M25+N25,"")</f>
        <v/>
      </c>
      <c r="P25" s="34"/>
      <c r="Q25" s="35"/>
      <c r="R25" s="35"/>
      <c r="S25" s="34"/>
    </row>
    <row r="26" customFormat="false" ht="19.5" hidden="false" customHeight="true" outlineLevel="0" collapsed="false">
      <c r="A26" s="28"/>
      <c r="B26" s="28"/>
      <c r="C26" s="29"/>
      <c r="D26" s="28"/>
      <c r="E26" s="28"/>
      <c r="F26" s="28"/>
      <c r="G26" s="28"/>
      <c r="H26" s="28"/>
      <c r="I26" s="30"/>
      <c r="J26" s="28"/>
      <c r="K26" s="31"/>
      <c r="L26" s="32"/>
      <c r="M26" s="31" t="str">
        <f aca="false">IF(AND(I26&lt;&gt;"",K26&lt;&gt;""),I26*K26,"")</f>
        <v/>
      </c>
      <c r="N26" s="31" t="str">
        <f aca="false">IF(M26&lt;&gt;"",M26*L26,"")</f>
        <v/>
      </c>
      <c r="O26" s="33" t="str">
        <f aca="false">IF(M26&lt;&gt;"",M26+N26,"")</f>
        <v/>
      </c>
      <c r="P26" s="28"/>
      <c r="Q26" s="29"/>
      <c r="R26" s="29"/>
      <c r="S26" s="28"/>
    </row>
    <row r="27" customFormat="false" ht="19.5" hidden="false" customHeight="true" outlineLevel="0" collapsed="false">
      <c r="A27" s="34"/>
      <c r="B27" s="34"/>
      <c r="C27" s="35"/>
      <c r="D27" s="34"/>
      <c r="E27" s="34"/>
      <c r="F27" s="34"/>
      <c r="G27" s="34"/>
      <c r="H27" s="34"/>
      <c r="I27" s="36"/>
      <c r="J27" s="34"/>
      <c r="K27" s="37"/>
      <c r="L27" s="38"/>
      <c r="M27" s="37" t="str">
        <f aca="false">IF(AND(I27&lt;&gt;"",K27&lt;&gt;""),I27*K27,"")</f>
        <v/>
      </c>
      <c r="N27" s="37" t="str">
        <f aca="false">IF(M27&lt;&gt;"",M27*L27,"")</f>
        <v/>
      </c>
      <c r="O27" s="39" t="str">
        <f aca="false">IF(M27&lt;&gt;"",M27+N27,"")</f>
        <v/>
      </c>
      <c r="P27" s="34"/>
      <c r="Q27" s="35"/>
      <c r="R27" s="35"/>
      <c r="S27" s="34"/>
    </row>
    <row r="28" customFormat="false" ht="19.5" hidden="false" customHeight="true" outlineLevel="0" collapsed="false">
      <c r="A28" s="28"/>
      <c r="B28" s="28"/>
      <c r="C28" s="29"/>
      <c r="D28" s="28"/>
      <c r="E28" s="28"/>
      <c r="F28" s="28"/>
      <c r="G28" s="28"/>
      <c r="H28" s="28"/>
      <c r="I28" s="30"/>
      <c r="J28" s="28"/>
      <c r="K28" s="31"/>
      <c r="L28" s="32"/>
      <c r="M28" s="31" t="str">
        <f aca="false">IF(AND(I28&lt;&gt;"",K28&lt;&gt;""),I28*K28,"")</f>
        <v/>
      </c>
      <c r="N28" s="31" t="str">
        <f aca="false">IF(M28&lt;&gt;"",M28*L28,"")</f>
        <v/>
      </c>
      <c r="O28" s="33" t="str">
        <f aca="false">IF(M28&lt;&gt;"",M28+N28,"")</f>
        <v/>
      </c>
      <c r="P28" s="28"/>
      <c r="Q28" s="29"/>
      <c r="R28" s="29"/>
      <c r="S28" s="28"/>
    </row>
    <row r="29" customFormat="false" ht="19.5" hidden="false" customHeight="true" outlineLevel="0" collapsed="false">
      <c r="A29" s="34"/>
      <c r="B29" s="34"/>
      <c r="C29" s="35"/>
      <c r="D29" s="34"/>
      <c r="E29" s="34"/>
      <c r="F29" s="34"/>
      <c r="G29" s="34"/>
      <c r="H29" s="34"/>
      <c r="I29" s="36"/>
      <c r="J29" s="34"/>
      <c r="K29" s="37"/>
      <c r="L29" s="38"/>
      <c r="M29" s="37" t="str">
        <f aca="false">IF(AND(I29&lt;&gt;"",K29&lt;&gt;""),I29*K29,"")</f>
        <v/>
      </c>
      <c r="N29" s="37" t="str">
        <f aca="false">IF(M29&lt;&gt;"",M29*L29,"")</f>
        <v/>
      </c>
      <c r="O29" s="39" t="str">
        <f aca="false">IF(M29&lt;&gt;"",M29+N29,"")</f>
        <v/>
      </c>
      <c r="P29" s="34"/>
      <c r="Q29" s="35"/>
      <c r="R29" s="35"/>
      <c r="S29" s="34"/>
    </row>
    <row r="30" customFormat="false" ht="19.5" hidden="false" customHeight="true" outlineLevel="0" collapsed="false">
      <c r="A30" s="28"/>
      <c r="B30" s="28"/>
      <c r="C30" s="29"/>
      <c r="D30" s="28"/>
      <c r="E30" s="28"/>
      <c r="F30" s="28"/>
      <c r="G30" s="28"/>
      <c r="H30" s="28"/>
      <c r="I30" s="30"/>
      <c r="J30" s="28"/>
      <c r="K30" s="31"/>
      <c r="L30" s="32"/>
      <c r="M30" s="31" t="str">
        <f aca="false">IF(AND(I30&lt;&gt;"",K30&lt;&gt;""),I30*K30,"")</f>
        <v/>
      </c>
      <c r="N30" s="31" t="str">
        <f aca="false">IF(M30&lt;&gt;"",M30*L30,"")</f>
        <v/>
      </c>
      <c r="O30" s="33" t="str">
        <f aca="false">IF(M30&lt;&gt;"",M30+N30,"")</f>
        <v/>
      </c>
      <c r="P30" s="28"/>
      <c r="Q30" s="29"/>
      <c r="R30" s="29"/>
      <c r="S30" s="28"/>
    </row>
    <row r="31" customFormat="false" ht="19.5" hidden="false" customHeight="true" outlineLevel="0" collapsed="false">
      <c r="A31" s="34"/>
      <c r="B31" s="34"/>
      <c r="C31" s="35"/>
      <c r="D31" s="34"/>
      <c r="E31" s="34"/>
      <c r="F31" s="34"/>
      <c r="G31" s="34"/>
      <c r="H31" s="34"/>
      <c r="I31" s="36"/>
      <c r="J31" s="34"/>
      <c r="K31" s="37"/>
      <c r="L31" s="38"/>
      <c r="M31" s="37" t="str">
        <f aca="false">IF(AND(I31&lt;&gt;"",K31&lt;&gt;""),I31*K31,"")</f>
        <v/>
      </c>
      <c r="N31" s="37" t="str">
        <f aca="false">IF(M31&lt;&gt;"",M31*L31,"")</f>
        <v/>
      </c>
      <c r="O31" s="39" t="str">
        <f aca="false">IF(M31&lt;&gt;"",M31+N31,"")</f>
        <v/>
      </c>
      <c r="P31" s="34"/>
      <c r="Q31" s="35"/>
      <c r="R31" s="35"/>
      <c r="S31" s="34"/>
    </row>
    <row r="32" customFormat="false" ht="19.5" hidden="false" customHeight="true" outlineLevel="0" collapsed="false">
      <c r="A32" s="28"/>
      <c r="B32" s="28"/>
      <c r="C32" s="29"/>
      <c r="D32" s="28"/>
      <c r="E32" s="28"/>
      <c r="F32" s="28"/>
      <c r="G32" s="28"/>
      <c r="H32" s="28"/>
      <c r="I32" s="30"/>
      <c r="J32" s="28"/>
      <c r="K32" s="31"/>
      <c r="L32" s="32"/>
      <c r="M32" s="31" t="str">
        <f aca="false">IF(AND(I32&lt;&gt;"",K32&lt;&gt;""),I32*K32,"")</f>
        <v/>
      </c>
      <c r="N32" s="31" t="str">
        <f aca="false">IF(M32&lt;&gt;"",M32*L32,"")</f>
        <v/>
      </c>
      <c r="O32" s="33" t="str">
        <f aca="false">IF(M32&lt;&gt;"",M32+N32,"")</f>
        <v/>
      </c>
      <c r="P32" s="28"/>
      <c r="Q32" s="29"/>
      <c r="R32" s="29"/>
      <c r="S32" s="28"/>
    </row>
    <row r="33" customFormat="false" ht="19.5" hidden="false" customHeight="true" outlineLevel="0" collapsed="false">
      <c r="A33" s="34"/>
      <c r="B33" s="34"/>
      <c r="C33" s="35"/>
      <c r="D33" s="34"/>
      <c r="E33" s="34"/>
      <c r="F33" s="34"/>
      <c r="G33" s="34"/>
      <c r="H33" s="34"/>
      <c r="I33" s="36"/>
      <c r="J33" s="34"/>
      <c r="K33" s="37"/>
      <c r="L33" s="38"/>
      <c r="M33" s="37" t="str">
        <f aca="false">IF(AND(I33&lt;&gt;"",K33&lt;&gt;""),I33*K33,"")</f>
        <v/>
      </c>
      <c r="N33" s="37" t="str">
        <f aca="false">IF(M33&lt;&gt;"",M33*L33,"")</f>
        <v/>
      </c>
      <c r="O33" s="39" t="str">
        <f aca="false">IF(M33&lt;&gt;"",M33+N33,"")</f>
        <v/>
      </c>
      <c r="P33" s="34"/>
      <c r="Q33" s="35"/>
      <c r="R33" s="35"/>
      <c r="S33" s="34"/>
    </row>
    <row r="34" customFormat="false" ht="19.5" hidden="false" customHeight="true" outlineLevel="0" collapsed="false">
      <c r="A34" s="28"/>
      <c r="B34" s="28"/>
      <c r="C34" s="29"/>
      <c r="D34" s="28"/>
      <c r="E34" s="28"/>
      <c r="F34" s="28"/>
      <c r="G34" s="28"/>
      <c r="H34" s="28"/>
      <c r="I34" s="30"/>
      <c r="J34" s="28"/>
      <c r="K34" s="31"/>
      <c r="L34" s="32"/>
      <c r="M34" s="31" t="str">
        <f aca="false">IF(AND(I34&lt;&gt;"",K34&lt;&gt;""),I34*K34,"")</f>
        <v/>
      </c>
      <c r="N34" s="31" t="str">
        <f aca="false">IF(M34&lt;&gt;"",M34*L34,"")</f>
        <v/>
      </c>
      <c r="O34" s="33" t="str">
        <f aca="false">IF(M34&lt;&gt;"",M34+N34,"")</f>
        <v/>
      </c>
      <c r="P34" s="28"/>
      <c r="Q34" s="29"/>
      <c r="R34" s="29"/>
      <c r="S34" s="28"/>
    </row>
    <row r="35" customFormat="false" ht="19.5" hidden="false" customHeight="true" outlineLevel="0" collapsed="false">
      <c r="A35" s="34"/>
      <c r="B35" s="34"/>
      <c r="C35" s="35"/>
      <c r="D35" s="34"/>
      <c r="E35" s="34"/>
      <c r="F35" s="34"/>
      <c r="G35" s="34"/>
      <c r="H35" s="34"/>
      <c r="I35" s="36"/>
      <c r="J35" s="34"/>
      <c r="K35" s="37"/>
      <c r="L35" s="38"/>
      <c r="M35" s="37" t="str">
        <f aca="false">IF(AND(I35&lt;&gt;"",K35&lt;&gt;""),I35*K35,"")</f>
        <v/>
      </c>
      <c r="N35" s="37" t="str">
        <f aca="false">IF(M35&lt;&gt;"",M35*L35,"")</f>
        <v/>
      </c>
      <c r="O35" s="39" t="str">
        <f aca="false">IF(M35&lt;&gt;"",M35+N35,"")</f>
        <v/>
      </c>
      <c r="P35" s="34"/>
      <c r="Q35" s="35"/>
      <c r="R35" s="35"/>
      <c r="S35" s="34"/>
    </row>
    <row r="36" customFormat="false" ht="19.5" hidden="false" customHeight="true" outlineLevel="0" collapsed="false">
      <c r="A36" s="28"/>
      <c r="B36" s="28"/>
      <c r="C36" s="29"/>
      <c r="D36" s="28"/>
      <c r="E36" s="28"/>
      <c r="F36" s="28"/>
      <c r="G36" s="28"/>
      <c r="H36" s="28"/>
      <c r="I36" s="30"/>
      <c r="J36" s="28"/>
      <c r="K36" s="31"/>
      <c r="L36" s="32"/>
      <c r="M36" s="31" t="str">
        <f aca="false">IF(AND(I36&lt;&gt;"",K36&lt;&gt;""),I36*K36,"")</f>
        <v/>
      </c>
      <c r="N36" s="31" t="str">
        <f aca="false">IF(M36&lt;&gt;"",M36*L36,"")</f>
        <v/>
      </c>
      <c r="O36" s="33" t="str">
        <f aca="false">IF(M36&lt;&gt;"",M36+N36,"")</f>
        <v/>
      </c>
      <c r="P36" s="28"/>
      <c r="Q36" s="29"/>
      <c r="R36" s="29"/>
      <c r="S36" s="28"/>
    </row>
    <row r="37" customFormat="false" ht="19.5" hidden="false" customHeight="true" outlineLevel="0" collapsed="false">
      <c r="A37" s="34"/>
      <c r="B37" s="34"/>
      <c r="C37" s="35"/>
      <c r="D37" s="34"/>
      <c r="E37" s="34"/>
      <c r="F37" s="34"/>
      <c r="G37" s="34"/>
      <c r="H37" s="34"/>
      <c r="I37" s="36"/>
      <c r="J37" s="34"/>
      <c r="K37" s="37"/>
      <c r="L37" s="38"/>
      <c r="M37" s="37" t="str">
        <f aca="false">IF(AND(I37&lt;&gt;"",K37&lt;&gt;""),I37*K37,"")</f>
        <v/>
      </c>
      <c r="N37" s="37" t="str">
        <f aca="false">IF(M37&lt;&gt;"",M37*L37,"")</f>
        <v/>
      </c>
      <c r="O37" s="39" t="str">
        <f aca="false">IF(M37&lt;&gt;"",M37+N37,"")</f>
        <v/>
      </c>
      <c r="P37" s="34"/>
      <c r="Q37" s="35"/>
      <c r="R37" s="35"/>
      <c r="S37" s="34"/>
    </row>
    <row r="38" customFormat="false" ht="19.5" hidden="false" customHeight="true" outlineLevel="0" collapsed="false">
      <c r="A38" s="28"/>
      <c r="B38" s="28"/>
      <c r="C38" s="29"/>
      <c r="D38" s="28"/>
      <c r="E38" s="28"/>
      <c r="F38" s="28"/>
      <c r="G38" s="28"/>
      <c r="H38" s="28"/>
      <c r="I38" s="30"/>
      <c r="J38" s="28"/>
      <c r="K38" s="31"/>
      <c r="L38" s="32"/>
      <c r="M38" s="31" t="str">
        <f aca="false">IF(AND(I38&lt;&gt;"",K38&lt;&gt;""),I38*K38,"")</f>
        <v/>
      </c>
      <c r="N38" s="31" t="str">
        <f aca="false">IF(M38&lt;&gt;"",M38*L38,"")</f>
        <v/>
      </c>
      <c r="O38" s="33" t="str">
        <f aca="false">IF(M38&lt;&gt;"",M38+N38,"")</f>
        <v/>
      </c>
      <c r="P38" s="28"/>
      <c r="Q38" s="29"/>
      <c r="R38" s="29"/>
      <c r="S38" s="28"/>
    </row>
    <row r="39" customFormat="false" ht="19.5" hidden="false" customHeight="true" outlineLevel="0" collapsed="false">
      <c r="A39" s="34"/>
      <c r="B39" s="34"/>
      <c r="C39" s="35"/>
      <c r="D39" s="34"/>
      <c r="E39" s="34"/>
      <c r="F39" s="34"/>
      <c r="G39" s="34"/>
      <c r="H39" s="34"/>
      <c r="I39" s="36"/>
      <c r="J39" s="34"/>
      <c r="K39" s="37"/>
      <c r="L39" s="38"/>
      <c r="M39" s="37" t="str">
        <f aca="false">IF(AND(I39&lt;&gt;"",K39&lt;&gt;""),I39*K39,"")</f>
        <v/>
      </c>
      <c r="N39" s="37" t="str">
        <f aca="false">IF(M39&lt;&gt;"",M39*L39,"")</f>
        <v/>
      </c>
      <c r="O39" s="39" t="str">
        <f aca="false">IF(M39&lt;&gt;"",M39+N39,"")</f>
        <v/>
      </c>
      <c r="P39" s="34"/>
      <c r="Q39" s="35"/>
      <c r="R39" s="35"/>
      <c r="S39" s="34"/>
    </row>
    <row r="40" customFormat="false" ht="19.5" hidden="false" customHeight="true" outlineLevel="0" collapsed="false">
      <c r="A40" s="28"/>
      <c r="B40" s="28"/>
      <c r="C40" s="29"/>
      <c r="D40" s="28"/>
      <c r="E40" s="28"/>
      <c r="F40" s="28"/>
      <c r="G40" s="28"/>
      <c r="H40" s="28"/>
      <c r="I40" s="30"/>
      <c r="J40" s="28"/>
      <c r="K40" s="31"/>
      <c r="L40" s="32"/>
      <c r="M40" s="31" t="str">
        <f aca="false">IF(AND(I40&lt;&gt;"",K40&lt;&gt;""),I40*K40,"")</f>
        <v/>
      </c>
      <c r="N40" s="31" t="str">
        <f aca="false">IF(M40&lt;&gt;"",M40*L40,"")</f>
        <v/>
      </c>
      <c r="O40" s="33" t="str">
        <f aca="false">IF(M40&lt;&gt;"",M40+N40,"")</f>
        <v/>
      </c>
      <c r="P40" s="28"/>
      <c r="Q40" s="29"/>
      <c r="R40" s="29"/>
      <c r="S40" s="28"/>
    </row>
    <row r="41" customFormat="false" ht="19.5" hidden="false" customHeight="true" outlineLevel="0" collapsed="false">
      <c r="A41" s="34"/>
      <c r="B41" s="34"/>
      <c r="C41" s="35"/>
      <c r="D41" s="34"/>
      <c r="E41" s="34"/>
      <c r="F41" s="34"/>
      <c r="G41" s="34"/>
      <c r="H41" s="34"/>
      <c r="I41" s="36"/>
      <c r="J41" s="34"/>
      <c r="K41" s="37"/>
      <c r="L41" s="38"/>
      <c r="M41" s="37" t="str">
        <f aca="false">IF(AND(I41&lt;&gt;"",K41&lt;&gt;""),I41*K41,"")</f>
        <v/>
      </c>
      <c r="N41" s="37" t="str">
        <f aca="false">IF(M41&lt;&gt;"",M41*L41,"")</f>
        <v/>
      </c>
      <c r="O41" s="39" t="str">
        <f aca="false">IF(M41&lt;&gt;"",M41+N41,"")</f>
        <v/>
      </c>
      <c r="P41" s="34"/>
      <c r="Q41" s="35"/>
      <c r="R41" s="35"/>
      <c r="S41" s="34"/>
    </row>
    <row r="42" customFormat="false" ht="19.5" hidden="false" customHeight="true" outlineLevel="0" collapsed="false">
      <c r="A42" s="28"/>
      <c r="B42" s="28"/>
      <c r="C42" s="29"/>
      <c r="D42" s="28"/>
      <c r="E42" s="28"/>
      <c r="F42" s="28"/>
      <c r="G42" s="28"/>
      <c r="H42" s="28"/>
      <c r="I42" s="30"/>
      <c r="J42" s="28"/>
      <c r="K42" s="31"/>
      <c r="L42" s="32"/>
      <c r="M42" s="31" t="str">
        <f aca="false">IF(AND(I42&lt;&gt;"",K42&lt;&gt;""),I42*K42,"")</f>
        <v/>
      </c>
      <c r="N42" s="31" t="str">
        <f aca="false">IF(M42&lt;&gt;"",M42*L42,"")</f>
        <v/>
      </c>
      <c r="O42" s="33" t="str">
        <f aca="false">IF(M42&lt;&gt;"",M42+N42,"")</f>
        <v/>
      </c>
      <c r="P42" s="28"/>
      <c r="Q42" s="29"/>
      <c r="R42" s="29"/>
      <c r="S42" s="28"/>
    </row>
    <row r="43" customFormat="false" ht="19.5" hidden="false" customHeight="true" outlineLevel="0" collapsed="false">
      <c r="A43" s="34"/>
      <c r="B43" s="34"/>
      <c r="C43" s="35"/>
      <c r="D43" s="34"/>
      <c r="E43" s="34"/>
      <c r="F43" s="34"/>
      <c r="G43" s="34"/>
      <c r="H43" s="34"/>
      <c r="I43" s="36"/>
      <c r="J43" s="34"/>
      <c r="K43" s="37"/>
      <c r="L43" s="38"/>
      <c r="M43" s="37" t="str">
        <f aca="false">IF(AND(I43&lt;&gt;"",K43&lt;&gt;""),I43*K43,"")</f>
        <v/>
      </c>
      <c r="N43" s="37" t="str">
        <f aca="false">IF(M43&lt;&gt;"",M43*L43,"")</f>
        <v/>
      </c>
      <c r="O43" s="39" t="str">
        <f aca="false">IF(M43&lt;&gt;"",M43+N43,"")</f>
        <v/>
      </c>
      <c r="P43" s="34"/>
      <c r="Q43" s="35"/>
      <c r="R43" s="35"/>
      <c r="S43" s="34"/>
    </row>
    <row r="44" customFormat="false" ht="19.5" hidden="false" customHeight="true" outlineLevel="0" collapsed="false">
      <c r="A44" s="28"/>
      <c r="B44" s="28"/>
      <c r="C44" s="29"/>
      <c r="D44" s="28"/>
      <c r="E44" s="28"/>
      <c r="F44" s="28"/>
      <c r="G44" s="28"/>
      <c r="H44" s="28"/>
      <c r="I44" s="30"/>
      <c r="J44" s="28"/>
      <c r="K44" s="31"/>
      <c r="L44" s="32"/>
      <c r="M44" s="31" t="str">
        <f aca="false">IF(AND(I44&lt;&gt;"",K44&lt;&gt;""),I44*K44,"")</f>
        <v/>
      </c>
      <c r="N44" s="31" t="str">
        <f aca="false">IF(M44&lt;&gt;"",M44*L44,"")</f>
        <v/>
      </c>
      <c r="O44" s="33" t="str">
        <f aca="false">IF(M44&lt;&gt;"",M44+N44,"")</f>
        <v/>
      </c>
      <c r="P44" s="28"/>
      <c r="Q44" s="29"/>
      <c r="R44" s="29"/>
      <c r="S44" s="28"/>
    </row>
    <row r="45" customFormat="false" ht="19.5" hidden="false" customHeight="true" outlineLevel="0" collapsed="false">
      <c r="A45" s="34"/>
      <c r="B45" s="34"/>
      <c r="C45" s="35"/>
      <c r="D45" s="34"/>
      <c r="E45" s="34"/>
      <c r="F45" s="34"/>
      <c r="G45" s="34"/>
      <c r="H45" s="34"/>
      <c r="I45" s="36"/>
      <c r="J45" s="34"/>
      <c r="K45" s="37"/>
      <c r="L45" s="38"/>
      <c r="M45" s="37" t="str">
        <f aca="false">IF(AND(I45&lt;&gt;"",K45&lt;&gt;""),I45*K45,"")</f>
        <v/>
      </c>
      <c r="N45" s="37" t="str">
        <f aca="false">IF(M45&lt;&gt;"",M45*L45,"")</f>
        <v/>
      </c>
      <c r="O45" s="39" t="str">
        <f aca="false">IF(M45&lt;&gt;"",M45+N45,"")</f>
        <v/>
      </c>
      <c r="P45" s="34"/>
      <c r="Q45" s="35"/>
      <c r="R45" s="35"/>
      <c r="S45" s="34"/>
    </row>
    <row r="46" customFormat="false" ht="19.5" hidden="false" customHeight="true" outlineLevel="0" collapsed="false">
      <c r="A46" s="28"/>
      <c r="B46" s="28"/>
      <c r="C46" s="29"/>
      <c r="D46" s="28"/>
      <c r="E46" s="28"/>
      <c r="F46" s="28"/>
      <c r="G46" s="28"/>
      <c r="H46" s="28"/>
      <c r="I46" s="30"/>
      <c r="J46" s="28"/>
      <c r="K46" s="31"/>
      <c r="L46" s="32"/>
      <c r="M46" s="31" t="str">
        <f aca="false">IF(AND(I46&lt;&gt;"",K46&lt;&gt;""),I46*K46,"")</f>
        <v/>
      </c>
      <c r="N46" s="31" t="str">
        <f aca="false">IF(M46&lt;&gt;"",M46*L46,"")</f>
        <v/>
      </c>
      <c r="O46" s="33" t="str">
        <f aca="false">IF(M46&lt;&gt;"",M46+N46,"")</f>
        <v/>
      </c>
      <c r="P46" s="28"/>
      <c r="Q46" s="29"/>
      <c r="R46" s="29"/>
      <c r="S46" s="28"/>
    </row>
    <row r="47" customFormat="false" ht="19.5" hidden="false" customHeight="true" outlineLevel="0" collapsed="false">
      <c r="A47" s="34"/>
      <c r="B47" s="34"/>
      <c r="C47" s="35"/>
      <c r="D47" s="34"/>
      <c r="E47" s="34"/>
      <c r="F47" s="34"/>
      <c r="G47" s="34"/>
      <c r="H47" s="34"/>
      <c r="I47" s="36"/>
      <c r="J47" s="34"/>
      <c r="K47" s="37"/>
      <c r="L47" s="38"/>
      <c r="M47" s="37" t="str">
        <f aca="false">IF(AND(I47&lt;&gt;"",K47&lt;&gt;""),I47*K47,"")</f>
        <v/>
      </c>
      <c r="N47" s="37" t="str">
        <f aca="false">IF(M47&lt;&gt;"",M47*L47,"")</f>
        <v/>
      </c>
      <c r="O47" s="39" t="str">
        <f aca="false">IF(M47&lt;&gt;"",M47+N47,"")</f>
        <v/>
      </c>
      <c r="P47" s="34"/>
      <c r="Q47" s="35"/>
      <c r="R47" s="35"/>
      <c r="S47" s="34"/>
    </row>
    <row r="48" customFormat="false" ht="19.5" hidden="false" customHeight="true" outlineLevel="0" collapsed="false">
      <c r="A48" s="28"/>
      <c r="B48" s="28"/>
      <c r="C48" s="29"/>
      <c r="D48" s="28"/>
      <c r="E48" s="28"/>
      <c r="F48" s="28"/>
      <c r="G48" s="28"/>
      <c r="H48" s="28"/>
      <c r="I48" s="30"/>
      <c r="J48" s="28"/>
      <c r="K48" s="31"/>
      <c r="L48" s="32"/>
      <c r="M48" s="31" t="str">
        <f aca="false">IF(AND(I48&lt;&gt;"",K48&lt;&gt;""),I48*K48,"")</f>
        <v/>
      </c>
      <c r="N48" s="31" t="str">
        <f aca="false">IF(M48&lt;&gt;"",M48*L48,"")</f>
        <v/>
      </c>
      <c r="O48" s="33" t="str">
        <f aca="false">IF(M48&lt;&gt;"",M48+N48,"")</f>
        <v/>
      </c>
      <c r="P48" s="28"/>
      <c r="Q48" s="29"/>
      <c r="R48" s="29"/>
      <c r="S48" s="28"/>
    </row>
    <row r="49" customFormat="false" ht="21.75" hidden="false" customHeight="true" outlineLevel="0" collapsed="false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1" t="s">
        <v>111</v>
      </c>
      <c r="M49" s="42" t="n">
        <f aca="false">SUM(M9:M48)</f>
        <v>11878.5</v>
      </c>
      <c r="N49" s="42" t="n">
        <f aca="false">SUM(N9:N48)</f>
        <v>2227.515</v>
      </c>
      <c r="O49" s="42" t="n">
        <f aca="false">SUM(O9:O48)</f>
        <v>14106.015</v>
      </c>
      <c r="P49" s="40"/>
      <c r="Q49" s="40"/>
      <c r="R49" s="40"/>
      <c r="S49" s="40"/>
    </row>
  </sheetData>
  <autoFilter ref="A8:S48"/>
  <mergeCells count="12">
    <mergeCell ref="A1:S1"/>
    <mergeCell ref="A2:S2"/>
    <mergeCell ref="A4:D4"/>
    <mergeCell ref="E4:H4"/>
    <mergeCell ref="I4:L4"/>
    <mergeCell ref="M4:P4"/>
    <mergeCell ref="Q4:S4"/>
    <mergeCell ref="A5:D6"/>
    <mergeCell ref="E5:H6"/>
    <mergeCell ref="I5:L6"/>
    <mergeCell ref="M5:P6"/>
    <mergeCell ref="Q5:S6"/>
  </mergeCells>
  <conditionalFormatting sqref="D9:D48">
    <cfRule type="cellIs" priority="2" operator="equal" aboveAverage="0" equalAverage="0" bottom="0" percent="0" rank="0" text="" dxfId="12">
      <formula>"Offen"</formula>
    </cfRule>
    <cfRule type="cellIs" priority="3" operator="equal" aboveAverage="0" equalAverage="0" bottom="0" percent="0" rank="0" text="" dxfId="13">
      <formula>"Bestellt"</formula>
    </cfRule>
    <cfRule type="cellIs" priority="4" operator="equal" aboveAverage="0" equalAverage="0" bottom="0" percent="0" rank="0" text="" dxfId="14">
      <formula>"Teillieferung"</formula>
    </cfRule>
    <cfRule type="cellIs" priority="5" operator="equal" aboveAverage="0" equalAverage="0" bottom="0" percent="0" rank="0" text="" dxfId="15">
      <formula>"Geliefert"</formula>
    </cfRule>
    <cfRule type="cellIs" priority="6" operator="equal" aboveAverage="0" equalAverage="0" bottom="0" percent="0" rank="0" text="" dxfId="16">
      <formula>"Storniert"</formula>
    </cfRule>
  </conditionalFormatting>
  <conditionalFormatting sqref="E9:E48">
    <cfRule type="cellIs" priority="7" operator="equal" aboveAverage="0" equalAverage="0" bottom="0" percent="0" rank="0" text="" dxfId="17">
      <formula>"Hoch"</formula>
    </cfRule>
    <cfRule type="cellIs" priority="8" operator="equal" aboveAverage="0" equalAverage="0" bottom="0" percent="0" rank="0" text="" dxfId="12">
      <formula>"Mittel"</formula>
    </cfRule>
    <cfRule type="cellIs" priority="9" operator="equal" aboveAverage="0" equalAverage="0" bottom="0" percent="0" rank="0" text="" dxfId="15">
      <formula>"Niedrig"</formula>
    </cfRule>
  </conditionalFormatting>
  <conditionalFormatting sqref="Q9:Q48">
    <cfRule type="expression" priority="10" aboveAverage="0" equalAverage="0" bottom="0" percent="0" rank="0" text="" dxfId="18">
      <formula>AND($Q9&lt;&gt;"",$Q9&lt;TODAY(),$R9="",$D9&lt;&gt;"Storniert")</formula>
    </cfRule>
  </conditionalFormatting>
  <dataValidations count="6">
    <dataValidation allowBlank="true" error="Bitte einen Wert aus der Liste wählen." errorStyle="stop" errorTitle="Ungültige Eingabe" operator="between" showDropDown="false" showErrorMessage="false" showInputMessage="false" sqref="D9:D48" type="list">
      <formula1>Listen!$A$3:$A$7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E9:E48" type="list">
      <formula1>Listen!$B$3:$B$5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J9:J48" type="list">
      <formula1>Listen!$C$3:$C$10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L9:L48" type="list">
      <formula1>Listen!$D$3:$D$5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H9:H48" type="list">
      <formula1>Listen!$E$3:$E$10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P9:P48" type="list">
      <formula1>Listen!$G$3:$G$9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8A3C"/>
    <pageSetUpPr fitToPage="true"/>
  </sheetPr>
  <dimension ref="B1:I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3" min="3" style="0" width="12"/>
    <col collapsed="false" customWidth="true" hidden="false" outlineLevel="0" max="4" min="4" style="0" width="16"/>
    <col collapsed="false" customWidth="true" hidden="false" outlineLevel="0" max="5" min="5" style="0" width="11"/>
    <col collapsed="false" customWidth="true" hidden="false" outlineLevel="0" max="6" min="6" style="0" width="2"/>
    <col collapsed="false" customWidth="true" hidden="false" outlineLevel="0" max="7" min="7" style="0" width="22"/>
    <col collapsed="false" customWidth="true" hidden="false" outlineLevel="0" max="8" min="8" style="0" width="16"/>
    <col collapsed="false" customWidth="true" hidden="false" outlineLevel="0" max="9" min="9" style="0" width="11"/>
    <col collapsed="false" customWidth="true" hidden="false" outlineLevel="0" max="10" min="10" style="0" width="2"/>
  </cols>
  <sheetData>
    <row r="1" customFormat="false" ht="36" hidden="false" customHeight="true" outlineLevel="0" collapsed="false">
      <c r="B1" s="43" t="s">
        <v>112</v>
      </c>
      <c r="C1" s="43"/>
      <c r="D1" s="43"/>
      <c r="E1" s="43"/>
      <c r="F1" s="43"/>
      <c r="G1" s="43"/>
      <c r="H1" s="43"/>
      <c r="I1" s="43"/>
    </row>
    <row r="2" customFormat="false" ht="15" hidden="false" customHeight="false" outlineLevel="0" collapsed="false">
      <c r="B2" s="44" t="s">
        <v>113</v>
      </c>
      <c r="C2" s="44"/>
      <c r="D2" s="44"/>
      <c r="E2" s="44"/>
      <c r="F2" s="44"/>
      <c r="G2" s="44"/>
      <c r="H2" s="44"/>
      <c r="I2" s="44"/>
    </row>
    <row r="4" customFormat="false" ht="15" hidden="false" customHeight="false" outlineLevel="0" collapsed="false">
      <c r="B4" s="45" t="s">
        <v>114</v>
      </c>
      <c r="G4" s="45" t="s">
        <v>115</v>
      </c>
    </row>
    <row r="5" customFormat="false" ht="15" hidden="false" customHeight="false" outlineLevel="0" collapsed="false">
      <c r="B5" s="46" t="s">
        <v>10</v>
      </c>
      <c r="C5" s="46" t="s">
        <v>116</v>
      </c>
      <c r="D5" s="46" t="s">
        <v>117</v>
      </c>
      <c r="E5" s="46" t="s">
        <v>118</v>
      </c>
      <c r="G5" s="46" t="s">
        <v>14</v>
      </c>
      <c r="H5" s="46" t="s">
        <v>117</v>
      </c>
      <c r="I5" s="46" t="s">
        <v>118</v>
      </c>
    </row>
    <row r="6" customFormat="false" ht="15" hidden="false" customHeight="false" outlineLevel="0" collapsed="false">
      <c r="B6" s="15" t="s">
        <v>69</v>
      </c>
      <c r="C6" s="47" t="n">
        <f aca="false">COUNTIF(Bestellübersicht!$D$9:$D$48,"Offen")</f>
        <v>3</v>
      </c>
      <c r="D6" s="18" t="n">
        <f aca="false">SUMIF(Bestellübersicht!$D$9:$D$48,"Offen",Bestellübersicht!$O$9:$O$48)</f>
        <v>3453.38</v>
      </c>
      <c r="E6" s="48" t="n">
        <f aca="false">IF($D$11=0,0,D6/$D$11)</f>
        <v>0.24481612985666</v>
      </c>
      <c r="G6" s="15" t="s">
        <v>31</v>
      </c>
      <c r="H6" s="18" t="n">
        <f aca="false">SUMIF(Bestellübersicht!$H$9:$H$48,"Büromaterial",Bestellübersicht!$O$9:$O$48)</f>
        <v>1240.925</v>
      </c>
      <c r="I6" s="48" t="n">
        <f aca="false">IF($H$14=0,0,H6/$H$14)</f>
        <v>0.0879713370501875</v>
      </c>
    </row>
    <row r="7" customFormat="false" ht="15" hidden="false" customHeight="false" outlineLevel="0" collapsed="false">
      <c r="B7" s="22" t="s">
        <v>57</v>
      </c>
      <c r="C7" s="49" t="n">
        <f aca="false">COUNTIF(Bestellübersicht!$D$9:$D$48,"Bestellt")</f>
        <v>3</v>
      </c>
      <c r="D7" s="25" t="n">
        <f aca="false">SUMIF(Bestellübersicht!$D$9:$D$48,"Bestellt",Bestellübersicht!$O$9:$O$48)</f>
        <v>1839.74</v>
      </c>
      <c r="E7" s="50" t="n">
        <f aca="false">IF($D$11=0,0,D7/$D$11)</f>
        <v>0.130422376553548</v>
      </c>
      <c r="G7" s="22" t="s">
        <v>39</v>
      </c>
      <c r="H7" s="25" t="n">
        <f aca="false">SUMIF(Bestellübersicht!$H$9:$H$48,"IT &amp; Zubehör",Bestellübersicht!$O$9:$O$48)</f>
        <v>5938.1</v>
      </c>
      <c r="I7" s="50" t="n">
        <f aca="false">IF($H$14=0,0,H7/$H$14)</f>
        <v>0.420962263261453</v>
      </c>
    </row>
    <row r="8" customFormat="false" ht="15" hidden="false" customHeight="false" outlineLevel="0" collapsed="false">
      <c r="B8" s="15" t="s">
        <v>50</v>
      </c>
      <c r="C8" s="47" t="n">
        <f aca="false">COUNTIF(Bestellübersicht!$D$9:$D$48,"Teillieferung")</f>
        <v>1</v>
      </c>
      <c r="D8" s="18" t="n">
        <f aca="false">SUMIF(Bestellübersicht!$D$9:$D$48,"Teillieferung",Bestellübersicht!$O$9:$O$48)</f>
        <v>529.55</v>
      </c>
      <c r="E8" s="48" t="n">
        <f aca="false">IF($D$11=0,0,D8/$D$11)</f>
        <v>0.0375407228760213</v>
      </c>
      <c r="G8" s="15" t="s">
        <v>47</v>
      </c>
      <c r="H8" s="18" t="n">
        <f aca="false">SUMIF(Bestellübersicht!$H$9:$H$48,"Werkzeuge",Bestellübersicht!$O$9:$O$48)</f>
        <v>1038.87</v>
      </c>
      <c r="I8" s="48" t="n">
        <f aca="false">IF($H$14=0,0,H8/$H$14)</f>
        <v>0.0736473057770036</v>
      </c>
    </row>
    <row r="9" customFormat="false" ht="15" hidden="false" customHeight="false" outlineLevel="0" collapsed="false">
      <c r="B9" s="22" t="s">
        <v>27</v>
      </c>
      <c r="C9" s="49" t="n">
        <f aca="false">COUNTIF(Bestellübersicht!$D$9:$D$48,"Geliefert")</f>
        <v>7</v>
      </c>
      <c r="D9" s="25" t="n">
        <f aca="false">SUMIF(Bestellübersicht!$D$9:$D$48,"Geliefert",Bestellübersicht!$O$9:$O$48)</f>
        <v>6719.685</v>
      </c>
      <c r="E9" s="50" t="n">
        <f aca="false">IF($D$11=0,0,D9/$D$11)</f>
        <v>0.476370186760754</v>
      </c>
      <c r="G9" s="22" t="s">
        <v>53</v>
      </c>
      <c r="H9" s="25" t="n">
        <f aca="false">SUMIF(Bestellübersicht!$H$9:$H$48,"Verpackung",Bestellübersicht!$O$9:$O$48)</f>
        <v>2600.15</v>
      </c>
      <c r="I9" s="50" t="n">
        <f aca="false">IF($H$14=0,0,H9/$H$14)</f>
        <v>0.184329167380015</v>
      </c>
    </row>
    <row r="10" customFormat="false" ht="15" hidden="false" customHeight="false" outlineLevel="0" collapsed="false">
      <c r="B10" s="15" t="s">
        <v>90</v>
      </c>
      <c r="C10" s="47" t="n">
        <f aca="false">COUNTIF(Bestellübersicht!$D$9:$D$48,"Storniert")</f>
        <v>1</v>
      </c>
      <c r="D10" s="18" t="n">
        <f aca="false">SUMIF(Bestellübersicht!$D$9:$D$48,"Storniert",Bestellübersicht!$O$9:$O$48)</f>
        <v>1563.66</v>
      </c>
      <c r="E10" s="48" t="n">
        <f aca="false">IF($D$11=0,0,D10/$D$11)</f>
        <v>0.110850583953016</v>
      </c>
      <c r="G10" s="15" t="s">
        <v>72</v>
      </c>
      <c r="H10" s="18" t="n">
        <f aca="false">SUMIF(Bestellübersicht!$H$9:$H$48,"Rohstoffe",Bestellübersicht!$O$9:$O$48)</f>
        <v>1382.78</v>
      </c>
      <c r="I10" s="48" t="n">
        <f aca="false">IF($H$14=0,0,H10/$H$14)</f>
        <v>0.0980276853526669</v>
      </c>
    </row>
    <row r="11" customFormat="false" ht="15" hidden="false" customHeight="false" outlineLevel="0" collapsed="false">
      <c r="B11" s="51" t="s">
        <v>119</v>
      </c>
      <c r="C11" s="52" t="n">
        <f aca="false">SUM(C6:C10)</f>
        <v>15</v>
      </c>
      <c r="D11" s="53" t="n">
        <f aca="false">SUM(D6:D10)</f>
        <v>14106.015</v>
      </c>
      <c r="E11" s="54" t="n">
        <f aca="false">IF(D11=0,0,SUM(E6:E10))</f>
        <v>1</v>
      </c>
      <c r="G11" s="22" t="s">
        <v>79</v>
      </c>
      <c r="H11" s="25" t="n">
        <f aca="false">SUMIF(Bestellübersicht!$H$9:$H$48,"Betriebsausstattung",Bestellübersicht!$O$9:$O$48)</f>
        <v>674.73</v>
      </c>
      <c r="I11" s="50" t="n">
        <f aca="false">IF($H$14=0,0,H11/$H$14)</f>
        <v>0.0478327862263013</v>
      </c>
    </row>
    <row r="12" customFormat="false" ht="15" hidden="false" customHeight="false" outlineLevel="0" collapsed="false">
      <c r="G12" s="15" t="s">
        <v>83</v>
      </c>
      <c r="H12" s="18" t="n">
        <f aca="false">SUMIF(Bestellübersicht!$H$9:$H$48,"Dienstleistung",Bestellübersicht!$O$9:$O$48)</f>
        <v>809.2</v>
      </c>
      <c r="I12" s="48" t="n">
        <f aca="false">IF($H$14=0,0,H12/$H$14)</f>
        <v>0.0573655990015607</v>
      </c>
    </row>
    <row r="13" customFormat="false" ht="15" hidden="false" customHeight="false" outlineLevel="0" collapsed="false">
      <c r="B13" s="55" t="s">
        <v>120</v>
      </c>
      <c r="C13" s="56" t="n">
        <v>2026</v>
      </c>
      <c r="G13" s="22" t="s">
        <v>64</v>
      </c>
      <c r="H13" s="25" t="n">
        <f aca="false">SUMIF(Bestellübersicht!$H$9:$H$48,"Reinigung",Bestellübersicht!$O$9:$O$48)</f>
        <v>421.26</v>
      </c>
      <c r="I13" s="50" t="n">
        <f aca="false">IF($H$14=0,0,H13/$H$14)</f>
        <v>0.0298638559508125</v>
      </c>
    </row>
    <row r="14" customFormat="false" ht="15" hidden="false" customHeight="false" outlineLevel="0" collapsed="false">
      <c r="G14" s="51" t="s">
        <v>119</v>
      </c>
      <c r="H14" s="53" t="n">
        <f aca="false">SUM(H6:H13)</f>
        <v>14106.015</v>
      </c>
      <c r="I14" s="54" t="n">
        <f aca="false">IF(H14=0,0,SUM(I6:I13))</f>
        <v>1</v>
      </c>
    </row>
    <row r="15" customFormat="false" ht="15" hidden="false" customHeight="false" outlineLevel="0" collapsed="false">
      <c r="B15" s="45" t="s">
        <v>121</v>
      </c>
    </row>
    <row r="16" customFormat="false" ht="15" hidden="false" customHeight="false" outlineLevel="0" collapsed="false">
      <c r="B16" s="46" t="s">
        <v>122</v>
      </c>
      <c r="C16" s="46" t="s">
        <v>117</v>
      </c>
    </row>
    <row r="17" customFormat="false" ht="15" hidden="false" customHeight="false" outlineLevel="0" collapsed="false">
      <c r="B17" s="15" t="s">
        <v>123</v>
      </c>
      <c r="C17" s="18" t="n">
        <f aca="false">SUMIFS(Bestellübersicht!$O$9:$O$48,Bestellübersicht!$C$9:$C$48,"&gt;="&amp;DATE($C$13,1,1),Bestellübersicht!$C$9:$C$48,"&lt;="&amp;EOMONTH(DATE($C$13,1,1),0),Bestellübersicht!$D$9:$D$48,"&lt;&gt;Storniert")</f>
        <v>5468.645</v>
      </c>
    </row>
    <row r="18" customFormat="false" ht="15" hidden="false" customHeight="false" outlineLevel="0" collapsed="false">
      <c r="B18" s="22" t="s">
        <v>124</v>
      </c>
      <c r="C18" s="25" t="n">
        <f aca="false">SUMIFS(Bestellübersicht!$O$9:$O$48,Bestellübersicht!$C$9:$C$48,"&gt;="&amp;DATE($C$13,2,1),Bestellübersicht!$C$9:$C$48,"&lt;="&amp;EOMONTH(DATE($C$13,2,1),0),Bestellübersicht!$D$9:$D$48,"&lt;&gt;Storniert")</f>
        <v>2074.17</v>
      </c>
    </row>
    <row r="19" customFormat="false" ht="15" hidden="false" customHeight="false" outlineLevel="0" collapsed="false">
      <c r="B19" s="15" t="s">
        <v>125</v>
      </c>
      <c r="C19" s="18" t="n">
        <f aca="false">SUMIFS(Bestellübersicht!$O$9:$O$48,Bestellübersicht!$C$9:$C$48,"&gt;="&amp;DATE($C$13,3,1),Bestellübersicht!$C$9:$C$48,"&lt;="&amp;EOMONTH(DATE($C$13,3,1),0),Bestellübersicht!$D$9:$D$48,"&lt;&gt;Storniert")</f>
        <v>1598.17</v>
      </c>
    </row>
    <row r="20" customFormat="false" ht="15" hidden="false" customHeight="false" outlineLevel="0" collapsed="false">
      <c r="B20" s="22" t="s">
        <v>126</v>
      </c>
      <c r="C20" s="25" t="n">
        <f aca="false">SUMIFS(Bestellübersicht!$O$9:$O$48,Bestellübersicht!$C$9:$C$48,"&gt;="&amp;DATE($C$13,4,1),Bestellübersicht!$C$9:$C$48,"&lt;="&amp;EOMONTH(DATE($C$13,4,1),0),Bestellübersicht!$D$9:$D$48,"&lt;&gt;Storniert")</f>
        <v>2554.09</v>
      </c>
    </row>
    <row r="21" customFormat="false" ht="15" hidden="false" customHeight="false" outlineLevel="0" collapsed="false">
      <c r="B21" s="15" t="s">
        <v>127</v>
      </c>
      <c r="C21" s="18" t="n">
        <f aca="false">SUMIFS(Bestellübersicht!$O$9:$O$48,Bestellübersicht!$C$9:$C$48,"&gt;="&amp;DATE($C$13,5,1),Bestellübersicht!$C$9:$C$48,"&lt;="&amp;EOMONTH(DATE($C$13,5,1),0),Bestellübersicht!$D$9:$D$48,"&lt;&gt;Storniert")</f>
        <v>847.28</v>
      </c>
    </row>
    <row r="22" customFormat="false" ht="15" hidden="false" customHeight="false" outlineLevel="0" collapsed="false">
      <c r="B22" s="22" t="s">
        <v>128</v>
      </c>
      <c r="C22" s="25" t="n">
        <f aca="false">SUMIFS(Bestellübersicht!$O$9:$O$48,Bestellübersicht!$C$9:$C$48,"&gt;="&amp;DATE($C$13,6,1),Bestellübersicht!$C$9:$C$48,"&lt;="&amp;EOMONTH(DATE($C$13,6,1),0),Bestellübersicht!$D$9:$D$48,"&lt;&gt;Storniert")</f>
        <v>0</v>
      </c>
    </row>
    <row r="23" customFormat="false" ht="15" hidden="false" customHeight="false" outlineLevel="0" collapsed="false">
      <c r="B23" s="15" t="s">
        <v>129</v>
      </c>
      <c r="C23" s="18" t="n">
        <f aca="false">SUMIFS(Bestellübersicht!$O$9:$O$48,Bestellübersicht!$C$9:$C$48,"&gt;="&amp;DATE($C$13,7,1),Bestellübersicht!$C$9:$C$48,"&lt;="&amp;EOMONTH(DATE($C$13,7,1),0),Bestellübersicht!$D$9:$D$48,"&lt;&gt;Storniert")</f>
        <v>0</v>
      </c>
    </row>
    <row r="24" customFormat="false" ht="15" hidden="false" customHeight="false" outlineLevel="0" collapsed="false">
      <c r="B24" s="22" t="s">
        <v>130</v>
      </c>
      <c r="C24" s="25" t="n">
        <f aca="false">SUMIFS(Bestellübersicht!$O$9:$O$48,Bestellübersicht!$C$9:$C$48,"&gt;="&amp;DATE($C$13,8,1),Bestellübersicht!$C$9:$C$48,"&lt;="&amp;EOMONTH(DATE($C$13,8,1),0),Bestellübersicht!$D$9:$D$48,"&lt;&gt;Storniert")</f>
        <v>0</v>
      </c>
    </row>
    <row r="25" customFormat="false" ht="15" hidden="false" customHeight="false" outlineLevel="0" collapsed="false">
      <c r="B25" s="15" t="s">
        <v>131</v>
      </c>
      <c r="C25" s="18" t="n">
        <f aca="false">SUMIFS(Bestellübersicht!$O$9:$O$48,Bestellübersicht!$C$9:$C$48,"&gt;="&amp;DATE($C$13,9,1),Bestellübersicht!$C$9:$C$48,"&lt;="&amp;EOMONTH(DATE($C$13,9,1),0),Bestellübersicht!$D$9:$D$48,"&lt;&gt;Storniert")</f>
        <v>0</v>
      </c>
    </row>
    <row r="26" customFormat="false" ht="15" hidden="false" customHeight="false" outlineLevel="0" collapsed="false">
      <c r="B26" s="22" t="s">
        <v>132</v>
      </c>
      <c r="C26" s="25" t="n">
        <f aca="false">SUMIFS(Bestellübersicht!$O$9:$O$48,Bestellübersicht!$C$9:$C$48,"&gt;="&amp;DATE($C$13,10,1),Bestellübersicht!$C$9:$C$48,"&lt;="&amp;EOMONTH(DATE($C$13,10,1),0),Bestellübersicht!$D$9:$D$48,"&lt;&gt;Storniert")</f>
        <v>0</v>
      </c>
    </row>
    <row r="27" customFormat="false" ht="15" hidden="false" customHeight="false" outlineLevel="0" collapsed="false">
      <c r="B27" s="15" t="s">
        <v>133</v>
      </c>
      <c r="C27" s="18" t="n">
        <f aca="false">SUMIFS(Bestellübersicht!$O$9:$O$48,Bestellübersicht!$C$9:$C$48,"&gt;="&amp;DATE($C$13,11,1),Bestellübersicht!$C$9:$C$48,"&lt;="&amp;EOMONTH(DATE($C$13,11,1),0),Bestellübersicht!$D$9:$D$48,"&lt;&gt;Storniert")</f>
        <v>0</v>
      </c>
    </row>
    <row r="28" customFormat="false" ht="15" hidden="false" customHeight="false" outlineLevel="0" collapsed="false">
      <c r="B28" s="22" t="s">
        <v>134</v>
      </c>
      <c r="C28" s="25" t="n">
        <f aca="false">SUMIFS(Bestellübersicht!$O$9:$O$48,Bestellübersicht!$C$9:$C$48,"&gt;="&amp;DATE($C$13,12,1),Bestellübersicht!$C$9:$C$48,"&lt;="&amp;EOMONTH(DATE($C$13,12,1),0),Bestellübersicht!$D$9:$D$48,"&lt;&gt;Storniert")</f>
        <v>0</v>
      </c>
    </row>
    <row r="29" customFormat="false" ht="15" hidden="false" customHeight="false" outlineLevel="0" collapsed="false">
      <c r="B29" s="51" t="s">
        <v>119</v>
      </c>
      <c r="C29" s="53" t="n">
        <f aca="false">SUM(C17:C28)</f>
        <v>12542.355</v>
      </c>
    </row>
  </sheetData>
  <mergeCells count="2">
    <mergeCell ref="B1:I1"/>
    <mergeCell ref="B2:I2"/>
  </mergeCells>
  <conditionalFormatting sqref="D6:D10">
    <cfRule type="dataBar" priority="2">
      <dataBar showValue="1" minLength="10" maxLength="90">
        <cfvo type="min" val="0"/>
        <cfvo type="max" val="0"/>
        <color rgb="FF3D7EA6"/>
      </dataBar>
      <extLst>
        <ext xmlns:x14="http://schemas.microsoft.com/office/spreadsheetml/2009/9/main" uri="{B025F937-C7B1-47D3-B67F-A62EFF666E3E}">
          <x14:id>{44B56D8F-E89F-4AA7-AED7-AAFC8ECE397D}</x14:id>
        </ext>
      </extLst>
    </cfRule>
  </conditionalFormatting>
  <conditionalFormatting sqref="H6:H13">
    <cfRule type="dataBar" priority="3">
      <dataBar showValue="1" minLength="10" maxLength="90">
        <cfvo type="min" val="0"/>
        <cfvo type="max" val="0"/>
        <color rgb="FFE08A3C"/>
      </dataBar>
      <extLst>
        <ext xmlns:x14="http://schemas.microsoft.com/office/spreadsheetml/2009/9/main" uri="{B025F937-C7B1-47D3-B67F-A62EFF666E3E}">
          <x14:id>{8041B3CC-A6CA-4DBA-99F5-D5728011617D}</x14:id>
        </ext>
      </extLst>
    </cfRule>
  </conditionalFormatting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4B56D8F-E89F-4AA7-AED7-AAFC8ECE397D}">
            <x14:dataBar minLength="10" maxLength="90" axisPosition="none" gradient="true">
              <x14:cfvo type="min"/>
              <x14:cfvo type="max"/>
              <x14:negativeFillColor rgb="FF3D7EA6"/>
              <x14:axisColor rgb="FF000000"/>
            </x14:dataBar>
          </x14:cfRule>
          <xm:sqref>D6:D10</xm:sqref>
        </x14:conditionalFormatting>
        <x14:conditionalFormatting xmlns:xm="http://schemas.microsoft.com/office/excel/2006/main">
          <x14:cfRule type="dataBar" id="{8041B3CC-A6CA-4DBA-99F5-D5728011617D}">
            <x14:dataBar minLength="10" maxLength="90" axisPosition="none" gradient="true">
              <x14:cfvo type="min"/>
              <x14:cfvo type="max"/>
              <x14:negativeFillColor rgb="FFE08A3C"/>
              <x14:axisColor rgb="FF000000"/>
            </x14:dataBar>
          </x14:cfRule>
          <xm:sqref>H6:H13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D5A80"/>
    <pageSetUpPr fitToPage="false"/>
  </sheetPr>
  <dimension ref="A1:G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0" width="26"/>
    <col collapsed="false" customWidth="true" hidden="false" outlineLevel="0" max="4" min="4" style="0" width="10"/>
    <col collapsed="false" customWidth="true" hidden="false" outlineLevel="0" max="5" min="5" style="0" width="26"/>
    <col collapsed="false" customWidth="true" hidden="false" outlineLevel="0" max="7" min="7" style="0" width="26"/>
  </cols>
  <sheetData>
    <row r="1" customFormat="false" ht="16.15" hidden="false" customHeight="false" outlineLevel="0" collapsed="false">
      <c r="A1" s="57" t="s">
        <v>135</v>
      </c>
    </row>
    <row r="2" customFormat="false" ht="15" hidden="false" customHeight="false" outlineLevel="0" collapsed="false">
      <c r="A2" s="58" t="s">
        <v>10</v>
      </c>
      <c r="B2" s="58" t="s">
        <v>11</v>
      </c>
      <c r="C2" s="58" t="s">
        <v>16</v>
      </c>
      <c r="D2" s="58" t="s">
        <v>18</v>
      </c>
      <c r="E2" s="58" t="s">
        <v>14</v>
      </c>
      <c r="G2" s="58" t="s">
        <v>22</v>
      </c>
    </row>
    <row r="3" customFormat="false" ht="15" hidden="false" customHeight="false" outlineLevel="0" collapsed="false">
      <c r="A3" s="28" t="s">
        <v>69</v>
      </c>
      <c r="B3" s="28" t="s">
        <v>44</v>
      </c>
      <c r="C3" s="28" t="s">
        <v>40</v>
      </c>
      <c r="D3" s="59" t="n">
        <v>0.19</v>
      </c>
      <c r="E3" s="28" t="s">
        <v>31</v>
      </c>
      <c r="G3" s="28" t="s">
        <v>33</v>
      </c>
    </row>
    <row r="4" customFormat="false" ht="15" hidden="false" customHeight="false" outlineLevel="0" collapsed="false">
      <c r="A4" s="34" t="s">
        <v>57</v>
      </c>
      <c r="B4" s="34" t="s">
        <v>28</v>
      </c>
      <c r="C4" s="34" t="s">
        <v>32</v>
      </c>
      <c r="D4" s="59" t="n">
        <v>0.07</v>
      </c>
      <c r="E4" s="34" t="s">
        <v>39</v>
      </c>
      <c r="G4" s="34" t="s">
        <v>60</v>
      </c>
    </row>
    <row r="5" customFormat="false" ht="15" hidden="false" customHeight="false" outlineLevel="0" collapsed="false">
      <c r="A5" s="28" t="s">
        <v>50</v>
      </c>
      <c r="B5" s="28" t="s">
        <v>36</v>
      </c>
      <c r="C5" s="28" t="s">
        <v>65</v>
      </c>
      <c r="D5" s="59" t="n">
        <v>0</v>
      </c>
      <c r="E5" s="28" t="s">
        <v>47</v>
      </c>
      <c r="G5" s="28" t="s">
        <v>41</v>
      </c>
    </row>
    <row r="6" customFormat="false" ht="15" hidden="false" customHeight="false" outlineLevel="0" collapsed="false">
      <c r="A6" s="34" t="s">
        <v>27</v>
      </c>
      <c r="C6" s="34" t="s">
        <v>97</v>
      </c>
      <c r="E6" s="34" t="s">
        <v>53</v>
      </c>
      <c r="G6" s="34" t="s">
        <v>54</v>
      </c>
    </row>
    <row r="7" customFormat="false" ht="15" hidden="false" customHeight="false" outlineLevel="0" collapsed="false">
      <c r="A7" s="28" t="s">
        <v>90</v>
      </c>
      <c r="C7" s="28" t="s">
        <v>136</v>
      </c>
      <c r="E7" s="28" t="s">
        <v>72</v>
      </c>
      <c r="G7" s="28" t="s">
        <v>48</v>
      </c>
    </row>
    <row r="8" customFormat="false" ht="15" hidden="false" customHeight="false" outlineLevel="0" collapsed="false">
      <c r="C8" s="34" t="s">
        <v>73</v>
      </c>
      <c r="E8" s="34" t="s">
        <v>79</v>
      </c>
      <c r="G8" s="34" t="s">
        <v>66</v>
      </c>
    </row>
    <row r="9" customFormat="false" ht="15" hidden="false" customHeight="false" outlineLevel="0" collapsed="false">
      <c r="C9" s="28" t="s">
        <v>109</v>
      </c>
      <c r="E9" s="28" t="s">
        <v>83</v>
      </c>
      <c r="G9" s="28" t="s">
        <v>74</v>
      </c>
    </row>
    <row r="10" customFormat="false" ht="15" hidden="false" customHeight="false" outlineLevel="0" collapsed="false">
      <c r="C10" s="34" t="s">
        <v>84</v>
      </c>
      <c r="E10" s="34" t="s">
        <v>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2026-08-04T14:41:52Z</dcterms:created>
  <dc:creator>openpyxl</dc:creator>
  <dc:description/>
  <dc:language>en-US</dc:language>
  <cp:lastModifiedBy/>
  <dcterms:modified xsi:type="dcterms:W3CDTF">2026-08-04T14:41:53Z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