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8C90EEF8-73D5-4BE5-BF81-5AA6FC99184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ckpit" sheetId="1" r:id="rId1"/>
    <sheet name="Tourenplanung" sheetId="2" r:id="rId2"/>
    <sheet name="Ressourcen" sheetId="3" r:id="rId3"/>
    <sheet name="Stammdaten" sheetId="4" r:id="rId4"/>
  </sheets>
  <definedNames>
    <definedName name="BezirkListe">Stammdaten!$E$37:$E$40</definedName>
    <definedName name="Dieselpreis">Stammdaten!$D$30</definedName>
    <definedName name="_xlnm.Print_Area" localSheetId="0">Cockpit!$A$1:$M$52</definedName>
    <definedName name="_xlnm.Print_Area" localSheetId="2">Ressourcen!$A$1:$H$32</definedName>
    <definedName name="_xlnm.Print_Area" localSheetId="3">Stammdaten!$A$1:$H$63</definedName>
    <definedName name="_xlnm.Print_Area" localSheetId="1">Tourenplanung!$A$1:$Q$49</definedName>
    <definedName name="_xlnm.Print_Titles" localSheetId="1">Tourenplanung!$1:$8</definedName>
    <definedName name="FahrerListe">Ressourcen!$B$23:$B$30</definedName>
    <definedName name="FahrzeugListe">Ressourcen!$B$9:$B$16</definedName>
    <definedName name="FsListe">Stammdaten!$D$37:$D$39</definedName>
    <definedName name="Fz_Kapazitaet">Ressourcen!$D$9:$D$18</definedName>
    <definedName name="Fz_Kennzeichen">Ressourcen!$B$9:$B$18</definedName>
    <definedName name="Fz_Verbrauch">Ressourcen!$E$9:$E$18</definedName>
    <definedName name="FzStatusListe">Stammdaten!$G$37:$G$38</definedName>
    <definedName name="Kalenderwoche">Stammdaten!$D$28</definedName>
    <definedName name="Kunden_Name">Stammdaten!$B$9:$B$22</definedName>
    <definedName name="Kunden_Ort">Stammdaten!$E$9:$E$22</definedName>
    <definedName name="KundenListe">Stammdaten!$B$9:$B$20</definedName>
    <definedName name="MaStatusListe">Stammdaten!$H$37:$H$38</definedName>
    <definedName name="Planer">Stammdaten!$D$27</definedName>
    <definedName name="SchichtListe">Stammdaten!$F$37:$F$38</definedName>
    <definedName name="StatusListe">Stammdaten!$B$37:$B$41</definedName>
    <definedName name="Stichtag">Stammdaten!$D$29</definedName>
    <definedName name="TypListe">Stammdaten!$C$37:$C$42</definedName>
    <definedName name="Unternehmen">Stammdaten!$D$26</definedName>
    <definedName name="Ziel_Auslastung">Stammdaten!$D$31</definedName>
    <definedName name="Ziel_Quote">Stammdaten!$D$32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9" i="4" l="1"/>
  <c r="M49" i="2"/>
  <c r="L49" i="2"/>
  <c r="J49" i="2"/>
  <c r="O48" i="2"/>
  <c r="N48" i="2"/>
  <c r="K48" i="2"/>
  <c r="H48" i="2"/>
  <c r="D48" i="2"/>
  <c r="O47" i="2"/>
  <c r="N47" i="2"/>
  <c r="K47" i="2"/>
  <c r="H47" i="2"/>
  <c r="D47" i="2"/>
  <c r="O46" i="2"/>
  <c r="N46" i="2"/>
  <c r="K46" i="2"/>
  <c r="H46" i="2"/>
  <c r="D46" i="2"/>
  <c r="O45" i="2"/>
  <c r="N45" i="2"/>
  <c r="K45" i="2"/>
  <c r="H45" i="2"/>
  <c r="D45" i="2"/>
  <c r="O44" i="2"/>
  <c r="N44" i="2"/>
  <c r="K44" i="2"/>
  <c r="H44" i="2"/>
  <c r="D44" i="2"/>
  <c r="O43" i="2"/>
  <c r="N43" i="2"/>
  <c r="K43" i="2"/>
  <c r="H43" i="2"/>
  <c r="D43" i="2"/>
  <c r="O42" i="2"/>
  <c r="N42" i="2"/>
  <c r="K42" i="2"/>
  <c r="H42" i="2"/>
  <c r="D42" i="2"/>
  <c r="O41" i="2"/>
  <c r="N41" i="2"/>
  <c r="K41" i="2"/>
  <c r="H41" i="2"/>
  <c r="D41" i="2"/>
  <c r="O40" i="2"/>
  <c r="N40" i="2"/>
  <c r="K40" i="2"/>
  <c r="H40" i="2"/>
  <c r="D40" i="2"/>
  <c r="O39" i="2"/>
  <c r="N39" i="2"/>
  <c r="K39" i="2"/>
  <c r="H39" i="2"/>
  <c r="D39" i="2"/>
  <c r="O38" i="2"/>
  <c r="N38" i="2"/>
  <c r="K38" i="2"/>
  <c r="H38" i="2"/>
  <c r="D38" i="2"/>
  <c r="O37" i="2"/>
  <c r="N37" i="2"/>
  <c r="K37" i="2"/>
  <c r="H37" i="2"/>
  <c r="D37" i="2"/>
  <c r="O36" i="2"/>
  <c r="N36" i="2"/>
  <c r="K36" i="2"/>
  <c r="H36" i="2"/>
  <c r="D36" i="2"/>
  <c r="O35" i="2"/>
  <c r="N35" i="2"/>
  <c r="K35" i="2"/>
  <c r="H35" i="2"/>
  <c r="D35" i="2"/>
  <c r="O34" i="2"/>
  <c r="N34" i="2"/>
  <c r="K34" i="2"/>
  <c r="H34" i="2"/>
  <c r="D34" i="2"/>
  <c r="O33" i="2"/>
  <c r="N33" i="2"/>
  <c r="K33" i="2"/>
  <c r="H33" i="2"/>
  <c r="D33" i="2"/>
  <c r="O32" i="2"/>
  <c r="N32" i="2"/>
  <c r="K32" i="2"/>
  <c r="H32" i="2"/>
  <c r="D32" i="2"/>
  <c r="O31" i="2"/>
  <c r="N31" i="2"/>
  <c r="K31" i="2"/>
  <c r="H31" i="2"/>
  <c r="D31" i="2"/>
  <c r="O30" i="2"/>
  <c r="N30" i="2"/>
  <c r="K30" i="2"/>
  <c r="H30" i="2"/>
  <c r="D30" i="2"/>
  <c r="O29" i="2"/>
  <c r="N29" i="2"/>
  <c r="K29" i="2"/>
  <c r="H29" i="2"/>
  <c r="D29" i="2"/>
  <c r="O28" i="2"/>
  <c r="N28" i="2"/>
  <c r="K28" i="2"/>
  <c r="H28" i="2"/>
  <c r="D28" i="2"/>
  <c r="O27" i="2"/>
  <c r="N27" i="2"/>
  <c r="K27" i="2"/>
  <c r="H27" i="2"/>
  <c r="D27" i="2"/>
  <c r="O26" i="2"/>
  <c r="N26" i="2"/>
  <c r="K26" i="2"/>
  <c r="H26" i="2"/>
  <c r="D26" i="2"/>
  <c r="O25" i="2"/>
  <c r="N25" i="2"/>
  <c r="K25" i="2"/>
  <c r="H25" i="2"/>
  <c r="D25" i="2"/>
  <c r="O24" i="2"/>
  <c r="N24" i="2"/>
  <c r="K24" i="2"/>
  <c r="H24" i="2"/>
  <c r="D24" i="2"/>
  <c r="O23" i="2"/>
  <c r="N23" i="2"/>
  <c r="K23" i="2"/>
  <c r="H23" i="2"/>
  <c r="D23" i="2"/>
  <c r="O22" i="2"/>
  <c r="N22" i="2"/>
  <c r="K22" i="2"/>
  <c r="H22" i="2"/>
  <c r="D22" i="2"/>
  <c r="O21" i="2"/>
  <c r="N21" i="2"/>
  <c r="K21" i="2"/>
  <c r="H21" i="2"/>
  <c r="D21" i="2"/>
  <c r="O20" i="2"/>
  <c r="N20" i="2"/>
  <c r="K20" i="2"/>
  <c r="H20" i="2"/>
  <c r="D20" i="2"/>
  <c r="O19" i="2"/>
  <c r="N19" i="2"/>
  <c r="K19" i="2"/>
  <c r="H19" i="2"/>
  <c r="D19" i="2"/>
  <c r="O18" i="2"/>
  <c r="N18" i="2"/>
  <c r="K18" i="2"/>
  <c r="H18" i="2"/>
  <c r="D18" i="2"/>
  <c r="O17" i="2"/>
  <c r="F19" i="1" s="1"/>
  <c r="N17" i="2"/>
  <c r="K17" i="2"/>
  <c r="H17" i="2"/>
  <c r="D17" i="2"/>
  <c r="O16" i="2"/>
  <c r="N16" i="2"/>
  <c r="K16" i="2"/>
  <c r="H16" i="2"/>
  <c r="D16" i="2"/>
  <c r="O15" i="2"/>
  <c r="N15" i="2"/>
  <c r="K15" i="2"/>
  <c r="H15" i="2"/>
  <c r="D15" i="2"/>
  <c r="O14" i="2"/>
  <c r="N14" i="2"/>
  <c r="G18" i="1" s="1"/>
  <c r="K14" i="2"/>
  <c r="H14" i="2"/>
  <c r="D14" i="2"/>
  <c r="O13" i="2"/>
  <c r="N13" i="2"/>
  <c r="K13" i="2"/>
  <c r="H13" i="2"/>
  <c r="D13" i="2"/>
  <c r="O12" i="2"/>
  <c r="N12" i="2"/>
  <c r="K12" i="2"/>
  <c r="H12" i="2"/>
  <c r="D12" i="2"/>
  <c r="O11" i="2"/>
  <c r="N11" i="2"/>
  <c r="K11" i="2"/>
  <c r="H11" i="2"/>
  <c r="D11" i="2"/>
  <c r="O10" i="2"/>
  <c r="N10" i="2"/>
  <c r="K10" i="2"/>
  <c r="H10" i="2"/>
  <c r="D10" i="2"/>
  <c r="O9" i="2"/>
  <c r="O49" i="2" s="1"/>
  <c r="N9" i="2"/>
  <c r="N49" i="2" s="1"/>
  <c r="K9" i="2"/>
  <c r="H9" i="2"/>
  <c r="D9" i="2"/>
  <c r="N3" i="2"/>
  <c r="I49" i="1"/>
  <c r="H49" i="1"/>
  <c r="G49" i="1"/>
  <c r="F49" i="1"/>
  <c r="E49" i="1"/>
  <c r="D49" i="1"/>
  <c r="C49" i="1"/>
  <c r="F44" i="1"/>
  <c r="E44" i="1"/>
  <c r="D44" i="1"/>
  <c r="C44" i="1"/>
  <c r="B44" i="1"/>
  <c r="F43" i="1"/>
  <c r="E43" i="1"/>
  <c r="D43" i="1"/>
  <c r="C43" i="1"/>
  <c r="B43" i="1"/>
  <c r="F42" i="1"/>
  <c r="E42" i="1"/>
  <c r="D42" i="1"/>
  <c r="C42" i="1"/>
  <c r="B42" i="1"/>
  <c r="F41" i="1"/>
  <c r="E41" i="1"/>
  <c r="D41" i="1"/>
  <c r="C41" i="1"/>
  <c r="B41" i="1"/>
  <c r="F40" i="1"/>
  <c r="E40" i="1"/>
  <c r="D40" i="1"/>
  <c r="C40" i="1"/>
  <c r="B40" i="1"/>
  <c r="F39" i="1"/>
  <c r="E39" i="1"/>
  <c r="D39" i="1"/>
  <c r="C39" i="1"/>
  <c r="B39" i="1"/>
  <c r="F38" i="1"/>
  <c r="E38" i="1"/>
  <c r="D38" i="1"/>
  <c r="C38" i="1"/>
  <c r="B38" i="1"/>
  <c r="F37" i="1"/>
  <c r="E37" i="1"/>
  <c r="D37" i="1"/>
  <c r="C37" i="1"/>
  <c r="B37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E19" i="1"/>
  <c r="D19" i="1"/>
  <c r="C19" i="1"/>
  <c r="B19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L9" i="1"/>
  <c r="H9" i="1"/>
  <c r="F9" i="1"/>
  <c r="D9" i="1"/>
  <c r="B9" i="1"/>
  <c r="L6" i="1"/>
  <c r="J6" i="1"/>
  <c r="H6" i="1"/>
  <c r="F6" i="1"/>
  <c r="D6" i="1"/>
  <c r="B6" i="1"/>
  <c r="J3" i="1"/>
  <c r="J9" i="1" l="1"/>
</calcChain>
</file>

<file path=xl/sharedStrings.xml><?xml version="1.0" encoding="utf-8"?>
<sst xmlns="http://schemas.openxmlformats.org/spreadsheetml/2006/main" count="472" uniqueCount="258">
  <si>
    <t>Cockpit  ·  Touren-Auswertung</t>
  </si>
  <si>
    <t>Stopps gesamt</t>
  </si>
  <si>
    <t>Erledigt</t>
  </si>
  <si>
    <t>In Fahrt</t>
  </si>
  <si>
    <t>Geplant</t>
  </si>
  <si>
    <t>Verschoben</t>
  </si>
  <si>
    <t>Erledigungsquote</t>
  </si>
  <si>
    <t>Gesamtstrecke</t>
  </si>
  <si>
    <t>Ø km je Stopp</t>
  </si>
  <si>
    <t>Gesamtfahrzeit</t>
  </si>
  <si>
    <t>Kraftstoffkosten</t>
  </si>
  <si>
    <t>Ø Auslastung</t>
  </si>
  <si>
    <t>Aktive Fahrer:innen</t>
  </si>
  <si>
    <t>1</t>
  </si>
  <si>
    <t>Kennzahlen je Fahrer:in</t>
  </si>
  <si>
    <t>Fahrer:in</t>
  </si>
  <si>
    <t>Touren</t>
  </si>
  <si>
    <t>Strecke (km)</t>
  </si>
  <si>
    <t>Fahrzeit</t>
  </si>
  <si>
    <t>Kraftstoff</t>
  </si>
  <si>
    <t>Ø Auslast.</t>
  </si>
  <si>
    <t>2</t>
  </si>
  <si>
    <t>Status-Verteilung</t>
  </si>
  <si>
    <t>Status</t>
  </si>
  <si>
    <t>Anzahl</t>
  </si>
  <si>
    <t>Anteil</t>
  </si>
  <si>
    <t>3</t>
  </si>
  <si>
    <t>Kennzahlen je Fahrzeug</t>
  </si>
  <si>
    <t>Kennzeichen</t>
  </si>
  <si>
    <t>4</t>
  </si>
  <si>
    <t>Streckenverlauf je Wochentag (km)</t>
  </si>
  <si>
    <t>Wochentag</t>
  </si>
  <si>
    <t>Mo</t>
  </si>
  <si>
    <t>Di</t>
  </si>
  <si>
    <t>Mi</t>
  </si>
  <si>
    <t>Do</t>
  </si>
  <si>
    <t>Fr</t>
  </si>
  <si>
    <t>Sa</t>
  </si>
  <si>
    <t>So</t>
  </si>
  <si>
    <t>Tourenplanung  ·  Wochenübersicht</t>
  </si>
  <si>
    <t>Stopps der Woche  –  ein Stopp je Zeile</t>
  </si>
  <si>
    <t>Tour-Nr.</t>
  </si>
  <si>
    <t>Datum</t>
  </si>
  <si>
    <t>Tag</t>
  </si>
  <si>
    <t>Fahrzeug</t>
  </si>
  <si>
    <t>Kunde</t>
  </si>
  <si>
    <t>Ort</t>
  </si>
  <si>
    <t>Abfahrt</t>
  </si>
  <si>
    <t>Dauer</t>
  </si>
  <si>
    <t>Ankunft</t>
  </si>
  <si>
    <t>Strecke
(km)</t>
  </si>
  <si>
    <t>Ladung
(Pal.)</t>
  </si>
  <si>
    <t>Aus-
lastung</t>
  </si>
  <si>
    <t>Kraftstoff-
kosten</t>
  </si>
  <si>
    <t>Bemerkung</t>
  </si>
  <si>
    <t>T-201</t>
  </si>
  <si>
    <t>2026-03-16</t>
  </si>
  <si>
    <t>Andreas Below</t>
  </si>
  <si>
    <t>OL-ML 330</t>
  </si>
  <si>
    <t>Nordmann Haustechnik</t>
  </si>
  <si>
    <t>T-202</t>
  </si>
  <si>
    <t>Bau &amp; Plan GmbH</t>
  </si>
  <si>
    <t>T-203</t>
  </si>
  <si>
    <t>Petra Kalt</t>
  </si>
  <si>
    <t>OL-ML 210</t>
  </si>
  <si>
    <t>Bäckerei Sonnenschein</t>
  </si>
  <si>
    <t>T-204</t>
  </si>
  <si>
    <t>Gretas Blumenwelt</t>
  </si>
  <si>
    <t>T-205</t>
  </si>
  <si>
    <t>Murat Şahin</t>
  </si>
  <si>
    <t>OL-ML 620</t>
  </si>
  <si>
    <t>Möbel Ostfriesland</t>
  </si>
  <si>
    <t>Hebebühne</t>
  </si>
  <si>
    <t>T-206</t>
  </si>
  <si>
    <t>Sabine Reuter</t>
  </si>
  <si>
    <t>OL-ML 512</t>
  </si>
  <si>
    <t>Klinik am Park</t>
  </si>
  <si>
    <t>T-207</t>
  </si>
  <si>
    <t>2026-03-17</t>
  </si>
  <si>
    <t>Elif Demir</t>
  </si>
  <si>
    <t>OL-ML 405</t>
  </si>
  <si>
    <t>Frischmarkt Deichweg</t>
  </si>
  <si>
    <t>Kühlware</t>
  </si>
  <si>
    <t>T-208</t>
  </si>
  <si>
    <t>Landhof Meyer</t>
  </si>
  <si>
    <t>T-209</t>
  </si>
  <si>
    <t>Jonas Wieland</t>
  </si>
  <si>
    <t>TechnoParts KG</t>
  </si>
  <si>
    <t>T-210</t>
  </si>
  <si>
    <t>Thomas Nolte</t>
  </si>
  <si>
    <t>Hotel Seeblick</t>
  </si>
  <si>
    <t>Fähre verpasst</t>
  </si>
  <si>
    <t>T-211</t>
  </si>
  <si>
    <t>Carla Böhm</t>
  </si>
  <si>
    <t>Getränke Janßen</t>
  </si>
  <si>
    <t>T-212</t>
  </si>
  <si>
    <t>OL-ML 220</t>
  </si>
  <si>
    <t>Elektro Timm</t>
  </si>
  <si>
    <t>T-213</t>
  </si>
  <si>
    <t>2026-03-18</t>
  </si>
  <si>
    <t>T-214</t>
  </si>
  <si>
    <t>T-215</t>
  </si>
  <si>
    <t>T-216</t>
  </si>
  <si>
    <t>T-217</t>
  </si>
  <si>
    <t>Storniert</t>
  </si>
  <si>
    <t>Kunde abwesend</t>
  </si>
  <si>
    <t>T-218</t>
  </si>
  <si>
    <t>2026-03-19</t>
  </si>
  <si>
    <t>T-219</t>
  </si>
  <si>
    <t>T-220</t>
  </si>
  <si>
    <t>T-221</t>
  </si>
  <si>
    <t>T-222</t>
  </si>
  <si>
    <t>2026-03-20</t>
  </si>
  <si>
    <t>T-223</t>
  </si>
  <si>
    <t>OL-ML 707</t>
  </si>
  <si>
    <t>T-224</t>
  </si>
  <si>
    <t>Summe / Ø  ·  Kalenderwoche</t>
  </si>
  <si>
    <t>Ressourcen  ·  Fahrzeuge &amp; Fahrer</t>
  </si>
  <si>
    <t>Fahrzeuge (Fuhrpark)</t>
  </si>
  <si>
    <t>Fahrzeugtyp</t>
  </si>
  <si>
    <t>Kapazität
(Paletten)</t>
  </si>
  <si>
    <t>Verbrauch
(l/100 km)</t>
  </si>
  <si>
    <t>Transporter 3,5 t</t>
  </si>
  <si>
    <t>Diesel</t>
  </si>
  <si>
    <t>Verfügbar</t>
  </si>
  <si>
    <t>LKW 7,5 t</t>
  </si>
  <si>
    <t>OL-ML 340</t>
  </si>
  <si>
    <t>Werkstatt</t>
  </si>
  <si>
    <t>HU bis 04/2026</t>
  </si>
  <si>
    <t>Sprinter Kühl</t>
  </si>
  <si>
    <t>Kühlaufbau 0–7 °C</t>
  </si>
  <si>
    <t>Kastenwagen</t>
  </si>
  <si>
    <t>LKW 12 t</t>
  </si>
  <si>
    <t>Ladebordwand</t>
  </si>
  <si>
    <t>Pritsche 3,5 t</t>
  </si>
  <si>
    <t>Fahrer:innen</t>
  </si>
  <si>
    <t>Name</t>
  </si>
  <si>
    <t>Führerschein</t>
  </si>
  <si>
    <t>Stammbezirk</t>
  </si>
  <si>
    <t>Schicht</t>
  </si>
  <si>
    <t>Telefon</t>
  </si>
  <si>
    <t>CE</t>
  </si>
  <si>
    <t>Nord</t>
  </si>
  <si>
    <t>Früh</t>
  </si>
  <si>
    <t>0170 2345-011</t>
  </si>
  <si>
    <t>Aktiv</t>
  </si>
  <si>
    <t>C1</t>
  </si>
  <si>
    <t>Süd</t>
  </si>
  <si>
    <t>0170 2345-012</t>
  </si>
  <si>
    <t>Ost</t>
  </si>
  <si>
    <t>Spät</t>
  </si>
  <si>
    <t>0170 2345-013</t>
  </si>
  <si>
    <t>ADR-Schein</t>
  </si>
  <si>
    <t>B</t>
  </si>
  <si>
    <t>West</t>
  </si>
  <si>
    <t>0170 2345-014</t>
  </si>
  <si>
    <t>0170 2345-015</t>
  </si>
  <si>
    <t>0170 2345-016</t>
  </si>
  <si>
    <t>Kühlgut</t>
  </si>
  <si>
    <t>0170 2345-017</t>
  </si>
  <si>
    <t>Abwesend</t>
  </si>
  <si>
    <t>Urlaub bis 23.03.</t>
  </si>
  <si>
    <t>0170 2345-018</t>
  </si>
  <si>
    <t>Stammdaten  ·  Kunden &amp; Konfiguration</t>
  </si>
  <si>
    <t>Kundenadressen</t>
  </si>
  <si>
    <t>Straße</t>
  </si>
  <si>
    <t>PLZ</t>
  </si>
  <si>
    <t>Ansprech-
partner</t>
  </si>
  <si>
    <t>Zeitfenster</t>
  </si>
  <si>
    <t>Industriestr. 4</t>
  </si>
  <si>
    <t>26123</t>
  </si>
  <si>
    <t>Oldenburg</t>
  </si>
  <si>
    <t>N. H.</t>
  </si>
  <si>
    <t>08:00–12:00</t>
  </si>
  <si>
    <t>Marktplatz 9</t>
  </si>
  <si>
    <t>26122</t>
  </si>
  <si>
    <t>B. S.</t>
  </si>
  <si>
    <t>06:00–09:00</t>
  </si>
  <si>
    <t>frühe Anlieferung</t>
  </si>
  <si>
    <t>Lange Str. 21</t>
  </si>
  <si>
    <t>26135</t>
  </si>
  <si>
    <t>G. B.</t>
  </si>
  <si>
    <t>09:00–11:00</t>
  </si>
  <si>
    <t>Am Hafen 12</t>
  </si>
  <si>
    <t>26382</t>
  </si>
  <si>
    <t>Wilhelmshaven</t>
  </si>
  <si>
    <t>B. P.</t>
  </si>
  <si>
    <t>07:30–16:00</t>
  </si>
  <si>
    <t>Baustellenzufahrt</t>
  </si>
  <si>
    <t>Deichweg 5</t>
  </si>
  <si>
    <t>26316</t>
  </si>
  <si>
    <t>Varel</t>
  </si>
  <si>
    <t>F. D.</t>
  </si>
  <si>
    <t>08:00–10:00</t>
  </si>
  <si>
    <t>Ringstr. 88</t>
  </si>
  <si>
    <t>26603</t>
  </si>
  <si>
    <t>Aurich</t>
  </si>
  <si>
    <t>M. O.</t>
  </si>
  <si>
    <t>10:00–15:00</t>
  </si>
  <si>
    <t>2. Etage</t>
  </si>
  <si>
    <t>Gewerbering 3</t>
  </si>
  <si>
    <t>26389</t>
  </si>
  <si>
    <t>T. K.</t>
  </si>
  <si>
    <t>09:00–17:00</t>
  </si>
  <si>
    <t>Strandallee 1</t>
  </si>
  <si>
    <t>26548</t>
  </si>
  <si>
    <t>Norderney</t>
  </si>
  <si>
    <t>H. S.</t>
  </si>
  <si>
    <t>11:00–14:00</t>
  </si>
  <si>
    <t>Fähre einplanen</t>
  </si>
  <si>
    <t>Dorfstr. 17</t>
  </si>
  <si>
    <t>26160</t>
  </si>
  <si>
    <t>Bad Zwischenahn</t>
  </si>
  <si>
    <t>L. M.</t>
  </si>
  <si>
    <t>07:00–09:00</t>
  </si>
  <si>
    <t>Parkstr. 30</t>
  </si>
  <si>
    <t>26121</t>
  </si>
  <si>
    <t>K. P.</t>
  </si>
  <si>
    <t>Anmeldung Pforte</t>
  </si>
  <si>
    <t>Bremer Str. 44</t>
  </si>
  <si>
    <t>G. J.</t>
  </si>
  <si>
    <t>13:00–17:00</t>
  </si>
  <si>
    <t>Industrieweg 6</t>
  </si>
  <si>
    <t>26639</t>
  </si>
  <si>
    <t>Wiesmoor</t>
  </si>
  <si>
    <t>E. T.</t>
  </si>
  <si>
    <t>09:00–13:00</t>
  </si>
  <si>
    <t>Konfiguration</t>
  </si>
  <si>
    <t>Unternehmen</t>
  </si>
  <si>
    <t>Muster Logistik GmbH</t>
  </si>
  <si>
    <t>Planer:in</t>
  </si>
  <si>
    <t>Katrin Vogel</t>
  </si>
  <si>
    <t>Kalenderwoche</t>
  </si>
  <si>
    <t>KW 12 / 2026</t>
  </si>
  <si>
    <t>Planungsstichtag</t>
  </si>
  <si>
    <t>Dieselpreis (€/l)</t>
  </si>
  <si>
    <t>Ziel-Auslastung</t>
  </si>
  <si>
    <t>Ziel-Erledigungsquote</t>
  </si>
  <si>
    <t>Auswahllisten (Dropdown-Quellen)</t>
  </si>
  <si>
    <t>Bezirk</t>
  </si>
  <si>
    <t>Fz-Status</t>
  </si>
  <si>
    <t>MA-Status</t>
  </si>
  <si>
    <t>Anleitung</t>
  </si>
  <si>
    <t>1.  Stammdaten pflegen: Fahrzeuge &amp; Fahrer:innen im Blatt „Ressourcen“, Kunden hier oben. Nur menta-farbene Zellen sind Eingabefelder.</t>
  </si>
  <si>
    <t>2.  Im Blatt „Tourenplanung“ je Zeile einen Stopp erfassen: Tour-Nr., Datum, Fahrer, Fahrzeug, Kunde – Auswahl per Dropdown.</t>
  </si>
  <si>
    <t>3.  Wochentag, Ort, Ankunft, Auslastung und Kraftstoffkosten werden automatisch berechnet (graue Zellen nicht überschreiben).</t>
  </si>
  <si>
    <t>4.  Status setzen (Geplant · In Fahrt · Erledigt · Verschoben · Storniert) – die Ampelfarbe erscheint automatisch.</t>
  </si>
  <si>
    <t>5.  Konfiguration oben anpassen: Dieselpreis, Kalenderwoche, Zielwerte. Diese steuern Berechnung und Cockpit.</t>
  </si>
  <si>
    <t>6.  Auswertung im Blatt „Cockpit“ ablesen; zum Drucken Querformat wählen (bereits voreingestellt).</t>
  </si>
  <si>
    <t>5</t>
  </si>
  <si>
    <t>Farblegende</t>
  </si>
  <si>
    <t>Eingabefeld – hier tragen Sie Werte ein</t>
  </si>
  <si>
    <t>Berechnetes Feld – nicht überschreiben</t>
  </si>
  <si>
    <t>Status „Erledigt“</t>
  </si>
  <si>
    <t>Status „In Fahrt“</t>
  </si>
  <si>
    <t>Status „Verschoben“ / Auslastung knapp</t>
  </si>
  <si>
    <t>Status „Storniert“ / Überlast</t>
  </si>
  <si>
    <t>Hinweis: Muster-Vorlage mit fiktiven Beispieldaten. DSGVO – Datensparsamkeit beachten (nur erforderliche personenbezogene Angaben). Planungslisten, die als Leistungs-/Abrechnungsnachweis dienen, unterliegen ggf. Aufbewahrungspflichten (HGB §257, GoBD/AO).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</si>
</sst>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km&quot;"/>
    <numFmt numFmtId="165" formatCode="[hh]:mm"/>
    <numFmt numFmtId="166" formatCode="#,##0.00&quot; €&quot;"/>
    <numFmt numFmtId="167" formatCode="dd\.mm\.yyyy"/>
    <numFmt numFmtId="168" formatCode="hh:mm"/>
    <numFmt numFmtId="169" formatCode="0.0"/>
  </numFmts>
  <fonts count="27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9"/>
      <color rgb="FFFFFFFF"/>
      <name val="Calibri"/>
      <charset val="1"/>
    </font>
    <font>
      <b/>
      <sz val="18"/>
      <color rgb="FF0E5A66"/>
      <name val="Calibri"/>
      <charset val="1"/>
    </font>
    <font>
      <b/>
      <sz val="18"/>
      <color rgb="FF2E7D4A"/>
      <name val="Calibri"/>
      <charset val="1"/>
    </font>
    <font>
      <b/>
      <sz val="18"/>
      <color rgb="FF106578"/>
      <name val="Calibri"/>
      <charset val="1"/>
    </font>
    <font>
      <b/>
      <sz val="18"/>
      <color rgb="FF2C4A50"/>
      <name val="Calibri"/>
      <charset val="1"/>
    </font>
    <font>
      <b/>
      <sz val="18"/>
      <color rgb="FF8A6412"/>
      <name val="Calibri"/>
      <charset val="1"/>
    </font>
    <font>
      <b/>
      <sz val="18"/>
      <color rgb="FF0E8090"/>
      <name val="Calibri"/>
      <charset val="1"/>
    </font>
    <font>
      <sz val="8.5"/>
      <color rgb="FF6E8A90"/>
      <name val="Calibri"/>
      <charset val="1"/>
    </font>
    <font>
      <b/>
      <sz val="11"/>
      <color rgb="FFFFFFFF"/>
      <name val="Calibri"/>
      <charset val="1"/>
    </font>
    <font>
      <b/>
      <sz val="12"/>
      <color rgb="FF0E5A66"/>
      <name val="Calibri"/>
      <charset val="1"/>
    </font>
    <font>
      <b/>
      <sz val="9.5"/>
      <color rgb="FFFFFFFF"/>
      <name val="Calibri"/>
      <charset val="1"/>
    </font>
    <font>
      <sz val="9.5"/>
      <color rgb="FF2C4A50"/>
      <name val="Calibri"/>
      <charset val="1"/>
    </font>
    <font>
      <sz val="9.5"/>
      <color rgb="FF16282C"/>
      <name val="Calibri"/>
      <charset val="1"/>
    </font>
    <font>
      <b/>
      <sz val="9.5"/>
      <color rgb="FF16282C"/>
      <name val="Calibri"/>
      <charset val="1"/>
    </font>
    <font>
      <b/>
      <sz val="9.5"/>
      <color rgb="FF2C4A50"/>
      <name val="Calibri"/>
      <charset val="1"/>
    </font>
    <font>
      <sz val="10"/>
      <color rgb="FF16282C"/>
      <name val="Calibri"/>
      <charset val="1"/>
    </font>
    <font>
      <sz val="10"/>
      <color rgb="FF2C4A50"/>
      <name val="Calibri"/>
      <charset val="1"/>
    </font>
    <font>
      <b/>
      <sz val="10"/>
      <color rgb="FFFFFFFF"/>
      <name val="Calibri"/>
      <charset val="1"/>
    </font>
    <font>
      <b/>
      <sz val="10"/>
      <color rgb="FF2C4A50"/>
      <name val="Calibri"/>
      <charset val="1"/>
    </font>
    <font>
      <sz val="9.5"/>
      <color rgb="FF6E8A90"/>
      <name val="Calibri"/>
      <charset val="1"/>
    </font>
    <font>
      <sz val="9.5"/>
      <color rgb="FF2E7D4A"/>
      <name val="Calibri"/>
      <charset val="1"/>
    </font>
    <font>
      <sz val="9.5"/>
      <color rgb="FF106578"/>
      <name val="Calibri"/>
      <charset val="1"/>
    </font>
    <font>
      <sz val="9.5"/>
      <color rgb="FF8A6412"/>
      <name val="Calibri"/>
      <charset val="1"/>
    </font>
    <font>
      <sz val="9.5"/>
      <color rgb="FFB23A2A"/>
      <name val="Calibri"/>
      <charset val="1"/>
    </font>
    <font>
      <i/>
      <sz val="8.5"/>
      <color rgb="FF6E8A90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16B0C4"/>
        <bgColor rgb="FF00CCFF"/>
      </patternFill>
    </fill>
    <fill>
      <patternFill patternType="solid">
        <fgColor rgb="FF0E5A66"/>
        <bgColor rgb="FF106578"/>
      </patternFill>
    </fill>
    <fill>
      <patternFill patternType="solid">
        <fgColor rgb="FFEFF6F7"/>
        <bgColor rgb="FFF0F6F7"/>
      </patternFill>
    </fill>
    <fill>
      <patternFill patternType="solid">
        <fgColor rgb="FFD6F0F4"/>
        <bgColor rgb="FFD2ECF0"/>
      </patternFill>
    </fill>
    <fill>
      <patternFill patternType="solid">
        <fgColor rgb="FFFFFFFF"/>
        <bgColor rgb="FFF9F9F9"/>
      </patternFill>
    </fill>
    <fill>
      <patternFill patternType="solid">
        <fgColor rgb="FFF6FAFB"/>
        <bgColor rgb="FFF9F9F9"/>
      </patternFill>
    </fill>
    <fill>
      <patternFill patternType="solid">
        <fgColor rgb="FFEAF0F1"/>
        <bgColor rgb="FFE7F6F3"/>
      </patternFill>
    </fill>
    <fill>
      <patternFill patternType="solid">
        <fgColor rgb="FFF0F6F7"/>
        <bgColor rgb="FFEFF6F7"/>
      </patternFill>
    </fill>
    <fill>
      <patternFill patternType="solid">
        <fgColor rgb="FF17828F"/>
        <bgColor rgb="FF0E8090"/>
      </patternFill>
    </fill>
    <fill>
      <patternFill patternType="solid">
        <fgColor rgb="FFE7F6F3"/>
        <bgColor rgb="FFEFF6F7"/>
      </patternFill>
    </fill>
    <fill>
      <patternFill patternType="solid">
        <fgColor rgb="FFDBEEDD"/>
        <bgColor rgb="FFDAE7E9"/>
      </patternFill>
    </fill>
    <fill>
      <patternFill patternType="solid">
        <fgColor rgb="FFD2ECF0"/>
        <bgColor rgb="FFD6F0F4"/>
      </patternFill>
    </fill>
    <fill>
      <patternFill patternType="solid">
        <fgColor rgb="FFFBEDC9"/>
        <bgColor rgb="FFF6DBD8"/>
      </patternFill>
    </fill>
    <fill>
      <patternFill patternType="solid">
        <fgColor rgb="FFF6DBD8"/>
        <bgColor rgb="FFFBEDC9"/>
      </patternFill>
    </fill>
  </fills>
  <borders count="17">
    <border>
      <left/>
      <right/>
      <top/>
      <bottom/>
      <diagonal/>
    </border>
    <border>
      <left style="thick">
        <color rgb="FF0E5A66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ck">
        <color rgb="FF2E7D4A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ck">
        <color rgb="FF106578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ck">
        <color rgb="FF2C4A50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ck">
        <color rgb="FF8A6412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ck">
        <color rgb="FF0E8090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n">
        <color rgb="FF16B0C4"/>
      </left>
      <right style="thin">
        <color rgb="FF16B0C4"/>
      </right>
      <top style="thin">
        <color rgb="FF16B0C4"/>
      </top>
      <bottom style="thin">
        <color rgb="FF16B0C4"/>
      </bottom>
      <diagonal/>
    </border>
    <border>
      <left style="thin">
        <color rgb="FF0E5A66"/>
      </left>
      <right style="thin">
        <color rgb="FF0E5A66"/>
      </right>
      <top style="thin">
        <color rgb="FF0E5A66"/>
      </top>
      <bottom style="medium">
        <color rgb="FF16B0C4"/>
      </bottom>
      <diagonal/>
    </border>
    <border>
      <left style="thin">
        <color rgb="FFDAE7E9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medium">
        <color rgb="FFC3D4D7"/>
      </left>
      <right style="thin">
        <color rgb="FF0E5A66"/>
      </right>
      <top style="thin">
        <color rgb="FF0E5A66"/>
      </top>
      <bottom style="medium">
        <color rgb="FF16B0C4"/>
      </bottom>
      <diagonal/>
    </border>
    <border>
      <left style="thin">
        <color rgb="FF0E5A66"/>
      </left>
      <right style="medium">
        <color rgb="FFC3D4D7"/>
      </right>
      <top style="thin">
        <color rgb="FF0E5A66"/>
      </top>
      <bottom style="medium">
        <color rgb="FF16B0C4"/>
      </bottom>
      <diagonal/>
    </border>
    <border>
      <left style="medium">
        <color rgb="FFC3D4D7"/>
      </left>
      <right style="thin">
        <color rgb="FFDAE7E9"/>
      </right>
      <top style="thin">
        <color rgb="FFDAE7E9"/>
      </top>
      <bottom style="thin">
        <color rgb="FFDAE7E9"/>
      </bottom>
      <diagonal/>
    </border>
    <border>
      <left style="thin">
        <color rgb="FFDAE7E9"/>
      </left>
      <right style="medium">
        <color rgb="FFC3D4D7"/>
      </right>
      <top style="thin">
        <color rgb="FFDAE7E9"/>
      </top>
      <bottom style="thin">
        <color rgb="FFDAE7E9"/>
      </bottom>
      <diagonal/>
    </border>
    <border>
      <left style="medium">
        <color rgb="FFC3D4D7"/>
      </left>
      <right/>
      <top/>
      <bottom/>
      <diagonal/>
    </border>
    <border>
      <left/>
      <right style="medium">
        <color rgb="FFC3D4D7"/>
      </right>
      <top/>
      <bottom/>
      <diagonal/>
    </border>
    <border>
      <left style="thin">
        <color rgb="FFC3D4D7"/>
      </left>
      <right style="thin">
        <color rgb="FFC3D4D7"/>
      </right>
      <top style="thin">
        <color rgb="FFC3D4D7"/>
      </top>
      <bottom style="thin">
        <color rgb="FFC3D4D7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9" fillId="4" borderId="6" xfId="0" applyFont="1" applyFill="1" applyBorder="1" applyAlignment="1">
      <alignment horizontal="left" vertical="center" indent="1"/>
    </xf>
    <xf numFmtId="0" fontId="9" fillId="4" borderId="5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left" vertical="center" indent="1"/>
    </xf>
    <xf numFmtId="0" fontId="9" fillId="4" borderId="3" xfId="0" applyFont="1" applyFill="1" applyBorder="1" applyAlignment="1">
      <alignment horizontal="left" vertical="center" indent="1"/>
    </xf>
    <xf numFmtId="0" fontId="9" fillId="4" borderId="2" xfId="0" applyFont="1" applyFill="1" applyBorder="1" applyAlignment="1">
      <alignment horizontal="left" vertical="center" indent="1"/>
    </xf>
    <xf numFmtId="0" fontId="9" fillId="4" borderId="1" xfId="0" applyFont="1" applyFill="1" applyBorder="1" applyAlignment="1">
      <alignment horizontal="left" vertical="center" indent="1"/>
    </xf>
    <xf numFmtId="9" fontId="8" fillId="4" borderId="6" xfId="0" applyNumberFormat="1" applyFont="1" applyFill="1" applyBorder="1" applyAlignment="1">
      <alignment horizontal="left" vertical="center" indent="1"/>
    </xf>
    <xf numFmtId="1" fontId="7" fillId="4" borderId="5" xfId="0" applyNumberFormat="1" applyFont="1" applyFill="1" applyBorder="1" applyAlignment="1">
      <alignment horizontal="left" vertical="center" indent="1"/>
    </xf>
    <xf numFmtId="1" fontId="6" fillId="4" borderId="4" xfId="0" applyNumberFormat="1" applyFont="1" applyFill="1" applyBorder="1" applyAlignment="1">
      <alignment horizontal="left" vertical="center" indent="1"/>
    </xf>
    <xf numFmtId="1" fontId="5" fillId="4" borderId="3" xfId="0" applyNumberFormat="1" applyFont="1" applyFill="1" applyBorder="1" applyAlignment="1">
      <alignment horizontal="left" vertical="center" indent="1"/>
    </xf>
    <xf numFmtId="1" fontId="4" fillId="4" borderId="2" xfId="0" applyNumberFormat="1" applyFont="1" applyFill="1" applyBorder="1" applyAlignment="1">
      <alignment horizontal="left" vertical="center" indent="1"/>
    </xf>
    <xf numFmtId="1" fontId="3" fillId="4" borderId="1" xfId="0" applyNumberFormat="1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10" fillId="2" borderId="7" xfId="0" applyFont="1" applyFill="1" applyBorder="1" applyAlignment="1">
      <alignment horizontal="center" vertical="center"/>
    </xf>
    <xf numFmtId="0" fontId="0" fillId="5" borderId="0" xfId="0" applyFill="1"/>
    <xf numFmtId="0" fontId="12" fillId="3" borderId="8" xfId="0" applyFont="1" applyFill="1" applyBorder="1" applyAlignment="1">
      <alignment horizontal="center" vertical="center" wrapText="1"/>
    </xf>
    <xf numFmtId="49" fontId="13" fillId="6" borderId="9" xfId="0" applyNumberFormat="1" applyFont="1" applyFill="1" applyBorder="1" applyAlignment="1">
      <alignment horizontal="left" vertical="center"/>
    </xf>
    <xf numFmtId="1" fontId="14" fillId="6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6" fontId="14" fillId="6" borderId="9" xfId="0" applyNumberFormat="1" applyFont="1" applyFill="1" applyBorder="1" applyAlignment="1">
      <alignment horizontal="center" vertical="center"/>
    </xf>
    <xf numFmtId="9" fontId="14" fillId="6" borderId="9" xfId="0" applyNumberFormat="1" applyFont="1" applyFill="1" applyBorder="1" applyAlignment="1">
      <alignment horizontal="center" vertical="center"/>
    </xf>
    <xf numFmtId="49" fontId="13" fillId="7" borderId="9" xfId="0" applyNumberFormat="1" applyFont="1" applyFill="1" applyBorder="1" applyAlignment="1">
      <alignment horizontal="left" vertical="center"/>
    </xf>
    <xf numFmtId="1" fontId="14" fillId="7" borderId="9" xfId="0" applyNumberFormat="1" applyFont="1" applyFill="1" applyBorder="1" applyAlignment="1">
      <alignment horizontal="center" vertical="center"/>
    </xf>
    <xf numFmtId="3" fontId="14" fillId="7" borderId="9" xfId="0" applyNumberFormat="1" applyFont="1" applyFill="1" applyBorder="1" applyAlignment="1">
      <alignment horizontal="center" vertical="center"/>
    </xf>
    <xf numFmtId="165" fontId="14" fillId="7" borderId="9" xfId="0" applyNumberFormat="1" applyFont="1" applyFill="1" applyBorder="1" applyAlignment="1">
      <alignment horizontal="center" vertical="center"/>
    </xf>
    <xf numFmtId="166" fontId="14" fillId="7" borderId="9" xfId="0" applyNumberFormat="1" applyFont="1" applyFill="1" applyBorder="1" applyAlignment="1">
      <alignment horizontal="center" vertical="center"/>
    </xf>
    <xf numFmtId="9" fontId="14" fillId="7" borderId="9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9" fontId="15" fillId="6" borderId="9" xfId="0" applyNumberFormat="1" applyFont="1" applyFill="1" applyBorder="1" applyAlignment="1">
      <alignment horizontal="left" vertical="center"/>
    </xf>
    <xf numFmtId="49" fontId="15" fillId="7" borderId="9" xfId="0" applyNumberFormat="1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left" vertical="center"/>
    </xf>
    <xf numFmtId="167" fontId="17" fillId="6" borderId="9" xfId="0" applyNumberFormat="1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/>
    </xf>
    <xf numFmtId="0" fontId="17" fillId="6" borderId="9" xfId="0" applyFont="1" applyFill="1" applyBorder="1" applyAlignment="1">
      <alignment horizontal="center" vertical="center"/>
    </xf>
    <xf numFmtId="0" fontId="18" fillId="9" borderId="9" xfId="0" applyFont="1" applyFill="1" applyBorder="1" applyAlignment="1">
      <alignment horizontal="left" vertical="center"/>
    </xf>
    <xf numFmtId="168" fontId="17" fillId="6" borderId="9" xfId="0" applyNumberFormat="1" applyFont="1" applyFill="1" applyBorder="1" applyAlignment="1">
      <alignment horizontal="center" vertical="center"/>
    </xf>
    <xf numFmtId="168" fontId="18" fillId="9" borderId="9" xfId="0" applyNumberFormat="1" applyFont="1" applyFill="1" applyBorder="1" applyAlignment="1">
      <alignment horizontal="center" vertical="center"/>
    </xf>
    <xf numFmtId="3" fontId="17" fillId="6" borderId="9" xfId="0" applyNumberFormat="1" applyFont="1" applyFill="1" applyBorder="1" applyAlignment="1">
      <alignment horizontal="center" vertical="center"/>
    </xf>
    <xf numFmtId="1" fontId="17" fillId="6" borderId="9" xfId="0" applyNumberFormat="1" applyFont="1" applyFill="1" applyBorder="1" applyAlignment="1">
      <alignment horizontal="center" vertical="center"/>
    </xf>
    <xf numFmtId="9" fontId="18" fillId="9" borderId="9" xfId="0" applyNumberFormat="1" applyFont="1" applyFill="1" applyBorder="1" applyAlignment="1">
      <alignment horizontal="center" vertical="center"/>
    </xf>
    <xf numFmtId="166" fontId="18" fillId="9" borderId="9" xfId="0" applyNumberFormat="1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left" vertical="center"/>
    </xf>
    <xf numFmtId="167" fontId="17" fillId="7" borderId="9" xfId="0" applyNumberFormat="1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left" vertical="center"/>
    </xf>
    <xf numFmtId="0" fontId="17" fillId="7" borderId="9" xfId="0" applyFont="1" applyFill="1" applyBorder="1" applyAlignment="1">
      <alignment horizontal="center" vertical="center"/>
    </xf>
    <xf numFmtId="168" fontId="17" fillId="7" borderId="9" xfId="0" applyNumberFormat="1" applyFont="1" applyFill="1" applyBorder="1" applyAlignment="1">
      <alignment horizontal="center" vertical="center"/>
    </xf>
    <xf numFmtId="3" fontId="17" fillId="7" borderId="9" xfId="0" applyNumberFormat="1" applyFont="1" applyFill="1" applyBorder="1" applyAlignment="1">
      <alignment horizontal="center" vertical="center"/>
    </xf>
    <xf numFmtId="1" fontId="17" fillId="7" borderId="9" xfId="0" applyNumberFormat="1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left" vertical="center"/>
    </xf>
    <xf numFmtId="165" fontId="19" fillId="10" borderId="0" xfId="0" applyNumberFormat="1" applyFont="1" applyFill="1" applyAlignment="1">
      <alignment horizontal="center" vertical="center"/>
    </xf>
    <xf numFmtId="0" fontId="0" fillId="10" borderId="0" xfId="0" applyFill="1"/>
    <xf numFmtId="3" fontId="19" fillId="10" borderId="0" xfId="0" applyNumberFormat="1" applyFont="1" applyFill="1" applyAlignment="1">
      <alignment horizontal="center" vertical="center"/>
    </xf>
    <xf numFmtId="1" fontId="19" fillId="10" borderId="0" xfId="0" applyNumberFormat="1" applyFont="1" applyFill="1" applyAlignment="1">
      <alignment horizontal="center" vertical="center"/>
    </xf>
    <xf numFmtId="9" fontId="19" fillId="10" borderId="0" xfId="0" applyNumberFormat="1" applyFont="1" applyFill="1" applyAlignment="1">
      <alignment horizontal="center" vertical="center"/>
    </xf>
    <xf numFmtId="166" fontId="19" fillId="10" borderId="0" xfId="0" applyNumberFormat="1" applyFont="1" applyFill="1" applyAlignment="1">
      <alignment horizontal="center" vertical="center"/>
    </xf>
    <xf numFmtId="0" fontId="0" fillId="10" borderId="15" xfId="0" applyFill="1" applyBorder="1"/>
    <xf numFmtId="169" fontId="17" fillId="6" borderId="9" xfId="0" applyNumberFormat="1" applyFont="1" applyFill="1" applyBorder="1" applyAlignment="1">
      <alignment horizontal="center" vertical="center"/>
    </xf>
    <xf numFmtId="169" fontId="17" fillId="7" borderId="9" xfId="0" applyNumberFormat="1" applyFont="1" applyFill="1" applyBorder="1" applyAlignment="1">
      <alignment horizontal="center" vertical="center"/>
    </xf>
    <xf numFmtId="49" fontId="17" fillId="6" borderId="9" xfId="0" applyNumberFormat="1" applyFont="1" applyFill="1" applyBorder="1" applyAlignment="1">
      <alignment horizontal="center" vertical="center"/>
    </xf>
    <xf numFmtId="49" fontId="17" fillId="7" borderId="9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 indent="1"/>
    </xf>
    <xf numFmtId="164" fontId="8" fillId="4" borderId="6" xfId="0" applyNumberFormat="1" applyFont="1" applyFill="1" applyBorder="1" applyAlignment="1">
      <alignment horizontal="left" vertical="center" indent="1"/>
    </xf>
    <xf numFmtId="165" fontId="3" fillId="4" borderId="1" xfId="0" applyNumberFormat="1" applyFont="1" applyFill="1" applyBorder="1" applyAlignment="1">
      <alignment horizontal="left" vertical="center" indent="1"/>
    </xf>
    <xf numFmtId="166" fontId="8" fillId="4" borderId="6" xfId="0" applyNumberFormat="1" applyFont="1" applyFill="1" applyBorder="1" applyAlignment="1">
      <alignment horizontal="left" vertical="center" indent="1"/>
    </xf>
    <xf numFmtId="9" fontId="3" fillId="4" borderId="1" xfId="0" applyNumberFormat="1" applyFont="1" applyFill="1" applyBorder="1" applyAlignment="1">
      <alignment horizontal="left" vertical="center" indent="1"/>
    </xf>
    <xf numFmtId="1" fontId="8" fillId="4" borderId="6" xfId="0" applyNumberFormat="1" applyFont="1" applyFill="1" applyBorder="1" applyAlignment="1">
      <alignment horizontal="left" vertical="center" indent="1"/>
    </xf>
    <xf numFmtId="0" fontId="11" fillId="0" borderId="0" xfId="0" applyFont="1" applyAlignment="1">
      <alignment horizontal="left" vertical="center"/>
    </xf>
    <xf numFmtId="0" fontId="19" fillId="10" borderId="14" xfId="0" applyFont="1" applyFill="1" applyBorder="1" applyAlignment="1">
      <alignment horizontal="left" vertical="center"/>
    </xf>
    <xf numFmtId="0" fontId="20" fillId="8" borderId="9" xfId="0" applyFont="1" applyFill="1" applyBorder="1" applyAlignment="1">
      <alignment horizontal="left" vertical="center"/>
    </xf>
    <xf numFmtId="49" fontId="17" fillId="11" borderId="16" xfId="0" applyNumberFormat="1" applyFont="1" applyFill="1" applyBorder="1" applyAlignment="1">
      <alignment horizontal="center" vertical="center"/>
    </xf>
    <xf numFmtId="167" fontId="17" fillId="11" borderId="16" xfId="0" applyNumberFormat="1" applyFont="1" applyFill="1" applyBorder="1" applyAlignment="1">
      <alignment horizontal="center" vertical="center"/>
    </xf>
    <xf numFmtId="166" fontId="17" fillId="11" borderId="16" xfId="0" applyNumberFormat="1" applyFont="1" applyFill="1" applyBorder="1" applyAlignment="1">
      <alignment horizontal="center" vertical="center"/>
    </xf>
    <xf numFmtId="9" fontId="17" fillId="11" borderId="1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11" borderId="16" xfId="0" applyFill="1" applyBorder="1"/>
    <xf numFmtId="0" fontId="14" fillId="0" borderId="0" xfId="0" applyFont="1" applyAlignment="1">
      <alignment horizontal="left" vertical="center"/>
    </xf>
    <xf numFmtId="0" fontId="0" fillId="9" borderId="16" xfId="0" applyFill="1" applyBorder="1"/>
    <xf numFmtId="0" fontId="21" fillId="0" borderId="0" xfId="0" applyFont="1" applyAlignment="1">
      <alignment horizontal="left" vertical="center"/>
    </xf>
    <xf numFmtId="0" fontId="0" fillId="12" borderId="16" xfId="0" applyFill="1" applyBorder="1"/>
    <xf numFmtId="0" fontId="22" fillId="0" borderId="0" xfId="0" applyFont="1" applyAlignment="1">
      <alignment horizontal="left" vertical="center"/>
    </xf>
    <xf numFmtId="0" fontId="0" fillId="13" borderId="16" xfId="0" applyFill="1" applyBorder="1"/>
    <xf numFmtId="0" fontId="23" fillId="0" borderId="0" xfId="0" applyFont="1" applyAlignment="1">
      <alignment horizontal="left" vertical="center"/>
    </xf>
    <xf numFmtId="0" fontId="0" fillId="14" borderId="16" xfId="0" applyFill="1" applyBorder="1"/>
    <xf numFmtId="0" fontId="24" fillId="0" borderId="0" xfId="0" applyFont="1" applyAlignment="1">
      <alignment horizontal="left" vertical="center"/>
    </xf>
    <xf numFmtId="0" fontId="0" fillId="15" borderId="16" xfId="0" applyFill="1" applyBorder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top" wrapText="1"/>
    </xf>
  </cellXfs>
  <cellStyles count="1">
    <cellStyle name="Standard" xfId="0" builtinId="0"/>
  </cellStyles>
  <dxfs count="15">
    <dxf>
      <font>
        <b/>
        <sz val="10"/>
        <color rgb="FF2E7D4A"/>
        <name val="Calibri"/>
        <charset val="1"/>
      </font>
      <fill>
        <patternFill>
          <bgColor rgb="FFDBEEDD"/>
        </patternFill>
      </fill>
    </dxf>
    <dxf>
      <font>
        <b/>
        <sz val="10"/>
        <color rgb="FFB23A2A"/>
        <name val="Calibri"/>
        <charset val="1"/>
      </font>
      <fill>
        <patternFill>
          <bgColor rgb="FFF6DBD8"/>
        </patternFill>
      </fill>
    </dxf>
    <dxf>
      <font>
        <b/>
        <sz val="10"/>
        <color rgb="FF2E7D4A"/>
        <name val="Calibri"/>
        <charset val="1"/>
      </font>
      <fill>
        <patternFill>
          <bgColor rgb="FFDBEEDD"/>
        </patternFill>
      </fill>
    </dxf>
    <dxf>
      <font>
        <b/>
        <sz val="10"/>
        <color rgb="FF8A6412"/>
        <name val="Calibri"/>
        <charset val="1"/>
      </font>
      <fill>
        <patternFill>
          <bgColor rgb="FFFBEDC9"/>
        </patternFill>
      </fill>
    </dxf>
    <dxf>
      <font>
        <b/>
        <sz val="10"/>
        <color rgb="FFB23A2A"/>
        <name val="Calibri"/>
        <charset val="1"/>
      </font>
      <fill>
        <patternFill>
          <bgColor rgb="FFF6DBD8"/>
        </patternFill>
      </fill>
    </dxf>
    <dxf>
      <font>
        <b/>
        <sz val="10"/>
        <color rgb="FF8A6412"/>
        <name val="Calibri"/>
        <charset val="1"/>
      </font>
      <fill>
        <patternFill>
          <bgColor rgb="FFFBEDC9"/>
        </patternFill>
      </fill>
    </dxf>
    <dxf>
      <font>
        <b/>
        <sz val="10"/>
        <color rgb="FF4A6068"/>
        <name val="Calibri"/>
        <charset val="1"/>
      </font>
      <fill>
        <patternFill>
          <bgColor rgb="FFE4EBED"/>
        </patternFill>
      </fill>
    </dxf>
    <dxf>
      <font>
        <b/>
        <sz val="10"/>
        <color rgb="FF106578"/>
        <name val="Calibri"/>
        <charset val="1"/>
      </font>
      <fill>
        <patternFill>
          <bgColor rgb="FFD2ECF0"/>
        </patternFill>
      </fill>
    </dxf>
    <dxf>
      <font>
        <b/>
        <sz val="10"/>
        <color rgb="FF2E7D4A"/>
        <name val="Calibri"/>
        <charset val="1"/>
      </font>
      <fill>
        <patternFill>
          <bgColor rgb="FFDBEEDD"/>
        </patternFill>
      </fill>
    </dxf>
    <dxf>
      <font>
        <b/>
        <sz val="10"/>
        <color rgb="FFB23A2A"/>
        <name val="Calibri"/>
        <charset val="1"/>
      </font>
      <fill>
        <patternFill>
          <bgColor rgb="FFF6DBD8"/>
        </patternFill>
      </fill>
    </dxf>
    <dxf>
      <font>
        <b/>
        <sz val="9"/>
        <color rgb="FFB23A2A"/>
        <name val="Calibri"/>
        <charset val="1"/>
      </font>
      <fill>
        <patternFill>
          <bgColor rgb="FFF6DBD8"/>
        </patternFill>
      </fill>
    </dxf>
    <dxf>
      <font>
        <b/>
        <sz val="9"/>
        <color rgb="FF8A6412"/>
        <name val="Calibri"/>
        <charset val="1"/>
      </font>
      <fill>
        <patternFill>
          <bgColor rgb="FFFBEDC9"/>
        </patternFill>
      </fill>
    </dxf>
    <dxf>
      <font>
        <b/>
        <sz val="9"/>
        <color rgb="FF4A6068"/>
        <name val="Calibri"/>
        <charset val="1"/>
      </font>
      <fill>
        <patternFill>
          <bgColor rgb="FFE4EBED"/>
        </patternFill>
      </fill>
    </dxf>
    <dxf>
      <font>
        <b/>
        <sz val="9"/>
        <color rgb="FF106578"/>
        <name val="Calibri"/>
        <charset val="1"/>
      </font>
      <fill>
        <patternFill>
          <bgColor rgb="FFD2ECF0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7F6F3"/>
      <rgbColor rgb="FFFF00FF"/>
      <rgbColor rgb="FF00FFFF"/>
      <rgbColor rgb="FF800000"/>
      <rgbColor rgb="FF008000"/>
      <rgbColor rgb="FF000080"/>
      <rgbColor rgb="FF8A6412"/>
      <rgbColor rgb="FF800080"/>
      <rgbColor rgb="FF0E8090"/>
      <rgbColor rgb="FFD9D9D9"/>
      <rgbColor rgb="FF878787"/>
      <rgbColor rgb="FFEFF6F7"/>
      <rgbColor rgb="FF993366"/>
      <rgbColor rgb="FFFBEDC9"/>
      <rgbColor rgb="FFD6F0F4"/>
      <rgbColor rgb="FF660066"/>
      <rgbColor rgb="FFFF8080"/>
      <rgbColor rgb="FF106578"/>
      <rgbColor rgb="FFC3D4D7"/>
      <rgbColor rgb="FF000080"/>
      <rgbColor rgb="FFFF00FF"/>
      <rgbColor rgb="FFF0F6F7"/>
      <rgbColor rgb="FF00FFFF"/>
      <rgbColor rgb="FF800080"/>
      <rgbColor rgb="FF800000"/>
      <rgbColor rgb="FF17828F"/>
      <rgbColor rgb="FF0000FF"/>
      <rgbColor rgb="FF00CCFF"/>
      <rgbColor rgb="FFD2ECF0"/>
      <rgbColor rgb="FFDBEEDD"/>
      <rgbColor rgb="FFF9F9F9"/>
      <rgbColor rgb="FFDAE7E9"/>
      <rgbColor rgb="FFEAF0F1"/>
      <rgbColor rgb="FFE4EBED"/>
      <rgbColor rgb="FFF6DBD8"/>
      <rgbColor rgb="FF4F81BD"/>
      <rgbColor rgb="FF16B0C4"/>
      <rgbColor rgb="FF99CC00"/>
      <rgbColor rgb="FFF6FAFB"/>
      <rgbColor rgb="FFFF9900"/>
      <rgbColor rgb="FFFF6600"/>
      <rgbColor rgb="FF4A6068"/>
      <rgbColor rgb="FF6E8A90"/>
      <rgbColor rgb="FF0E5A66"/>
      <rgbColor rgb="FF2E7D4A"/>
      <rgbColor rgb="FF003300"/>
      <rgbColor rgb="FF333300"/>
      <rgbColor rgb="FFB23A2A"/>
      <rgbColor rgb="FF993366"/>
      <rgbColor rgb="FF2C4A50"/>
      <rgbColor rgb="FF1628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Strecke je Fahrer:in (km)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E5A6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Cockpit!$B$15:$B$22</c:f>
              <c:strCache>
                <c:ptCount val="8"/>
                <c:pt idx="0">
                  <c:v>Andreas Below</c:v>
                </c:pt>
                <c:pt idx="1">
                  <c:v>Petra Kalt</c:v>
                </c:pt>
                <c:pt idx="2">
                  <c:v>Murat Şahin</c:v>
                </c:pt>
                <c:pt idx="3">
                  <c:v>Sabine Reuter</c:v>
                </c:pt>
                <c:pt idx="4">
                  <c:v>Jonas Wieland</c:v>
                </c:pt>
                <c:pt idx="5">
                  <c:v>Elif Demir</c:v>
                </c:pt>
                <c:pt idx="6">
                  <c:v>Thomas Nolte</c:v>
                </c:pt>
                <c:pt idx="7">
                  <c:v>Carla Böhm</c:v>
                </c:pt>
              </c:strCache>
            </c:strRef>
          </c:cat>
          <c:val>
            <c:numRef>
              <c:f>Cockpit!$D$15:$D$22</c:f>
              <c:numCache>
                <c:formatCode>#,##0</c:formatCode>
                <c:ptCount val="8"/>
                <c:pt idx="0">
                  <c:v>156</c:v>
                </c:pt>
                <c:pt idx="1">
                  <c:v>106</c:v>
                </c:pt>
                <c:pt idx="2">
                  <c:v>136</c:v>
                </c:pt>
                <c:pt idx="3">
                  <c:v>20</c:v>
                </c:pt>
                <c:pt idx="4">
                  <c:v>168</c:v>
                </c:pt>
                <c:pt idx="5">
                  <c:v>86</c:v>
                </c:pt>
                <c:pt idx="6">
                  <c:v>169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4-4178-9B79-2BA41BDF2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85154"/>
        <c:axId val="1928050"/>
      </c:barChart>
      <c:catAx>
        <c:axId val="4048515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928050"/>
        <c:crosses val="autoZero"/>
        <c:auto val="1"/>
        <c:lblAlgn val="ctr"/>
        <c:lblOffset val="100"/>
        <c:noMultiLvlLbl val="0"/>
      </c:catAx>
      <c:valAx>
        <c:axId val="192805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048515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accent4">
        <a:lumMod val="20000"/>
        <a:lumOff val="80000"/>
      </a:schemeClr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Status-Verteilung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A606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402A-49E1-88A3-8DB7B036E720}"/>
              </c:ext>
            </c:extLst>
          </c:dPt>
          <c:dPt>
            <c:idx val="1"/>
            <c:bubble3D val="0"/>
            <c:spPr>
              <a:solidFill>
                <a:srgbClr val="10657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402A-49E1-88A3-8DB7B036E720}"/>
              </c:ext>
            </c:extLst>
          </c:dPt>
          <c:dPt>
            <c:idx val="2"/>
            <c:bubble3D val="0"/>
            <c:spPr>
              <a:solidFill>
                <a:srgbClr val="2E7D4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402A-49E1-88A3-8DB7B036E720}"/>
              </c:ext>
            </c:extLst>
          </c:dPt>
          <c:dPt>
            <c:idx val="3"/>
            <c:bubble3D val="0"/>
            <c:spPr>
              <a:solidFill>
                <a:srgbClr val="8A641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402A-49E1-88A3-8DB7B036E720}"/>
              </c:ext>
            </c:extLst>
          </c:dPt>
          <c:dPt>
            <c:idx val="4"/>
            <c:bubble3D val="0"/>
            <c:spPr>
              <a:solidFill>
                <a:srgbClr val="B23A2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402A-49E1-88A3-8DB7B036E720}"/>
              </c:ext>
            </c:extLst>
          </c:dPt>
          <c:cat>
            <c:strRef>
              <c:f>Cockpit!$B$27:$B$31</c:f>
              <c:strCache>
                <c:ptCount val="5"/>
                <c:pt idx="0">
                  <c:v>Geplant</c:v>
                </c:pt>
                <c:pt idx="1">
                  <c:v>In Fahrt</c:v>
                </c:pt>
                <c:pt idx="2">
                  <c:v>Erledigt</c:v>
                </c:pt>
                <c:pt idx="3">
                  <c:v>Verschoben</c:v>
                </c:pt>
                <c:pt idx="4">
                  <c:v>Storniert</c:v>
                </c:pt>
              </c:strCache>
            </c:strRef>
          </c:cat>
          <c:val>
            <c:numRef>
              <c:f>Cockpit!$C$27:$C$31</c:f>
              <c:numCache>
                <c:formatCode>0</c:formatCode>
                <c:ptCount val="5"/>
                <c:pt idx="0">
                  <c:v>7</c:v>
                </c:pt>
                <c:pt idx="1">
                  <c:v>3</c:v>
                </c:pt>
                <c:pt idx="2">
                  <c:v>12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2A-49E1-88A3-8DB7B036E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8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accent4">
        <a:lumMod val="20000"/>
        <a:lumOff val="80000"/>
      </a:schemeClr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Strecke je Wochentag (km)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E809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Cockpit!$C$48:$I$48</c:f>
              <c:strCache>
                <c:ptCount val="7"/>
                <c:pt idx="0">
                  <c:v>Mo</c:v>
                </c:pt>
                <c:pt idx="1">
                  <c:v>Di</c:v>
                </c:pt>
                <c:pt idx="2">
                  <c:v>Mi</c:v>
                </c:pt>
                <c:pt idx="3">
                  <c:v>Do</c:v>
                </c:pt>
                <c:pt idx="4">
                  <c:v>Fr</c:v>
                </c:pt>
                <c:pt idx="5">
                  <c:v>Sa</c:v>
                </c:pt>
                <c:pt idx="6">
                  <c:v>So</c:v>
                </c:pt>
              </c:strCache>
            </c:strRef>
          </c:cat>
          <c:val>
            <c:numRef>
              <c:f>Cockpit!$C$49:$I$49</c:f>
              <c:numCache>
                <c:formatCode>#,##0</c:formatCode>
                <c:ptCount val="7"/>
                <c:pt idx="0">
                  <c:v>171</c:v>
                </c:pt>
                <c:pt idx="1">
                  <c:v>284</c:v>
                </c:pt>
                <c:pt idx="2">
                  <c:v>97</c:v>
                </c:pt>
                <c:pt idx="3">
                  <c:v>183</c:v>
                </c:pt>
                <c:pt idx="4">
                  <c:v>124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9-4E82-AAE9-A2FAF9BB6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29266"/>
        <c:axId val="10479993"/>
      </c:barChart>
      <c:catAx>
        <c:axId val="36292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0479993"/>
        <c:crosses val="autoZero"/>
        <c:auto val="1"/>
        <c:lblAlgn val="ctr"/>
        <c:lblOffset val="100"/>
        <c:noMultiLvlLbl val="0"/>
      </c:catAx>
      <c:valAx>
        <c:axId val="1047999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62926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685799</xdr:colOff>
      <xdr:row>13</xdr:row>
      <xdr:rowOff>0</xdr:rowOff>
    </xdr:from>
    <xdr:to>
      <xdr:col>12</xdr:col>
      <xdr:colOff>676274</xdr:colOff>
      <xdr:row>23</xdr:row>
      <xdr:rowOff>212400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25</xdr:row>
      <xdr:rowOff>0</xdr:rowOff>
    </xdr:from>
    <xdr:to>
      <xdr:col>10</xdr:col>
      <xdr:colOff>342900</xdr:colOff>
      <xdr:row>33</xdr:row>
      <xdr:rowOff>209550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324720</xdr:colOff>
      <xdr:row>61</xdr:row>
      <xdr:rowOff>64080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9"/>
  <sheetViews>
    <sheetView showGridLines="0" tabSelected="1" zoomScaleNormal="100" workbookViewId="0">
      <selection activeCell="V22" sqref="V22"/>
    </sheetView>
  </sheetViews>
  <sheetFormatPr baseColWidth="10" defaultColWidth="8.7109375" defaultRowHeight="15" x14ac:dyDescent="0.25"/>
  <cols>
    <col min="1" max="1" width="2.42578125" customWidth="1"/>
    <col min="2" max="13" width="10.28515625" customWidth="1"/>
  </cols>
  <sheetData>
    <row r="2" spans="2:13" ht="6" customHeigh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ht="25.5" customHeight="1" x14ac:dyDescent="0.25">
      <c r="B3" s="14" t="s">
        <v>0</v>
      </c>
      <c r="C3" s="14"/>
      <c r="D3" s="14"/>
      <c r="E3" s="14"/>
      <c r="F3" s="14"/>
      <c r="G3" s="14"/>
      <c r="H3" s="14"/>
      <c r="I3" s="14"/>
      <c r="J3" s="13" t="str">
        <f ca="1">"Unternehmen:   "&amp;Unternehmen&amp;CHAR(10)&amp;"Kalenderwoche:   "&amp;Kalenderwoche&amp;CHAR(10)&amp;"Stand:   "&amp;TEXT(Stichtag,"DD.MM.YYYY")</f>
        <v>Unternehmen:   Muster Logistik GmbH
Kalenderwoche:   KW 12 / 2026
Stand:   01.08.YYYY</v>
      </c>
      <c r="K3" s="13"/>
      <c r="L3" s="13"/>
      <c r="M3" s="13"/>
    </row>
    <row r="4" spans="2:13" ht="15.75" customHeight="1" x14ac:dyDescent="0.25">
      <c r="B4" s="14"/>
      <c r="C4" s="14"/>
      <c r="D4" s="14"/>
      <c r="E4" s="14"/>
      <c r="F4" s="14"/>
      <c r="G4" s="14"/>
      <c r="H4" s="14"/>
      <c r="I4" s="14"/>
      <c r="J4" s="13"/>
      <c r="K4" s="13"/>
      <c r="L4" s="13"/>
      <c r="M4" s="13"/>
    </row>
    <row r="6" spans="2:13" ht="25.5" customHeight="1" x14ac:dyDescent="0.25">
      <c r="B6" s="12">
        <f>COUNTA(Tourenplanung!$B$9:$B$48)</f>
        <v>24</v>
      </c>
      <c r="C6" s="12"/>
      <c r="D6" s="11">
        <f>COUNTIF(Tourenplanung!$P$9:$P$48,"Erledigt")</f>
        <v>12</v>
      </c>
      <c r="E6" s="11"/>
      <c r="F6" s="10">
        <f>COUNTIF(Tourenplanung!$P$9:$P$48,"In Fahrt")</f>
        <v>3</v>
      </c>
      <c r="G6" s="10"/>
      <c r="H6" s="9">
        <f>COUNTIF(Tourenplanung!$P$9:$P$48,"Geplant")</f>
        <v>7</v>
      </c>
      <c r="I6" s="9"/>
      <c r="J6" s="8">
        <f>COUNTIF(Tourenplanung!$P$9:$P$48,"Verschoben")</f>
        <v>1</v>
      </c>
      <c r="K6" s="8"/>
      <c r="L6" s="7">
        <f>IFERROR(COUNTIF(Tourenplanung!$P$9:$P$48,"Erledigt")/COUNTA(Tourenplanung!$B$9:$B$48),0)</f>
        <v>0.5</v>
      </c>
      <c r="M6" s="7"/>
    </row>
    <row r="7" spans="2:13" ht="15" customHeight="1" x14ac:dyDescent="0.25">
      <c r="B7" s="6" t="s">
        <v>1</v>
      </c>
      <c r="C7" s="6"/>
      <c r="D7" s="5" t="s">
        <v>2</v>
      </c>
      <c r="E7" s="5"/>
      <c r="F7" s="4" t="s">
        <v>3</v>
      </c>
      <c r="G7" s="4"/>
      <c r="H7" s="3" t="s">
        <v>4</v>
      </c>
      <c r="I7" s="3"/>
      <c r="J7" s="2" t="s">
        <v>5</v>
      </c>
      <c r="K7" s="2"/>
      <c r="L7" s="1" t="s">
        <v>6</v>
      </c>
      <c r="M7" s="1"/>
    </row>
    <row r="8" spans="2:13" ht="6" customHeight="1" x14ac:dyDescent="0.25"/>
    <row r="9" spans="2:13" ht="25.5" customHeight="1" x14ac:dyDescent="0.25">
      <c r="B9" s="69">
        <f>SUM(Tourenplanung!$L$9:$L$48)</f>
        <v>859</v>
      </c>
      <c r="C9" s="69"/>
      <c r="D9" s="70">
        <f>IFERROR(SUM(Tourenplanung!$L$9:$L$48)/COUNTA(Tourenplanung!$B$9:$B$48),0)</f>
        <v>35.791666666666664</v>
      </c>
      <c r="E9" s="70"/>
      <c r="F9" s="71">
        <f>SUM(Tourenplanung!$J$9:$J$48)</f>
        <v>0.93055555555555536</v>
      </c>
      <c r="G9" s="71"/>
      <c r="H9" s="72">
        <f>SUM(Tourenplanung!$O$9:$O$48)</f>
        <v>263.0985</v>
      </c>
      <c r="I9" s="72"/>
      <c r="J9" s="73">
        <f>IFERROR(AVERAGE(Tourenplanung!$N$9:$N$48),0)</f>
        <v>0.77581018518518519</v>
      </c>
      <c r="K9" s="73"/>
      <c r="L9" s="74">
        <f>SUMPRODUCT((COUNTIF(Tourenplanung!$E$9:$E$48,FahrerListe)&gt;0)*1)</f>
        <v>8</v>
      </c>
      <c r="M9" s="74"/>
    </row>
    <row r="10" spans="2:13" ht="15" customHeight="1" x14ac:dyDescent="0.25">
      <c r="B10" s="6" t="s">
        <v>7</v>
      </c>
      <c r="C10" s="6"/>
      <c r="D10" s="1" t="s">
        <v>8</v>
      </c>
      <c r="E10" s="1"/>
      <c r="F10" s="6" t="s">
        <v>9</v>
      </c>
      <c r="G10" s="6"/>
      <c r="H10" s="1" t="s">
        <v>10</v>
      </c>
      <c r="I10" s="1"/>
      <c r="J10" s="6" t="s">
        <v>11</v>
      </c>
      <c r="K10" s="6"/>
      <c r="L10" s="1" t="s">
        <v>12</v>
      </c>
      <c r="M10" s="1"/>
    </row>
    <row r="12" spans="2:13" ht="19.5" customHeight="1" x14ac:dyDescent="0.25">
      <c r="B12" s="16" t="s">
        <v>13</v>
      </c>
      <c r="C12" s="75" t="s">
        <v>14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2:13" ht="3" customHeight="1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2:13" ht="24" customHeight="1" x14ac:dyDescent="0.25">
      <c r="B14" s="18" t="s">
        <v>15</v>
      </c>
      <c r="C14" s="18" t="s">
        <v>16</v>
      </c>
      <c r="D14" s="18" t="s">
        <v>17</v>
      </c>
      <c r="E14" s="18" t="s">
        <v>18</v>
      </c>
      <c r="F14" s="18" t="s">
        <v>19</v>
      </c>
      <c r="G14" s="18" t="s">
        <v>20</v>
      </c>
    </row>
    <row r="15" spans="2:13" x14ac:dyDescent="0.25">
      <c r="B15" s="19" t="str">
        <f>Ressourcen!$B$23</f>
        <v>Andreas Below</v>
      </c>
      <c r="C15" s="20">
        <f>COUNTIF(Tourenplanung!$E$9:$E$48,Ressourcen!$B$23)</f>
        <v>4</v>
      </c>
      <c r="D15" s="21">
        <f>SUMIF(Tourenplanung!$E$9:$E$48,Ressourcen!$B$23,Tourenplanung!$L$9:$L$48)</f>
        <v>156</v>
      </c>
      <c r="E15" s="22">
        <f>SUMIF(Tourenplanung!$E$9:$E$48,Ressourcen!$B$23,Tourenplanung!$J$9:$J$48)</f>
        <v>0.15625</v>
      </c>
      <c r="F15" s="23">
        <f>SUMIF(Tourenplanung!$E$9:$E$48,Ressourcen!$B$23,Tourenplanung!$O$9:$O$48)</f>
        <v>50.504999999999995</v>
      </c>
      <c r="G15" s="24">
        <f>IFERROR(AVERAGEIF(Tourenplanung!$E$9:$E$48,Ressourcen!$B$23,Tourenplanung!$N$9:$N$48),"")</f>
        <v>0.81249999999999989</v>
      </c>
    </row>
    <row r="16" spans="2:13" x14ac:dyDescent="0.25">
      <c r="B16" s="25" t="str">
        <f>Ressourcen!$B$24</f>
        <v>Petra Kalt</v>
      </c>
      <c r="C16" s="26">
        <f>COUNTIF(Tourenplanung!$E$9:$E$48,Ressourcen!$B$24)</f>
        <v>4</v>
      </c>
      <c r="D16" s="27">
        <f>SUMIF(Tourenplanung!$E$9:$E$48,Ressourcen!$B$24,Tourenplanung!$L$9:$L$48)</f>
        <v>106</v>
      </c>
      <c r="E16" s="28">
        <f>SUMIF(Tourenplanung!$E$9:$E$48,Ressourcen!$B$24,Tourenplanung!$J$9:$J$48)</f>
        <v>0.11805555555555552</v>
      </c>
      <c r="F16" s="29">
        <f>SUMIF(Tourenplanung!$E$9:$E$48,Ressourcen!$B$24,Tourenplanung!$O$9:$O$48)</f>
        <v>18.823</v>
      </c>
      <c r="G16" s="30">
        <f>IFERROR(AVERAGEIF(Tourenplanung!$E$9:$E$48,Ressourcen!$B$24,Tourenplanung!$N$9:$N$48),"")</f>
        <v>0.70833333333333337</v>
      </c>
    </row>
    <row r="17" spans="2:13" x14ac:dyDescent="0.25">
      <c r="B17" s="19" t="str">
        <f>Ressourcen!$B$25</f>
        <v>Murat Şahin</v>
      </c>
      <c r="C17" s="20">
        <f>COUNTIF(Tourenplanung!$E$9:$E$48,Ressourcen!$B$25)</f>
        <v>2</v>
      </c>
      <c r="D17" s="21">
        <f>SUMIF(Tourenplanung!$E$9:$E$48,Ressourcen!$B$25,Tourenplanung!$L$9:$L$48)</f>
        <v>136</v>
      </c>
      <c r="E17" s="22">
        <f>SUMIF(Tourenplanung!$E$9:$E$48,Ressourcen!$B$25,Tourenplanung!$J$9:$J$48)</f>
        <v>0.1111111111111111</v>
      </c>
      <c r="F17" s="23">
        <f>SUMIF(Tourenplanung!$E$9:$E$48,Ressourcen!$B$25,Tourenplanung!$O$9:$O$48)</f>
        <v>57.120000000000005</v>
      </c>
      <c r="G17" s="24">
        <f>IFERROR(AVERAGEIF(Tourenplanung!$E$9:$E$48,Ressourcen!$B$25,Tourenplanung!$N$9:$N$48),"")</f>
        <v>0.91666666666666663</v>
      </c>
    </row>
    <row r="18" spans="2:13" x14ac:dyDescent="0.25">
      <c r="B18" s="25" t="str">
        <f>Ressourcen!$B$26</f>
        <v>Sabine Reuter</v>
      </c>
      <c r="C18" s="26">
        <f>COUNTIF(Tourenplanung!$E$9:$E$48,Ressourcen!$B$26)</f>
        <v>3</v>
      </c>
      <c r="D18" s="27">
        <f>SUMIF(Tourenplanung!$E$9:$E$48,Ressourcen!$B$26,Tourenplanung!$L$9:$L$48)</f>
        <v>20</v>
      </c>
      <c r="E18" s="28">
        <f>SUMIF(Tourenplanung!$E$9:$E$48,Ressourcen!$B$26,Tourenplanung!$J$9:$J$48)</f>
        <v>6.5972222222222293E-2</v>
      </c>
      <c r="F18" s="29">
        <f>SUMIF(Tourenplanung!$E$9:$E$48,Ressourcen!$B$26,Tourenplanung!$O$9:$O$48)</f>
        <v>3.1360000000000001</v>
      </c>
      <c r="G18" s="30">
        <f>IFERROR(AVERAGEIF(Tourenplanung!$E$9:$E$48,Ressourcen!$B$26,Tourenplanung!$N$9:$N$48),"")</f>
        <v>0.72222222222222221</v>
      </c>
    </row>
    <row r="19" spans="2:13" x14ac:dyDescent="0.25">
      <c r="B19" s="19" t="str">
        <f>Ressourcen!$B$27</f>
        <v>Jonas Wieland</v>
      </c>
      <c r="C19" s="20">
        <f>COUNTIF(Tourenplanung!$E$9:$E$48,Ressourcen!$B$27)</f>
        <v>3</v>
      </c>
      <c r="D19" s="21">
        <f>SUMIF(Tourenplanung!$E$9:$E$48,Ressourcen!$B$27,Tourenplanung!$L$9:$L$48)</f>
        <v>168</v>
      </c>
      <c r="E19" s="22">
        <f>SUMIF(Tourenplanung!$E$9:$E$48,Ressourcen!$B$27,Tourenplanung!$J$9:$J$48)</f>
        <v>0.16666666666666669</v>
      </c>
      <c r="F19" s="23">
        <f>SUMIF(Tourenplanung!$E$9:$E$48,Ressourcen!$B$27,Tourenplanung!$O$9:$O$48)</f>
        <v>41.506500000000003</v>
      </c>
      <c r="G19" s="24">
        <f>IFERROR(AVERAGEIF(Tourenplanung!$E$9:$E$48,Ressourcen!$B$27,Tourenplanung!$N$9:$N$48),"")</f>
        <v>0.79444444444444462</v>
      </c>
    </row>
    <row r="20" spans="2:13" x14ac:dyDescent="0.25">
      <c r="B20" s="25" t="str">
        <f>Ressourcen!$B$28</f>
        <v>Elif Demir</v>
      </c>
      <c r="C20" s="26">
        <f>COUNTIF(Tourenplanung!$E$9:$E$48,Ressourcen!$B$28)</f>
        <v>4</v>
      </c>
      <c r="D20" s="27">
        <f>SUMIF(Tourenplanung!$E$9:$E$48,Ressourcen!$B$28,Tourenplanung!$L$9:$L$48)</f>
        <v>86</v>
      </c>
      <c r="E20" s="28">
        <f>SUMIF(Tourenplanung!$E$9:$E$48,Ressourcen!$B$28,Tourenplanung!$J$9:$J$48)</f>
        <v>0.11805555555555551</v>
      </c>
      <c r="F20" s="29">
        <f>SUMIF(Tourenplanung!$E$9:$E$48,Ressourcen!$B$28,Tourenplanung!$O$9:$O$48)</f>
        <v>18.130000000000003</v>
      </c>
      <c r="G20" s="30">
        <f>IFERROR(AVERAGEIF(Tourenplanung!$E$9:$E$48,Ressourcen!$B$28,Tourenplanung!$N$9:$N$48),"")</f>
        <v>0.71875</v>
      </c>
    </row>
    <row r="21" spans="2:13" x14ac:dyDescent="0.25">
      <c r="B21" s="19" t="str">
        <f>Ressourcen!$B$29</f>
        <v>Thomas Nolte</v>
      </c>
      <c r="C21" s="20">
        <f>COUNTIF(Tourenplanung!$E$9:$E$48,Ressourcen!$B$29)</f>
        <v>2</v>
      </c>
      <c r="D21" s="21">
        <f>SUMIF(Tourenplanung!$E$9:$E$48,Ressourcen!$B$29,Tourenplanung!$L$9:$L$48)</f>
        <v>169</v>
      </c>
      <c r="E21" s="22">
        <f>SUMIF(Tourenplanung!$E$9:$E$48,Ressourcen!$B$29,Tourenplanung!$J$9:$J$48)</f>
        <v>0.15277777777777779</v>
      </c>
      <c r="F21" s="23">
        <f>SUMIF(Tourenplanung!$E$9:$E$48,Ressourcen!$B$29,Tourenplanung!$O$9:$O$48)</f>
        <v>70.98</v>
      </c>
      <c r="G21" s="24">
        <f>IFERROR(AVERAGEIF(Tourenplanung!$E$9:$E$48,Ressourcen!$B$29,Tourenplanung!$N$9:$N$48),"")</f>
        <v>0.80555555555555558</v>
      </c>
    </row>
    <row r="22" spans="2:13" x14ac:dyDescent="0.25">
      <c r="B22" s="25" t="str">
        <f>Ressourcen!$B$30</f>
        <v>Carla Böhm</v>
      </c>
      <c r="C22" s="26">
        <f>COUNTIF(Tourenplanung!$E$9:$E$48,Ressourcen!$B$30)</f>
        <v>2</v>
      </c>
      <c r="D22" s="27">
        <f>SUMIF(Tourenplanung!$E$9:$E$48,Ressourcen!$B$30,Tourenplanung!$L$9:$L$48)</f>
        <v>18</v>
      </c>
      <c r="E22" s="28">
        <f>SUMIF(Tourenplanung!$E$9:$E$48,Ressourcen!$B$30,Tourenplanung!$J$9:$J$48)</f>
        <v>4.1666666666666602E-2</v>
      </c>
      <c r="F22" s="29">
        <f>SUMIF(Tourenplanung!$E$9:$E$48,Ressourcen!$B$30,Tourenplanung!$O$9:$O$48)</f>
        <v>2.8979999999999997</v>
      </c>
      <c r="G22" s="30">
        <f>IFERROR(AVERAGEIF(Tourenplanung!$E$9:$E$48,Ressourcen!$B$30,Tourenplanung!$N$9:$N$48),"")</f>
        <v>0.83333333333333326</v>
      </c>
    </row>
    <row r="24" spans="2:13" ht="19.5" customHeight="1" x14ac:dyDescent="0.25">
      <c r="B24" s="16" t="s">
        <v>21</v>
      </c>
      <c r="C24" s="75" t="s">
        <v>22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2:13" ht="3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2:13" ht="21.75" customHeight="1" x14ac:dyDescent="0.25">
      <c r="B26" s="31" t="s">
        <v>23</v>
      </c>
      <c r="C26" s="31" t="s">
        <v>24</v>
      </c>
      <c r="D26" s="31" t="s">
        <v>25</v>
      </c>
    </row>
    <row r="27" spans="2:13" x14ac:dyDescent="0.25">
      <c r="B27" s="32" t="str">
        <f>Stammdaten!$B$37</f>
        <v>Geplant</v>
      </c>
      <c r="C27" s="20">
        <f>COUNTIF(Tourenplanung!$P$9:$P$48,Stammdaten!$B$37)</f>
        <v>7</v>
      </c>
      <c r="D27" s="24">
        <f>IFERROR(COUNTIF(Tourenplanung!$P$9:$P$48,Stammdaten!$B$37)/COUNTA(Tourenplanung!$B$9:$B$48),0)</f>
        <v>0.29166666666666669</v>
      </c>
    </row>
    <row r="28" spans="2:13" x14ac:dyDescent="0.25">
      <c r="B28" s="33" t="str">
        <f>Stammdaten!$B$38</f>
        <v>In Fahrt</v>
      </c>
      <c r="C28" s="26">
        <f>COUNTIF(Tourenplanung!$P$9:$P$48,Stammdaten!$B$38)</f>
        <v>3</v>
      </c>
      <c r="D28" s="30">
        <f>IFERROR(COUNTIF(Tourenplanung!$P$9:$P$48,Stammdaten!$B$38)/COUNTA(Tourenplanung!$B$9:$B$48),0)</f>
        <v>0.125</v>
      </c>
    </row>
    <row r="29" spans="2:13" x14ac:dyDescent="0.25">
      <c r="B29" s="32" t="str">
        <f>Stammdaten!$B$39</f>
        <v>Erledigt</v>
      </c>
      <c r="C29" s="20">
        <f>COUNTIF(Tourenplanung!$P$9:$P$48,Stammdaten!$B$39)</f>
        <v>12</v>
      </c>
      <c r="D29" s="24">
        <f>IFERROR(COUNTIF(Tourenplanung!$P$9:$P$48,Stammdaten!$B$39)/COUNTA(Tourenplanung!$B$9:$B$48),0)</f>
        <v>0.5</v>
      </c>
    </row>
    <row r="30" spans="2:13" x14ac:dyDescent="0.25">
      <c r="B30" s="33" t="str">
        <f>Stammdaten!$B$40</f>
        <v>Verschoben</v>
      </c>
      <c r="C30" s="26">
        <f>COUNTIF(Tourenplanung!$P$9:$P$48,Stammdaten!$B$40)</f>
        <v>1</v>
      </c>
      <c r="D30" s="30">
        <f>IFERROR(COUNTIF(Tourenplanung!$P$9:$P$48,Stammdaten!$B$40)/COUNTA(Tourenplanung!$B$9:$B$48),0)</f>
        <v>4.1666666666666664E-2</v>
      </c>
    </row>
    <row r="31" spans="2:13" x14ac:dyDescent="0.25">
      <c r="B31" s="32" t="str">
        <f>Stammdaten!$B$41</f>
        <v>Storniert</v>
      </c>
      <c r="C31" s="20">
        <f>COUNTIF(Tourenplanung!$P$9:$P$48,Stammdaten!$B$41)</f>
        <v>1</v>
      </c>
      <c r="D31" s="24">
        <f>IFERROR(COUNTIF(Tourenplanung!$P$9:$P$48,Stammdaten!$B$41)/COUNTA(Tourenplanung!$B$9:$B$48),0)</f>
        <v>4.1666666666666664E-2</v>
      </c>
    </row>
    <row r="34" spans="2:13" ht="19.5" customHeight="1" x14ac:dyDescent="0.25">
      <c r="B34" s="16" t="s">
        <v>26</v>
      </c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</row>
    <row r="35" spans="2:13" ht="3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2:13" ht="24" customHeight="1" x14ac:dyDescent="0.25">
      <c r="B36" s="18" t="s">
        <v>28</v>
      </c>
      <c r="C36" s="18" t="s">
        <v>16</v>
      </c>
      <c r="D36" s="18" t="s">
        <v>17</v>
      </c>
      <c r="E36" s="18" t="s">
        <v>20</v>
      </c>
      <c r="F36" s="18" t="s">
        <v>19</v>
      </c>
    </row>
    <row r="37" spans="2:13" x14ac:dyDescent="0.25">
      <c r="B37" s="19" t="str">
        <f>Ressourcen!$B$9</f>
        <v>OL-ML 210</v>
      </c>
      <c r="C37" s="20">
        <f>COUNTIF(Tourenplanung!$F$9:$F$48,Ressourcen!$B$9)</f>
        <v>4</v>
      </c>
      <c r="D37" s="21">
        <f>SUMIF(Tourenplanung!$F$9:$F$48,Ressourcen!$B$9,Tourenplanung!$L$9:$L$48)</f>
        <v>29</v>
      </c>
      <c r="E37" s="24">
        <f>IFERROR(AVERAGEIF(Tourenplanung!$F$9:$F$48,Ressourcen!$B$9,Tourenplanung!$N$9:$N$48),"")</f>
        <v>0.62499999999999989</v>
      </c>
      <c r="F37" s="23">
        <f>SUMIF(Tourenplanung!$F$9:$F$48,Ressourcen!$B$9,Tourenplanung!$O$9:$O$48)</f>
        <v>4.9735000000000005</v>
      </c>
    </row>
    <row r="38" spans="2:13" x14ac:dyDescent="0.25">
      <c r="B38" s="25" t="str">
        <f>Ressourcen!$B$10</f>
        <v>OL-ML 220</v>
      </c>
      <c r="C38" s="26">
        <f>COUNTIF(Tourenplanung!$F$9:$F$48,Ressourcen!$B$10)</f>
        <v>2</v>
      </c>
      <c r="D38" s="27">
        <f>SUMIF(Tourenplanung!$F$9:$F$48,Ressourcen!$B$10,Tourenplanung!$L$9:$L$48)</f>
        <v>92</v>
      </c>
      <c r="E38" s="30">
        <f>IFERROR(AVERAGEIF(Tourenplanung!$F$9:$F$48,Ressourcen!$B$10,Tourenplanung!$N$9:$N$48),"")</f>
        <v>0.83333333333333337</v>
      </c>
      <c r="F38" s="29">
        <f>SUMIF(Tourenplanung!$F$9:$F$48,Ressourcen!$B$10,Tourenplanung!$O$9:$O$48)</f>
        <v>16.421999999999997</v>
      </c>
    </row>
    <row r="39" spans="2:13" x14ac:dyDescent="0.25">
      <c r="B39" s="19" t="str">
        <f>Ressourcen!$B$11</f>
        <v>OL-ML 330</v>
      </c>
      <c r="C39" s="20">
        <f>COUNTIF(Tourenplanung!$F$9:$F$48,Ressourcen!$B$11)</f>
        <v>5</v>
      </c>
      <c r="D39" s="21">
        <f>SUMIF(Tourenplanung!$F$9:$F$48,Ressourcen!$B$11,Tourenplanung!$L$9:$L$48)</f>
        <v>222</v>
      </c>
      <c r="E39" s="24">
        <f>IFERROR(AVERAGEIF(Tourenplanung!$F$9:$F$48,Ressourcen!$B$11,Tourenplanung!$N$9:$N$48),"")</f>
        <v>0.81666666666666665</v>
      </c>
      <c r="F39" s="23">
        <f>SUMIF(Tourenplanung!$F$9:$F$48,Ressourcen!$B$11,Tourenplanung!$O$9:$O$48)</f>
        <v>71.872500000000002</v>
      </c>
    </row>
    <row r="40" spans="2:13" x14ac:dyDescent="0.25">
      <c r="B40" s="25" t="str">
        <f>Ressourcen!$B$12</f>
        <v>OL-ML 340</v>
      </c>
      <c r="C40" s="26">
        <f>COUNTIF(Tourenplanung!$F$9:$F$48,Ressourcen!$B$12)</f>
        <v>0</v>
      </c>
      <c r="D40" s="27">
        <f>SUMIF(Tourenplanung!$F$9:$F$48,Ressourcen!$B$12,Tourenplanung!$L$9:$L$48)</f>
        <v>0</v>
      </c>
      <c r="E40" s="30" t="str">
        <f>IFERROR(AVERAGEIF(Tourenplanung!$F$9:$F$48,Ressourcen!$B$12,Tourenplanung!$N$9:$N$48),"")</f>
        <v/>
      </c>
      <c r="F40" s="29">
        <f>SUMIF(Tourenplanung!$F$9:$F$48,Ressourcen!$B$12,Tourenplanung!$O$9:$O$48)</f>
        <v>0</v>
      </c>
    </row>
    <row r="41" spans="2:13" x14ac:dyDescent="0.25">
      <c r="B41" s="19" t="str">
        <f>Ressourcen!$B$13</f>
        <v>OL-ML 405</v>
      </c>
      <c r="C41" s="20">
        <f>COUNTIF(Tourenplanung!$F$9:$F$48,Ressourcen!$B$13)</f>
        <v>4</v>
      </c>
      <c r="D41" s="21">
        <f>SUMIF(Tourenplanung!$F$9:$F$48,Ressourcen!$B$13,Tourenplanung!$L$9:$L$48)</f>
        <v>85</v>
      </c>
      <c r="E41" s="24">
        <f>IFERROR(AVERAGEIF(Tourenplanung!$F$9:$F$48,Ressourcen!$B$13,Tourenplanung!$N$9:$N$48),"")</f>
        <v>0.71875</v>
      </c>
      <c r="F41" s="23">
        <f>SUMIF(Tourenplanung!$F$9:$F$48,Ressourcen!$B$13,Tourenplanung!$O$9:$O$48)</f>
        <v>18.445</v>
      </c>
    </row>
    <row r="42" spans="2:13" x14ac:dyDescent="0.25">
      <c r="B42" s="25" t="str">
        <f>Ressourcen!$B$14</f>
        <v>OL-ML 512</v>
      </c>
      <c r="C42" s="26">
        <f>COUNTIF(Tourenplanung!$F$9:$F$48,Ressourcen!$B$14)</f>
        <v>4</v>
      </c>
      <c r="D42" s="27">
        <f>SUMIF(Tourenplanung!$F$9:$F$48,Ressourcen!$B$14,Tourenplanung!$L$9:$L$48)</f>
        <v>31</v>
      </c>
      <c r="E42" s="30">
        <f>IFERROR(AVERAGEIF(Tourenplanung!$F$9:$F$48,Ressourcen!$B$14,Tourenplanung!$N$9:$N$48),"")</f>
        <v>0.8125</v>
      </c>
      <c r="F42" s="29">
        <f>SUMIF(Tourenplanung!$F$9:$F$48,Ressourcen!$B$14,Tourenplanung!$O$9:$O$48)</f>
        <v>4.6654999999999989</v>
      </c>
    </row>
    <row r="43" spans="2:13" x14ac:dyDescent="0.25">
      <c r="B43" s="19" t="str">
        <f>Ressourcen!$B$15</f>
        <v>OL-ML 620</v>
      </c>
      <c r="C43" s="20">
        <f>COUNTIF(Tourenplanung!$F$9:$F$48,Ressourcen!$B$15)</f>
        <v>4</v>
      </c>
      <c r="D43" s="21">
        <f>SUMIF(Tourenplanung!$F$9:$F$48,Ressourcen!$B$15,Tourenplanung!$L$9:$L$48)</f>
        <v>305</v>
      </c>
      <c r="E43" s="24">
        <f>IFERROR(AVERAGEIF(Tourenplanung!$F$9:$F$48,Ressourcen!$B$15,Tourenplanung!$N$9:$N$48),"")</f>
        <v>0.86111111111111105</v>
      </c>
      <c r="F43" s="23">
        <f>SUMIF(Tourenplanung!$F$9:$F$48,Ressourcen!$B$15,Tourenplanung!$O$9:$O$48)</f>
        <v>128.10000000000002</v>
      </c>
    </row>
    <row r="44" spans="2:13" x14ac:dyDescent="0.25">
      <c r="B44" s="25" t="str">
        <f>Ressourcen!$B$16</f>
        <v>OL-ML 707</v>
      </c>
      <c r="C44" s="26">
        <f>COUNTIF(Tourenplanung!$F$9:$F$48,Ressourcen!$B$16)</f>
        <v>1</v>
      </c>
      <c r="D44" s="27">
        <f>SUMIF(Tourenplanung!$F$9:$F$48,Ressourcen!$B$16,Tourenplanung!$L$9:$L$48)</f>
        <v>95</v>
      </c>
      <c r="E44" s="30">
        <f>IFERROR(AVERAGEIF(Tourenplanung!$F$9:$F$48,Ressourcen!$B$16,Tourenplanung!$N$9:$N$48),"")</f>
        <v>0.8</v>
      </c>
      <c r="F44" s="29">
        <f>SUMIF(Tourenplanung!$F$9:$F$48,Ressourcen!$B$16,Tourenplanung!$O$9:$O$48)</f>
        <v>18.62</v>
      </c>
    </row>
    <row r="46" spans="2:13" ht="19.5" customHeight="1" x14ac:dyDescent="0.25">
      <c r="B46" s="16" t="s">
        <v>29</v>
      </c>
      <c r="C46" s="75" t="s">
        <v>30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2:13" ht="3" customHeight="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2:13" ht="21.75" customHeight="1" x14ac:dyDescent="0.25">
      <c r="B48" s="31" t="s">
        <v>31</v>
      </c>
      <c r="C48" s="31" t="s">
        <v>32</v>
      </c>
      <c r="D48" s="31" t="s">
        <v>33</v>
      </c>
      <c r="E48" s="31" t="s">
        <v>34</v>
      </c>
      <c r="F48" s="31" t="s">
        <v>35</v>
      </c>
      <c r="G48" s="31" t="s">
        <v>36</v>
      </c>
      <c r="H48" s="31" t="s">
        <v>37</v>
      </c>
      <c r="I48" s="31" t="s">
        <v>38</v>
      </c>
    </row>
    <row r="49" spans="2:9" x14ac:dyDescent="0.25">
      <c r="B49" s="34" t="s">
        <v>17</v>
      </c>
      <c r="C49" s="21">
        <f>SUMIF(Tourenplanung!$D$9:$D$48,"Mo",Tourenplanung!$L$9:$L$48)</f>
        <v>171</v>
      </c>
      <c r="D49" s="21">
        <f>SUMIF(Tourenplanung!$D$9:$D$48,"Di",Tourenplanung!$L$9:$L$48)</f>
        <v>284</v>
      </c>
      <c r="E49" s="21">
        <f>SUMIF(Tourenplanung!$D$9:$D$48,"Mi",Tourenplanung!$L$9:$L$48)</f>
        <v>97</v>
      </c>
      <c r="F49" s="21">
        <f>SUMIF(Tourenplanung!$D$9:$D$48,"Do",Tourenplanung!$L$9:$L$48)</f>
        <v>183</v>
      </c>
      <c r="G49" s="21">
        <f>SUMIF(Tourenplanung!$D$9:$D$48,"Fr",Tourenplanung!$L$9:$L$48)</f>
        <v>124</v>
      </c>
      <c r="H49" s="21">
        <f>SUMIF(Tourenplanung!$D$9:$D$48,"Sa",Tourenplanung!$L$9:$L$48)</f>
        <v>0</v>
      </c>
      <c r="I49" s="21">
        <f>SUMIF(Tourenplanung!$D$9:$D$48,"So",Tourenplanung!$L$9:$L$48)</f>
        <v>0</v>
      </c>
    </row>
  </sheetData>
  <mergeCells count="30">
    <mergeCell ref="L10:M10"/>
    <mergeCell ref="C12:M12"/>
    <mergeCell ref="C24:M24"/>
    <mergeCell ref="C34:M34"/>
    <mergeCell ref="C46:M46"/>
    <mergeCell ref="B10:C10"/>
    <mergeCell ref="D10:E10"/>
    <mergeCell ref="F10:G10"/>
    <mergeCell ref="H10:I10"/>
    <mergeCell ref="J10:K10"/>
    <mergeCell ref="L7:M7"/>
    <mergeCell ref="B9:C9"/>
    <mergeCell ref="D9:E9"/>
    <mergeCell ref="F9:G9"/>
    <mergeCell ref="H9:I9"/>
    <mergeCell ref="J9:K9"/>
    <mergeCell ref="L9:M9"/>
    <mergeCell ref="B7:C7"/>
    <mergeCell ref="D7:E7"/>
    <mergeCell ref="F7:G7"/>
    <mergeCell ref="H7:I7"/>
    <mergeCell ref="J7:K7"/>
    <mergeCell ref="B3:I4"/>
    <mergeCell ref="J3:M4"/>
    <mergeCell ref="B6:C6"/>
    <mergeCell ref="D6:E6"/>
    <mergeCell ref="F6:G6"/>
    <mergeCell ref="H6:I6"/>
    <mergeCell ref="J6:K6"/>
    <mergeCell ref="L6:M6"/>
  </mergeCells>
  <conditionalFormatting sqref="B27:B31">
    <cfRule type="cellIs" dxfId="14" priority="3" operator="equal">
      <formula>"Erledigt"</formula>
    </cfRule>
    <cfRule type="cellIs" dxfId="13" priority="4" operator="equal">
      <formula>"In Fahrt"</formula>
    </cfRule>
    <cfRule type="cellIs" dxfId="12" priority="5" operator="equal">
      <formula>"Geplant"</formula>
    </cfRule>
    <cfRule type="cellIs" dxfId="11" priority="6" operator="equal">
      <formula>"Verschoben"</formula>
    </cfRule>
    <cfRule type="cellIs" dxfId="10" priority="7" operator="equal">
      <formula>"Storniert"</formula>
    </cfRule>
  </conditionalFormatting>
  <conditionalFormatting sqref="C27:C31">
    <cfRule type="dataBar" priority="8">
      <dataBar>
        <cfvo type="num" val="0"/>
        <cfvo type="max"/>
        <color rgb="FF0E8090"/>
      </dataBar>
      <extLst>
        <ext xmlns:x14="http://schemas.microsoft.com/office/spreadsheetml/2009/9/main" uri="{B025F937-C7B1-47D3-B67F-A62EFF666E3E}">
          <x14:id>{3714B9A8-4B80-483B-8FBB-19168419EB36}</x14:id>
        </ext>
      </extLst>
    </cfRule>
  </conditionalFormatting>
  <conditionalFormatting sqref="D15:D22">
    <cfRule type="dataBar" priority="2">
      <dataBar>
        <cfvo type="num" val="0"/>
        <cfvo type="max"/>
        <color rgb="FF16B0C4"/>
      </dataBar>
      <extLst>
        <ext xmlns:x14="http://schemas.microsoft.com/office/spreadsheetml/2009/9/main" uri="{B025F937-C7B1-47D3-B67F-A62EFF666E3E}">
          <x14:id>{B48EA8C8-5EC6-449C-84C2-631290BF89B7}</x14:id>
        </ext>
      </extLst>
    </cfRule>
  </conditionalFormatting>
  <conditionalFormatting sqref="D37:D44">
    <cfRule type="dataBar" priority="9">
      <dataBar>
        <cfvo type="num" val="0"/>
        <cfvo type="max"/>
        <color rgb="FF16B0C4"/>
      </dataBar>
      <extLst>
        <ext xmlns:x14="http://schemas.microsoft.com/office/spreadsheetml/2009/9/main" uri="{B025F937-C7B1-47D3-B67F-A62EFF666E3E}">
          <x14:id>{734FE1A0-6F15-4EE3-8DCA-E535D58E1AA5}</x14:id>
        </ext>
      </extLst>
    </cfRule>
  </conditionalFormatting>
  <printOptions horizontalCentered="1"/>
  <pageMargins left="0.4" right="0.4" top="0.5" bottom="0.5" header="0.511811023622047" footer="0.511811023622047"/>
  <pageSetup paperSize="9" fitToHeight="0" orientation="landscape" horizontalDpi="300" verticalDpi="300"/>
  <rowBreaks count="1" manualBreakCount="1">
    <brk id="33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14B9A8-4B80-483B-8FBB-19168419EB36}">
            <x14:dataBar axisPosition="none">
              <x14:cfvo type="num">
                <xm:f>0</xm:f>
              </x14:cfvo>
              <x14:cfvo type="max"/>
              <x14:negativeFillColor rgb="FF0E8090"/>
            </x14:dataBar>
          </x14:cfRule>
          <xm:sqref>C27:C31</xm:sqref>
        </x14:conditionalFormatting>
        <x14:conditionalFormatting xmlns:xm="http://schemas.microsoft.com/office/excel/2006/main">
          <x14:cfRule type="dataBar" id="{B48EA8C8-5EC6-449C-84C2-631290BF89B7}">
            <x14:dataBar axisPosition="none">
              <x14:cfvo type="num">
                <xm:f>0</xm:f>
              </x14:cfvo>
              <x14:cfvo type="max"/>
              <x14:negativeFillColor rgb="FF16B0C4"/>
            </x14:dataBar>
          </x14:cfRule>
          <xm:sqref>D15:D22</xm:sqref>
        </x14:conditionalFormatting>
        <x14:conditionalFormatting xmlns:xm="http://schemas.microsoft.com/office/excel/2006/main">
          <x14:cfRule type="dataBar" id="{734FE1A0-6F15-4EE3-8DCA-E535D58E1AA5}">
            <x14:dataBar axisPosition="none">
              <x14:cfvo type="num">
                <xm:f>0</xm:f>
              </x14:cfvo>
              <x14:cfvo type="max"/>
              <x14:negativeFillColor rgb="FF16B0C4"/>
            </x14:dataBar>
          </x14:cfRule>
          <xm:sqref>D37:D44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49"/>
  <sheetViews>
    <sheetView showGridLines="0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2.42578125" customWidth="1"/>
    <col min="2" max="3" width="11" customWidth="1"/>
    <col min="4" max="4" width="6.5703125" customWidth="1"/>
    <col min="5" max="5" width="15" customWidth="1"/>
    <col min="6" max="6" width="12" customWidth="1"/>
    <col min="7" max="7" width="21" customWidth="1"/>
    <col min="8" max="8" width="15" customWidth="1"/>
    <col min="9" max="12" width="8" customWidth="1"/>
    <col min="13" max="13" width="9" customWidth="1"/>
    <col min="14" max="14" width="11" customWidth="1"/>
    <col min="15" max="15" width="13" customWidth="1"/>
    <col min="16" max="16" width="12" customWidth="1"/>
    <col min="17" max="17" width="22" customWidth="1"/>
  </cols>
  <sheetData>
    <row r="2" spans="2:17" ht="6" customHeigh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2:17" ht="24" customHeight="1" x14ac:dyDescent="0.25"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3" t="str">
        <f ca="1">"KW:   "&amp;Kalenderwoche&amp;CHAR(10)&amp;"Planer/in:   "&amp;Planer&amp;CHAR(10)&amp;"Stand:   "&amp;TEXT(Stichtag,"DD.MM.YYYY")</f>
        <v>KW:   KW 12 / 2026
Planer/in:   Katrin Vogel
Stand:   01.08.YYYY</v>
      </c>
      <c r="O3" s="13"/>
      <c r="P3" s="13"/>
      <c r="Q3" s="13"/>
    </row>
    <row r="4" spans="2:17" ht="15.75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3"/>
      <c r="O4" s="13"/>
      <c r="P4" s="13"/>
      <c r="Q4" s="13"/>
    </row>
    <row r="6" spans="2:17" ht="19.5" customHeight="1" x14ac:dyDescent="0.25">
      <c r="B6" s="16" t="s">
        <v>13</v>
      </c>
      <c r="C6" s="75" t="s">
        <v>40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2:17" ht="3" customHeigh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7" ht="27.75" customHeight="1" x14ac:dyDescent="0.25">
      <c r="B8" s="35" t="s">
        <v>41</v>
      </c>
      <c r="C8" s="18" t="s">
        <v>42</v>
      </c>
      <c r="D8" s="18" t="s">
        <v>43</v>
      </c>
      <c r="E8" s="18" t="s">
        <v>15</v>
      </c>
      <c r="F8" s="18" t="s">
        <v>44</v>
      </c>
      <c r="G8" s="18" t="s">
        <v>45</v>
      </c>
      <c r="H8" s="18" t="s">
        <v>46</v>
      </c>
      <c r="I8" s="18" t="s">
        <v>47</v>
      </c>
      <c r="J8" s="18" t="s">
        <v>48</v>
      </c>
      <c r="K8" s="18" t="s">
        <v>49</v>
      </c>
      <c r="L8" s="18" t="s">
        <v>50</v>
      </c>
      <c r="M8" s="18" t="s">
        <v>51</v>
      </c>
      <c r="N8" s="18" t="s">
        <v>52</v>
      </c>
      <c r="O8" s="18" t="s">
        <v>53</v>
      </c>
      <c r="P8" s="18" t="s">
        <v>23</v>
      </c>
      <c r="Q8" s="36" t="s">
        <v>54</v>
      </c>
    </row>
    <row r="9" spans="2:17" ht="15.75" customHeight="1" x14ac:dyDescent="0.25">
      <c r="B9" s="37" t="s">
        <v>55</v>
      </c>
      <c r="C9" s="38" t="s">
        <v>56</v>
      </c>
      <c r="D9" s="39" t="str">
        <f t="shared" ref="D9:D48" si="0">IF($C9="","",CHOOSE(WEEKDAY($C9,2),"Mo","Di","Mi","Do","Fr","Sa","So"))</f>
        <v>Mo</v>
      </c>
      <c r="E9" s="40" t="s">
        <v>57</v>
      </c>
      <c r="F9" s="41" t="s">
        <v>58</v>
      </c>
      <c r="G9" s="40" t="s">
        <v>59</v>
      </c>
      <c r="H9" s="42" t="str">
        <f t="shared" ref="H9:H48" si="1">IF($G9="","",IFERROR(INDEX(Kunden_Ort,MATCH($G9,Kunden_Name,0)),"?"))</f>
        <v>Oldenburg</v>
      </c>
      <c r="I9" s="43">
        <v>0.29166666666666702</v>
      </c>
      <c r="J9" s="43">
        <v>2.7777777777777801E-2</v>
      </c>
      <c r="K9" s="44">
        <f t="shared" ref="K9:K48" si="2">IF(OR($I9="",$J9=""),"",MOD($I9+$J9,1))</f>
        <v>0.31944444444444481</v>
      </c>
      <c r="L9" s="45">
        <v>14</v>
      </c>
      <c r="M9" s="46">
        <v>9</v>
      </c>
      <c r="N9" s="47">
        <f t="shared" ref="N9:N48" si="3">IF(OR($F9="",$M9=""),"",IFERROR($M9/INDEX(Fz_Kapazitaet,MATCH($F9,Fz_Kennzeichen,0)),""))</f>
        <v>0.75</v>
      </c>
      <c r="O9" s="48">
        <f t="shared" ref="O9:O48" si="4">IF(OR($F9="",$L9=""),"",IFERROR($L9*INDEX(Fz_Verbrauch,MATCH($F9,Fz_Kennzeichen,0))/100*Dieselpreis,""))</f>
        <v>4.5324999999999998</v>
      </c>
      <c r="P9" s="41" t="s">
        <v>2</v>
      </c>
      <c r="Q9" s="49"/>
    </row>
    <row r="10" spans="2:17" ht="15.75" customHeight="1" x14ac:dyDescent="0.25">
      <c r="B10" s="50" t="s">
        <v>60</v>
      </c>
      <c r="C10" s="51" t="s">
        <v>56</v>
      </c>
      <c r="D10" s="39" t="str">
        <f t="shared" si="0"/>
        <v>Mo</v>
      </c>
      <c r="E10" s="52" t="s">
        <v>57</v>
      </c>
      <c r="F10" s="53" t="s">
        <v>58</v>
      </c>
      <c r="G10" s="52" t="s">
        <v>61</v>
      </c>
      <c r="H10" s="42" t="str">
        <f t="shared" si="1"/>
        <v>Wilhelmshaven</v>
      </c>
      <c r="I10" s="54">
        <v>0.34027777777777801</v>
      </c>
      <c r="J10" s="54">
        <v>4.8611111111111098E-2</v>
      </c>
      <c r="K10" s="44">
        <f t="shared" si="2"/>
        <v>0.38888888888888912</v>
      </c>
      <c r="L10" s="55">
        <v>62</v>
      </c>
      <c r="M10" s="56">
        <v>11</v>
      </c>
      <c r="N10" s="47">
        <f t="shared" si="3"/>
        <v>0.91666666666666663</v>
      </c>
      <c r="O10" s="48">
        <f t="shared" si="4"/>
        <v>20.072500000000002</v>
      </c>
      <c r="P10" s="53" t="s">
        <v>2</v>
      </c>
      <c r="Q10" s="57"/>
    </row>
    <row r="11" spans="2:17" ht="15.75" customHeight="1" x14ac:dyDescent="0.25">
      <c r="B11" s="37" t="s">
        <v>62</v>
      </c>
      <c r="C11" s="38" t="s">
        <v>56</v>
      </c>
      <c r="D11" s="39" t="str">
        <f t="shared" si="0"/>
        <v>Mo</v>
      </c>
      <c r="E11" s="40" t="s">
        <v>63</v>
      </c>
      <c r="F11" s="41" t="s">
        <v>64</v>
      </c>
      <c r="G11" s="40" t="s">
        <v>65</v>
      </c>
      <c r="H11" s="42" t="str">
        <f t="shared" si="1"/>
        <v>Oldenburg</v>
      </c>
      <c r="I11" s="43">
        <v>0.25</v>
      </c>
      <c r="J11" s="43">
        <v>1.7361111111111101E-2</v>
      </c>
      <c r="K11" s="44">
        <f t="shared" si="2"/>
        <v>0.2673611111111111</v>
      </c>
      <c r="L11" s="45">
        <v>6</v>
      </c>
      <c r="M11" s="46">
        <v>4</v>
      </c>
      <c r="N11" s="47">
        <f t="shared" si="3"/>
        <v>0.66666666666666663</v>
      </c>
      <c r="O11" s="48">
        <f t="shared" si="4"/>
        <v>1.0290000000000001</v>
      </c>
      <c r="P11" s="41" t="s">
        <v>2</v>
      </c>
      <c r="Q11" s="49"/>
    </row>
    <row r="12" spans="2:17" ht="15.75" customHeight="1" x14ac:dyDescent="0.25">
      <c r="B12" s="50" t="s">
        <v>66</v>
      </c>
      <c r="C12" s="51" t="s">
        <v>56</v>
      </c>
      <c r="D12" s="39" t="str">
        <f t="shared" si="0"/>
        <v>Mo</v>
      </c>
      <c r="E12" s="52" t="s">
        <v>63</v>
      </c>
      <c r="F12" s="53" t="s">
        <v>64</v>
      </c>
      <c r="G12" s="52" t="s">
        <v>67</v>
      </c>
      <c r="H12" s="42" t="str">
        <f t="shared" si="1"/>
        <v>Oldenburg</v>
      </c>
      <c r="I12" s="54">
        <v>0.29166666666666702</v>
      </c>
      <c r="J12" s="54">
        <v>2.0833333333333301E-2</v>
      </c>
      <c r="K12" s="44">
        <f t="shared" si="2"/>
        <v>0.31250000000000033</v>
      </c>
      <c r="L12" s="55">
        <v>8</v>
      </c>
      <c r="M12" s="56">
        <v>3</v>
      </c>
      <c r="N12" s="47">
        <f t="shared" si="3"/>
        <v>0.5</v>
      </c>
      <c r="O12" s="48">
        <f t="shared" si="4"/>
        <v>1.3720000000000001</v>
      </c>
      <c r="P12" s="53" t="s">
        <v>2</v>
      </c>
      <c r="Q12" s="57"/>
    </row>
    <row r="13" spans="2:17" ht="15.75" customHeight="1" x14ac:dyDescent="0.25">
      <c r="B13" s="37" t="s">
        <v>68</v>
      </c>
      <c r="C13" s="38" t="s">
        <v>56</v>
      </c>
      <c r="D13" s="39" t="str">
        <f t="shared" si="0"/>
        <v>Mo</v>
      </c>
      <c r="E13" s="40" t="s">
        <v>69</v>
      </c>
      <c r="F13" s="41" t="s">
        <v>70</v>
      </c>
      <c r="G13" s="40" t="s">
        <v>71</v>
      </c>
      <c r="H13" s="42" t="str">
        <f t="shared" si="1"/>
        <v>Aurich</v>
      </c>
      <c r="I13" s="43">
        <v>0.33333333333333298</v>
      </c>
      <c r="J13" s="43">
        <v>6.25E-2</v>
      </c>
      <c r="K13" s="44">
        <f t="shared" si="2"/>
        <v>0.39583333333333298</v>
      </c>
      <c r="L13" s="45">
        <v>74</v>
      </c>
      <c r="M13" s="46">
        <v>16</v>
      </c>
      <c r="N13" s="47">
        <f t="shared" si="3"/>
        <v>0.88888888888888884</v>
      </c>
      <c r="O13" s="48">
        <f t="shared" si="4"/>
        <v>31.080000000000002</v>
      </c>
      <c r="P13" s="41" t="s">
        <v>2</v>
      </c>
      <c r="Q13" s="49" t="s">
        <v>72</v>
      </c>
    </row>
    <row r="14" spans="2:17" ht="15.75" customHeight="1" x14ac:dyDescent="0.25">
      <c r="B14" s="50" t="s">
        <v>73</v>
      </c>
      <c r="C14" s="51" t="s">
        <v>56</v>
      </c>
      <c r="D14" s="39" t="str">
        <f t="shared" si="0"/>
        <v>Mo</v>
      </c>
      <c r="E14" s="52" t="s">
        <v>74</v>
      </c>
      <c r="F14" s="53" t="s">
        <v>75</v>
      </c>
      <c r="G14" s="52" t="s">
        <v>76</v>
      </c>
      <c r="H14" s="42" t="str">
        <f t="shared" si="1"/>
        <v>Oldenburg</v>
      </c>
      <c r="I14" s="54">
        <v>0.375</v>
      </c>
      <c r="J14" s="54">
        <v>2.4305555555555601E-2</v>
      </c>
      <c r="K14" s="44">
        <f t="shared" si="2"/>
        <v>0.39930555555555558</v>
      </c>
      <c r="L14" s="55">
        <v>7</v>
      </c>
      <c r="M14" s="56">
        <v>3</v>
      </c>
      <c r="N14" s="47">
        <f t="shared" si="3"/>
        <v>0.75</v>
      </c>
      <c r="O14" s="48">
        <f t="shared" si="4"/>
        <v>1.0534999999999999</v>
      </c>
      <c r="P14" s="53" t="s">
        <v>2</v>
      </c>
      <c r="Q14" s="57"/>
    </row>
    <row r="15" spans="2:17" ht="15.75" customHeight="1" x14ac:dyDescent="0.25">
      <c r="B15" s="37" t="s">
        <v>77</v>
      </c>
      <c r="C15" s="38" t="s">
        <v>78</v>
      </c>
      <c r="D15" s="39" t="str">
        <f t="shared" si="0"/>
        <v>Di</v>
      </c>
      <c r="E15" s="40" t="s">
        <v>79</v>
      </c>
      <c r="F15" s="41" t="s">
        <v>80</v>
      </c>
      <c r="G15" s="40" t="s">
        <v>81</v>
      </c>
      <c r="H15" s="42" t="str">
        <f t="shared" si="1"/>
        <v>Varel</v>
      </c>
      <c r="I15" s="43">
        <v>0.3125</v>
      </c>
      <c r="J15" s="43">
        <v>3.4722222222222203E-2</v>
      </c>
      <c r="K15" s="44">
        <f t="shared" si="2"/>
        <v>0.34722222222222221</v>
      </c>
      <c r="L15" s="45">
        <v>34</v>
      </c>
      <c r="M15" s="46">
        <v>6</v>
      </c>
      <c r="N15" s="47">
        <f t="shared" si="3"/>
        <v>0.75</v>
      </c>
      <c r="O15" s="48">
        <f t="shared" si="4"/>
        <v>7.3780000000000001</v>
      </c>
      <c r="P15" s="41" t="s">
        <v>2</v>
      </c>
      <c r="Q15" s="49" t="s">
        <v>82</v>
      </c>
    </row>
    <row r="16" spans="2:17" ht="15.75" customHeight="1" x14ac:dyDescent="0.25">
      <c r="B16" s="50" t="s">
        <v>83</v>
      </c>
      <c r="C16" s="51" t="s">
        <v>78</v>
      </c>
      <c r="D16" s="39" t="str">
        <f t="shared" si="0"/>
        <v>Di</v>
      </c>
      <c r="E16" s="52" t="s">
        <v>79</v>
      </c>
      <c r="F16" s="53" t="s">
        <v>80</v>
      </c>
      <c r="G16" s="52" t="s">
        <v>84</v>
      </c>
      <c r="H16" s="42" t="str">
        <f t="shared" si="1"/>
        <v>Bad Zwischenahn</v>
      </c>
      <c r="I16" s="54">
        <v>0.36111111111111099</v>
      </c>
      <c r="J16" s="54">
        <v>3.125E-2</v>
      </c>
      <c r="K16" s="44">
        <f t="shared" si="2"/>
        <v>0.39236111111111099</v>
      </c>
      <c r="L16" s="55">
        <v>22</v>
      </c>
      <c r="M16" s="56">
        <v>5</v>
      </c>
      <c r="N16" s="47">
        <f t="shared" si="3"/>
        <v>0.625</v>
      </c>
      <c r="O16" s="48">
        <f t="shared" si="4"/>
        <v>4.774</v>
      </c>
      <c r="P16" s="53" t="s">
        <v>2</v>
      </c>
      <c r="Q16" s="57" t="s">
        <v>82</v>
      </c>
    </row>
    <row r="17" spans="2:17" ht="15.75" customHeight="1" x14ac:dyDescent="0.25">
      <c r="B17" s="37" t="s">
        <v>85</v>
      </c>
      <c r="C17" s="38" t="s">
        <v>78</v>
      </c>
      <c r="D17" s="39" t="str">
        <f t="shared" si="0"/>
        <v>Di</v>
      </c>
      <c r="E17" s="40" t="s">
        <v>86</v>
      </c>
      <c r="F17" s="41" t="s">
        <v>58</v>
      </c>
      <c r="G17" s="40" t="s">
        <v>87</v>
      </c>
      <c r="H17" s="42" t="str">
        <f t="shared" si="1"/>
        <v>Wilhelmshaven</v>
      </c>
      <c r="I17" s="43">
        <v>0.375</v>
      </c>
      <c r="J17" s="43">
        <v>5.2083333333333301E-2</v>
      </c>
      <c r="K17" s="44">
        <f t="shared" si="2"/>
        <v>0.42708333333333331</v>
      </c>
      <c r="L17" s="45">
        <v>66</v>
      </c>
      <c r="M17" s="46">
        <v>10</v>
      </c>
      <c r="N17" s="47">
        <f t="shared" si="3"/>
        <v>0.83333333333333337</v>
      </c>
      <c r="O17" s="48">
        <f t="shared" si="4"/>
        <v>21.3675</v>
      </c>
      <c r="P17" s="41" t="s">
        <v>2</v>
      </c>
      <c r="Q17" s="49"/>
    </row>
    <row r="18" spans="2:17" ht="15.75" customHeight="1" x14ac:dyDescent="0.25">
      <c r="B18" s="50" t="s">
        <v>88</v>
      </c>
      <c r="C18" s="51" t="s">
        <v>78</v>
      </c>
      <c r="D18" s="39" t="str">
        <f t="shared" si="0"/>
        <v>Di</v>
      </c>
      <c r="E18" s="52" t="s">
        <v>89</v>
      </c>
      <c r="F18" s="53" t="s">
        <v>70</v>
      </c>
      <c r="G18" s="52" t="s">
        <v>90</v>
      </c>
      <c r="H18" s="42" t="str">
        <f t="shared" si="1"/>
        <v>Norderney</v>
      </c>
      <c r="I18" s="54">
        <v>0.41666666666666702</v>
      </c>
      <c r="J18" s="54">
        <v>9.0277777777777804E-2</v>
      </c>
      <c r="K18" s="44">
        <f t="shared" si="2"/>
        <v>0.50694444444444486</v>
      </c>
      <c r="L18" s="55">
        <v>95</v>
      </c>
      <c r="M18" s="56">
        <v>14</v>
      </c>
      <c r="N18" s="47">
        <f t="shared" si="3"/>
        <v>0.77777777777777779</v>
      </c>
      <c r="O18" s="48">
        <f t="shared" si="4"/>
        <v>39.9</v>
      </c>
      <c r="P18" s="53" t="s">
        <v>5</v>
      </c>
      <c r="Q18" s="57" t="s">
        <v>91</v>
      </c>
    </row>
    <row r="19" spans="2:17" ht="15.75" customHeight="1" x14ac:dyDescent="0.25">
      <c r="B19" s="37" t="s">
        <v>92</v>
      </c>
      <c r="C19" s="38" t="s">
        <v>78</v>
      </c>
      <c r="D19" s="39" t="str">
        <f t="shared" si="0"/>
        <v>Di</v>
      </c>
      <c r="E19" s="40" t="s">
        <v>93</v>
      </c>
      <c r="F19" s="41" t="s">
        <v>75</v>
      </c>
      <c r="G19" s="40" t="s">
        <v>94</v>
      </c>
      <c r="H19" s="42" t="str">
        <f t="shared" si="1"/>
        <v>Oldenburg</v>
      </c>
      <c r="I19" s="43">
        <v>0.54166666666666696</v>
      </c>
      <c r="J19" s="43">
        <v>2.0833333333333301E-2</v>
      </c>
      <c r="K19" s="44">
        <f t="shared" si="2"/>
        <v>0.56250000000000022</v>
      </c>
      <c r="L19" s="45">
        <v>9</v>
      </c>
      <c r="M19" s="46">
        <v>4</v>
      </c>
      <c r="N19" s="47">
        <f t="shared" si="3"/>
        <v>1</v>
      </c>
      <c r="O19" s="48">
        <f t="shared" si="4"/>
        <v>1.3544999999999998</v>
      </c>
      <c r="P19" s="41" t="s">
        <v>2</v>
      </c>
      <c r="Q19" s="49"/>
    </row>
    <row r="20" spans="2:17" ht="15.75" customHeight="1" x14ac:dyDescent="0.25">
      <c r="B20" s="50" t="s">
        <v>95</v>
      </c>
      <c r="C20" s="51" t="s">
        <v>78</v>
      </c>
      <c r="D20" s="39" t="str">
        <f t="shared" si="0"/>
        <v>Di</v>
      </c>
      <c r="E20" s="52" t="s">
        <v>63</v>
      </c>
      <c r="F20" s="53" t="s">
        <v>96</v>
      </c>
      <c r="G20" s="52" t="s">
        <v>97</v>
      </c>
      <c r="H20" s="42" t="str">
        <f t="shared" si="1"/>
        <v>Wiesmoor</v>
      </c>
      <c r="I20" s="54">
        <v>0.33333333333333298</v>
      </c>
      <c r="J20" s="54">
        <v>4.5138888888888902E-2</v>
      </c>
      <c r="K20" s="44">
        <f t="shared" si="2"/>
        <v>0.37847222222222188</v>
      </c>
      <c r="L20" s="55">
        <v>58</v>
      </c>
      <c r="M20" s="56">
        <v>5</v>
      </c>
      <c r="N20" s="47">
        <f t="shared" si="3"/>
        <v>0.83333333333333337</v>
      </c>
      <c r="O20" s="48">
        <f t="shared" si="4"/>
        <v>10.353</v>
      </c>
      <c r="P20" s="53" t="s">
        <v>2</v>
      </c>
      <c r="Q20" s="57"/>
    </row>
    <row r="21" spans="2:17" ht="15.75" customHeight="1" x14ac:dyDescent="0.25">
      <c r="B21" s="37" t="s">
        <v>98</v>
      </c>
      <c r="C21" s="38" t="s">
        <v>99</v>
      </c>
      <c r="D21" s="39" t="str">
        <f t="shared" si="0"/>
        <v>Mi</v>
      </c>
      <c r="E21" s="40" t="s">
        <v>57</v>
      </c>
      <c r="F21" s="41" t="s">
        <v>58</v>
      </c>
      <c r="G21" s="40" t="s">
        <v>59</v>
      </c>
      <c r="H21" s="42" t="str">
        <f t="shared" si="1"/>
        <v>Oldenburg</v>
      </c>
      <c r="I21" s="43">
        <v>0.29166666666666702</v>
      </c>
      <c r="J21" s="43">
        <v>2.7777777777777801E-2</v>
      </c>
      <c r="K21" s="44">
        <f t="shared" si="2"/>
        <v>0.31944444444444481</v>
      </c>
      <c r="L21" s="45">
        <v>14</v>
      </c>
      <c r="M21" s="46">
        <v>8</v>
      </c>
      <c r="N21" s="47">
        <f t="shared" si="3"/>
        <v>0.66666666666666663</v>
      </c>
      <c r="O21" s="48">
        <f t="shared" si="4"/>
        <v>4.5324999999999998</v>
      </c>
      <c r="P21" s="41" t="s">
        <v>3</v>
      </c>
      <c r="Q21" s="49"/>
    </row>
    <row r="22" spans="2:17" ht="15.75" customHeight="1" x14ac:dyDescent="0.25">
      <c r="B22" s="50" t="s">
        <v>100</v>
      </c>
      <c r="C22" s="51" t="s">
        <v>99</v>
      </c>
      <c r="D22" s="39" t="str">
        <f t="shared" si="0"/>
        <v>Mi</v>
      </c>
      <c r="E22" s="52" t="s">
        <v>69</v>
      </c>
      <c r="F22" s="53" t="s">
        <v>70</v>
      </c>
      <c r="G22" s="52" t="s">
        <v>61</v>
      </c>
      <c r="H22" s="42" t="str">
        <f t="shared" si="1"/>
        <v>Wilhelmshaven</v>
      </c>
      <c r="I22" s="54">
        <v>0.33333333333333298</v>
      </c>
      <c r="J22" s="54">
        <v>4.8611111111111098E-2</v>
      </c>
      <c r="K22" s="44">
        <f t="shared" si="2"/>
        <v>0.38194444444444409</v>
      </c>
      <c r="L22" s="55">
        <v>62</v>
      </c>
      <c r="M22" s="56">
        <v>17</v>
      </c>
      <c r="N22" s="47">
        <f t="shared" si="3"/>
        <v>0.94444444444444442</v>
      </c>
      <c r="O22" s="48">
        <f t="shared" si="4"/>
        <v>26.040000000000003</v>
      </c>
      <c r="P22" s="53" t="s">
        <v>3</v>
      </c>
      <c r="Q22" s="57"/>
    </row>
    <row r="23" spans="2:17" ht="15.75" customHeight="1" x14ac:dyDescent="0.25">
      <c r="B23" s="37" t="s">
        <v>101</v>
      </c>
      <c r="C23" s="38" t="s">
        <v>99</v>
      </c>
      <c r="D23" s="39" t="str">
        <f t="shared" si="0"/>
        <v>Mi</v>
      </c>
      <c r="E23" s="40" t="s">
        <v>74</v>
      </c>
      <c r="F23" s="41" t="s">
        <v>64</v>
      </c>
      <c r="G23" s="40" t="s">
        <v>65</v>
      </c>
      <c r="H23" s="42" t="str">
        <f t="shared" si="1"/>
        <v>Oldenburg</v>
      </c>
      <c r="I23" s="43">
        <v>0.25</v>
      </c>
      <c r="J23" s="43">
        <v>1.7361111111111101E-2</v>
      </c>
      <c r="K23" s="44">
        <f t="shared" si="2"/>
        <v>0.2673611111111111</v>
      </c>
      <c r="L23" s="45">
        <v>6</v>
      </c>
      <c r="M23" s="46">
        <v>4</v>
      </c>
      <c r="N23" s="47">
        <f t="shared" si="3"/>
        <v>0.66666666666666663</v>
      </c>
      <c r="O23" s="48">
        <f t="shared" si="4"/>
        <v>1.0290000000000001</v>
      </c>
      <c r="P23" s="41" t="s">
        <v>2</v>
      </c>
      <c r="Q23" s="49"/>
    </row>
    <row r="24" spans="2:17" ht="15.75" customHeight="1" x14ac:dyDescent="0.25">
      <c r="B24" s="50" t="s">
        <v>102</v>
      </c>
      <c r="C24" s="51" t="s">
        <v>99</v>
      </c>
      <c r="D24" s="39" t="str">
        <f t="shared" si="0"/>
        <v>Mi</v>
      </c>
      <c r="E24" s="52" t="s">
        <v>86</v>
      </c>
      <c r="F24" s="53" t="s">
        <v>80</v>
      </c>
      <c r="G24" s="52" t="s">
        <v>76</v>
      </c>
      <c r="H24" s="42" t="str">
        <f t="shared" si="1"/>
        <v>Oldenburg</v>
      </c>
      <c r="I24" s="54">
        <v>0.39583333333333298</v>
      </c>
      <c r="J24" s="54">
        <v>2.4305555555555601E-2</v>
      </c>
      <c r="K24" s="44">
        <f t="shared" si="2"/>
        <v>0.42013888888888856</v>
      </c>
      <c r="L24" s="55">
        <v>7</v>
      </c>
      <c r="M24" s="56">
        <v>6</v>
      </c>
      <c r="N24" s="47">
        <f t="shared" si="3"/>
        <v>0.75</v>
      </c>
      <c r="O24" s="48">
        <f t="shared" si="4"/>
        <v>1.5189999999999999</v>
      </c>
      <c r="P24" s="53" t="s">
        <v>3</v>
      </c>
      <c r="Q24" s="57" t="s">
        <v>82</v>
      </c>
    </row>
    <row r="25" spans="2:17" ht="15.75" customHeight="1" x14ac:dyDescent="0.25">
      <c r="B25" s="37" t="s">
        <v>103</v>
      </c>
      <c r="C25" s="38" t="s">
        <v>99</v>
      </c>
      <c r="D25" s="39" t="str">
        <f t="shared" si="0"/>
        <v>Mi</v>
      </c>
      <c r="E25" s="40" t="s">
        <v>79</v>
      </c>
      <c r="F25" s="41" t="s">
        <v>75</v>
      </c>
      <c r="G25" s="40" t="s">
        <v>67</v>
      </c>
      <c r="H25" s="42" t="str">
        <f t="shared" si="1"/>
        <v>Oldenburg</v>
      </c>
      <c r="I25" s="43">
        <v>0.375</v>
      </c>
      <c r="J25" s="43">
        <v>2.0833333333333301E-2</v>
      </c>
      <c r="K25" s="44">
        <f t="shared" si="2"/>
        <v>0.39583333333333331</v>
      </c>
      <c r="L25" s="45">
        <v>8</v>
      </c>
      <c r="M25" s="46">
        <v>3</v>
      </c>
      <c r="N25" s="47">
        <f t="shared" si="3"/>
        <v>0.75</v>
      </c>
      <c r="O25" s="48">
        <f t="shared" si="4"/>
        <v>1.204</v>
      </c>
      <c r="P25" s="41" t="s">
        <v>104</v>
      </c>
      <c r="Q25" s="49" t="s">
        <v>105</v>
      </c>
    </row>
    <row r="26" spans="2:17" ht="15.75" customHeight="1" x14ac:dyDescent="0.25">
      <c r="B26" s="50" t="s">
        <v>106</v>
      </c>
      <c r="C26" s="51" t="s">
        <v>107</v>
      </c>
      <c r="D26" s="39" t="str">
        <f t="shared" si="0"/>
        <v>Do</v>
      </c>
      <c r="E26" s="52" t="s">
        <v>89</v>
      </c>
      <c r="F26" s="53" t="s">
        <v>70</v>
      </c>
      <c r="G26" s="52" t="s">
        <v>71</v>
      </c>
      <c r="H26" s="42" t="str">
        <f t="shared" si="1"/>
        <v>Aurich</v>
      </c>
      <c r="I26" s="54">
        <v>0.33333333333333298</v>
      </c>
      <c r="J26" s="54">
        <v>6.25E-2</v>
      </c>
      <c r="K26" s="44">
        <f t="shared" si="2"/>
        <v>0.39583333333333298</v>
      </c>
      <c r="L26" s="55">
        <v>74</v>
      </c>
      <c r="M26" s="56">
        <v>15</v>
      </c>
      <c r="N26" s="47">
        <f t="shared" si="3"/>
        <v>0.83333333333333337</v>
      </c>
      <c r="O26" s="48">
        <f t="shared" si="4"/>
        <v>31.080000000000002</v>
      </c>
      <c r="P26" s="53" t="s">
        <v>4</v>
      </c>
      <c r="Q26" s="57"/>
    </row>
    <row r="27" spans="2:17" ht="15.75" customHeight="1" x14ac:dyDescent="0.25">
      <c r="B27" s="37" t="s">
        <v>108</v>
      </c>
      <c r="C27" s="38" t="s">
        <v>107</v>
      </c>
      <c r="D27" s="39" t="str">
        <f t="shared" si="0"/>
        <v>Do</v>
      </c>
      <c r="E27" s="40" t="s">
        <v>93</v>
      </c>
      <c r="F27" s="41" t="s">
        <v>64</v>
      </c>
      <c r="G27" s="40" t="s">
        <v>94</v>
      </c>
      <c r="H27" s="42" t="str">
        <f t="shared" si="1"/>
        <v>Oldenburg</v>
      </c>
      <c r="I27" s="43">
        <v>0.54166666666666696</v>
      </c>
      <c r="J27" s="43">
        <v>2.0833333333333301E-2</v>
      </c>
      <c r="K27" s="44">
        <f t="shared" si="2"/>
        <v>0.56250000000000022</v>
      </c>
      <c r="L27" s="45">
        <v>9</v>
      </c>
      <c r="M27" s="46">
        <v>4</v>
      </c>
      <c r="N27" s="47">
        <f t="shared" si="3"/>
        <v>0.66666666666666663</v>
      </c>
      <c r="O27" s="48">
        <f t="shared" si="4"/>
        <v>1.5435000000000001</v>
      </c>
      <c r="P27" s="41" t="s">
        <v>4</v>
      </c>
      <c r="Q27" s="49"/>
    </row>
    <row r="28" spans="2:17" ht="15.75" customHeight="1" x14ac:dyDescent="0.25">
      <c r="B28" s="50" t="s">
        <v>109</v>
      </c>
      <c r="C28" s="51" t="s">
        <v>107</v>
      </c>
      <c r="D28" s="39" t="str">
        <f t="shared" si="0"/>
        <v>Do</v>
      </c>
      <c r="E28" s="52" t="s">
        <v>63</v>
      </c>
      <c r="F28" s="53" t="s">
        <v>96</v>
      </c>
      <c r="G28" s="52" t="s">
        <v>81</v>
      </c>
      <c r="H28" s="42" t="str">
        <f t="shared" si="1"/>
        <v>Varel</v>
      </c>
      <c r="I28" s="54">
        <v>0.3125</v>
      </c>
      <c r="J28" s="54">
        <v>3.4722222222222203E-2</v>
      </c>
      <c r="K28" s="44">
        <f t="shared" si="2"/>
        <v>0.34722222222222221</v>
      </c>
      <c r="L28" s="55">
        <v>34</v>
      </c>
      <c r="M28" s="56">
        <v>5</v>
      </c>
      <c r="N28" s="47">
        <f t="shared" si="3"/>
        <v>0.83333333333333337</v>
      </c>
      <c r="O28" s="48">
        <f t="shared" si="4"/>
        <v>6.0689999999999991</v>
      </c>
      <c r="P28" s="53" t="s">
        <v>4</v>
      </c>
      <c r="Q28" s="57" t="s">
        <v>82</v>
      </c>
    </row>
    <row r="29" spans="2:17" ht="15.75" customHeight="1" x14ac:dyDescent="0.25">
      <c r="B29" s="37" t="s">
        <v>110</v>
      </c>
      <c r="C29" s="38" t="s">
        <v>107</v>
      </c>
      <c r="D29" s="39" t="str">
        <f t="shared" si="0"/>
        <v>Do</v>
      </c>
      <c r="E29" s="40" t="s">
        <v>57</v>
      </c>
      <c r="F29" s="41" t="s">
        <v>58</v>
      </c>
      <c r="G29" s="40" t="s">
        <v>87</v>
      </c>
      <c r="H29" s="42" t="str">
        <f t="shared" si="1"/>
        <v>Wilhelmshaven</v>
      </c>
      <c r="I29" s="43">
        <v>0.375</v>
      </c>
      <c r="J29" s="43">
        <v>5.2083333333333301E-2</v>
      </c>
      <c r="K29" s="44">
        <f t="shared" si="2"/>
        <v>0.42708333333333331</v>
      </c>
      <c r="L29" s="45">
        <v>66</v>
      </c>
      <c r="M29" s="46">
        <v>11</v>
      </c>
      <c r="N29" s="47">
        <f t="shared" si="3"/>
        <v>0.91666666666666663</v>
      </c>
      <c r="O29" s="48">
        <f t="shared" si="4"/>
        <v>21.3675</v>
      </c>
      <c r="P29" s="41" t="s">
        <v>4</v>
      </c>
      <c r="Q29" s="49"/>
    </row>
    <row r="30" spans="2:17" ht="15.75" customHeight="1" x14ac:dyDescent="0.25">
      <c r="B30" s="50" t="s">
        <v>111</v>
      </c>
      <c r="C30" s="51" t="s">
        <v>112</v>
      </c>
      <c r="D30" s="39" t="str">
        <f t="shared" si="0"/>
        <v>Fr</v>
      </c>
      <c r="E30" s="52" t="s">
        <v>79</v>
      </c>
      <c r="F30" s="53" t="s">
        <v>80</v>
      </c>
      <c r="G30" s="52" t="s">
        <v>84</v>
      </c>
      <c r="H30" s="42" t="str">
        <f t="shared" si="1"/>
        <v>Bad Zwischenahn</v>
      </c>
      <c r="I30" s="54">
        <v>0.29166666666666702</v>
      </c>
      <c r="J30" s="54">
        <v>3.125E-2</v>
      </c>
      <c r="K30" s="44">
        <f t="shared" si="2"/>
        <v>0.32291666666666702</v>
      </c>
      <c r="L30" s="55">
        <v>22</v>
      </c>
      <c r="M30" s="56">
        <v>6</v>
      </c>
      <c r="N30" s="47">
        <f t="shared" si="3"/>
        <v>0.75</v>
      </c>
      <c r="O30" s="48">
        <f t="shared" si="4"/>
        <v>4.774</v>
      </c>
      <c r="P30" s="53" t="s">
        <v>4</v>
      </c>
      <c r="Q30" s="57" t="s">
        <v>82</v>
      </c>
    </row>
    <row r="31" spans="2:17" ht="15.75" customHeight="1" x14ac:dyDescent="0.25">
      <c r="B31" s="37" t="s">
        <v>113</v>
      </c>
      <c r="C31" s="38" t="s">
        <v>112</v>
      </c>
      <c r="D31" s="39" t="str">
        <f t="shared" si="0"/>
        <v>Fr</v>
      </c>
      <c r="E31" s="40" t="s">
        <v>86</v>
      </c>
      <c r="F31" s="41" t="s">
        <v>114</v>
      </c>
      <c r="G31" s="40" t="s">
        <v>90</v>
      </c>
      <c r="H31" s="42" t="str">
        <f t="shared" si="1"/>
        <v>Norderney</v>
      </c>
      <c r="I31" s="43">
        <v>0.41666666666666702</v>
      </c>
      <c r="J31" s="43">
        <v>9.0277777777777804E-2</v>
      </c>
      <c r="K31" s="44">
        <f t="shared" si="2"/>
        <v>0.50694444444444486</v>
      </c>
      <c r="L31" s="45">
        <v>95</v>
      </c>
      <c r="M31" s="46">
        <v>4</v>
      </c>
      <c r="N31" s="47">
        <f t="shared" si="3"/>
        <v>0.8</v>
      </c>
      <c r="O31" s="48">
        <f t="shared" si="4"/>
        <v>18.62</v>
      </c>
      <c r="P31" s="41" t="s">
        <v>4</v>
      </c>
      <c r="Q31" s="49"/>
    </row>
    <row r="32" spans="2:17" ht="15.75" customHeight="1" x14ac:dyDescent="0.25">
      <c r="B32" s="50" t="s">
        <v>115</v>
      </c>
      <c r="C32" s="51" t="s">
        <v>112</v>
      </c>
      <c r="D32" s="39" t="str">
        <f t="shared" si="0"/>
        <v>Fr</v>
      </c>
      <c r="E32" s="52" t="s">
        <v>74</v>
      </c>
      <c r="F32" s="53" t="s">
        <v>75</v>
      </c>
      <c r="G32" s="52" t="s">
        <v>76</v>
      </c>
      <c r="H32" s="42" t="str">
        <f t="shared" si="1"/>
        <v>Oldenburg</v>
      </c>
      <c r="I32" s="54">
        <v>0.375</v>
      </c>
      <c r="J32" s="54">
        <v>2.4305555555555601E-2</v>
      </c>
      <c r="K32" s="44">
        <f t="shared" si="2"/>
        <v>0.39930555555555558</v>
      </c>
      <c r="L32" s="55">
        <v>7</v>
      </c>
      <c r="M32" s="56">
        <v>3</v>
      </c>
      <c r="N32" s="47">
        <f t="shared" si="3"/>
        <v>0.75</v>
      </c>
      <c r="O32" s="48">
        <f t="shared" si="4"/>
        <v>1.0534999999999999</v>
      </c>
      <c r="P32" s="53" t="s">
        <v>4</v>
      </c>
      <c r="Q32" s="57"/>
    </row>
    <row r="33" spans="2:17" ht="15.75" customHeight="1" x14ac:dyDescent="0.25">
      <c r="B33" s="37"/>
      <c r="C33" s="38"/>
      <c r="D33" s="39" t="str">
        <f t="shared" si="0"/>
        <v/>
      </c>
      <c r="E33" s="40"/>
      <c r="F33" s="41"/>
      <c r="G33" s="40"/>
      <c r="H33" s="42" t="str">
        <f t="shared" si="1"/>
        <v/>
      </c>
      <c r="I33" s="43"/>
      <c r="J33" s="43"/>
      <c r="K33" s="44" t="str">
        <f t="shared" si="2"/>
        <v/>
      </c>
      <c r="L33" s="45"/>
      <c r="M33" s="46"/>
      <c r="N33" s="47" t="str">
        <f t="shared" si="3"/>
        <v/>
      </c>
      <c r="O33" s="48" t="str">
        <f t="shared" si="4"/>
        <v/>
      </c>
      <c r="P33" s="41"/>
      <c r="Q33" s="49"/>
    </row>
    <row r="34" spans="2:17" ht="15.75" customHeight="1" x14ac:dyDescent="0.25">
      <c r="B34" s="50"/>
      <c r="C34" s="51"/>
      <c r="D34" s="39" t="str">
        <f t="shared" si="0"/>
        <v/>
      </c>
      <c r="E34" s="52"/>
      <c r="F34" s="53"/>
      <c r="G34" s="52"/>
      <c r="H34" s="42" t="str">
        <f t="shared" si="1"/>
        <v/>
      </c>
      <c r="I34" s="54"/>
      <c r="J34" s="54"/>
      <c r="K34" s="44" t="str">
        <f t="shared" si="2"/>
        <v/>
      </c>
      <c r="L34" s="55"/>
      <c r="M34" s="56"/>
      <c r="N34" s="47" t="str">
        <f t="shared" si="3"/>
        <v/>
      </c>
      <c r="O34" s="48" t="str">
        <f t="shared" si="4"/>
        <v/>
      </c>
      <c r="P34" s="53"/>
      <c r="Q34" s="57"/>
    </row>
    <row r="35" spans="2:17" ht="15.75" customHeight="1" x14ac:dyDescent="0.25">
      <c r="B35" s="37"/>
      <c r="C35" s="38"/>
      <c r="D35" s="39" t="str">
        <f t="shared" si="0"/>
        <v/>
      </c>
      <c r="E35" s="40"/>
      <c r="F35" s="41"/>
      <c r="G35" s="40"/>
      <c r="H35" s="42" t="str">
        <f t="shared" si="1"/>
        <v/>
      </c>
      <c r="I35" s="43"/>
      <c r="J35" s="43"/>
      <c r="K35" s="44" t="str">
        <f t="shared" si="2"/>
        <v/>
      </c>
      <c r="L35" s="45"/>
      <c r="M35" s="46"/>
      <c r="N35" s="47" t="str">
        <f t="shared" si="3"/>
        <v/>
      </c>
      <c r="O35" s="48" t="str">
        <f t="shared" si="4"/>
        <v/>
      </c>
      <c r="P35" s="41"/>
      <c r="Q35" s="49"/>
    </row>
    <row r="36" spans="2:17" ht="15.75" customHeight="1" x14ac:dyDescent="0.25">
      <c r="B36" s="50"/>
      <c r="C36" s="51"/>
      <c r="D36" s="39" t="str">
        <f t="shared" si="0"/>
        <v/>
      </c>
      <c r="E36" s="52"/>
      <c r="F36" s="53"/>
      <c r="G36" s="52"/>
      <c r="H36" s="42" t="str">
        <f t="shared" si="1"/>
        <v/>
      </c>
      <c r="I36" s="54"/>
      <c r="J36" s="54"/>
      <c r="K36" s="44" t="str">
        <f t="shared" si="2"/>
        <v/>
      </c>
      <c r="L36" s="55"/>
      <c r="M36" s="56"/>
      <c r="N36" s="47" t="str">
        <f t="shared" si="3"/>
        <v/>
      </c>
      <c r="O36" s="48" t="str">
        <f t="shared" si="4"/>
        <v/>
      </c>
      <c r="P36" s="53"/>
      <c r="Q36" s="57"/>
    </row>
    <row r="37" spans="2:17" ht="15.75" customHeight="1" x14ac:dyDescent="0.25">
      <c r="B37" s="37"/>
      <c r="C37" s="38"/>
      <c r="D37" s="39" t="str">
        <f t="shared" si="0"/>
        <v/>
      </c>
      <c r="E37" s="40"/>
      <c r="F37" s="41"/>
      <c r="G37" s="40"/>
      <c r="H37" s="42" t="str">
        <f t="shared" si="1"/>
        <v/>
      </c>
      <c r="I37" s="43"/>
      <c r="J37" s="43"/>
      <c r="K37" s="44" t="str">
        <f t="shared" si="2"/>
        <v/>
      </c>
      <c r="L37" s="45"/>
      <c r="M37" s="46"/>
      <c r="N37" s="47" t="str">
        <f t="shared" si="3"/>
        <v/>
      </c>
      <c r="O37" s="48" t="str">
        <f t="shared" si="4"/>
        <v/>
      </c>
      <c r="P37" s="41"/>
      <c r="Q37" s="49"/>
    </row>
    <row r="38" spans="2:17" ht="15.75" customHeight="1" x14ac:dyDescent="0.25">
      <c r="B38" s="50"/>
      <c r="C38" s="51"/>
      <c r="D38" s="39" t="str">
        <f t="shared" si="0"/>
        <v/>
      </c>
      <c r="E38" s="52"/>
      <c r="F38" s="53"/>
      <c r="G38" s="52"/>
      <c r="H38" s="42" t="str">
        <f t="shared" si="1"/>
        <v/>
      </c>
      <c r="I38" s="54"/>
      <c r="J38" s="54"/>
      <c r="K38" s="44" t="str">
        <f t="shared" si="2"/>
        <v/>
      </c>
      <c r="L38" s="55"/>
      <c r="M38" s="56"/>
      <c r="N38" s="47" t="str">
        <f t="shared" si="3"/>
        <v/>
      </c>
      <c r="O38" s="48" t="str">
        <f t="shared" si="4"/>
        <v/>
      </c>
      <c r="P38" s="53"/>
      <c r="Q38" s="57"/>
    </row>
    <row r="39" spans="2:17" ht="15.75" customHeight="1" x14ac:dyDescent="0.25">
      <c r="B39" s="37"/>
      <c r="C39" s="38"/>
      <c r="D39" s="39" t="str">
        <f t="shared" si="0"/>
        <v/>
      </c>
      <c r="E39" s="40"/>
      <c r="F39" s="41"/>
      <c r="G39" s="40"/>
      <c r="H39" s="42" t="str">
        <f t="shared" si="1"/>
        <v/>
      </c>
      <c r="I39" s="43"/>
      <c r="J39" s="43"/>
      <c r="K39" s="44" t="str">
        <f t="shared" si="2"/>
        <v/>
      </c>
      <c r="L39" s="45"/>
      <c r="M39" s="46"/>
      <c r="N39" s="47" t="str">
        <f t="shared" si="3"/>
        <v/>
      </c>
      <c r="O39" s="48" t="str">
        <f t="shared" si="4"/>
        <v/>
      </c>
      <c r="P39" s="41"/>
      <c r="Q39" s="49"/>
    </row>
    <row r="40" spans="2:17" ht="15.75" customHeight="1" x14ac:dyDescent="0.25">
      <c r="B40" s="50"/>
      <c r="C40" s="51"/>
      <c r="D40" s="39" t="str">
        <f t="shared" si="0"/>
        <v/>
      </c>
      <c r="E40" s="52"/>
      <c r="F40" s="53"/>
      <c r="G40" s="52"/>
      <c r="H40" s="42" t="str">
        <f t="shared" si="1"/>
        <v/>
      </c>
      <c r="I40" s="54"/>
      <c r="J40" s="54"/>
      <c r="K40" s="44" t="str">
        <f t="shared" si="2"/>
        <v/>
      </c>
      <c r="L40" s="55"/>
      <c r="M40" s="56"/>
      <c r="N40" s="47" t="str">
        <f t="shared" si="3"/>
        <v/>
      </c>
      <c r="O40" s="48" t="str">
        <f t="shared" si="4"/>
        <v/>
      </c>
      <c r="P40" s="53"/>
      <c r="Q40" s="57"/>
    </row>
    <row r="41" spans="2:17" ht="15.75" customHeight="1" x14ac:dyDescent="0.25">
      <c r="B41" s="37"/>
      <c r="C41" s="38"/>
      <c r="D41" s="39" t="str">
        <f t="shared" si="0"/>
        <v/>
      </c>
      <c r="E41" s="40"/>
      <c r="F41" s="41"/>
      <c r="G41" s="40"/>
      <c r="H41" s="42" t="str">
        <f t="shared" si="1"/>
        <v/>
      </c>
      <c r="I41" s="43"/>
      <c r="J41" s="43"/>
      <c r="K41" s="44" t="str">
        <f t="shared" si="2"/>
        <v/>
      </c>
      <c r="L41" s="45"/>
      <c r="M41" s="46"/>
      <c r="N41" s="47" t="str">
        <f t="shared" si="3"/>
        <v/>
      </c>
      <c r="O41" s="48" t="str">
        <f t="shared" si="4"/>
        <v/>
      </c>
      <c r="P41" s="41"/>
      <c r="Q41" s="49"/>
    </row>
    <row r="42" spans="2:17" ht="15.75" customHeight="1" x14ac:dyDescent="0.25">
      <c r="B42" s="50"/>
      <c r="C42" s="51"/>
      <c r="D42" s="39" t="str">
        <f t="shared" si="0"/>
        <v/>
      </c>
      <c r="E42" s="52"/>
      <c r="F42" s="53"/>
      <c r="G42" s="52"/>
      <c r="H42" s="42" t="str">
        <f t="shared" si="1"/>
        <v/>
      </c>
      <c r="I42" s="54"/>
      <c r="J42" s="54"/>
      <c r="K42" s="44" t="str">
        <f t="shared" si="2"/>
        <v/>
      </c>
      <c r="L42" s="55"/>
      <c r="M42" s="56"/>
      <c r="N42" s="47" t="str">
        <f t="shared" si="3"/>
        <v/>
      </c>
      <c r="O42" s="48" t="str">
        <f t="shared" si="4"/>
        <v/>
      </c>
      <c r="P42" s="53"/>
      <c r="Q42" s="57"/>
    </row>
    <row r="43" spans="2:17" ht="15.75" customHeight="1" x14ac:dyDescent="0.25">
      <c r="B43" s="37"/>
      <c r="C43" s="38"/>
      <c r="D43" s="39" t="str">
        <f t="shared" si="0"/>
        <v/>
      </c>
      <c r="E43" s="40"/>
      <c r="F43" s="41"/>
      <c r="G43" s="40"/>
      <c r="H43" s="42" t="str">
        <f t="shared" si="1"/>
        <v/>
      </c>
      <c r="I43" s="43"/>
      <c r="J43" s="43"/>
      <c r="K43" s="44" t="str">
        <f t="shared" si="2"/>
        <v/>
      </c>
      <c r="L43" s="45"/>
      <c r="M43" s="46"/>
      <c r="N43" s="47" t="str">
        <f t="shared" si="3"/>
        <v/>
      </c>
      <c r="O43" s="48" t="str">
        <f t="shared" si="4"/>
        <v/>
      </c>
      <c r="P43" s="41"/>
      <c r="Q43" s="49"/>
    </row>
    <row r="44" spans="2:17" ht="15.75" customHeight="1" x14ac:dyDescent="0.25">
      <c r="B44" s="50"/>
      <c r="C44" s="51"/>
      <c r="D44" s="39" t="str">
        <f t="shared" si="0"/>
        <v/>
      </c>
      <c r="E44" s="52"/>
      <c r="F44" s="53"/>
      <c r="G44" s="52"/>
      <c r="H44" s="42" t="str">
        <f t="shared" si="1"/>
        <v/>
      </c>
      <c r="I44" s="54"/>
      <c r="J44" s="54"/>
      <c r="K44" s="44" t="str">
        <f t="shared" si="2"/>
        <v/>
      </c>
      <c r="L44" s="55"/>
      <c r="M44" s="56"/>
      <c r="N44" s="47" t="str">
        <f t="shared" si="3"/>
        <v/>
      </c>
      <c r="O44" s="48" t="str">
        <f t="shared" si="4"/>
        <v/>
      </c>
      <c r="P44" s="53"/>
      <c r="Q44" s="57"/>
    </row>
    <row r="45" spans="2:17" ht="15.75" customHeight="1" x14ac:dyDescent="0.25">
      <c r="B45" s="37"/>
      <c r="C45" s="38"/>
      <c r="D45" s="39" t="str">
        <f t="shared" si="0"/>
        <v/>
      </c>
      <c r="E45" s="40"/>
      <c r="F45" s="41"/>
      <c r="G45" s="40"/>
      <c r="H45" s="42" t="str">
        <f t="shared" si="1"/>
        <v/>
      </c>
      <c r="I45" s="43"/>
      <c r="J45" s="43"/>
      <c r="K45" s="44" t="str">
        <f t="shared" si="2"/>
        <v/>
      </c>
      <c r="L45" s="45"/>
      <c r="M45" s="46"/>
      <c r="N45" s="47" t="str">
        <f t="shared" si="3"/>
        <v/>
      </c>
      <c r="O45" s="48" t="str">
        <f t="shared" si="4"/>
        <v/>
      </c>
      <c r="P45" s="41"/>
      <c r="Q45" s="49"/>
    </row>
    <row r="46" spans="2:17" ht="15.75" customHeight="1" x14ac:dyDescent="0.25">
      <c r="B46" s="50"/>
      <c r="C46" s="51"/>
      <c r="D46" s="39" t="str">
        <f t="shared" si="0"/>
        <v/>
      </c>
      <c r="E46" s="52"/>
      <c r="F46" s="53"/>
      <c r="G46" s="52"/>
      <c r="H46" s="42" t="str">
        <f t="shared" si="1"/>
        <v/>
      </c>
      <c r="I46" s="54"/>
      <c r="J46" s="54"/>
      <c r="K46" s="44" t="str">
        <f t="shared" si="2"/>
        <v/>
      </c>
      <c r="L46" s="55"/>
      <c r="M46" s="56"/>
      <c r="N46" s="47" t="str">
        <f t="shared" si="3"/>
        <v/>
      </c>
      <c r="O46" s="48" t="str">
        <f t="shared" si="4"/>
        <v/>
      </c>
      <c r="P46" s="53"/>
      <c r="Q46" s="57"/>
    </row>
    <row r="47" spans="2:17" ht="15.75" customHeight="1" x14ac:dyDescent="0.25">
      <c r="B47" s="37"/>
      <c r="C47" s="38"/>
      <c r="D47" s="39" t="str">
        <f t="shared" si="0"/>
        <v/>
      </c>
      <c r="E47" s="40"/>
      <c r="F47" s="41"/>
      <c r="G47" s="40"/>
      <c r="H47" s="42" t="str">
        <f t="shared" si="1"/>
        <v/>
      </c>
      <c r="I47" s="43"/>
      <c r="J47" s="43"/>
      <c r="K47" s="44" t="str">
        <f t="shared" si="2"/>
        <v/>
      </c>
      <c r="L47" s="45"/>
      <c r="M47" s="46"/>
      <c r="N47" s="47" t="str">
        <f t="shared" si="3"/>
        <v/>
      </c>
      <c r="O47" s="48" t="str">
        <f t="shared" si="4"/>
        <v/>
      </c>
      <c r="P47" s="41"/>
      <c r="Q47" s="49"/>
    </row>
    <row r="48" spans="2:17" ht="15.75" customHeight="1" x14ac:dyDescent="0.25">
      <c r="B48" s="50"/>
      <c r="C48" s="51"/>
      <c r="D48" s="39" t="str">
        <f t="shared" si="0"/>
        <v/>
      </c>
      <c r="E48" s="52"/>
      <c r="F48" s="53"/>
      <c r="G48" s="52"/>
      <c r="H48" s="42" t="str">
        <f t="shared" si="1"/>
        <v/>
      </c>
      <c r="I48" s="54"/>
      <c r="J48" s="54"/>
      <c r="K48" s="44" t="str">
        <f t="shared" si="2"/>
        <v/>
      </c>
      <c r="L48" s="55"/>
      <c r="M48" s="56"/>
      <c r="N48" s="47" t="str">
        <f t="shared" si="3"/>
        <v/>
      </c>
      <c r="O48" s="48" t="str">
        <f t="shared" si="4"/>
        <v/>
      </c>
      <c r="P48" s="53"/>
      <c r="Q48" s="57"/>
    </row>
    <row r="49" spans="2:17" ht="19.5" customHeight="1" x14ac:dyDescent="0.25">
      <c r="B49" s="76" t="s">
        <v>116</v>
      </c>
      <c r="C49" s="76"/>
      <c r="D49" s="76"/>
      <c r="E49" s="76"/>
      <c r="F49" s="76"/>
      <c r="G49" s="76"/>
      <c r="H49" s="76"/>
      <c r="I49" s="76"/>
      <c r="J49" s="58">
        <f>SUM(J9:J48)</f>
        <v>0.93055555555555536</v>
      </c>
      <c r="K49" s="59"/>
      <c r="L49" s="60">
        <f>SUM(L9:L48)</f>
        <v>859</v>
      </c>
      <c r="M49" s="61">
        <f>SUM(M9:M48)</f>
        <v>176</v>
      </c>
      <c r="N49" s="62">
        <f>IFERROR(AVERAGE(N9:N48),"")</f>
        <v>0.77581018518518519</v>
      </c>
      <c r="O49" s="63">
        <f>SUM(O9:O48)</f>
        <v>263.0985</v>
      </c>
      <c r="P49" s="59"/>
      <c r="Q49" s="64"/>
    </row>
  </sheetData>
  <mergeCells count="4">
    <mergeCell ref="B3:M4"/>
    <mergeCell ref="N3:Q4"/>
    <mergeCell ref="C6:Q6"/>
    <mergeCell ref="B49:I49"/>
  </mergeCells>
  <conditionalFormatting sqref="L9:L48">
    <cfRule type="dataBar" priority="7">
      <dataBar>
        <cfvo type="num" val="0"/>
        <cfvo type="max"/>
        <color rgb="FF16B0C4"/>
      </dataBar>
      <extLst>
        <ext xmlns:x14="http://schemas.microsoft.com/office/spreadsheetml/2009/9/main" uri="{B025F937-C7B1-47D3-B67F-A62EFF666E3E}">
          <x14:id>{5C60C3DD-5C45-4650-B256-6FDE1A644410}</x14:id>
        </ext>
      </extLst>
    </cfRule>
  </conditionalFormatting>
  <conditionalFormatting sqref="N9:N48">
    <cfRule type="dataBar" priority="8">
      <dataBar>
        <cfvo type="num" val="0"/>
        <cfvo type="num" val="1"/>
        <color rgb="FF0E8090"/>
      </dataBar>
      <extLst>
        <ext xmlns:x14="http://schemas.microsoft.com/office/spreadsheetml/2009/9/main" uri="{B025F937-C7B1-47D3-B67F-A62EFF666E3E}">
          <x14:id>{6FC19386-A575-438B-B05A-63CD3FF2DAA8}</x14:id>
        </ext>
      </extLst>
    </cfRule>
    <cfRule type="cellIs" dxfId="9" priority="9" operator="greaterThan">
      <formula>1</formula>
    </cfRule>
  </conditionalFormatting>
  <conditionalFormatting sqref="P9:P48">
    <cfRule type="cellIs" dxfId="8" priority="2" operator="equal">
      <formula>"Erledigt"</formula>
    </cfRule>
    <cfRule type="cellIs" dxfId="7" priority="3" operator="equal">
      <formula>"In Fahrt"</formula>
    </cfRule>
    <cfRule type="cellIs" dxfId="6" priority="4" operator="equal">
      <formula>"Geplant"</formula>
    </cfRule>
    <cfRule type="cellIs" dxfId="5" priority="5" operator="equal">
      <formula>"Verschoben"</formula>
    </cfRule>
    <cfRule type="cellIs" dxfId="4" priority="6" operator="equal">
      <formula>"Storniert"</formula>
    </cfRule>
  </conditionalFormatting>
  <dataValidations count="4">
    <dataValidation type="list" allowBlank="1" errorTitle="Ungültige Eingabe" error="Bitte einen Wert aus der Liste wählen." sqref="E9:E48" xr:uid="{00000000-0002-0000-0100-000000000000}">
      <formula1>FahrerListe</formula1>
      <formula2>0</formula2>
    </dataValidation>
    <dataValidation type="list" allowBlank="1" errorTitle="Ungültige Eingabe" error="Bitte einen Wert aus der Liste wählen." sqref="F9:F48" xr:uid="{00000000-0002-0000-0100-000001000000}">
      <formula1>FahrzeugListe</formula1>
      <formula2>0</formula2>
    </dataValidation>
    <dataValidation type="list" allowBlank="1" errorTitle="Ungültige Eingabe" error="Bitte einen Wert aus der Liste wählen." sqref="G9:G48" xr:uid="{00000000-0002-0000-0100-000002000000}">
      <formula1>KundenListe</formula1>
      <formula2>0</formula2>
    </dataValidation>
    <dataValidation type="list" allowBlank="1" errorTitle="Ungültige Eingabe" error="Bitte einen Wert aus der Liste wählen." sqref="P9:P48" xr:uid="{00000000-0002-0000-0100-000003000000}">
      <formula1>StatusListe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60C3DD-5C45-4650-B256-6FDE1A644410}">
            <x14:dataBar axisPosition="none">
              <x14:cfvo type="num">
                <xm:f>0</xm:f>
              </x14:cfvo>
              <x14:cfvo type="max"/>
              <x14:negativeFillColor rgb="FF16B0C4"/>
            </x14:dataBar>
          </x14:cfRule>
          <xm:sqref>L9:L48</xm:sqref>
        </x14:conditionalFormatting>
        <x14:conditionalFormatting xmlns:xm="http://schemas.microsoft.com/office/excel/2006/main">
          <x14:cfRule type="dataBar" id="{6FC19386-A575-438B-B05A-63CD3FF2DAA8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0E8090"/>
            </x14:dataBar>
          </x14:cfRule>
          <xm:sqref>N9:N48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2"/>
  <sheetViews>
    <sheetView showGridLines="0" zoomScaleNormal="100" workbookViewId="0">
      <pane ySplit="8" topLeftCell="A9" activePane="bottomLeft" state="frozen"/>
      <selection pane="bottomLeft"/>
    </sheetView>
  </sheetViews>
  <sheetFormatPr baseColWidth="10" defaultColWidth="8.7109375" defaultRowHeight="15" x14ac:dyDescent="0.25"/>
  <cols>
    <col min="1" max="1" width="2.42578125" customWidth="1"/>
    <col min="2" max="2" width="14" customWidth="1"/>
    <col min="3" max="3" width="18" customWidth="1"/>
    <col min="4" max="5" width="17" customWidth="1"/>
    <col min="6" max="6" width="11" customWidth="1"/>
    <col min="7" max="7" width="12" customWidth="1"/>
    <col min="8" max="8" width="26" customWidth="1"/>
  </cols>
  <sheetData>
    <row r="2" spans="2:8" ht="6" customHeight="1" x14ac:dyDescent="0.25">
      <c r="B2" s="15"/>
      <c r="C2" s="15"/>
      <c r="D2" s="15"/>
      <c r="E2" s="15"/>
      <c r="F2" s="15"/>
      <c r="G2" s="15"/>
      <c r="H2" s="15"/>
    </row>
    <row r="3" spans="2:8" ht="24" customHeight="1" x14ac:dyDescent="0.25">
      <c r="B3" s="14" t="s">
        <v>117</v>
      </c>
      <c r="C3" s="14"/>
      <c r="D3" s="14"/>
      <c r="E3" s="14"/>
      <c r="F3" s="14"/>
      <c r="G3" s="14"/>
      <c r="H3" s="14"/>
    </row>
    <row r="4" spans="2:8" ht="15.75" customHeight="1" x14ac:dyDescent="0.25">
      <c r="B4" s="14"/>
      <c r="C4" s="14"/>
      <c r="D4" s="14"/>
      <c r="E4" s="14"/>
      <c r="F4" s="14"/>
      <c r="G4" s="14"/>
      <c r="H4" s="14"/>
    </row>
    <row r="6" spans="2:8" ht="19.5" customHeight="1" x14ac:dyDescent="0.25">
      <c r="B6" s="16" t="s">
        <v>13</v>
      </c>
      <c r="C6" s="75" t="s">
        <v>118</v>
      </c>
      <c r="D6" s="75"/>
      <c r="E6" s="75"/>
      <c r="F6" s="75"/>
      <c r="G6" s="75"/>
      <c r="H6" s="75"/>
    </row>
    <row r="7" spans="2:8" ht="3" customHeight="1" x14ac:dyDescent="0.25">
      <c r="B7" s="17"/>
      <c r="C7" s="17"/>
      <c r="D7" s="17"/>
      <c r="E7" s="17"/>
      <c r="F7" s="17"/>
      <c r="G7" s="17"/>
      <c r="H7" s="17"/>
    </row>
    <row r="8" spans="2:8" ht="27.75" customHeight="1" x14ac:dyDescent="0.25">
      <c r="B8" s="35" t="s">
        <v>28</v>
      </c>
      <c r="C8" s="18" t="s">
        <v>119</v>
      </c>
      <c r="D8" s="18" t="s">
        <v>120</v>
      </c>
      <c r="E8" s="18" t="s">
        <v>121</v>
      </c>
      <c r="F8" s="18" t="s">
        <v>19</v>
      </c>
      <c r="G8" s="18" t="s">
        <v>23</v>
      </c>
      <c r="H8" s="36" t="s">
        <v>54</v>
      </c>
    </row>
    <row r="9" spans="2:8" x14ac:dyDescent="0.25">
      <c r="B9" s="37" t="s">
        <v>64</v>
      </c>
      <c r="C9" s="40" t="s">
        <v>122</v>
      </c>
      <c r="D9" s="46">
        <v>6</v>
      </c>
      <c r="E9" s="65">
        <v>9.8000000000000007</v>
      </c>
      <c r="F9" s="41" t="s">
        <v>123</v>
      </c>
      <c r="G9" s="41" t="s">
        <v>124</v>
      </c>
      <c r="H9" s="49"/>
    </row>
    <row r="10" spans="2:8" x14ac:dyDescent="0.25">
      <c r="B10" s="50" t="s">
        <v>96</v>
      </c>
      <c r="C10" s="52" t="s">
        <v>122</v>
      </c>
      <c r="D10" s="56">
        <v>6</v>
      </c>
      <c r="E10" s="66">
        <v>10.199999999999999</v>
      </c>
      <c r="F10" s="53" t="s">
        <v>123</v>
      </c>
      <c r="G10" s="53" t="s">
        <v>124</v>
      </c>
      <c r="H10" s="57"/>
    </row>
    <row r="11" spans="2:8" x14ac:dyDescent="0.25">
      <c r="B11" s="37" t="s">
        <v>58</v>
      </c>
      <c r="C11" s="40" t="s">
        <v>125</v>
      </c>
      <c r="D11" s="46">
        <v>12</v>
      </c>
      <c r="E11" s="65">
        <v>18.5</v>
      </c>
      <c r="F11" s="41" t="s">
        <v>123</v>
      </c>
      <c r="G11" s="41" t="s">
        <v>124</v>
      </c>
      <c r="H11" s="49" t="s">
        <v>72</v>
      </c>
    </row>
    <row r="12" spans="2:8" x14ac:dyDescent="0.25">
      <c r="B12" s="50" t="s">
        <v>126</v>
      </c>
      <c r="C12" s="52" t="s">
        <v>125</v>
      </c>
      <c r="D12" s="56">
        <v>12</v>
      </c>
      <c r="E12" s="66">
        <v>19</v>
      </c>
      <c r="F12" s="53" t="s">
        <v>123</v>
      </c>
      <c r="G12" s="53" t="s">
        <v>127</v>
      </c>
      <c r="H12" s="57" t="s">
        <v>128</v>
      </c>
    </row>
    <row r="13" spans="2:8" x14ac:dyDescent="0.25">
      <c r="B13" s="37" t="s">
        <v>80</v>
      </c>
      <c r="C13" s="40" t="s">
        <v>129</v>
      </c>
      <c r="D13" s="46">
        <v>8</v>
      </c>
      <c r="E13" s="65">
        <v>12.4</v>
      </c>
      <c r="F13" s="41" t="s">
        <v>123</v>
      </c>
      <c r="G13" s="41" t="s">
        <v>124</v>
      </c>
      <c r="H13" s="49" t="s">
        <v>130</v>
      </c>
    </row>
    <row r="14" spans="2:8" x14ac:dyDescent="0.25">
      <c r="B14" s="50" t="s">
        <v>75</v>
      </c>
      <c r="C14" s="52" t="s">
        <v>131</v>
      </c>
      <c r="D14" s="56">
        <v>4</v>
      </c>
      <c r="E14" s="66">
        <v>8.6</v>
      </c>
      <c r="F14" s="53" t="s">
        <v>123</v>
      </c>
      <c r="G14" s="53" t="s">
        <v>124</v>
      </c>
      <c r="H14" s="57"/>
    </row>
    <row r="15" spans="2:8" x14ac:dyDescent="0.25">
      <c r="B15" s="37" t="s">
        <v>70</v>
      </c>
      <c r="C15" s="40" t="s">
        <v>132</v>
      </c>
      <c r="D15" s="46">
        <v>18</v>
      </c>
      <c r="E15" s="65">
        <v>24</v>
      </c>
      <c r="F15" s="41" t="s">
        <v>123</v>
      </c>
      <c r="G15" s="41" t="s">
        <v>124</v>
      </c>
      <c r="H15" s="49" t="s">
        <v>133</v>
      </c>
    </row>
    <row r="16" spans="2:8" x14ac:dyDescent="0.25">
      <c r="B16" s="50" t="s">
        <v>114</v>
      </c>
      <c r="C16" s="52" t="s">
        <v>134</v>
      </c>
      <c r="D16" s="56">
        <v>5</v>
      </c>
      <c r="E16" s="66">
        <v>11.2</v>
      </c>
      <c r="F16" s="53" t="s">
        <v>123</v>
      </c>
      <c r="G16" s="53" t="s">
        <v>124</v>
      </c>
      <c r="H16" s="57"/>
    </row>
    <row r="17" spans="2:8" x14ac:dyDescent="0.25">
      <c r="B17" s="37"/>
      <c r="C17" s="40"/>
      <c r="D17" s="46"/>
      <c r="E17" s="65"/>
      <c r="F17" s="41"/>
      <c r="G17" s="41"/>
      <c r="H17" s="49"/>
    </row>
    <row r="18" spans="2:8" x14ac:dyDescent="0.25">
      <c r="B18" s="50"/>
      <c r="C18" s="52"/>
      <c r="D18" s="56"/>
      <c r="E18" s="66"/>
      <c r="F18" s="53"/>
      <c r="G18" s="53"/>
      <c r="H18" s="57"/>
    </row>
    <row r="20" spans="2:8" ht="19.5" customHeight="1" x14ac:dyDescent="0.25">
      <c r="B20" s="16" t="s">
        <v>21</v>
      </c>
      <c r="C20" s="75" t="s">
        <v>135</v>
      </c>
      <c r="D20" s="75"/>
      <c r="E20" s="75"/>
      <c r="F20" s="75"/>
      <c r="G20" s="75"/>
      <c r="H20" s="75"/>
    </row>
    <row r="21" spans="2:8" ht="3" customHeight="1" x14ac:dyDescent="0.25">
      <c r="B21" s="17"/>
      <c r="C21" s="17"/>
      <c r="D21" s="17"/>
      <c r="E21" s="17"/>
      <c r="F21" s="17"/>
      <c r="G21" s="17"/>
      <c r="H21" s="17"/>
    </row>
    <row r="22" spans="2:8" ht="27.75" customHeight="1" x14ac:dyDescent="0.25">
      <c r="B22" s="35" t="s">
        <v>136</v>
      </c>
      <c r="C22" s="18" t="s">
        <v>137</v>
      </c>
      <c r="D22" s="18" t="s">
        <v>138</v>
      </c>
      <c r="E22" s="18" t="s">
        <v>139</v>
      </c>
      <c r="F22" s="18" t="s">
        <v>140</v>
      </c>
      <c r="G22" s="18" t="s">
        <v>23</v>
      </c>
      <c r="H22" s="36" t="s">
        <v>54</v>
      </c>
    </row>
    <row r="23" spans="2:8" x14ac:dyDescent="0.25">
      <c r="B23" s="37" t="s">
        <v>57</v>
      </c>
      <c r="C23" s="41" t="s">
        <v>141</v>
      </c>
      <c r="D23" s="41" t="s">
        <v>142</v>
      </c>
      <c r="E23" s="41" t="s">
        <v>143</v>
      </c>
      <c r="F23" s="40" t="s">
        <v>144</v>
      </c>
      <c r="G23" s="41" t="s">
        <v>145</v>
      </c>
      <c r="H23" s="49"/>
    </row>
    <row r="24" spans="2:8" x14ac:dyDescent="0.25">
      <c r="B24" s="50" t="s">
        <v>63</v>
      </c>
      <c r="C24" s="53" t="s">
        <v>146</v>
      </c>
      <c r="D24" s="53" t="s">
        <v>147</v>
      </c>
      <c r="E24" s="53" t="s">
        <v>143</v>
      </c>
      <c r="F24" s="52" t="s">
        <v>148</v>
      </c>
      <c r="G24" s="53" t="s">
        <v>145</v>
      </c>
      <c r="H24" s="57"/>
    </row>
    <row r="25" spans="2:8" x14ac:dyDescent="0.25">
      <c r="B25" s="37" t="s">
        <v>69</v>
      </c>
      <c r="C25" s="41" t="s">
        <v>141</v>
      </c>
      <c r="D25" s="41" t="s">
        <v>149</v>
      </c>
      <c r="E25" s="41" t="s">
        <v>150</v>
      </c>
      <c r="F25" s="40" t="s">
        <v>151</v>
      </c>
      <c r="G25" s="41" t="s">
        <v>145</v>
      </c>
      <c r="H25" s="49" t="s">
        <v>152</v>
      </c>
    </row>
    <row r="26" spans="2:8" x14ac:dyDescent="0.25">
      <c r="B26" s="50" t="s">
        <v>74</v>
      </c>
      <c r="C26" s="53" t="s">
        <v>153</v>
      </c>
      <c r="D26" s="53" t="s">
        <v>154</v>
      </c>
      <c r="E26" s="53" t="s">
        <v>143</v>
      </c>
      <c r="F26" s="52" t="s">
        <v>155</v>
      </c>
      <c r="G26" s="53" t="s">
        <v>145</v>
      </c>
      <c r="H26" s="57"/>
    </row>
    <row r="27" spans="2:8" x14ac:dyDescent="0.25">
      <c r="B27" s="37" t="s">
        <v>86</v>
      </c>
      <c r="C27" s="41" t="s">
        <v>146</v>
      </c>
      <c r="D27" s="41" t="s">
        <v>142</v>
      </c>
      <c r="E27" s="41" t="s">
        <v>150</v>
      </c>
      <c r="F27" s="40" t="s">
        <v>156</v>
      </c>
      <c r="G27" s="41" t="s">
        <v>145</v>
      </c>
      <c r="H27" s="49"/>
    </row>
    <row r="28" spans="2:8" x14ac:dyDescent="0.25">
      <c r="B28" s="50" t="s">
        <v>79</v>
      </c>
      <c r="C28" s="53" t="s">
        <v>141</v>
      </c>
      <c r="D28" s="53" t="s">
        <v>147</v>
      </c>
      <c r="E28" s="53" t="s">
        <v>143</v>
      </c>
      <c r="F28" s="52" t="s">
        <v>157</v>
      </c>
      <c r="G28" s="53" t="s">
        <v>145</v>
      </c>
      <c r="H28" s="57" t="s">
        <v>158</v>
      </c>
    </row>
    <row r="29" spans="2:8" x14ac:dyDescent="0.25">
      <c r="B29" s="37" t="s">
        <v>89</v>
      </c>
      <c r="C29" s="41" t="s">
        <v>146</v>
      </c>
      <c r="D29" s="41" t="s">
        <v>149</v>
      </c>
      <c r="E29" s="41" t="s">
        <v>150</v>
      </c>
      <c r="F29" s="40" t="s">
        <v>159</v>
      </c>
      <c r="G29" s="41" t="s">
        <v>160</v>
      </c>
      <c r="H29" s="49" t="s">
        <v>161</v>
      </c>
    </row>
    <row r="30" spans="2:8" x14ac:dyDescent="0.25">
      <c r="B30" s="50" t="s">
        <v>93</v>
      </c>
      <c r="C30" s="53" t="s">
        <v>153</v>
      </c>
      <c r="D30" s="53" t="s">
        <v>154</v>
      </c>
      <c r="E30" s="53" t="s">
        <v>143</v>
      </c>
      <c r="F30" s="52" t="s">
        <v>162</v>
      </c>
      <c r="G30" s="53" t="s">
        <v>145</v>
      </c>
      <c r="H30" s="57"/>
    </row>
    <row r="31" spans="2:8" x14ac:dyDescent="0.25">
      <c r="B31" s="37"/>
      <c r="C31" s="41"/>
      <c r="D31" s="41"/>
      <c r="E31" s="41"/>
      <c r="F31" s="40"/>
      <c r="G31" s="41"/>
      <c r="H31" s="49"/>
    </row>
    <row r="32" spans="2:8" x14ac:dyDescent="0.25">
      <c r="B32" s="50"/>
      <c r="C32" s="53"/>
      <c r="D32" s="53"/>
      <c r="E32" s="53"/>
      <c r="F32" s="52"/>
      <c r="G32" s="53"/>
      <c r="H32" s="57"/>
    </row>
  </sheetData>
  <mergeCells count="3">
    <mergeCell ref="B3:H4"/>
    <mergeCell ref="C6:H6"/>
    <mergeCell ref="C20:H20"/>
  </mergeCells>
  <conditionalFormatting sqref="G9:G18">
    <cfRule type="cellIs" dxfId="3" priority="2" operator="equal">
      <formula>"Werkstatt"</formula>
    </cfRule>
    <cfRule type="cellIs" dxfId="2" priority="3" operator="equal">
      <formula>"Verfügbar"</formula>
    </cfRule>
  </conditionalFormatting>
  <conditionalFormatting sqref="G23:G32">
    <cfRule type="cellIs" dxfId="1" priority="4" operator="equal">
      <formula>"Abwesend"</formula>
    </cfRule>
    <cfRule type="cellIs" dxfId="0" priority="5" operator="equal">
      <formula>"Aktiv"</formula>
    </cfRule>
  </conditionalFormatting>
  <dataValidations count="6">
    <dataValidation type="list" allowBlank="1" errorTitle="Ungültige Eingabe" error="Bitte einen Wert aus der Liste wählen." sqref="C9:C18" xr:uid="{00000000-0002-0000-0200-000000000000}">
      <formula1>TypListe</formula1>
      <formula2>0</formula2>
    </dataValidation>
    <dataValidation type="list" allowBlank="1" errorTitle="Ungültige Eingabe" error="Bitte einen Wert aus der Liste wählen." sqref="G9:G18" xr:uid="{00000000-0002-0000-0200-000001000000}">
      <formula1>FzStatusListe</formula1>
      <formula2>0</formula2>
    </dataValidation>
    <dataValidation type="list" allowBlank="1" errorTitle="Ungültige Eingabe" error="Bitte einen Wert aus der Liste wählen." sqref="C23:C32" xr:uid="{00000000-0002-0000-0200-000002000000}">
      <formula1>FsListe</formula1>
      <formula2>0</formula2>
    </dataValidation>
    <dataValidation type="list" allowBlank="1" errorTitle="Ungültige Eingabe" error="Bitte einen Wert aus der Liste wählen." sqref="D23:D32" xr:uid="{00000000-0002-0000-0200-000003000000}">
      <formula1>BezirkListe</formula1>
      <formula2>0</formula2>
    </dataValidation>
    <dataValidation type="list" allowBlank="1" errorTitle="Ungültige Eingabe" error="Bitte einen Wert aus der Liste wählen." sqref="E23:E32" xr:uid="{00000000-0002-0000-0200-000004000000}">
      <formula1>SchichtListe</formula1>
      <formula2>0</formula2>
    </dataValidation>
    <dataValidation type="list" allowBlank="1" errorTitle="Ungültige Eingabe" error="Bitte einen Wert aus der Liste wählen." sqref="G23:G32" xr:uid="{00000000-0002-0000-0200-000005000000}">
      <formula1>MaStatusListe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63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3" width="20" customWidth="1"/>
    <col min="4" max="4" width="9" customWidth="1"/>
    <col min="5" max="5" width="17" customWidth="1"/>
    <col min="6" max="7" width="14" customWidth="1"/>
    <col min="8" max="8" width="22" customWidth="1"/>
  </cols>
  <sheetData>
    <row r="2" spans="2:8" ht="6" customHeight="1" x14ac:dyDescent="0.25">
      <c r="B2" s="15"/>
      <c r="C2" s="15"/>
      <c r="D2" s="15"/>
      <c r="E2" s="15"/>
      <c r="F2" s="15"/>
      <c r="G2" s="15"/>
      <c r="H2" s="15"/>
    </row>
    <row r="3" spans="2:8" ht="24" customHeight="1" x14ac:dyDescent="0.25">
      <c r="B3" s="14" t="s">
        <v>163</v>
      </c>
      <c r="C3" s="14"/>
      <c r="D3" s="14"/>
      <c r="E3" s="14"/>
      <c r="F3" s="14"/>
      <c r="G3" s="14"/>
      <c r="H3" s="14"/>
    </row>
    <row r="4" spans="2:8" ht="15.75" customHeight="1" x14ac:dyDescent="0.25">
      <c r="B4" s="14"/>
      <c r="C4" s="14"/>
      <c r="D4" s="14"/>
      <c r="E4" s="14"/>
      <c r="F4" s="14"/>
      <c r="G4" s="14"/>
      <c r="H4" s="14"/>
    </row>
    <row r="6" spans="2:8" ht="19.5" customHeight="1" x14ac:dyDescent="0.25">
      <c r="B6" s="16" t="s">
        <v>13</v>
      </c>
      <c r="C6" s="75" t="s">
        <v>164</v>
      </c>
      <c r="D6" s="75"/>
      <c r="E6" s="75"/>
      <c r="F6" s="75"/>
      <c r="G6" s="75"/>
      <c r="H6" s="75"/>
    </row>
    <row r="7" spans="2:8" ht="3" customHeight="1" x14ac:dyDescent="0.25">
      <c r="B7" s="17"/>
      <c r="C7" s="17"/>
      <c r="D7" s="17"/>
      <c r="E7" s="17"/>
      <c r="F7" s="17"/>
      <c r="G7" s="17"/>
      <c r="H7" s="17"/>
    </row>
    <row r="8" spans="2:8" ht="27.75" customHeight="1" x14ac:dyDescent="0.25">
      <c r="B8" s="18" t="s">
        <v>45</v>
      </c>
      <c r="C8" s="18" t="s">
        <v>165</v>
      </c>
      <c r="D8" s="18" t="s">
        <v>166</v>
      </c>
      <c r="E8" s="18" t="s">
        <v>46</v>
      </c>
      <c r="F8" s="18" t="s">
        <v>167</v>
      </c>
      <c r="G8" s="18" t="s">
        <v>168</v>
      </c>
      <c r="H8" s="18" t="s">
        <v>54</v>
      </c>
    </row>
    <row r="9" spans="2:8" x14ac:dyDescent="0.25">
      <c r="B9" s="40" t="s">
        <v>59</v>
      </c>
      <c r="C9" s="40" t="s">
        <v>169</v>
      </c>
      <c r="D9" s="67" t="s">
        <v>170</v>
      </c>
      <c r="E9" s="41" t="s">
        <v>171</v>
      </c>
      <c r="F9" s="41" t="s">
        <v>172</v>
      </c>
      <c r="G9" s="41" t="s">
        <v>173</v>
      </c>
      <c r="H9" s="40"/>
    </row>
    <row r="10" spans="2:8" x14ac:dyDescent="0.25">
      <c r="B10" s="52" t="s">
        <v>65</v>
      </c>
      <c r="C10" s="52" t="s">
        <v>174</v>
      </c>
      <c r="D10" s="68" t="s">
        <v>175</v>
      </c>
      <c r="E10" s="53" t="s">
        <v>171</v>
      </c>
      <c r="F10" s="53" t="s">
        <v>176</v>
      </c>
      <c r="G10" s="53" t="s">
        <v>177</v>
      </c>
      <c r="H10" s="52" t="s">
        <v>178</v>
      </c>
    </row>
    <row r="11" spans="2:8" x14ac:dyDescent="0.25">
      <c r="B11" s="40" t="s">
        <v>67</v>
      </c>
      <c r="C11" s="40" t="s">
        <v>179</v>
      </c>
      <c r="D11" s="67" t="s">
        <v>180</v>
      </c>
      <c r="E11" s="41" t="s">
        <v>171</v>
      </c>
      <c r="F11" s="41" t="s">
        <v>181</v>
      </c>
      <c r="G11" s="41" t="s">
        <v>182</v>
      </c>
      <c r="H11" s="40"/>
    </row>
    <row r="12" spans="2:8" x14ac:dyDescent="0.25">
      <c r="B12" s="52" t="s">
        <v>61</v>
      </c>
      <c r="C12" s="52" t="s">
        <v>183</v>
      </c>
      <c r="D12" s="68" t="s">
        <v>184</v>
      </c>
      <c r="E12" s="53" t="s">
        <v>185</v>
      </c>
      <c r="F12" s="53" t="s">
        <v>186</v>
      </c>
      <c r="G12" s="53" t="s">
        <v>187</v>
      </c>
      <c r="H12" s="52" t="s">
        <v>188</v>
      </c>
    </row>
    <row r="13" spans="2:8" x14ac:dyDescent="0.25">
      <c r="B13" s="40" t="s">
        <v>81</v>
      </c>
      <c r="C13" s="40" t="s">
        <v>189</v>
      </c>
      <c r="D13" s="67" t="s">
        <v>190</v>
      </c>
      <c r="E13" s="41" t="s">
        <v>191</v>
      </c>
      <c r="F13" s="41" t="s">
        <v>192</v>
      </c>
      <c r="G13" s="41" t="s">
        <v>193</v>
      </c>
      <c r="H13" s="40" t="s">
        <v>82</v>
      </c>
    </row>
    <row r="14" spans="2:8" x14ac:dyDescent="0.25">
      <c r="B14" s="52" t="s">
        <v>71</v>
      </c>
      <c r="C14" s="52" t="s">
        <v>194</v>
      </c>
      <c r="D14" s="68" t="s">
        <v>195</v>
      </c>
      <c r="E14" s="53" t="s">
        <v>196</v>
      </c>
      <c r="F14" s="53" t="s">
        <v>197</v>
      </c>
      <c r="G14" s="53" t="s">
        <v>198</v>
      </c>
      <c r="H14" s="52" t="s">
        <v>199</v>
      </c>
    </row>
    <row r="15" spans="2:8" x14ac:dyDescent="0.25">
      <c r="B15" s="40" t="s">
        <v>87</v>
      </c>
      <c r="C15" s="40" t="s">
        <v>200</v>
      </c>
      <c r="D15" s="67" t="s">
        <v>201</v>
      </c>
      <c r="E15" s="41" t="s">
        <v>185</v>
      </c>
      <c r="F15" s="41" t="s">
        <v>202</v>
      </c>
      <c r="G15" s="41" t="s">
        <v>203</v>
      </c>
      <c r="H15" s="40"/>
    </row>
    <row r="16" spans="2:8" x14ac:dyDescent="0.25">
      <c r="B16" s="52" t="s">
        <v>90</v>
      </c>
      <c r="C16" s="52" t="s">
        <v>204</v>
      </c>
      <c r="D16" s="68" t="s">
        <v>205</v>
      </c>
      <c r="E16" s="53" t="s">
        <v>206</v>
      </c>
      <c r="F16" s="53" t="s">
        <v>207</v>
      </c>
      <c r="G16" s="53" t="s">
        <v>208</v>
      </c>
      <c r="H16" s="52" t="s">
        <v>209</v>
      </c>
    </row>
    <row r="17" spans="2:8" x14ac:dyDescent="0.25">
      <c r="B17" s="40" t="s">
        <v>84</v>
      </c>
      <c r="C17" s="40" t="s">
        <v>210</v>
      </c>
      <c r="D17" s="67" t="s">
        <v>211</v>
      </c>
      <c r="E17" s="41" t="s">
        <v>212</v>
      </c>
      <c r="F17" s="41" t="s">
        <v>213</v>
      </c>
      <c r="G17" s="41" t="s">
        <v>214</v>
      </c>
      <c r="H17" s="40"/>
    </row>
    <row r="18" spans="2:8" x14ac:dyDescent="0.25">
      <c r="B18" s="52" t="s">
        <v>76</v>
      </c>
      <c r="C18" s="52" t="s">
        <v>215</v>
      </c>
      <c r="D18" s="68" t="s">
        <v>216</v>
      </c>
      <c r="E18" s="53" t="s">
        <v>171</v>
      </c>
      <c r="F18" s="53" t="s">
        <v>217</v>
      </c>
      <c r="G18" s="53" t="s">
        <v>173</v>
      </c>
      <c r="H18" s="52" t="s">
        <v>218</v>
      </c>
    </row>
    <row r="19" spans="2:8" x14ac:dyDescent="0.25">
      <c r="B19" s="40" t="s">
        <v>94</v>
      </c>
      <c r="C19" s="40" t="s">
        <v>219</v>
      </c>
      <c r="D19" s="67" t="s">
        <v>180</v>
      </c>
      <c r="E19" s="41" t="s">
        <v>171</v>
      </c>
      <c r="F19" s="41" t="s">
        <v>220</v>
      </c>
      <c r="G19" s="41" t="s">
        <v>221</v>
      </c>
      <c r="H19" s="40"/>
    </row>
    <row r="20" spans="2:8" x14ac:dyDescent="0.25">
      <c r="B20" s="52" t="s">
        <v>97</v>
      </c>
      <c r="C20" s="52" t="s">
        <v>222</v>
      </c>
      <c r="D20" s="68" t="s">
        <v>223</v>
      </c>
      <c r="E20" s="53" t="s">
        <v>224</v>
      </c>
      <c r="F20" s="53" t="s">
        <v>225</v>
      </c>
      <c r="G20" s="53" t="s">
        <v>226</v>
      </c>
      <c r="H20" s="52"/>
    </row>
    <row r="21" spans="2:8" x14ac:dyDescent="0.25">
      <c r="B21" s="40"/>
      <c r="C21" s="40"/>
      <c r="D21" s="67"/>
      <c r="E21" s="41"/>
      <c r="F21" s="41"/>
      <c r="G21" s="41"/>
      <c r="H21" s="40"/>
    </row>
    <row r="22" spans="2:8" x14ac:dyDescent="0.25">
      <c r="B22" s="52"/>
      <c r="C22" s="52"/>
      <c r="D22" s="68"/>
      <c r="E22" s="53"/>
      <c r="F22" s="53"/>
      <c r="G22" s="53"/>
      <c r="H22" s="52"/>
    </row>
    <row r="24" spans="2:8" ht="19.5" customHeight="1" x14ac:dyDescent="0.25">
      <c r="B24" s="16" t="s">
        <v>21</v>
      </c>
      <c r="C24" s="75" t="s">
        <v>227</v>
      </c>
      <c r="D24" s="75"/>
      <c r="E24" s="75"/>
      <c r="F24" s="75"/>
      <c r="G24" s="75"/>
      <c r="H24" s="75"/>
    </row>
    <row r="25" spans="2:8" ht="3" customHeight="1" x14ac:dyDescent="0.25">
      <c r="B25" s="17"/>
      <c r="C25" s="17"/>
      <c r="D25" s="17"/>
      <c r="E25" s="17"/>
      <c r="F25" s="17"/>
      <c r="G25" s="17"/>
      <c r="H25" s="17"/>
    </row>
    <row r="26" spans="2:8" x14ac:dyDescent="0.25">
      <c r="B26" s="77" t="s">
        <v>228</v>
      </c>
      <c r="C26" s="77"/>
      <c r="D26" s="78" t="s">
        <v>229</v>
      </c>
      <c r="E26" s="78"/>
    </row>
    <row r="27" spans="2:8" x14ac:dyDescent="0.25">
      <c r="B27" s="77" t="s">
        <v>230</v>
      </c>
      <c r="C27" s="77"/>
      <c r="D27" s="78" t="s">
        <v>231</v>
      </c>
      <c r="E27" s="78"/>
    </row>
    <row r="28" spans="2:8" x14ac:dyDescent="0.25">
      <c r="B28" s="77" t="s">
        <v>232</v>
      </c>
      <c r="C28" s="77"/>
      <c r="D28" s="78" t="s">
        <v>233</v>
      </c>
      <c r="E28" s="78"/>
    </row>
    <row r="29" spans="2:8" x14ac:dyDescent="0.25">
      <c r="B29" s="77" t="s">
        <v>234</v>
      </c>
      <c r="C29" s="77"/>
      <c r="D29" s="79">
        <f ca="1">TODAY()</f>
        <v>46235</v>
      </c>
      <c r="E29" s="79"/>
    </row>
    <row r="30" spans="2:8" x14ac:dyDescent="0.25">
      <c r="B30" s="77" t="s">
        <v>235</v>
      </c>
      <c r="C30" s="77"/>
      <c r="D30" s="80">
        <v>1.75</v>
      </c>
      <c r="E30" s="80"/>
    </row>
    <row r="31" spans="2:8" x14ac:dyDescent="0.25">
      <c r="B31" s="77" t="s">
        <v>236</v>
      </c>
      <c r="C31" s="77"/>
      <c r="D31" s="81">
        <v>0.8</v>
      </c>
      <c r="E31" s="81"/>
    </row>
    <row r="32" spans="2:8" x14ac:dyDescent="0.25">
      <c r="B32" s="77" t="s">
        <v>237</v>
      </c>
      <c r="C32" s="77"/>
      <c r="D32" s="81">
        <v>0.9</v>
      </c>
      <c r="E32" s="81"/>
    </row>
    <row r="34" spans="2:8" ht="19.5" customHeight="1" x14ac:dyDescent="0.25">
      <c r="B34" s="16" t="s">
        <v>26</v>
      </c>
      <c r="C34" s="75" t="s">
        <v>238</v>
      </c>
      <c r="D34" s="75"/>
      <c r="E34" s="75"/>
      <c r="F34" s="75"/>
      <c r="G34" s="75"/>
      <c r="H34" s="75"/>
    </row>
    <row r="35" spans="2:8" ht="3" customHeight="1" x14ac:dyDescent="0.25">
      <c r="B35" s="17"/>
      <c r="C35" s="17"/>
      <c r="D35" s="17"/>
      <c r="E35" s="17"/>
      <c r="F35" s="17"/>
      <c r="G35" s="17"/>
      <c r="H35" s="17"/>
    </row>
    <row r="36" spans="2:8" ht="27.75" customHeight="1" x14ac:dyDescent="0.25">
      <c r="B36" s="18" t="s">
        <v>23</v>
      </c>
      <c r="C36" s="18" t="s">
        <v>119</v>
      </c>
      <c r="D36" s="18" t="s">
        <v>137</v>
      </c>
      <c r="E36" s="18" t="s">
        <v>239</v>
      </c>
      <c r="F36" s="18" t="s">
        <v>139</v>
      </c>
      <c r="G36" s="18" t="s">
        <v>240</v>
      </c>
      <c r="H36" s="18" t="s">
        <v>241</v>
      </c>
    </row>
    <row r="37" spans="2:8" x14ac:dyDescent="0.25">
      <c r="B37" s="41" t="s">
        <v>4</v>
      </c>
      <c r="C37" s="41" t="s">
        <v>122</v>
      </c>
      <c r="D37" s="41" t="s">
        <v>153</v>
      </c>
      <c r="E37" s="41" t="s">
        <v>142</v>
      </c>
      <c r="F37" s="41" t="s">
        <v>143</v>
      </c>
      <c r="G37" s="41" t="s">
        <v>124</v>
      </c>
      <c r="H37" s="41" t="s">
        <v>145</v>
      </c>
    </row>
    <row r="38" spans="2:8" x14ac:dyDescent="0.25">
      <c r="B38" s="53" t="s">
        <v>3</v>
      </c>
      <c r="C38" s="53" t="s">
        <v>125</v>
      </c>
      <c r="D38" s="53" t="s">
        <v>146</v>
      </c>
      <c r="E38" s="53" t="s">
        <v>147</v>
      </c>
      <c r="F38" s="53" t="s">
        <v>150</v>
      </c>
      <c r="G38" s="53" t="s">
        <v>127</v>
      </c>
      <c r="H38" s="53" t="s">
        <v>160</v>
      </c>
    </row>
    <row r="39" spans="2:8" x14ac:dyDescent="0.25">
      <c r="B39" s="41" t="s">
        <v>2</v>
      </c>
      <c r="C39" s="41" t="s">
        <v>132</v>
      </c>
      <c r="D39" s="41" t="s">
        <v>141</v>
      </c>
      <c r="E39" s="41" t="s">
        <v>149</v>
      </c>
      <c r="F39" s="41"/>
      <c r="G39" s="41"/>
      <c r="H39" s="41"/>
    </row>
    <row r="40" spans="2:8" x14ac:dyDescent="0.25">
      <c r="B40" s="53" t="s">
        <v>5</v>
      </c>
      <c r="C40" s="53" t="s">
        <v>129</v>
      </c>
      <c r="D40" s="53"/>
      <c r="E40" s="53" t="s">
        <v>154</v>
      </c>
      <c r="F40" s="53"/>
      <c r="G40" s="53"/>
      <c r="H40" s="53"/>
    </row>
    <row r="41" spans="2:8" x14ac:dyDescent="0.25">
      <c r="B41" s="41" t="s">
        <v>104</v>
      </c>
      <c r="C41" s="41" t="s">
        <v>131</v>
      </c>
      <c r="D41" s="41"/>
      <c r="E41" s="41"/>
      <c r="F41" s="41"/>
      <c r="G41" s="41"/>
      <c r="H41" s="41"/>
    </row>
    <row r="42" spans="2:8" x14ac:dyDescent="0.25">
      <c r="B42" s="53"/>
      <c r="C42" s="53" t="s">
        <v>134</v>
      </c>
      <c r="D42" s="53"/>
      <c r="E42" s="53"/>
      <c r="F42" s="53"/>
      <c r="G42" s="53"/>
      <c r="H42" s="53"/>
    </row>
    <row r="44" spans="2:8" ht="19.5" customHeight="1" x14ac:dyDescent="0.25">
      <c r="B44" s="16" t="s">
        <v>29</v>
      </c>
      <c r="C44" s="75" t="s">
        <v>242</v>
      </c>
      <c r="D44" s="75"/>
      <c r="E44" s="75"/>
      <c r="F44" s="75"/>
      <c r="G44" s="75"/>
      <c r="H44" s="75"/>
    </row>
    <row r="45" spans="2:8" ht="3" customHeight="1" x14ac:dyDescent="0.25">
      <c r="B45" s="17"/>
      <c r="C45" s="17"/>
      <c r="D45" s="17"/>
      <c r="E45" s="17"/>
      <c r="F45" s="17"/>
      <c r="G45" s="17"/>
      <c r="H45" s="17"/>
    </row>
    <row r="46" spans="2:8" ht="25.5" customHeight="1" x14ac:dyDescent="0.25">
      <c r="B46" s="82" t="s">
        <v>243</v>
      </c>
      <c r="C46" s="82"/>
      <c r="D46" s="82"/>
      <c r="E46" s="82"/>
      <c r="F46" s="82"/>
      <c r="G46" s="82"/>
      <c r="H46" s="82"/>
    </row>
    <row r="47" spans="2:8" ht="25.5" customHeight="1" x14ac:dyDescent="0.25">
      <c r="B47" s="82" t="s">
        <v>244</v>
      </c>
      <c r="C47" s="82"/>
      <c r="D47" s="82"/>
      <c r="E47" s="82"/>
      <c r="F47" s="82"/>
      <c r="G47" s="82"/>
      <c r="H47" s="82"/>
    </row>
    <row r="48" spans="2:8" ht="25.5" customHeight="1" x14ac:dyDescent="0.25">
      <c r="B48" s="82" t="s">
        <v>245</v>
      </c>
      <c r="C48" s="82"/>
      <c r="D48" s="82"/>
      <c r="E48" s="82"/>
      <c r="F48" s="82"/>
      <c r="G48" s="82"/>
      <c r="H48" s="82"/>
    </row>
    <row r="49" spans="2:8" ht="25.5" customHeight="1" x14ac:dyDescent="0.25">
      <c r="B49" s="82" t="s">
        <v>246</v>
      </c>
      <c r="C49" s="82"/>
      <c r="D49" s="82"/>
      <c r="E49" s="82"/>
      <c r="F49" s="82"/>
      <c r="G49" s="82"/>
      <c r="H49" s="82"/>
    </row>
    <row r="50" spans="2:8" ht="25.5" customHeight="1" x14ac:dyDescent="0.25">
      <c r="B50" s="82" t="s">
        <v>247</v>
      </c>
      <c r="C50" s="82"/>
      <c r="D50" s="82"/>
      <c r="E50" s="82"/>
      <c r="F50" s="82"/>
      <c r="G50" s="82"/>
      <c r="H50" s="82"/>
    </row>
    <row r="51" spans="2:8" ht="25.5" customHeight="1" x14ac:dyDescent="0.25">
      <c r="B51" s="82" t="s">
        <v>248</v>
      </c>
      <c r="C51" s="82"/>
      <c r="D51" s="82"/>
      <c r="E51" s="82"/>
      <c r="F51" s="82"/>
      <c r="G51" s="82"/>
      <c r="H51" s="82"/>
    </row>
    <row r="53" spans="2:8" ht="19.5" customHeight="1" x14ac:dyDescent="0.25">
      <c r="B53" s="16" t="s">
        <v>249</v>
      </c>
      <c r="C53" s="75" t="s">
        <v>250</v>
      </c>
      <c r="D53" s="75"/>
      <c r="E53" s="75"/>
      <c r="F53" s="75"/>
      <c r="G53" s="75"/>
      <c r="H53" s="75"/>
    </row>
    <row r="54" spans="2:8" ht="3" customHeight="1" x14ac:dyDescent="0.25">
      <c r="B54" s="17"/>
      <c r="C54" s="17"/>
      <c r="D54" s="17"/>
      <c r="E54" s="17"/>
      <c r="F54" s="17"/>
      <c r="G54" s="17"/>
      <c r="H54" s="17"/>
    </row>
    <row r="55" spans="2:8" x14ac:dyDescent="0.25">
      <c r="B55" s="83"/>
      <c r="C55" s="83"/>
      <c r="D55" s="84" t="s">
        <v>251</v>
      </c>
      <c r="E55" s="84"/>
      <c r="F55" s="84"/>
      <c r="G55" s="84"/>
      <c r="H55" s="84"/>
    </row>
    <row r="56" spans="2:8" x14ac:dyDescent="0.25">
      <c r="B56" s="85"/>
      <c r="C56" s="85"/>
      <c r="D56" s="86" t="s">
        <v>252</v>
      </c>
      <c r="E56" s="86"/>
      <c r="F56" s="86"/>
      <c r="G56" s="86"/>
      <c r="H56" s="86"/>
    </row>
    <row r="57" spans="2:8" x14ac:dyDescent="0.25">
      <c r="B57" s="87"/>
      <c r="C57" s="87"/>
      <c r="D57" s="88" t="s">
        <v>253</v>
      </c>
      <c r="E57" s="88"/>
      <c r="F57" s="88"/>
      <c r="G57" s="88"/>
      <c r="H57" s="88"/>
    </row>
    <row r="58" spans="2:8" x14ac:dyDescent="0.25">
      <c r="B58" s="89"/>
      <c r="C58" s="89"/>
      <c r="D58" s="90" t="s">
        <v>254</v>
      </c>
      <c r="E58" s="90"/>
      <c r="F58" s="90"/>
      <c r="G58" s="90"/>
      <c r="H58" s="90"/>
    </row>
    <row r="59" spans="2:8" x14ac:dyDescent="0.25">
      <c r="B59" s="91"/>
      <c r="C59" s="91"/>
      <c r="D59" s="92" t="s">
        <v>255</v>
      </c>
      <c r="E59" s="92"/>
      <c r="F59" s="92"/>
      <c r="G59" s="92"/>
      <c r="H59" s="92"/>
    </row>
    <row r="60" spans="2:8" x14ac:dyDescent="0.25">
      <c r="B60" s="93"/>
      <c r="C60" s="93"/>
      <c r="D60" s="94" t="s">
        <v>256</v>
      </c>
      <c r="E60" s="94"/>
      <c r="F60" s="94"/>
      <c r="G60" s="94"/>
      <c r="H60" s="94"/>
    </row>
    <row r="62" spans="2:8" ht="15.75" customHeight="1" x14ac:dyDescent="0.25">
      <c r="B62" s="95" t="s">
        <v>257</v>
      </c>
      <c r="C62" s="95"/>
      <c r="D62" s="95"/>
      <c r="E62" s="95"/>
      <c r="F62" s="95"/>
      <c r="G62" s="95"/>
      <c r="H62" s="95"/>
    </row>
    <row r="63" spans="2:8" ht="15.75" customHeight="1" x14ac:dyDescent="0.25">
      <c r="B63" s="95"/>
      <c r="C63" s="95"/>
      <c r="D63" s="95"/>
      <c r="E63" s="95"/>
      <c r="F63" s="95"/>
      <c r="G63" s="95"/>
      <c r="H63" s="95"/>
    </row>
  </sheetData>
  <mergeCells count="39">
    <mergeCell ref="B59:C59"/>
    <mergeCell ref="D59:H59"/>
    <mergeCell ref="B60:C60"/>
    <mergeCell ref="D60:H60"/>
    <mergeCell ref="B62:H63"/>
    <mergeCell ref="B56:C56"/>
    <mergeCell ref="D56:H56"/>
    <mergeCell ref="B57:C57"/>
    <mergeCell ref="D57:H57"/>
    <mergeCell ref="B58:C58"/>
    <mergeCell ref="D58:H58"/>
    <mergeCell ref="B49:H49"/>
    <mergeCell ref="B50:H50"/>
    <mergeCell ref="B51:H51"/>
    <mergeCell ref="C53:H53"/>
    <mergeCell ref="B55:C55"/>
    <mergeCell ref="D55:H55"/>
    <mergeCell ref="C34:H34"/>
    <mergeCell ref="C44:H44"/>
    <mergeCell ref="B46:H46"/>
    <mergeCell ref="B47:H47"/>
    <mergeCell ref="B48:H48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3:H4"/>
    <mergeCell ref="C6:H6"/>
    <mergeCell ref="C24:H24"/>
    <mergeCell ref="B26:C26"/>
    <mergeCell ref="D26:E26"/>
  </mergeCells>
  <printOptions horizontalCentered="1"/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27</vt:i4>
      </vt:variant>
    </vt:vector>
  </HeadingPairs>
  <TitlesOfParts>
    <vt:vector size="31" baseType="lpstr">
      <vt:lpstr>Cockpit</vt:lpstr>
      <vt:lpstr>Tourenplanung</vt:lpstr>
      <vt:lpstr>Ressourcen</vt:lpstr>
      <vt:lpstr>Stammdaten</vt:lpstr>
      <vt:lpstr>BezirkListe</vt:lpstr>
      <vt:lpstr>Dieselpreis</vt:lpstr>
      <vt:lpstr>Cockpit!Druckbereich</vt:lpstr>
      <vt:lpstr>Ressourcen!Druckbereich</vt:lpstr>
      <vt:lpstr>Stammdaten!Druckbereich</vt:lpstr>
      <vt:lpstr>Tourenplanung!Druckbereich</vt:lpstr>
      <vt:lpstr>Tourenplanung!Drucktitel</vt:lpstr>
      <vt:lpstr>FahrerListe</vt:lpstr>
      <vt:lpstr>FahrzeugListe</vt:lpstr>
      <vt:lpstr>FsListe</vt:lpstr>
      <vt:lpstr>Fz_Kapazitaet</vt:lpstr>
      <vt:lpstr>Fz_Kennzeichen</vt:lpstr>
      <vt:lpstr>Fz_Verbrauch</vt:lpstr>
      <vt:lpstr>FzStatusListe</vt:lpstr>
      <vt:lpstr>Kalenderwoche</vt:lpstr>
      <vt:lpstr>Kunden_Name</vt:lpstr>
      <vt:lpstr>Kunden_Ort</vt:lpstr>
      <vt:lpstr>KundenListe</vt:lpstr>
      <vt:lpstr>MaStatusListe</vt:lpstr>
      <vt:lpstr>Planer</vt:lpstr>
      <vt:lpstr>SchichtListe</vt:lpstr>
      <vt:lpstr>StatusListe</vt:lpstr>
      <vt:lpstr>Stichtag</vt:lpstr>
      <vt:lpstr>TypListe</vt:lpstr>
      <vt:lpstr>Unternehmen</vt:lpstr>
      <vt:lpstr>Ziel_Auslastung</vt:lpstr>
      <vt:lpstr>Ziel_Quote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2026-07-30T07:23:34Z</dcterms:created>
  <dcterms:modified xsi:type="dcterms:W3CDTF">2026-08-01T09:48:30Z</dcterms:modified>
  <dc:language>en-US</dc:language>
</cp:coreProperties>
</file>