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Vorlage\Generador\"/>
    </mc:Choice>
  </mc:AlternateContent>
  <xr:revisionPtr revIDLastSave="0" documentId="13_ncr:1_{513FAAEB-6CCD-42C8-BA38-6EB093698876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Kostenberechnung" sheetId="1" r:id="rId1"/>
    <sheet name="Kostenübersicht DIN 276" sheetId="2" r:id="rId2"/>
    <sheet name="Auswertung Gewerke" sheetId="3" r:id="rId3"/>
    <sheet name="Anleitung" sheetId="4" r:id="rId4"/>
  </sheets>
  <definedNames>
    <definedName name="_xlnm._FilterDatabase" localSheetId="0" hidden="1">Kostenberechnung!$A$11:$N$83</definedName>
    <definedName name="_xlnm.Print_Area" localSheetId="0">Kostenberechnung!$A$1:$N$120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35" i="3" l="1"/>
  <c r="B34" i="3"/>
  <c r="B33" i="3"/>
  <c r="B32" i="3"/>
  <c r="B31" i="3"/>
  <c r="C30" i="3"/>
  <c r="B30" i="3"/>
  <c r="B29" i="3"/>
  <c r="B28" i="3"/>
  <c r="B27" i="3"/>
  <c r="B26" i="3"/>
  <c r="D25" i="3"/>
  <c r="C25" i="3"/>
  <c r="B25" i="3"/>
  <c r="C24" i="3"/>
  <c r="B24" i="3"/>
  <c r="D23" i="3"/>
  <c r="C23" i="3"/>
  <c r="B23" i="3"/>
  <c r="D22" i="3"/>
  <c r="C22" i="3"/>
  <c r="B22" i="3"/>
  <c r="B21" i="3"/>
  <c r="D20" i="3"/>
  <c r="C20" i="3"/>
  <c r="B20" i="3"/>
  <c r="D19" i="3"/>
  <c r="C19" i="3"/>
  <c r="B19" i="3"/>
  <c r="D18" i="3"/>
  <c r="C18" i="3"/>
  <c r="B18" i="3"/>
  <c r="C17" i="3"/>
  <c r="B17" i="3"/>
  <c r="C16" i="3"/>
  <c r="B16" i="3"/>
  <c r="D15" i="3"/>
  <c r="C15" i="3"/>
  <c r="B15" i="3"/>
  <c r="D14" i="3"/>
  <c r="C14" i="3"/>
  <c r="B14" i="3"/>
  <c r="C13" i="3"/>
  <c r="B13" i="3"/>
  <c r="D12" i="3"/>
  <c r="C12" i="3"/>
  <c r="B12" i="3"/>
  <c r="C11" i="3"/>
  <c r="B11" i="3"/>
  <c r="C10" i="3"/>
  <c r="B10" i="3"/>
  <c r="C9" i="3"/>
  <c r="B9" i="3"/>
  <c r="C8" i="3"/>
  <c r="B8" i="3"/>
  <c r="C7" i="3"/>
  <c r="B7" i="3"/>
  <c r="C6" i="3"/>
  <c r="B6" i="3"/>
  <c r="B36" i="3" s="1"/>
  <c r="E17" i="2"/>
  <c r="D17" i="2"/>
  <c r="H17" i="2" s="1"/>
  <c r="D14" i="2"/>
  <c r="D12" i="2"/>
  <c r="J82" i="1"/>
  <c r="I82" i="1"/>
  <c r="H82" i="1"/>
  <c r="G82" i="1"/>
  <c r="L81" i="1"/>
  <c r="M81" i="1" s="1"/>
  <c r="J81" i="1"/>
  <c r="I81" i="1"/>
  <c r="G81" i="1"/>
  <c r="L80" i="1"/>
  <c r="L82" i="1" s="1"/>
  <c r="F17" i="2" s="1"/>
  <c r="J80" i="1"/>
  <c r="I80" i="1"/>
  <c r="G80" i="1"/>
  <c r="C34" i="3" s="1"/>
  <c r="H77" i="1"/>
  <c r="D16" i="2" s="1"/>
  <c r="L76" i="1"/>
  <c r="M76" i="1" s="1"/>
  <c r="E33" i="3" s="1"/>
  <c r="G76" i="1"/>
  <c r="J76" i="1" s="1"/>
  <c r="L75" i="1"/>
  <c r="D32" i="3" s="1"/>
  <c r="G75" i="1"/>
  <c r="C32" i="3" s="1"/>
  <c r="L74" i="1"/>
  <c r="M74" i="1" s="1"/>
  <c r="E31" i="3" s="1"/>
  <c r="G74" i="1"/>
  <c r="J74" i="1" s="1"/>
  <c r="L73" i="1"/>
  <c r="M73" i="1" s="1"/>
  <c r="G73" i="1"/>
  <c r="J73" i="1" s="1"/>
  <c r="L72" i="1"/>
  <c r="D30" i="3" s="1"/>
  <c r="G72" i="1"/>
  <c r="J72" i="1" s="1"/>
  <c r="L71" i="1"/>
  <c r="M71" i="1" s="1"/>
  <c r="G71" i="1"/>
  <c r="J71" i="1" s="1"/>
  <c r="L70" i="1"/>
  <c r="M70" i="1" s="1"/>
  <c r="G70" i="1"/>
  <c r="J70" i="1" s="1"/>
  <c r="H67" i="1"/>
  <c r="J67" i="1" s="1"/>
  <c r="G67" i="1"/>
  <c r="I67" i="1" s="1"/>
  <c r="G66" i="1"/>
  <c r="C28" i="3" s="1"/>
  <c r="G65" i="1"/>
  <c r="C29" i="3" s="1"/>
  <c r="H62" i="1"/>
  <c r="G61" i="1"/>
  <c r="J61" i="1" s="1"/>
  <c r="G60" i="1"/>
  <c r="L60" i="1" s="1"/>
  <c r="M60" i="1" s="1"/>
  <c r="G59" i="1"/>
  <c r="C27" i="3" s="1"/>
  <c r="I58" i="1"/>
  <c r="G58" i="1"/>
  <c r="L58" i="1" s="1"/>
  <c r="H55" i="1"/>
  <c r="H84" i="1" s="1"/>
  <c r="L54" i="1"/>
  <c r="M54" i="1" s="1"/>
  <c r="E23" i="3" s="1"/>
  <c r="J54" i="1"/>
  <c r="I54" i="1"/>
  <c r="G54" i="1"/>
  <c r="L53" i="1"/>
  <c r="M53" i="1" s="1"/>
  <c r="J53" i="1"/>
  <c r="I53" i="1"/>
  <c r="G53" i="1"/>
  <c r="L52" i="1"/>
  <c r="M52" i="1" s="1"/>
  <c r="E22" i="3" s="1"/>
  <c r="J52" i="1"/>
  <c r="I52" i="1"/>
  <c r="G52" i="1"/>
  <c r="L51" i="1"/>
  <c r="M51" i="1" s="1"/>
  <c r="J51" i="1"/>
  <c r="I51" i="1"/>
  <c r="G51" i="1"/>
  <c r="L50" i="1"/>
  <c r="M50" i="1" s="1"/>
  <c r="E20" i="3" s="1"/>
  <c r="J50" i="1"/>
  <c r="I50" i="1"/>
  <c r="G50" i="1"/>
  <c r="L49" i="1"/>
  <c r="M49" i="1" s="1"/>
  <c r="E19" i="3" s="1"/>
  <c r="J49" i="1"/>
  <c r="I49" i="1"/>
  <c r="G49" i="1"/>
  <c r="L48" i="1"/>
  <c r="M48" i="1" s="1"/>
  <c r="J48" i="1"/>
  <c r="I48" i="1"/>
  <c r="G48" i="1"/>
  <c r="G55" i="1" s="1"/>
  <c r="H45" i="1"/>
  <c r="L44" i="1"/>
  <c r="M44" i="1" s="1"/>
  <c r="E25" i="3" s="1"/>
  <c r="J44" i="1"/>
  <c r="I44" i="1"/>
  <c r="G44" i="1"/>
  <c r="L43" i="1"/>
  <c r="M43" i="1" s="1"/>
  <c r="E24" i="3" s="1"/>
  <c r="J43" i="1"/>
  <c r="I43" i="1"/>
  <c r="G43" i="1"/>
  <c r="L42" i="1"/>
  <c r="M42" i="1" s="1"/>
  <c r="E17" i="3" s="1"/>
  <c r="J42" i="1"/>
  <c r="G42" i="1"/>
  <c r="I42" i="1" s="1"/>
  <c r="L41" i="1"/>
  <c r="M41" i="1" s="1"/>
  <c r="J41" i="1"/>
  <c r="G41" i="1"/>
  <c r="I41" i="1" s="1"/>
  <c r="L40" i="1"/>
  <c r="M40" i="1" s="1"/>
  <c r="J40" i="1"/>
  <c r="I40" i="1"/>
  <c r="G40" i="1"/>
  <c r="L39" i="1"/>
  <c r="M39" i="1" s="1"/>
  <c r="E15" i="3" s="1"/>
  <c r="J39" i="1"/>
  <c r="I39" i="1"/>
  <c r="G39" i="1"/>
  <c r="L38" i="1"/>
  <c r="M38" i="1" s="1"/>
  <c r="J38" i="1"/>
  <c r="G38" i="1"/>
  <c r="I38" i="1" s="1"/>
  <c r="L37" i="1"/>
  <c r="M37" i="1" s="1"/>
  <c r="J37" i="1"/>
  <c r="G37" i="1"/>
  <c r="I37" i="1" s="1"/>
  <c r="L36" i="1"/>
  <c r="M36" i="1" s="1"/>
  <c r="E16" i="3" s="1"/>
  <c r="J36" i="1"/>
  <c r="I36" i="1"/>
  <c r="G36" i="1"/>
  <c r="L35" i="1"/>
  <c r="M35" i="1" s="1"/>
  <c r="J35" i="1"/>
  <c r="I35" i="1"/>
  <c r="G35" i="1"/>
  <c r="L34" i="1"/>
  <c r="M34" i="1" s="1"/>
  <c r="J34" i="1"/>
  <c r="G34" i="1"/>
  <c r="I34" i="1" s="1"/>
  <c r="L33" i="1"/>
  <c r="M33" i="1" s="1"/>
  <c r="J33" i="1"/>
  <c r="G33" i="1"/>
  <c r="I33" i="1" s="1"/>
  <c r="L32" i="1"/>
  <c r="M32" i="1" s="1"/>
  <c r="E12" i="3" s="1"/>
  <c r="J32" i="1"/>
  <c r="I32" i="1"/>
  <c r="G32" i="1"/>
  <c r="L31" i="1"/>
  <c r="M31" i="1" s="1"/>
  <c r="J31" i="1"/>
  <c r="I31" i="1"/>
  <c r="G31" i="1"/>
  <c r="L30" i="1"/>
  <c r="D11" i="3" s="1"/>
  <c r="J30" i="1"/>
  <c r="G30" i="1"/>
  <c r="I30" i="1" s="1"/>
  <c r="L29" i="1"/>
  <c r="M29" i="1" s="1"/>
  <c r="J29" i="1"/>
  <c r="G29" i="1"/>
  <c r="I29" i="1" s="1"/>
  <c r="L28" i="1"/>
  <c r="M28" i="1" s="1"/>
  <c r="J28" i="1"/>
  <c r="I28" i="1"/>
  <c r="G28" i="1"/>
  <c r="L27" i="1"/>
  <c r="M27" i="1" s="1"/>
  <c r="J27" i="1"/>
  <c r="I27" i="1"/>
  <c r="G27" i="1"/>
  <c r="L26" i="1"/>
  <c r="M26" i="1" s="1"/>
  <c r="J26" i="1"/>
  <c r="G26" i="1"/>
  <c r="I26" i="1" s="1"/>
  <c r="L25" i="1"/>
  <c r="L45" i="1" s="1"/>
  <c r="F12" i="2" s="1"/>
  <c r="J25" i="1"/>
  <c r="G25" i="1"/>
  <c r="I25" i="1" s="1"/>
  <c r="H22" i="1"/>
  <c r="D11" i="2" s="1"/>
  <c r="L21" i="1"/>
  <c r="D9" i="3" s="1"/>
  <c r="G21" i="1"/>
  <c r="J21" i="1" s="1"/>
  <c r="L20" i="1"/>
  <c r="D8" i="3" s="1"/>
  <c r="G20" i="1"/>
  <c r="J20" i="1" s="1"/>
  <c r="L19" i="1"/>
  <c r="M19" i="1" s="1"/>
  <c r="G19" i="1"/>
  <c r="J19" i="1" s="1"/>
  <c r="H16" i="1"/>
  <c r="D10" i="2" s="1"/>
  <c r="G15" i="1"/>
  <c r="L15" i="1" s="1"/>
  <c r="G14" i="1"/>
  <c r="L14" i="1" s="1"/>
  <c r="M14" i="1" s="1"/>
  <c r="G13" i="1"/>
  <c r="C35" i="3" s="1"/>
  <c r="M58" i="1" l="1"/>
  <c r="D26" i="3"/>
  <c r="E10" i="3"/>
  <c r="E13" i="2"/>
  <c r="I55" i="1"/>
  <c r="M77" i="1"/>
  <c r="G16" i="2" s="1"/>
  <c r="E30" i="3"/>
  <c r="D18" i="2"/>
  <c r="J62" i="1"/>
  <c r="E13" i="3"/>
  <c r="D6" i="3"/>
  <c r="M15" i="1"/>
  <c r="E6" i="3" s="1"/>
  <c r="E7" i="3"/>
  <c r="M22" i="1"/>
  <c r="G11" i="2" s="1"/>
  <c r="M55" i="1"/>
  <c r="G13" i="2" s="1"/>
  <c r="E18" i="3"/>
  <c r="E14" i="3"/>
  <c r="J5" i="2"/>
  <c r="M72" i="1"/>
  <c r="G62" i="1"/>
  <c r="G16" i="1"/>
  <c r="M21" i="1"/>
  <c r="E9" i="3" s="1"/>
  <c r="I59" i="1"/>
  <c r="I17" i="2"/>
  <c r="D16" i="3"/>
  <c r="I65" i="1"/>
  <c r="L59" i="1"/>
  <c r="J65" i="1"/>
  <c r="I71" i="1"/>
  <c r="I75" i="1"/>
  <c r="E15" i="2"/>
  <c r="H15" i="2" s="1"/>
  <c r="G22" i="1"/>
  <c r="J59" i="1"/>
  <c r="M80" i="1"/>
  <c r="D15" i="2"/>
  <c r="L65" i="1"/>
  <c r="J75" i="1"/>
  <c r="C21" i="3"/>
  <c r="C36" i="3" s="1"/>
  <c r="C33" i="3"/>
  <c r="L77" i="1"/>
  <c r="F16" i="2" s="1"/>
  <c r="I60" i="1"/>
  <c r="M75" i="1"/>
  <c r="E32" i="3" s="1"/>
  <c r="D13" i="3"/>
  <c r="D33" i="3"/>
  <c r="I13" i="1"/>
  <c r="I66" i="1"/>
  <c r="D17" i="3"/>
  <c r="J60" i="1"/>
  <c r="G45" i="1"/>
  <c r="I61" i="1"/>
  <c r="L22" i="1"/>
  <c r="F11" i="2" s="1"/>
  <c r="J13" i="1"/>
  <c r="I19" i="1"/>
  <c r="J66" i="1"/>
  <c r="I72" i="1"/>
  <c r="I76" i="1"/>
  <c r="D13" i="2"/>
  <c r="I13" i="2" s="1"/>
  <c r="L13" i="1"/>
  <c r="L66" i="1"/>
  <c r="C26" i="3"/>
  <c r="D34" i="3"/>
  <c r="D10" i="3"/>
  <c r="M25" i="1"/>
  <c r="M45" i="1" s="1"/>
  <c r="G12" i="2" s="1"/>
  <c r="L55" i="1"/>
  <c r="F13" i="2" s="1"/>
  <c r="L61" i="1"/>
  <c r="I73" i="1"/>
  <c r="I14" i="1"/>
  <c r="J55" i="1"/>
  <c r="G77" i="1"/>
  <c r="J14" i="1"/>
  <c r="I20" i="1"/>
  <c r="C31" i="3"/>
  <c r="D31" i="3"/>
  <c r="I15" i="1"/>
  <c r="M20" i="1"/>
  <c r="E8" i="3" s="1"/>
  <c r="M30" i="1"/>
  <c r="E11" i="3" s="1"/>
  <c r="J58" i="1"/>
  <c r="J15" i="1"/>
  <c r="I21" i="1"/>
  <c r="I70" i="1"/>
  <c r="I74" i="1"/>
  <c r="D7" i="3"/>
  <c r="D24" i="3"/>
  <c r="E11" i="2" l="1"/>
  <c r="J22" i="1"/>
  <c r="I22" i="1"/>
  <c r="D27" i="3"/>
  <c r="M59" i="1"/>
  <c r="E27" i="3" s="1"/>
  <c r="I62" i="1"/>
  <c r="E14" i="2"/>
  <c r="J45" i="1"/>
  <c r="E12" i="2"/>
  <c r="I45" i="1"/>
  <c r="H13" i="2"/>
  <c r="G84" i="1"/>
  <c r="E10" i="2"/>
  <c r="I16" i="1"/>
  <c r="J16" i="1"/>
  <c r="E16" i="2"/>
  <c r="I77" i="1"/>
  <c r="J77" i="1"/>
  <c r="M61" i="1"/>
  <c r="E21" i="3" s="1"/>
  <c r="D21" i="3"/>
  <c r="D28" i="3"/>
  <c r="D36" i="3" s="1"/>
  <c r="M66" i="1"/>
  <c r="E28" i="3" s="1"/>
  <c r="M13" i="1"/>
  <c r="D35" i="3"/>
  <c r="L16" i="1"/>
  <c r="L67" i="1"/>
  <c r="F15" i="2" s="1"/>
  <c r="D29" i="3"/>
  <c r="M65" i="1"/>
  <c r="I15" i="2"/>
  <c r="M82" i="1"/>
  <c r="G17" i="2" s="1"/>
  <c r="E34" i="3"/>
  <c r="E26" i="3"/>
  <c r="M62" i="1"/>
  <c r="G14" i="2" s="1"/>
  <c r="L62" i="1"/>
  <c r="F14" i="2" s="1"/>
  <c r="H10" i="2" l="1"/>
  <c r="E18" i="2"/>
  <c r="I18" i="2" s="1"/>
  <c r="I10" i="2"/>
  <c r="J14" i="2"/>
  <c r="G85" i="1"/>
  <c r="F35" i="3"/>
  <c r="F31" i="3"/>
  <c r="F27" i="3"/>
  <c r="F23" i="3"/>
  <c r="F19" i="3"/>
  <c r="F15" i="3"/>
  <c r="F11" i="3"/>
  <c r="F7" i="3"/>
  <c r="I84" i="1"/>
  <c r="J16" i="2"/>
  <c r="J13" i="2"/>
  <c r="F34" i="3"/>
  <c r="F30" i="3"/>
  <c r="F26" i="3"/>
  <c r="F22" i="3"/>
  <c r="F18" i="3"/>
  <c r="F14" i="3"/>
  <c r="F10" i="3"/>
  <c r="F6" i="3"/>
  <c r="J10" i="2"/>
  <c r="F29" i="3"/>
  <c r="F25" i="3"/>
  <c r="F21" i="3"/>
  <c r="F17" i="3"/>
  <c r="F13" i="3"/>
  <c r="F9" i="3"/>
  <c r="J15" i="2"/>
  <c r="F33" i="3"/>
  <c r="J12" i="2"/>
  <c r="J17" i="2"/>
  <c r="F32" i="3"/>
  <c r="F28" i="3"/>
  <c r="F24" i="3"/>
  <c r="F20" i="3"/>
  <c r="F16" i="3"/>
  <c r="F12" i="3"/>
  <c r="F8" i="3"/>
  <c r="A5" i="2"/>
  <c r="J11" i="2"/>
  <c r="J84" i="1"/>
  <c r="E29" i="3"/>
  <c r="E36" i="3" s="1"/>
  <c r="M67" i="1"/>
  <c r="G15" i="2" s="1"/>
  <c r="I12" i="2"/>
  <c r="H12" i="2"/>
  <c r="H14" i="2"/>
  <c r="I14" i="2"/>
  <c r="L84" i="1"/>
  <c r="F10" i="2"/>
  <c r="F18" i="2" s="1"/>
  <c r="H16" i="2"/>
  <c r="I16" i="2"/>
  <c r="E35" i="3"/>
  <c r="M16" i="1"/>
  <c r="H11" i="2"/>
  <c r="I11" i="2"/>
  <c r="D5" i="2" l="1"/>
  <c r="L85" i="1"/>
  <c r="M84" i="1"/>
  <c r="G10" i="2"/>
  <c r="G18" i="2" s="1"/>
  <c r="H18" i="2"/>
  <c r="G5" i="2" l="1"/>
  <c r="M85" i="1"/>
</calcChain>
</file>

<file path=xl/sharedStrings.xml><?xml version="1.0" encoding="utf-8"?>
<sst xmlns="http://schemas.openxmlformats.org/spreadsheetml/2006/main" count="297" uniqueCount="200">
  <si>
    <t>KOSTENBERECHNUNG  |  DIN 276 – Baukostenplanung &amp; Kostenermittlung</t>
  </si>
  <si>
    <t>Leistungsphase: Kostenberechnung (LPH 3 HOAI)  ·  Kostenermittlung nach DIN 276  ·  Alle Beträge in EUR</t>
  </si>
  <si>
    <t>Stand: 05.08.2026  ·  Version 2026-1</t>
  </si>
  <si>
    <t>Projektbezeichnung:</t>
  </si>
  <si>
    <t>Neubau Büro- und Verwaltungsgebäude</t>
  </si>
  <si>
    <t>Bauherr / Auftraggeber:</t>
  </si>
  <si>
    <t>Muster Bauherr GmbH &amp; Co. KG</t>
  </si>
  <si>
    <t>Projektnummer:</t>
  </si>
  <si>
    <t>PRJ-2026-0042</t>
  </si>
  <si>
    <t>Projektstandort:</t>
  </si>
  <si>
    <t>Musterstraße 1–3, 10115 Berlin</t>
  </si>
  <si>
    <t>Planungsbüro / Architekt:</t>
  </si>
  <si>
    <t>Planungsbüro Arch. &amp; Ing.</t>
  </si>
  <si>
    <t>HOAI Leistungsphase:</t>
  </si>
  <si>
    <t>LPH 3 – Entwurfsplanung</t>
  </si>
  <si>
    <t>Nutzungsart:</t>
  </si>
  <si>
    <t>Büro / Verwaltung (Kategorie III)</t>
  </si>
  <si>
    <t>Sachbearbeiter:</t>
  </si>
  <si>
    <t>Dipl.-Ing. M. Bauer</t>
  </si>
  <si>
    <t>Kostenstand:</t>
  </si>
  <si>
    <t>Kostenberechnung</t>
  </si>
  <si>
    <t>Brutto-Grundfläche:</t>
  </si>
  <si>
    <t>3.250 m² BGF</t>
  </si>
  <si>
    <t>Planungsdatum:</t>
  </si>
  <si>
    <t>05.08.2026</t>
  </si>
  <si>
    <t>MwSt.-Satz:</t>
  </si>
  <si>
    <t>19 %</t>
  </si>
  <si>
    <t>▶ EINGABE: Menge (Sp. D), EP (Sp. F) in blau | GP &amp; alle Summen: automatisch</t>
  </si>
  <si>
    <t>■ Im Budget</t>
  </si>
  <si>
    <t>■ Über Budget</t>
  </si>
  <si>
    <t>■ KG-Gruppe</t>
  </si>
  <si>
    <t>Pos.</t>
  </si>
  <si>
    <t>KG</t>
  </si>
  <si>
    <t>Bezeichnung der Leistung / des Bauteils</t>
  </si>
  <si>
    <t>Menge</t>
  </si>
  <si>
    <t>Einheit</t>
  </si>
  <si>
    <t>EP (€)</t>
  </si>
  <si>
    <t>GP Netto (€)</t>
  </si>
  <si>
    <t>Budget (€)</t>
  </si>
  <si>
    <t>Abw. zum
Budget (€)</t>
  </si>
  <si>
    <t>Abw.
(%)</t>
  </si>
  <si>
    <t>Risiko-
aufschlag %</t>
  </si>
  <si>
    <t>GP inkl.
Risiko (€)</t>
  </si>
  <si>
    <t>GP inkl.
MwSt. (€)</t>
  </si>
  <si>
    <t>Gewerk / Vergabeeinheit</t>
  </si>
  <si>
    <t xml:space="preserve">  KG 100  ·  GRUNDSTÜCK</t>
  </si>
  <si>
    <t>Grundstückskauf / Kaufpreis</t>
  </si>
  <si>
    <t>psch</t>
  </si>
  <si>
    <t>Grundstück/Erwerb</t>
  </si>
  <si>
    <t>Grundstücksnebenkosten (Notar, Grundbuch)</t>
  </si>
  <si>
    <t>Freimachen des Grundstücks</t>
  </si>
  <si>
    <t>Abbruch/Freimachen</t>
  </si>
  <si>
    <t>SUMME KG 100</t>
  </si>
  <si>
    <t xml:space="preserve">  KG 200  ·  HERRICHTEN &amp; ERSCHLIEßEN</t>
  </si>
  <si>
    <t>Herrichten (Baustelleneinrichtung)</t>
  </si>
  <si>
    <t>Baustelleneinrichtung</t>
  </si>
  <si>
    <t>Öffentl. Erschließung (Wasser, Strom)</t>
  </si>
  <si>
    <t>Erschließung</t>
  </si>
  <si>
    <t>Grundleitungen Entwässerung</t>
  </si>
  <si>
    <t>m</t>
  </si>
  <si>
    <t>Tiefbau/Erdarbeiten</t>
  </si>
  <si>
    <t>SUMME KG 200</t>
  </si>
  <si>
    <t xml:space="preserve">  KG 300  ·  BAUWERK – BAUKONSTRUKTIONEN</t>
  </si>
  <si>
    <t>Erdaushub, Abtransport</t>
  </si>
  <si>
    <t>m³</t>
  </si>
  <si>
    <t>Verbauarbeiten (Spundwand)</t>
  </si>
  <si>
    <t>m²</t>
  </si>
  <si>
    <t>Bodenplatte Stahlbeton d=35cm</t>
  </si>
  <si>
    <t>Rohbau/Beton</t>
  </si>
  <si>
    <t>Streifenfundamente</t>
  </si>
  <si>
    <t>Außenwand Stahlbeton d=25cm</t>
  </si>
  <si>
    <t>Außenwand Mauerwerk KS 24cm</t>
  </si>
  <si>
    <t>Mauerarbeiten</t>
  </si>
  <si>
    <t>Stützen / Träger Stahlbeton</t>
  </si>
  <si>
    <t>Stk</t>
  </si>
  <si>
    <t>Außenwandbekleidung Wärmedämmverbundsystem</t>
  </si>
  <si>
    <t>Wärmedämmung</t>
  </si>
  <si>
    <t>Außenputz mineralisch</t>
  </si>
  <si>
    <t>Putzarbeiten</t>
  </si>
  <si>
    <t>Innenwand Stahlbeton d=20cm</t>
  </si>
  <si>
    <t>Nichttragende Innenwand GK d=10cm</t>
  </si>
  <si>
    <t>Trockenbau</t>
  </si>
  <si>
    <t>Innentüren Stahl/Holz einfl.</t>
  </si>
  <si>
    <t>Schreiner/Türen</t>
  </si>
  <si>
    <t>Innenputz / Wandbekleidung</t>
  </si>
  <si>
    <t>Decke Stahlbeton d=25cm (Flachdecke)</t>
  </si>
  <si>
    <t>Estrich Zement d=6cm</t>
  </si>
  <si>
    <t>Estricharbeiten</t>
  </si>
  <si>
    <t>Unterdecke Metall / Mineralfaser</t>
  </si>
  <si>
    <t>Dachkonstruktion Stahlbeton Flachdach</t>
  </si>
  <si>
    <t>Dachabdichtung / Begrünung ext.</t>
  </si>
  <si>
    <t>Dachdecker</t>
  </si>
  <si>
    <t>Aufzugsschacht (3 Aufzüge)</t>
  </si>
  <si>
    <t>Aufzug</t>
  </si>
  <si>
    <t>Gerüst Außen</t>
  </si>
  <si>
    <t>Gerüstbau</t>
  </si>
  <si>
    <t>SUMME KG 300</t>
  </si>
  <si>
    <t xml:space="preserve">  KG 400  ·  BAUWERK – TECHNISCHE ANLAGEN</t>
  </si>
  <si>
    <t>Sanitäranlagen (Abwasser / Wasser)</t>
  </si>
  <si>
    <t>Sanitär/HLS</t>
  </si>
  <si>
    <t>Heizungsanlage Fernwärme / Wärmetauscher</t>
  </si>
  <si>
    <t>Heizung/HLS</t>
  </si>
  <si>
    <t>Lüftungsanlage RLT Bürogeschosse</t>
  </si>
  <si>
    <t>Lüftung/HLS</t>
  </si>
  <si>
    <t>Elektroinstallation Stark- &amp; Schwachstrom</t>
  </si>
  <si>
    <t>Elektro</t>
  </si>
  <si>
    <t>Fernmelde- &amp; informationstechn. Anlagen</t>
  </si>
  <si>
    <t>Elektro/IT</t>
  </si>
  <si>
    <t>Aufzugsanlagen (3 Pers.-Aufzüge)</t>
  </si>
  <si>
    <t>Nutzungsspezif. Anlagen (Server/USV)</t>
  </si>
  <si>
    <t>IT-Infrastruktur</t>
  </si>
  <si>
    <t>SUMME KG 400</t>
  </si>
  <si>
    <t xml:space="preserve">  KG 500  ·  AUßENANLAGEN</t>
  </si>
  <si>
    <t>Geländegestaltung / Erdarbeiten Außen</t>
  </si>
  <si>
    <t>Garten/Außen</t>
  </si>
  <si>
    <t>Befestigte Flächen (Parkplatz, Zufahrt)</t>
  </si>
  <si>
    <t>Pflasterarbeiten</t>
  </si>
  <si>
    <t>Bepflanzung &amp; Rasen</t>
  </si>
  <si>
    <t>Außenbeleuchtung</t>
  </si>
  <si>
    <t>SUMME KG 500</t>
  </si>
  <si>
    <t xml:space="preserve">  KG 600  ·  AUSSTATTUNG &amp; KUNSTWERKE</t>
  </si>
  <si>
    <t>Allgemeine Ausstattung (Einbauten)</t>
  </si>
  <si>
    <t>Schreiner/Ausstatt.</t>
  </si>
  <si>
    <t>Besondere Ausstattung (Lounge, Empfang)</t>
  </si>
  <si>
    <t>Innenausbau</t>
  </si>
  <si>
    <t>SUMME KG 600</t>
  </si>
  <si>
    <t xml:space="preserve">  KG 700  ·  PLANUNGS- &amp; BAUNEBENKOSTEN</t>
  </si>
  <si>
    <t>Bauherrenaufgaben / Projektsteuerung</t>
  </si>
  <si>
    <t>Planungskosten</t>
  </si>
  <si>
    <t>Architektenhonorar (HOAI)</t>
  </si>
  <si>
    <t>Tragwerksplanung (HOAI)</t>
  </si>
  <si>
    <t>TGA-Fachplanung HLS &amp; ELT</t>
  </si>
  <si>
    <t>Gutachten &amp; Untersuchungen (Boden, Brand)</t>
  </si>
  <si>
    <t>Gutachten</t>
  </si>
  <si>
    <t>Genehmigungen &amp; Abgaben</t>
  </si>
  <si>
    <t>Behörden/Gebühren</t>
  </si>
  <si>
    <t>Allg. Baunebenkosten (Baustrom, Wasser)</t>
  </si>
  <si>
    <t>Baunebenkosten</t>
  </si>
  <si>
    <t>SUMME KG 700</t>
  </si>
  <si>
    <t xml:space="preserve">  KG 800  ·  FINANZIERUNG</t>
  </si>
  <si>
    <t>Finanzierungskosten (Zinsen Bauzeit)</t>
  </si>
  <si>
    <t>Finanzierung</t>
  </si>
  <si>
    <t>Sonstige Finanzierungskosten</t>
  </si>
  <si>
    <t>SUMME KG 800</t>
  </si>
  <si>
    <t>GESAMTKOSTEN  (KG 100–800)</t>
  </si>
  <si>
    <t>Kennwert €/m² BGF (3.250 m²)</t>
  </si>
  <si>
    <t>KOSTENÜBERSICHT  |  Aggregiert nach DIN 276 Kostengruppen</t>
  </si>
  <si>
    <t>Alle Werte verknüpft aus Kostenberechnung  ·  Automatische Aktualisierung  ·  DIN 276 (aktuelle Fassung)</t>
  </si>
  <si>
    <t>GESAMTKOSTEN NETTO</t>
  </si>
  <si>
    <t>INKL. RISIKOPUFFER</t>
  </si>
  <si>
    <t>INKL. MWST. 19%</t>
  </si>
  <si>
    <t>BUDGET GESAMT</t>
  </si>
  <si>
    <t>KOSTENERMITTLUNG NACH HAUPTKOSTENGRUPPEN  (DIN 276)</t>
  </si>
  <si>
    <t>Kostengruppe</t>
  </si>
  <si>
    <t>Netto (€)</t>
  </si>
  <si>
    <t>inkl. Risiko (€)</t>
  </si>
  <si>
    <t>inkl. MwSt. (€)</t>
  </si>
  <si>
    <t>Abw. Netto (€)</t>
  </si>
  <si>
    <t>Abw. (%)</t>
  </si>
  <si>
    <t>Anteil an Gesamt</t>
  </si>
  <si>
    <t>100</t>
  </si>
  <si>
    <t>KG 100 – Grundstück</t>
  </si>
  <si>
    <t>200</t>
  </si>
  <si>
    <t>KG 200 – Herrichten &amp; Erschließen</t>
  </si>
  <si>
    <t>300</t>
  </si>
  <si>
    <t>KG 300 – Bauwerk Baukonstruktionen</t>
  </si>
  <si>
    <t>400</t>
  </si>
  <si>
    <t>KG 400 – Bauwerk Technische Anlagen</t>
  </si>
  <si>
    <t>500</t>
  </si>
  <si>
    <t>KG 500 – Außenanlagen</t>
  </si>
  <si>
    <t>600</t>
  </si>
  <si>
    <t>KG 600 – Ausstattung &amp; Kunstwerke</t>
  </si>
  <si>
    <t>700</t>
  </si>
  <si>
    <t>KG 700 – Planungs- &amp; Baunebenkosten</t>
  </si>
  <si>
    <t>800</t>
  </si>
  <si>
    <t>KG 800 – Finanzierung</t>
  </si>
  <si>
    <t>GESAMTKOSTEN KG 100–800</t>
  </si>
  <si>
    <t>1</t>
  </si>
  <si>
    <t>KOSTENAUSWERTUNG  |  Nach Gewerken / Vergabeeinheiten (VE)</t>
  </si>
  <si>
    <t>Summierung per SUMMEWENN aus Kostenberechnung  ·  Basis für Vergabe und Ausschreibung (HOAI LPH 6)</t>
  </si>
  <si>
    <t>▸  VERGABEEINHEITEN (Gewerke)</t>
  </si>
  <si>
    <t>Anzahl Pos.</t>
  </si>
  <si>
    <t>Anteil Netto</t>
  </si>
  <si>
    <t>GESAMT</t>
  </si>
  <si>
    <t>100%</t>
  </si>
  <si>
    <t>ANLEITUNG  |  Kostenberechnung nach DIN 276 – Nutzungshinweise</t>
  </si>
  <si>
    <t>AUFBAU DIESER VORLAGE (4 Tabellenblätter)</t>
  </si>
  <si>
    <t>1) Kostenberechnung: Hauptliste aller Positionen nach DIN 276. Hier Menge, Einheitspreis und Budget eintragen. 2) Kostenübersicht DIN 276: Automatische KPI-Übersicht und KG-Aggregation. 3) Auswertung Gewerke: Summierung nach Vergabeeinheiten für Ausschreibung und Vergabe (LPH 6). 4) Anleitung: Diese Seite.</t>
  </si>
  <si>
    <t>SCHRITT 1 – PROJEKTDATEN ANPASSEN</t>
  </si>
  <si>
    <t>Tragen Sie in der Kostenberechnung (Zeile 4–7) Ihre konkreten Projektdaten ein: Projektbezeichnung, Standort, Nutzungsart, BGF, Bauherr, Planungsbüro und Sachbearbeiter. Passen Sie auch den BGF-Wert in der Kennwert-Zeile am Tabellenende an (aktuell: 3.250 m²).</t>
  </si>
  <si>
    <t>SCHRITT 2 – EINGABEFELDER BEFÜLLEN (gelb hinterlegt)</t>
  </si>
  <si>
    <t>Alle Eingabefelder sind gelb hinterlegt und blau beschriftet: D = Menge (z. B. 120 m², 1 psch), F = Einheitspreis (EP in €), H = Budget (€), K = Risikoaufschlag (%). Gesamtpreis GP (Sp. G), Risikobetrag (Sp. L) und Bruttobetrag inkl. MwSt. (Sp. M) berechnen sich automatisch.</t>
  </si>
  <si>
    <t>SCHRITT 3 – POSITIONEN ERGÄNZEN ODER ENTFERNEN</t>
  </si>
  <si>
    <t>Kopieren Sie eine vorhandene Positionszeile, um neue Positionen hinzuzufügen. Wichtig: Übernehmen Sie dabei Formeln und Format mit. Die KG-Subtotal-Zeilen (farbig) bitte nicht verschieben. Passen Sie ggf. die SUMME-Formeln in den Subtotal-Zeilen an, wenn Sie Zeilen außerhalb des bisherigen Bereichs einfügen. Nicht benötigte Positionen können Sie leeren oder ausblenden (nicht löschen).</t>
  </si>
  <si>
    <t>KOSTENGRUPPEN DIN 276 – ÜBERSICHT</t>
  </si>
  <si>
    <t>KG 100 Grundstück: Erwerb, Nebenkosten, Freimachen. KG 200 Herrichten &amp; Erschließen: Baustelleneinr., öffentl. Erschließung, Grundleitungen. KG 300 Bauwerk Baukonstruktionen: Baugrube, Gründung, Außen- und Innenwände, Decken, Dach. KG 400 Technische Anlagen: Sanitär, Heizung, Lüftung, Elektro, Aufzüge. KG 500 Außenanlagen: Geländegestaltung, befestigte Flächen, Bepflanzung. KG 600 Ausstattung: Einbauten, besondere Ausstattung. KG 700 Baunebenkosten: Architekten- und Ingenieurhonorare (HOAI), Gutachten, Genehmigungen. KG 800 Finanzierung: Zinsen und Finanzierungskosten der Bauzeit.</t>
  </si>
  <si>
    <t>RISIKOAUFSCHLAG &amp; KOSTENTOLERANZ</t>
  </si>
  <si>
    <t>Die DIN 276 sieht je Planungsphase unterschiedliche Kostentoleranzen vor: Kostenrahmen (LPH 1/2): ±30 %, Kostenschätzung (LPH 2): ±30 %, Kostenberechnung (LPH 3): ±20 %, Kostenanschlag (LPH 6/7): ±10 %, Kostenfeststellung (LPH 8): ±5 %. Der Risikoaufschlag (Spalte K) deckt projektspezifische Unsicherheiten ab (typisch: 3–10 %).</t>
  </si>
  <si>
    <t>AUSWERTUNG &amp; KENNWERTE</t>
  </si>
  <si>
    <t>Die Registerkarte 'Kostenübersicht DIN 276' zeigt KPIs (Netto, inkl. Risiko, inkl. MwSt., Budget) und eine automatische Kostenaufstellung je KG. Der BGF-Kennwert (€/m²) ermöglicht den Vergleich mit Referenzprojekten (z. B. BKI-Kostenkennwerte). Die Registerkarte 'Auswertung Gewerke' summiert per SUMMEWENN alle Positionen nach Vergabeeinheit und bildet die Basis für Ausschreibung und Vergabe (HOAI LPH 6–7).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</si>
</sst>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0&quot; €/m²&quot;"/>
    <numFmt numFmtId="166" formatCode="#,##0&quot; €&quot;"/>
  </numFmts>
  <fonts count="26" x14ac:knownFonts="1">
    <font>
      <sz val="11"/>
      <color theme="1"/>
      <name val="Calibri"/>
      <family val="2"/>
      <charset val="1"/>
    </font>
    <font>
      <b/>
      <sz val="21"/>
      <color rgb="FFFFFFFF"/>
      <name val="Calibri"/>
      <charset val="1"/>
    </font>
    <font>
      <i/>
      <sz val="10"/>
      <color rgb="FFFFFFFF"/>
      <name val="Calibri"/>
      <charset val="1"/>
    </font>
    <font>
      <b/>
      <sz val="9"/>
      <color rgb="FF0D3B66"/>
      <name val="Calibri"/>
      <charset val="1"/>
    </font>
    <font>
      <sz val="10"/>
      <color rgb="FF000000"/>
      <name val="Calibri"/>
      <charset val="1"/>
    </font>
    <font>
      <sz val="9"/>
      <color rgb="FF155724"/>
      <name val="Calibri"/>
      <charset val="1"/>
    </font>
    <font>
      <sz val="9"/>
      <color rgb="FF7B1F1F"/>
      <name val="Calibri"/>
      <charset val="1"/>
    </font>
    <font>
      <sz val="9"/>
      <color rgb="FFA0522D"/>
      <name val="Calibri"/>
      <charset val="1"/>
    </font>
    <font>
      <b/>
      <sz val="9"/>
      <color rgb="FFFFFFFF"/>
      <name val="Calibri"/>
      <charset val="1"/>
    </font>
    <font>
      <b/>
      <sz val="10"/>
      <color rgb="FFFFFFFF"/>
      <name val="Calibri"/>
      <charset val="1"/>
    </font>
    <font>
      <b/>
      <sz val="9"/>
      <color rgb="FF000000"/>
      <name val="Calibri"/>
      <charset val="1"/>
    </font>
    <font>
      <b/>
      <sz val="9"/>
      <color rgb="FFA0522D"/>
      <name val="Calibri"/>
      <charset val="1"/>
    </font>
    <font>
      <sz val="9"/>
      <color rgb="FF000000"/>
      <name val="Calibri"/>
      <charset val="1"/>
    </font>
    <font>
      <sz val="9"/>
      <color rgb="FF0000FF"/>
      <name val="Calibri"/>
      <charset val="1"/>
    </font>
    <font>
      <i/>
      <sz val="9"/>
      <color rgb="FF444444"/>
      <name val="Calibri"/>
      <charset val="1"/>
    </font>
    <font>
      <b/>
      <sz val="12"/>
      <color rgb="FFFFFFFF"/>
      <name val="Calibri"/>
      <charset val="1"/>
    </font>
    <font>
      <b/>
      <sz val="11"/>
      <color rgb="FFFFFFFF"/>
      <name val="Calibri"/>
      <charset val="1"/>
    </font>
    <font>
      <b/>
      <sz val="10"/>
      <color rgb="FF0D3B66"/>
      <name val="Calibri"/>
      <charset val="1"/>
    </font>
    <font>
      <b/>
      <sz val="17"/>
      <color rgb="FFFFFFFF"/>
      <name val="Calibri"/>
      <charset val="1"/>
    </font>
    <font>
      <i/>
      <sz val="9"/>
      <color rgb="FFFFFFFF"/>
      <name val="Calibri"/>
      <charset val="1"/>
    </font>
    <font>
      <b/>
      <sz val="18"/>
      <color rgb="FF0D3B66"/>
      <name val="Calibri"/>
      <charset val="1"/>
    </font>
    <font>
      <b/>
      <sz val="18"/>
      <color rgb="FFA0522D"/>
      <name val="Calibri"/>
      <charset val="1"/>
    </font>
    <font>
      <b/>
      <sz val="18"/>
      <color rgb="FF155724"/>
      <name val="Calibri"/>
      <charset val="1"/>
    </font>
    <font>
      <b/>
      <sz val="18"/>
      <color rgb="FF1A5276"/>
      <name val="Calibri"/>
      <charset val="1"/>
    </font>
    <font>
      <b/>
      <sz val="15"/>
      <color rgb="FFFFFFFF"/>
      <name val="Calibri"/>
      <charset val="1"/>
    </font>
    <font>
      <sz val="10"/>
      <color rgb="FF1A1A1A"/>
      <name val="Calibri"/>
      <charset val="1"/>
    </font>
  </fonts>
  <fills count="24">
    <fill>
      <patternFill patternType="none"/>
    </fill>
    <fill>
      <patternFill patternType="gray125"/>
    </fill>
    <fill>
      <patternFill patternType="solid">
        <fgColor rgb="FF0D3B66"/>
        <bgColor rgb="FF1A5276"/>
      </patternFill>
    </fill>
    <fill>
      <patternFill patternType="solid">
        <fgColor rgb="FFA0522D"/>
        <bgColor rgb="FF7D6608"/>
      </patternFill>
    </fill>
    <fill>
      <patternFill patternType="solid">
        <fgColor rgb="FFFDFEFE"/>
        <bgColor rgb="FFFFFFFF"/>
      </patternFill>
    </fill>
    <fill>
      <patternFill patternType="solid">
        <fgColor rgb="FFFEF5E7"/>
        <bgColor rgb="FFFDF2E9"/>
      </patternFill>
    </fill>
    <fill>
      <patternFill patternType="solid">
        <fgColor rgb="FFE8F4FD"/>
        <bgColor rgb="FFEBF5FB"/>
      </patternFill>
    </fill>
    <fill>
      <patternFill patternType="solid">
        <fgColor rgb="FF1B6CA8"/>
        <bgColor rgb="FF117A65"/>
      </patternFill>
    </fill>
    <fill>
      <patternFill patternType="solid">
        <fgColor rgb="FFEBF5FB"/>
        <bgColor rgb="FFE8F4FD"/>
      </patternFill>
    </fill>
    <fill>
      <patternFill patternType="solid">
        <fgColor rgb="FFFDF2E9"/>
        <bgColor rgb="FFFEF5E7"/>
      </patternFill>
    </fill>
    <fill>
      <patternFill patternType="solid">
        <fgColor rgb="FF196F3D"/>
        <bgColor rgb="FF117A65"/>
      </patternFill>
    </fill>
    <fill>
      <patternFill patternType="solid">
        <fgColor rgb="FFE9F7EF"/>
        <bgColor rgb="FFE8F8F5"/>
      </patternFill>
    </fill>
    <fill>
      <patternFill patternType="solid">
        <fgColor rgb="FF6C3483"/>
        <bgColor rgb="FF444444"/>
      </patternFill>
    </fill>
    <fill>
      <patternFill patternType="solid">
        <fgColor rgb="FFF4ECF7"/>
        <bgColor rgb="FFF2F3F4"/>
      </patternFill>
    </fill>
    <fill>
      <patternFill patternType="solid">
        <fgColor rgb="FF117A65"/>
        <bgColor rgb="FF196F3D"/>
      </patternFill>
    </fill>
    <fill>
      <patternFill patternType="solid">
        <fgColor rgb="FFE8F8F5"/>
        <bgColor rgb="FFE9F7EF"/>
      </patternFill>
    </fill>
    <fill>
      <patternFill patternType="solid">
        <fgColor rgb="FF7D6608"/>
        <bgColor rgb="FFA0522D"/>
      </patternFill>
    </fill>
    <fill>
      <patternFill patternType="solid">
        <fgColor rgb="FFFEFCE8"/>
        <bgColor rgb="FFFEF5E7"/>
      </patternFill>
    </fill>
    <fill>
      <patternFill patternType="solid">
        <fgColor rgb="FF1A252F"/>
        <bgColor rgb="FF1A1A1A"/>
      </patternFill>
    </fill>
    <fill>
      <patternFill patternType="solid">
        <fgColor rgb="FFF2F3F4"/>
        <bgColor rgb="FFF4F6F7"/>
      </patternFill>
    </fill>
    <fill>
      <patternFill patternType="solid">
        <fgColor rgb="FFF4F6F7"/>
        <bgColor rgb="FFF2F3F4"/>
      </patternFill>
    </fill>
    <fill>
      <patternFill patternType="solid">
        <fgColor rgb="FFD6EAF8"/>
        <bgColor rgb="FFE8F4FD"/>
      </patternFill>
    </fill>
    <fill>
      <patternFill patternType="solid">
        <fgColor rgb="FF155724"/>
        <bgColor rgb="FF196F3D"/>
      </patternFill>
    </fill>
    <fill>
      <patternFill patternType="solid">
        <fgColor rgb="FF1A5276"/>
        <bgColor rgb="FF0D3B66"/>
      </patternFill>
    </fill>
  </fills>
  <borders count="16">
    <border>
      <left/>
      <right/>
      <top/>
      <bottom/>
      <diagonal/>
    </border>
    <border>
      <left/>
      <right/>
      <top/>
      <bottom style="medium">
        <color rgb="FFA0522D"/>
      </bottom>
      <diagonal/>
    </border>
    <border>
      <left style="thin">
        <color rgb="FF0D3B66"/>
      </left>
      <right style="thin">
        <color rgb="FF0D3B66"/>
      </right>
      <top style="medium">
        <color rgb="FF0D3B66"/>
      </top>
      <bottom style="medium">
        <color rgb="FFA0522D"/>
      </bottom>
      <diagonal/>
    </border>
    <border>
      <left style="thin">
        <color rgb="FFBFC9CA"/>
      </left>
      <right style="thin">
        <color rgb="FFBFC9CA"/>
      </right>
      <top style="thin">
        <color rgb="FFBFC9CA"/>
      </top>
      <bottom style="thin">
        <color rgb="FFBFC9CA"/>
      </bottom>
      <diagonal/>
    </border>
    <border>
      <left style="thin">
        <color rgb="FF1B6CA8"/>
      </left>
      <right style="thin">
        <color rgb="FF1B6CA8"/>
      </right>
      <top style="medium">
        <color rgb="FF1B6CA8"/>
      </top>
      <bottom style="medium">
        <color rgb="FFA0522D"/>
      </bottom>
      <diagonal/>
    </border>
    <border>
      <left style="thin">
        <color rgb="FFA0522D"/>
      </left>
      <right style="thin">
        <color rgb="FFA0522D"/>
      </right>
      <top style="medium">
        <color rgb="FFA0522D"/>
      </top>
      <bottom style="medium">
        <color rgb="FFA0522D"/>
      </bottom>
      <diagonal/>
    </border>
    <border>
      <left style="thin">
        <color rgb="FF196F3D"/>
      </left>
      <right style="thin">
        <color rgb="FF196F3D"/>
      </right>
      <top style="medium">
        <color rgb="FF196F3D"/>
      </top>
      <bottom style="medium">
        <color rgb="FFA0522D"/>
      </bottom>
      <diagonal/>
    </border>
    <border>
      <left style="thin">
        <color rgb="FF6C3483"/>
      </left>
      <right style="thin">
        <color rgb="FF6C3483"/>
      </right>
      <top style="medium">
        <color rgb="FF6C3483"/>
      </top>
      <bottom style="medium">
        <color rgb="FFA0522D"/>
      </bottom>
      <diagonal/>
    </border>
    <border>
      <left style="thin">
        <color rgb="FF117A65"/>
      </left>
      <right style="thin">
        <color rgb="FF117A65"/>
      </right>
      <top style="medium">
        <color rgb="FF117A65"/>
      </top>
      <bottom style="medium">
        <color rgb="FFA0522D"/>
      </bottom>
      <diagonal/>
    </border>
    <border>
      <left style="thin">
        <color rgb="FF7D6608"/>
      </left>
      <right style="thin">
        <color rgb="FF7D6608"/>
      </right>
      <top style="medium">
        <color rgb="FF7D6608"/>
      </top>
      <bottom style="medium">
        <color rgb="FFA0522D"/>
      </bottom>
      <diagonal/>
    </border>
    <border>
      <left style="thin">
        <color rgb="FF1A252F"/>
      </left>
      <right style="thin">
        <color rgb="FF1A252F"/>
      </right>
      <top style="medium">
        <color rgb="FF1A252F"/>
      </top>
      <bottom style="medium">
        <color rgb="FFA0522D"/>
      </bottom>
      <diagonal/>
    </border>
    <border>
      <left style="medium">
        <color rgb="FF0D3B66"/>
      </left>
      <right/>
      <top style="medium">
        <color rgb="FF0D3B66"/>
      </top>
      <bottom style="thick">
        <color rgb="FFA0522D"/>
      </bottom>
      <diagonal/>
    </border>
    <border>
      <left style="medium">
        <color rgb="FF0D3B66"/>
      </left>
      <right style="medium">
        <color rgb="FF0D3B66"/>
      </right>
      <top style="medium">
        <color rgb="FF0D3B66"/>
      </top>
      <bottom style="thick">
        <color rgb="FFA0522D"/>
      </bottom>
      <diagonal/>
    </border>
    <border>
      <left style="thin">
        <color rgb="FFBFC9CA"/>
      </left>
      <right/>
      <top style="thin">
        <color rgb="FFBFC9CA"/>
      </top>
      <bottom style="thin">
        <color rgb="FFBFC9CA"/>
      </bottom>
      <diagonal/>
    </border>
    <border>
      <left style="thin">
        <color rgb="FF0D3B66"/>
      </left>
      <right/>
      <top style="thin">
        <color rgb="FF0D3B66"/>
      </top>
      <bottom style="thin">
        <color rgb="FF0D3B66"/>
      </bottom>
      <diagonal/>
    </border>
    <border>
      <left style="thin">
        <color rgb="FF0D3B66"/>
      </left>
      <right style="thin">
        <color rgb="FF0D3B66"/>
      </right>
      <top style="thin">
        <color rgb="FF0D3B66"/>
      </top>
      <bottom style="thin">
        <color rgb="FF0D3B66"/>
      </bottom>
      <diagonal/>
    </border>
  </borders>
  <cellStyleXfs count="1">
    <xf numFmtId="0" fontId="0" fillId="0" borderId="0"/>
  </cellStyleXfs>
  <cellXfs count="175">
    <xf numFmtId="0" fontId="0" fillId="0" borderId="0" xfId="0"/>
    <xf numFmtId="0" fontId="9" fillId="12" borderId="7" xfId="0" applyFont="1" applyFill="1" applyBorder="1" applyAlignment="1">
      <alignment horizontal="left" vertical="center"/>
    </xf>
    <xf numFmtId="0" fontId="9" fillId="12" borderId="0" xfId="0" applyFont="1" applyFill="1" applyAlignment="1">
      <alignment horizontal="left" vertical="center"/>
    </xf>
    <xf numFmtId="0" fontId="9" fillId="10" borderId="6" xfId="0" applyFont="1" applyFill="1" applyBorder="1" applyAlignment="1">
      <alignment horizontal="left" vertical="center"/>
    </xf>
    <xf numFmtId="0" fontId="9" fillId="10" borderId="0" xfId="0" applyFont="1" applyFill="1" applyAlignment="1">
      <alignment horizontal="left" vertical="center"/>
    </xf>
    <xf numFmtId="0" fontId="9" fillId="3" borderId="5" xfId="0" applyFont="1" applyFill="1" applyBorder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9" fillId="7" borderId="4" xfId="0" applyFont="1" applyFill="1" applyBorder="1" applyAlignment="1">
      <alignment horizontal="left" vertical="center"/>
    </xf>
    <xf numFmtId="0" fontId="9" fillId="7" borderId="0" xfId="0" applyFont="1" applyFill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0" fontId="2" fillId="3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2" borderId="2" xfId="0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left" vertical="center"/>
    </xf>
    <xf numFmtId="0" fontId="13" fillId="5" borderId="3" xfId="0" applyFont="1" applyFill="1" applyBorder="1" applyAlignment="1">
      <alignment horizontal="right" vertical="center"/>
    </xf>
    <xf numFmtId="0" fontId="12" fillId="4" borderId="3" xfId="0" applyFont="1" applyFill="1" applyBorder="1" applyAlignment="1">
      <alignment horizontal="center" vertical="center"/>
    </xf>
    <xf numFmtId="4" fontId="13" fillId="5" borderId="3" xfId="0" applyNumberFormat="1" applyFont="1" applyFill="1" applyBorder="1" applyAlignment="1">
      <alignment horizontal="right" vertical="center"/>
    </xf>
    <xf numFmtId="4" fontId="12" fillId="4" borderId="3" xfId="0" applyNumberFormat="1" applyFont="1" applyFill="1" applyBorder="1" applyAlignment="1">
      <alignment horizontal="right" vertical="center"/>
    </xf>
    <xf numFmtId="164" fontId="12" fillId="4" borderId="3" xfId="0" applyNumberFormat="1" applyFont="1" applyFill="1" applyBorder="1" applyAlignment="1">
      <alignment horizontal="right" vertical="center"/>
    </xf>
    <xf numFmtId="9" fontId="13" fillId="5" borderId="3" xfId="0" applyNumberFormat="1" applyFont="1" applyFill="1" applyBorder="1" applyAlignment="1">
      <alignment horizontal="center" vertical="center"/>
    </xf>
    <xf numFmtId="0" fontId="14" fillId="4" borderId="3" xfId="0" applyFont="1" applyFill="1" applyBorder="1" applyAlignment="1">
      <alignment horizontal="left" vertical="center"/>
    </xf>
    <xf numFmtId="0" fontId="10" fillId="6" borderId="3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2" fillId="6" borderId="3" xfId="0" applyFont="1" applyFill="1" applyBorder="1" applyAlignment="1">
      <alignment horizontal="left" vertical="center"/>
    </xf>
    <xf numFmtId="0" fontId="12" fillId="6" borderId="3" xfId="0" applyFont="1" applyFill="1" applyBorder="1" applyAlignment="1">
      <alignment horizontal="center" vertical="center"/>
    </xf>
    <xf numFmtId="4" fontId="12" fillId="6" borderId="3" xfId="0" applyNumberFormat="1" applyFont="1" applyFill="1" applyBorder="1" applyAlignment="1">
      <alignment horizontal="right" vertical="center"/>
    </xf>
    <xf numFmtId="164" fontId="12" fillId="6" borderId="3" xfId="0" applyNumberFormat="1" applyFont="1" applyFill="1" applyBorder="1" applyAlignment="1">
      <alignment horizontal="right" vertical="center"/>
    </xf>
    <xf numFmtId="0" fontId="14" fillId="6" borderId="3" xfId="0" applyFont="1" applyFill="1" applyBorder="1" applyAlignment="1">
      <alignment horizontal="left" vertical="center"/>
    </xf>
    <xf numFmtId="0" fontId="0" fillId="2" borderId="2" xfId="0" applyFill="1" applyBorder="1"/>
    <xf numFmtId="4" fontId="9" fillId="2" borderId="2" xfId="0" applyNumberFormat="1" applyFont="1" applyFill="1" applyBorder="1" applyAlignment="1">
      <alignment horizontal="right" vertical="center"/>
    </xf>
    <xf numFmtId="164" fontId="9" fillId="2" borderId="2" xfId="0" applyNumberFormat="1" applyFont="1" applyFill="1" applyBorder="1" applyAlignment="1">
      <alignment horizontal="right" vertical="center"/>
    </xf>
    <xf numFmtId="0" fontId="10" fillId="8" borderId="3" xfId="0" applyFont="1" applyFill="1" applyBorder="1" applyAlignment="1">
      <alignment horizontal="center" vertical="center"/>
    </xf>
    <xf numFmtId="0" fontId="11" fillId="8" borderId="3" xfId="0" applyFont="1" applyFill="1" applyBorder="1" applyAlignment="1">
      <alignment horizontal="center" vertical="center"/>
    </xf>
    <xf numFmtId="0" fontId="12" fillId="8" borderId="3" xfId="0" applyFont="1" applyFill="1" applyBorder="1" applyAlignment="1">
      <alignment horizontal="left" vertical="center"/>
    </xf>
    <xf numFmtId="0" fontId="12" fillId="8" borderId="3" xfId="0" applyFont="1" applyFill="1" applyBorder="1" applyAlignment="1">
      <alignment horizontal="center" vertical="center"/>
    </xf>
    <xf numFmtId="4" fontId="12" fillId="8" borderId="3" xfId="0" applyNumberFormat="1" applyFont="1" applyFill="1" applyBorder="1" applyAlignment="1">
      <alignment horizontal="right" vertical="center"/>
    </xf>
    <xf numFmtId="164" fontId="12" fillId="8" borderId="3" xfId="0" applyNumberFormat="1" applyFont="1" applyFill="1" applyBorder="1" applyAlignment="1">
      <alignment horizontal="right" vertical="center"/>
    </xf>
    <xf numFmtId="0" fontId="14" fillId="8" borderId="3" xfId="0" applyFont="1" applyFill="1" applyBorder="1" applyAlignment="1">
      <alignment horizontal="left" vertical="center"/>
    </xf>
    <xf numFmtId="0" fontId="0" fillId="7" borderId="4" xfId="0" applyFill="1" applyBorder="1"/>
    <xf numFmtId="4" fontId="9" fillId="7" borderId="4" xfId="0" applyNumberFormat="1" applyFont="1" applyFill="1" applyBorder="1" applyAlignment="1">
      <alignment horizontal="right" vertical="center"/>
    </xf>
    <xf numFmtId="164" fontId="9" fillId="7" borderId="4" xfId="0" applyNumberFormat="1" applyFont="1" applyFill="1" applyBorder="1" applyAlignment="1">
      <alignment horizontal="right" vertical="center"/>
    </xf>
    <xf numFmtId="0" fontId="10" fillId="9" borderId="3" xfId="0" applyFont="1" applyFill="1" applyBorder="1" applyAlignment="1">
      <alignment horizontal="center" vertical="center"/>
    </xf>
    <xf numFmtId="0" fontId="11" fillId="9" borderId="3" xfId="0" applyFont="1" applyFill="1" applyBorder="1" applyAlignment="1">
      <alignment horizontal="center" vertical="center"/>
    </xf>
    <xf numFmtId="0" fontId="12" fillId="9" borderId="3" xfId="0" applyFont="1" applyFill="1" applyBorder="1" applyAlignment="1">
      <alignment horizontal="left" vertical="center"/>
    </xf>
    <xf numFmtId="0" fontId="12" fillId="9" borderId="3" xfId="0" applyFont="1" applyFill="1" applyBorder="1" applyAlignment="1">
      <alignment horizontal="center" vertical="center"/>
    </xf>
    <xf numFmtId="4" fontId="12" fillId="9" borderId="3" xfId="0" applyNumberFormat="1" applyFont="1" applyFill="1" applyBorder="1" applyAlignment="1">
      <alignment horizontal="right" vertical="center"/>
    </xf>
    <xf numFmtId="164" fontId="12" fillId="9" borderId="3" xfId="0" applyNumberFormat="1" applyFont="1" applyFill="1" applyBorder="1" applyAlignment="1">
      <alignment horizontal="right" vertical="center"/>
    </xf>
    <xf numFmtId="0" fontId="14" fillId="9" borderId="3" xfId="0" applyFont="1" applyFill="1" applyBorder="1" applyAlignment="1">
      <alignment horizontal="left" vertical="center"/>
    </xf>
    <xf numFmtId="0" fontId="0" fillId="3" borderId="5" xfId="0" applyFill="1" applyBorder="1"/>
    <xf numFmtId="4" fontId="9" fillId="3" borderId="5" xfId="0" applyNumberFormat="1" applyFont="1" applyFill="1" applyBorder="1" applyAlignment="1">
      <alignment horizontal="right" vertical="center"/>
    </xf>
    <xf numFmtId="164" fontId="9" fillId="3" borderId="5" xfId="0" applyNumberFormat="1" applyFont="1" applyFill="1" applyBorder="1" applyAlignment="1">
      <alignment horizontal="right" vertical="center"/>
    </xf>
    <xf numFmtId="0" fontId="10" fillId="11" borderId="3" xfId="0" applyFont="1" applyFill="1" applyBorder="1" applyAlignment="1">
      <alignment horizontal="center" vertical="center"/>
    </xf>
    <xf numFmtId="0" fontId="11" fillId="11" borderId="3" xfId="0" applyFont="1" applyFill="1" applyBorder="1" applyAlignment="1">
      <alignment horizontal="center" vertical="center"/>
    </xf>
    <xf numFmtId="0" fontId="12" fillId="11" borderId="3" xfId="0" applyFont="1" applyFill="1" applyBorder="1" applyAlignment="1">
      <alignment horizontal="left" vertical="center"/>
    </xf>
    <xf numFmtId="0" fontId="12" fillId="11" borderId="3" xfId="0" applyFont="1" applyFill="1" applyBorder="1" applyAlignment="1">
      <alignment horizontal="center" vertical="center"/>
    </xf>
    <xf numFmtId="4" fontId="12" fillId="11" borderId="3" xfId="0" applyNumberFormat="1" applyFont="1" applyFill="1" applyBorder="1" applyAlignment="1">
      <alignment horizontal="right" vertical="center"/>
    </xf>
    <xf numFmtId="164" fontId="12" fillId="11" borderId="3" xfId="0" applyNumberFormat="1" applyFont="1" applyFill="1" applyBorder="1" applyAlignment="1">
      <alignment horizontal="right" vertical="center"/>
    </xf>
    <xf numFmtId="0" fontId="14" fillId="11" borderId="3" xfId="0" applyFont="1" applyFill="1" applyBorder="1" applyAlignment="1">
      <alignment horizontal="left" vertical="center"/>
    </xf>
    <xf numFmtId="0" fontId="0" fillId="10" borderId="6" xfId="0" applyFill="1" applyBorder="1"/>
    <xf numFmtId="4" fontId="9" fillId="10" borderId="6" xfId="0" applyNumberFormat="1" applyFont="1" applyFill="1" applyBorder="1" applyAlignment="1">
      <alignment horizontal="right" vertical="center"/>
    </xf>
    <xf numFmtId="164" fontId="9" fillId="10" borderId="6" xfId="0" applyNumberFormat="1" applyFont="1" applyFill="1" applyBorder="1" applyAlignment="1">
      <alignment horizontal="right" vertical="center"/>
    </xf>
    <xf numFmtId="0" fontId="10" fillId="13" borderId="3" xfId="0" applyFont="1" applyFill="1" applyBorder="1" applyAlignment="1">
      <alignment horizontal="center" vertical="center"/>
    </xf>
    <xf numFmtId="0" fontId="11" fillId="13" borderId="3" xfId="0" applyFont="1" applyFill="1" applyBorder="1" applyAlignment="1">
      <alignment horizontal="center" vertical="center"/>
    </xf>
    <xf numFmtId="0" fontId="12" fillId="13" borderId="3" xfId="0" applyFont="1" applyFill="1" applyBorder="1" applyAlignment="1">
      <alignment horizontal="left" vertical="center"/>
    </xf>
    <xf numFmtId="0" fontId="12" fillId="13" borderId="3" xfId="0" applyFont="1" applyFill="1" applyBorder="1" applyAlignment="1">
      <alignment horizontal="center" vertical="center"/>
    </xf>
    <xf numFmtId="4" fontId="12" fillId="13" borderId="3" xfId="0" applyNumberFormat="1" applyFont="1" applyFill="1" applyBorder="1" applyAlignment="1">
      <alignment horizontal="right" vertical="center"/>
    </xf>
    <xf numFmtId="164" fontId="12" fillId="13" borderId="3" xfId="0" applyNumberFormat="1" applyFont="1" applyFill="1" applyBorder="1" applyAlignment="1">
      <alignment horizontal="right" vertical="center"/>
    </xf>
    <xf numFmtId="0" fontId="14" fillId="13" borderId="3" xfId="0" applyFont="1" applyFill="1" applyBorder="1" applyAlignment="1">
      <alignment horizontal="left" vertical="center"/>
    </xf>
    <xf numFmtId="0" fontId="0" fillId="12" borderId="7" xfId="0" applyFill="1" applyBorder="1"/>
    <xf numFmtId="4" fontId="9" fillId="12" borderId="7" xfId="0" applyNumberFormat="1" applyFont="1" applyFill="1" applyBorder="1" applyAlignment="1">
      <alignment horizontal="right" vertical="center"/>
    </xf>
    <xf numFmtId="164" fontId="9" fillId="12" borderId="7" xfId="0" applyNumberFormat="1" applyFont="1" applyFill="1" applyBorder="1" applyAlignment="1">
      <alignment horizontal="right" vertical="center"/>
    </xf>
    <xf numFmtId="0" fontId="10" fillId="15" borderId="3" xfId="0" applyFont="1" applyFill="1" applyBorder="1" applyAlignment="1">
      <alignment horizontal="center" vertical="center"/>
    </xf>
    <xf numFmtId="0" fontId="11" fillId="15" borderId="3" xfId="0" applyFont="1" applyFill="1" applyBorder="1" applyAlignment="1">
      <alignment horizontal="center" vertical="center"/>
    </xf>
    <xf numFmtId="0" fontId="12" fillId="15" borderId="3" xfId="0" applyFont="1" applyFill="1" applyBorder="1" applyAlignment="1">
      <alignment horizontal="left" vertical="center"/>
    </xf>
    <xf numFmtId="0" fontId="12" fillId="15" borderId="3" xfId="0" applyFont="1" applyFill="1" applyBorder="1" applyAlignment="1">
      <alignment horizontal="center" vertical="center"/>
    </xf>
    <xf numFmtId="4" fontId="12" fillId="15" borderId="3" xfId="0" applyNumberFormat="1" applyFont="1" applyFill="1" applyBorder="1" applyAlignment="1">
      <alignment horizontal="right" vertical="center"/>
    </xf>
    <xf numFmtId="164" fontId="12" fillId="15" borderId="3" xfId="0" applyNumberFormat="1" applyFont="1" applyFill="1" applyBorder="1" applyAlignment="1">
      <alignment horizontal="right" vertical="center"/>
    </xf>
    <xf numFmtId="0" fontId="14" fillId="15" borderId="3" xfId="0" applyFont="1" applyFill="1" applyBorder="1" applyAlignment="1">
      <alignment horizontal="left" vertical="center"/>
    </xf>
    <xf numFmtId="0" fontId="0" fillId="14" borderId="8" xfId="0" applyFill="1" applyBorder="1"/>
    <xf numFmtId="4" fontId="9" fillId="14" borderId="8" xfId="0" applyNumberFormat="1" applyFont="1" applyFill="1" applyBorder="1" applyAlignment="1">
      <alignment horizontal="right" vertical="center"/>
    </xf>
    <xf numFmtId="164" fontId="9" fillId="14" borderId="8" xfId="0" applyNumberFormat="1" applyFont="1" applyFill="1" applyBorder="1" applyAlignment="1">
      <alignment horizontal="right" vertical="center"/>
    </xf>
    <xf numFmtId="0" fontId="10" fillId="17" borderId="3" xfId="0" applyFont="1" applyFill="1" applyBorder="1" applyAlignment="1">
      <alignment horizontal="center" vertical="center"/>
    </xf>
    <xf numFmtId="0" fontId="11" fillId="17" borderId="3" xfId="0" applyFont="1" applyFill="1" applyBorder="1" applyAlignment="1">
      <alignment horizontal="center" vertical="center"/>
    </xf>
    <xf numFmtId="0" fontId="12" fillId="17" borderId="3" xfId="0" applyFont="1" applyFill="1" applyBorder="1" applyAlignment="1">
      <alignment horizontal="left" vertical="center"/>
    </xf>
    <xf numFmtId="0" fontId="12" fillId="17" borderId="3" xfId="0" applyFont="1" applyFill="1" applyBorder="1" applyAlignment="1">
      <alignment horizontal="center" vertical="center"/>
    </xf>
    <xf numFmtId="4" fontId="12" fillId="17" borderId="3" xfId="0" applyNumberFormat="1" applyFont="1" applyFill="1" applyBorder="1" applyAlignment="1">
      <alignment horizontal="right" vertical="center"/>
    </xf>
    <xf numFmtId="164" fontId="12" fillId="17" borderId="3" xfId="0" applyNumberFormat="1" applyFont="1" applyFill="1" applyBorder="1" applyAlignment="1">
      <alignment horizontal="right" vertical="center"/>
    </xf>
    <xf numFmtId="0" fontId="14" fillId="17" borderId="3" xfId="0" applyFont="1" applyFill="1" applyBorder="1" applyAlignment="1">
      <alignment horizontal="left" vertical="center"/>
    </xf>
    <xf numFmtId="0" fontId="0" fillId="16" borderId="9" xfId="0" applyFill="1" applyBorder="1"/>
    <xf numFmtId="4" fontId="9" fillId="16" borderId="9" xfId="0" applyNumberFormat="1" applyFont="1" applyFill="1" applyBorder="1" applyAlignment="1">
      <alignment horizontal="right" vertical="center"/>
    </xf>
    <xf numFmtId="164" fontId="9" fillId="16" borderId="9" xfId="0" applyNumberFormat="1" applyFont="1" applyFill="1" applyBorder="1" applyAlignment="1">
      <alignment horizontal="right" vertical="center"/>
    </xf>
    <xf numFmtId="0" fontId="10" fillId="19" borderId="3" xfId="0" applyFont="1" applyFill="1" applyBorder="1" applyAlignment="1">
      <alignment horizontal="center" vertical="center"/>
    </xf>
    <xf numFmtId="0" fontId="11" fillId="19" borderId="3" xfId="0" applyFont="1" applyFill="1" applyBorder="1" applyAlignment="1">
      <alignment horizontal="center" vertical="center"/>
    </xf>
    <xf numFmtId="0" fontId="12" fillId="19" borderId="3" xfId="0" applyFont="1" applyFill="1" applyBorder="1" applyAlignment="1">
      <alignment horizontal="left" vertical="center"/>
    </xf>
    <xf numFmtId="0" fontId="12" fillId="19" borderId="3" xfId="0" applyFont="1" applyFill="1" applyBorder="1" applyAlignment="1">
      <alignment horizontal="center" vertical="center"/>
    </xf>
    <xf numFmtId="4" fontId="12" fillId="19" borderId="3" xfId="0" applyNumberFormat="1" applyFont="1" applyFill="1" applyBorder="1" applyAlignment="1">
      <alignment horizontal="right" vertical="center"/>
    </xf>
    <xf numFmtId="164" fontId="12" fillId="19" borderId="3" xfId="0" applyNumberFormat="1" applyFont="1" applyFill="1" applyBorder="1" applyAlignment="1">
      <alignment horizontal="right" vertical="center"/>
    </xf>
    <xf numFmtId="0" fontId="14" fillId="19" borderId="3" xfId="0" applyFont="1" applyFill="1" applyBorder="1" applyAlignment="1">
      <alignment horizontal="left" vertical="center"/>
    </xf>
    <xf numFmtId="0" fontId="0" fillId="18" borderId="10" xfId="0" applyFill="1" applyBorder="1"/>
    <xf numFmtId="4" fontId="9" fillId="18" borderId="10" xfId="0" applyNumberFormat="1" applyFont="1" applyFill="1" applyBorder="1" applyAlignment="1">
      <alignment horizontal="right" vertical="center"/>
    </xf>
    <xf numFmtId="164" fontId="9" fillId="18" borderId="10" xfId="0" applyNumberFormat="1" applyFont="1" applyFill="1" applyBorder="1" applyAlignment="1">
      <alignment horizontal="right" vertical="center"/>
    </xf>
    <xf numFmtId="0" fontId="0" fillId="2" borderId="12" xfId="0" applyFill="1" applyBorder="1"/>
    <xf numFmtId="4" fontId="16" fillId="2" borderId="12" xfId="0" applyNumberFormat="1" applyFont="1" applyFill="1" applyBorder="1" applyAlignment="1">
      <alignment horizontal="right" vertical="center"/>
    </xf>
    <xf numFmtId="164" fontId="16" fillId="2" borderId="12" xfId="0" applyNumberFormat="1" applyFont="1" applyFill="1" applyBorder="1" applyAlignment="1">
      <alignment horizontal="right" vertical="center"/>
    </xf>
    <xf numFmtId="0" fontId="0" fillId="20" borderId="3" xfId="0" applyFill="1" applyBorder="1"/>
    <xf numFmtId="165" fontId="3" fillId="20" borderId="3" xfId="0" applyNumberFormat="1" applyFont="1" applyFill="1" applyBorder="1" applyAlignment="1">
      <alignment horizontal="right" vertical="center"/>
    </xf>
    <xf numFmtId="165" fontId="17" fillId="21" borderId="3" xfId="0" applyNumberFormat="1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164" fontId="10" fillId="6" borderId="3" xfId="0" applyNumberFormat="1" applyFont="1" applyFill="1" applyBorder="1" applyAlignment="1">
      <alignment horizontal="right" vertical="center"/>
    </xf>
    <xf numFmtId="0" fontId="8" fillId="7" borderId="3" xfId="0" applyFont="1" applyFill="1" applyBorder="1" applyAlignment="1">
      <alignment horizontal="center" vertical="center"/>
    </xf>
    <xf numFmtId="164" fontId="10" fillId="4" borderId="3" xfId="0" applyNumberFormat="1" applyFont="1" applyFill="1" applyBorder="1" applyAlignment="1">
      <alignment horizontal="right" vertical="center"/>
    </xf>
    <xf numFmtId="0" fontId="8" fillId="3" borderId="3" xfId="0" applyFont="1" applyFill="1" applyBorder="1" applyAlignment="1">
      <alignment horizontal="center" vertical="center"/>
    </xf>
    <xf numFmtId="164" fontId="10" fillId="9" borderId="3" xfId="0" applyNumberFormat="1" applyFont="1" applyFill="1" applyBorder="1" applyAlignment="1">
      <alignment horizontal="right" vertical="center"/>
    </xf>
    <xf numFmtId="0" fontId="8" fillId="10" borderId="3" xfId="0" applyFont="1" applyFill="1" applyBorder="1" applyAlignment="1">
      <alignment horizontal="center" vertical="center"/>
    </xf>
    <xf numFmtId="0" fontId="8" fillId="12" borderId="3" xfId="0" applyFont="1" applyFill="1" applyBorder="1" applyAlignment="1">
      <alignment horizontal="center" vertical="center"/>
    </xf>
    <xf numFmtId="164" fontId="10" fillId="13" borderId="3" xfId="0" applyNumberFormat="1" applyFont="1" applyFill="1" applyBorder="1" applyAlignment="1">
      <alignment horizontal="right" vertical="center"/>
    </xf>
    <xf numFmtId="0" fontId="8" fillId="14" borderId="3" xfId="0" applyFont="1" applyFill="1" applyBorder="1" applyAlignment="1">
      <alignment horizontal="center" vertical="center"/>
    </xf>
    <xf numFmtId="0" fontId="8" fillId="16" borderId="3" xfId="0" applyFont="1" applyFill="1" applyBorder="1" applyAlignment="1">
      <alignment horizontal="center" vertical="center"/>
    </xf>
    <xf numFmtId="164" fontId="10" fillId="17" borderId="3" xfId="0" applyNumberFormat="1" applyFont="1" applyFill="1" applyBorder="1" applyAlignment="1">
      <alignment horizontal="right" vertical="center"/>
    </xf>
    <xf numFmtId="0" fontId="8" fillId="18" borderId="3" xfId="0" applyFont="1" applyFill="1" applyBorder="1" applyAlignment="1">
      <alignment horizontal="center" vertical="center"/>
    </xf>
    <xf numFmtId="4" fontId="9" fillId="2" borderId="15" xfId="0" applyNumberFormat="1" applyFont="1" applyFill="1" applyBorder="1" applyAlignment="1">
      <alignment horizontal="right" vertical="center"/>
    </xf>
    <xf numFmtId="164" fontId="9" fillId="2" borderId="15" xfId="0" applyNumberFormat="1" applyFont="1" applyFill="1" applyBorder="1" applyAlignment="1">
      <alignment horizontal="right" vertical="center"/>
    </xf>
    <xf numFmtId="9" fontId="9" fillId="2" borderId="15" xfId="0" applyNumberFormat="1" applyFont="1" applyFill="1" applyBorder="1" applyAlignment="1">
      <alignment horizontal="right" vertical="center"/>
    </xf>
    <xf numFmtId="0" fontId="10" fillId="20" borderId="3" xfId="0" applyFont="1" applyFill="1" applyBorder="1" applyAlignment="1">
      <alignment horizontal="left" vertical="center"/>
    </xf>
    <xf numFmtId="0" fontId="12" fillId="20" borderId="3" xfId="0" applyFont="1" applyFill="1" applyBorder="1" applyAlignment="1">
      <alignment horizontal="right" vertical="center"/>
    </xf>
    <xf numFmtId="4" fontId="12" fillId="20" borderId="3" xfId="0" applyNumberFormat="1" applyFont="1" applyFill="1" applyBorder="1" applyAlignment="1">
      <alignment horizontal="right" vertical="center"/>
    </xf>
    <xf numFmtId="164" fontId="12" fillId="20" borderId="3" xfId="0" applyNumberFormat="1" applyFont="1" applyFill="1" applyBorder="1" applyAlignment="1">
      <alignment horizontal="right" vertical="center"/>
    </xf>
    <xf numFmtId="0" fontId="10" fillId="4" borderId="3" xfId="0" applyFont="1" applyFill="1" applyBorder="1" applyAlignment="1">
      <alignment horizontal="left" vertical="center"/>
    </xf>
    <xf numFmtId="0" fontId="12" fillId="4" borderId="3" xfId="0" applyFont="1" applyFill="1" applyBorder="1" applyAlignment="1">
      <alignment horizontal="right" vertical="center"/>
    </xf>
    <xf numFmtId="0" fontId="9" fillId="2" borderId="15" xfId="0" applyFont="1" applyFill="1" applyBorder="1" applyAlignment="1">
      <alignment horizontal="center" vertical="center"/>
    </xf>
    <xf numFmtId="0" fontId="9" fillId="2" borderId="15" xfId="0" applyFont="1" applyFill="1" applyBorder="1" applyAlignment="1">
      <alignment horizontal="right" vertical="center"/>
    </xf>
    <xf numFmtId="0" fontId="9" fillId="14" borderId="0" xfId="0" applyFont="1" applyFill="1" applyAlignment="1">
      <alignment horizontal="left" vertical="center"/>
    </xf>
    <xf numFmtId="0" fontId="9" fillId="14" borderId="8" xfId="0" applyFont="1" applyFill="1" applyBorder="1" applyAlignment="1">
      <alignment horizontal="left" vertical="center"/>
    </xf>
    <xf numFmtId="0" fontId="9" fillId="16" borderId="0" xfId="0" applyFont="1" applyFill="1" applyAlignment="1">
      <alignment horizontal="left" vertical="center"/>
    </xf>
    <xf numFmtId="0" fontId="9" fillId="16" borderId="9" xfId="0" applyFont="1" applyFill="1" applyBorder="1" applyAlignment="1">
      <alignment horizontal="left" vertical="center"/>
    </xf>
    <xf numFmtId="0" fontId="9" fillId="18" borderId="0" xfId="0" applyFont="1" applyFill="1" applyAlignment="1">
      <alignment horizontal="left" vertical="center"/>
    </xf>
    <xf numFmtId="0" fontId="9" fillId="18" borderId="10" xfId="0" applyFont="1" applyFill="1" applyBorder="1" applyAlignment="1">
      <alignment horizontal="left" vertical="center"/>
    </xf>
    <xf numFmtId="0" fontId="15" fillId="2" borderId="11" xfId="0" applyFont="1" applyFill="1" applyBorder="1" applyAlignment="1">
      <alignment horizontal="left" vertical="center"/>
    </xf>
    <xf numFmtId="0" fontId="11" fillId="20" borderId="13" xfId="0" applyFont="1" applyFill="1" applyBorder="1" applyAlignment="1">
      <alignment horizontal="left" vertical="center"/>
    </xf>
    <xf numFmtId="0" fontId="18" fillId="3" borderId="0" xfId="0" applyFont="1" applyFill="1" applyAlignment="1">
      <alignment horizontal="left" vertical="center"/>
    </xf>
    <xf numFmtId="0" fontId="19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8" fillId="22" borderId="0" xfId="0" applyFont="1" applyFill="1" applyAlignment="1">
      <alignment horizontal="center" vertical="center"/>
    </xf>
    <xf numFmtId="0" fontId="8" fillId="23" borderId="0" xfId="0" applyFont="1" applyFill="1" applyAlignment="1">
      <alignment horizontal="center" vertical="center"/>
    </xf>
    <xf numFmtId="166" fontId="20" fillId="20" borderId="0" xfId="0" applyNumberFormat="1" applyFont="1" applyFill="1" applyAlignment="1">
      <alignment horizontal="center" vertical="center"/>
    </xf>
    <xf numFmtId="166" fontId="21" fillId="20" borderId="0" xfId="0" applyNumberFormat="1" applyFont="1" applyFill="1" applyAlignment="1">
      <alignment horizontal="center" vertical="center"/>
    </xf>
    <xf numFmtId="166" fontId="22" fillId="20" borderId="0" xfId="0" applyNumberFormat="1" applyFont="1" applyFill="1" applyAlignment="1">
      <alignment horizontal="center" vertical="center"/>
    </xf>
    <xf numFmtId="166" fontId="23" fillId="20" borderId="0" xfId="0" applyNumberFormat="1" applyFont="1" applyFill="1" applyAlignment="1">
      <alignment horizontal="center" vertical="center"/>
    </xf>
    <xf numFmtId="0" fontId="0" fillId="20" borderId="0" xfId="0" applyFill="1"/>
    <xf numFmtId="0" fontId="16" fillId="2" borderId="0" xfId="0" applyFont="1" applyFill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10" fillId="6" borderId="13" xfId="0" applyFont="1" applyFill="1" applyBorder="1" applyAlignment="1">
      <alignment horizontal="left" vertical="center"/>
    </xf>
    <xf numFmtId="0" fontId="10" fillId="4" borderId="13" xfId="0" applyFont="1" applyFill="1" applyBorder="1" applyAlignment="1">
      <alignment horizontal="left" vertical="center"/>
    </xf>
    <xf numFmtId="0" fontId="10" fillId="9" borderId="13" xfId="0" applyFont="1" applyFill="1" applyBorder="1" applyAlignment="1">
      <alignment horizontal="left" vertical="center"/>
    </xf>
    <xf numFmtId="0" fontId="10" fillId="13" borderId="13" xfId="0" applyFont="1" applyFill="1" applyBorder="1" applyAlignment="1">
      <alignment horizontal="left" vertical="center"/>
    </xf>
    <xf numFmtId="0" fontId="10" fillId="17" borderId="13" xfId="0" applyFont="1" applyFill="1" applyBorder="1" applyAlignment="1">
      <alignment horizontal="left" vertical="center"/>
    </xf>
    <xf numFmtId="0" fontId="9" fillId="2" borderId="14" xfId="0" applyFont="1" applyFill="1" applyBorder="1" applyAlignment="1">
      <alignment horizontal="center" vertical="center"/>
    </xf>
    <xf numFmtId="0" fontId="24" fillId="7" borderId="0" xfId="0" applyFont="1" applyFill="1" applyAlignment="1">
      <alignment horizontal="left" vertical="center"/>
    </xf>
    <xf numFmtId="0" fontId="24" fillId="2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left" vertical="center"/>
    </xf>
    <xf numFmtId="0" fontId="25" fillId="20" borderId="0" xfId="0" applyFont="1" applyFill="1" applyAlignment="1">
      <alignment horizontal="left" vertical="center" wrapText="1"/>
    </xf>
    <xf numFmtId="0" fontId="16" fillId="3" borderId="0" xfId="0" applyFont="1" applyFill="1" applyAlignment="1">
      <alignment horizontal="left" vertical="center"/>
    </xf>
    <xf numFmtId="0" fontId="16" fillId="7" borderId="0" xfId="0" applyFont="1" applyFill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4F6F7"/>
      <rgbColor rgb="FFFF00FF"/>
      <rgbColor rgb="FF00FFFF"/>
      <rgbColor rgb="FF800000"/>
      <rgbColor rgb="FF196F3D"/>
      <rgbColor rgb="FF000080"/>
      <rgbColor rgb="FF7D6608"/>
      <rgbColor rgb="FF800080"/>
      <rgbColor rgb="FF117A65"/>
      <rgbColor rgb="FFBFC9CA"/>
      <rgbColor rgb="FF808080"/>
      <rgbColor rgb="FF9999FF"/>
      <rgbColor rgb="FF6C3483"/>
      <rgbColor rgb="FFFEFCE8"/>
      <rgbColor rgb="FFE8F8F5"/>
      <rgbColor rgb="FF660066"/>
      <rgbColor rgb="FFFF8080"/>
      <rgbColor rgb="FF1B6CA8"/>
      <rgbColor rgb="FFF4ECF7"/>
      <rgbColor rgb="FF000080"/>
      <rgbColor rgb="FFFF00FF"/>
      <rgbColor rgb="FFFDFEFE"/>
      <rgbColor rgb="FF00FFFF"/>
      <rgbColor rgb="FF800080"/>
      <rgbColor rgb="FF800000"/>
      <rgbColor rgb="FF155724"/>
      <rgbColor rgb="FF0000FF"/>
      <rgbColor rgb="FF00CCFF"/>
      <rgbColor rgb="FFD6EAF8"/>
      <rgbColor rgb="FFE9F7EF"/>
      <rgbColor rgb="FFFEF5E7"/>
      <rgbColor rgb="FFE8F4FD"/>
      <rgbColor rgb="FFF2F3F4"/>
      <rgbColor rgb="FFEBF5FB"/>
      <rgbColor rgb="FFFDF2E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D3B66"/>
      <rgbColor rgb="FF339966"/>
      <rgbColor rgb="FF1A1A1A"/>
      <rgbColor rgb="FF1A252F"/>
      <rgbColor rgb="FF7B1F1F"/>
      <rgbColor rgb="FFA0522D"/>
      <rgbColor rgb="FF1A5276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85"/>
  <sheetViews>
    <sheetView tabSelected="1" zoomScaleNormal="100" workbookViewId="0">
      <pane xSplit="2" ySplit="11" topLeftCell="C12" activePane="bottomRight" state="frozen"/>
      <selection pane="topRight" activeCell="C1" sqref="C1"/>
      <selection pane="bottomLeft" activeCell="A12" sqref="A12"/>
      <selection pane="bottomRight" activeCell="F42" sqref="F42"/>
    </sheetView>
  </sheetViews>
  <sheetFormatPr baseColWidth="10" defaultColWidth="8.7109375" defaultRowHeight="15" x14ac:dyDescent="0.25"/>
  <cols>
    <col min="1" max="1" width="15.140625" bestFit="1" customWidth="1"/>
    <col min="2" max="2" width="8" customWidth="1"/>
    <col min="3" max="3" width="32" customWidth="1"/>
    <col min="4" max="4" width="9" customWidth="1"/>
    <col min="5" max="5" width="7" customWidth="1"/>
    <col min="6" max="6" width="12" customWidth="1"/>
    <col min="7" max="7" width="14" customWidth="1"/>
    <col min="8" max="8" width="11" customWidth="1"/>
    <col min="9" max="9" width="12" customWidth="1"/>
    <col min="10" max="10" width="11" customWidth="1"/>
    <col min="11" max="11" width="9" customWidth="1"/>
    <col min="12" max="13" width="12" customWidth="1"/>
    <col min="14" max="14" width="22" customWidth="1"/>
  </cols>
  <sheetData>
    <row r="1" spans="1:14" ht="43.5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</row>
    <row r="2" spans="1:14" ht="19.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2" t="s">
        <v>2</v>
      </c>
      <c r="J2" s="12"/>
      <c r="K2" s="12"/>
      <c r="L2" s="12"/>
      <c r="M2" s="12"/>
      <c r="N2" s="12"/>
    </row>
    <row r="3" spans="1:14" ht="6" customHeight="1" x14ac:dyDescent="0.25"/>
    <row r="4" spans="1:14" ht="18" customHeight="1" x14ac:dyDescent="0.25">
      <c r="A4" s="15" t="s">
        <v>3</v>
      </c>
      <c r="B4" s="11" t="s">
        <v>4</v>
      </c>
      <c r="C4" s="11"/>
      <c r="D4" s="11"/>
      <c r="E4" s="11"/>
      <c r="F4" s="15" t="s">
        <v>5</v>
      </c>
      <c r="G4" s="11" t="s">
        <v>6</v>
      </c>
      <c r="H4" s="11"/>
      <c r="I4" s="11"/>
      <c r="J4" s="15" t="s">
        <v>7</v>
      </c>
      <c r="K4" s="11" t="s">
        <v>8</v>
      </c>
      <c r="L4" s="11"/>
      <c r="M4" s="11"/>
    </row>
    <row r="5" spans="1:14" ht="18" customHeight="1" x14ac:dyDescent="0.25">
      <c r="A5" s="15" t="s">
        <v>9</v>
      </c>
      <c r="B5" s="11" t="s">
        <v>10</v>
      </c>
      <c r="C5" s="11"/>
      <c r="D5" s="11"/>
      <c r="E5" s="11"/>
      <c r="F5" s="15" t="s">
        <v>11</v>
      </c>
      <c r="G5" s="11" t="s">
        <v>12</v>
      </c>
      <c r="H5" s="11"/>
      <c r="I5" s="11"/>
      <c r="J5" s="15" t="s">
        <v>13</v>
      </c>
      <c r="K5" s="11" t="s">
        <v>14</v>
      </c>
      <c r="L5" s="11"/>
      <c r="M5" s="11"/>
    </row>
    <row r="6" spans="1:14" ht="18" customHeight="1" x14ac:dyDescent="0.25">
      <c r="A6" s="15" t="s">
        <v>15</v>
      </c>
      <c r="B6" s="11" t="s">
        <v>16</v>
      </c>
      <c r="C6" s="11"/>
      <c r="D6" s="11"/>
      <c r="E6" s="11"/>
      <c r="F6" s="15" t="s">
        <v>17</v>
      </c>
      <c r="G6" s="11" t="s">
        <v>18</v>
      </c>
      <c r="H6" s="11"/>
      <c r="I6" s="11"/>
      <c r="J6" s="15" t="s">
        <v>19</v>
      </c>
      <c r="K6" s="11" t="s">
        <v>20</v>
      </c>
      <c r="L6" s="11"/>
      <c r="M6" s="11"/>
    </row>
    <row r="7" spans="1:14" ht="18" customHeight="1" x14ac:dyDescent="0.25">
      <c r="A7" s="15" t="s">
        <v>21</v>
      </c>
      <c r="B7" s="11" t="s">
        <v>22</v>
      </c>
      <c r="C7" s="11"/>
      <c r="D7" s="11"/>
      <c r="E7" s="11"/>
      <c r="F7" s="15" t="s">
        <v>23</v>
      </c>
      <c r="G7" s="11" t="s">
        <v>24</v>
      </c>
      <c r="H7" s="11"/>
      <c r="I7" s="11"/>
      <c r="J7" s="15" t="s">
        <v>25</v>
      </c>
      <c r="K7" s="11" t="s">
        <v>26</v>
      </c>
      <c r="L7" s="11"/>
      <c r="M7" s="11"/>
    </row>
    <row r="8" spans="1:14" ht="6" customHeight="1" x14ac:dyDescent="0.25"/>
    <row r="9" spans="1:14" ht="15.75" customHeight="1" x14ac:dyDescent="0.25">
      <c r="A9" s="174" t="s">
        <v>27</v>
      </c>
      <c r="B9" s="174"/>
      <c r="C9" s="174"/>
      <c r="D9" s="174"/>
      <c r="E9" s="174"/>
      <c r="F9" s="174"/>
      <c r="G9" s="174"/>
      <c r="H9" s="174"/>
      <c r="I9" s="16" t="s">
        <v>28</v>
      </c>
      <c r="K9" s="17" t="s">
        <v>29</v>
      </c>
      <c r="L9" s="18" t="s">
        <v>30</v>
      </c>
    </row>
    <row r="10" spans="1:14" ht="6" customHeight="1" x14ac:dyDescent="0.25"/>
    <row r="11" spans="1:14" ht="36" customHeight="1" x14ac:dyDescent="0.25">
      <c r="A11" s="19" t="s">
        <v>31</v>
      </c>
      <c r="B11" s="19" t="s">
        <v>32</v>
      </c>
      <c r="C11" s="19" t="s">
        <v>33</v>
      </c>
      <c r="D11" s="19" t="s">
        <v>34</v>
      </c>
      <c r="E11" s="19" t="s">
        <v>35</v>
      </c>
      <c r="F11" s="19" t="s">
        <v>36</v>
      </c>
      <c r="G11" s="19" t="s">
        <v>37</v>
      </c>
      <c r="H11" s="19" t="s">
        <v>38</v>
      </c>
      <c r="I11" s="19" t="s">
        <v>39</v>
      </c>
      <c r="J11" s="19" t="s">
        <v>40</v>
      </c>
      <c r="K11" s="19" t="s">
        <v>41</v>
      </c>
      <c r="L11" s="19" t="s">
        <v>42</v>
      </c>
      <c r="M11" s="19" t="s">
        <v>43</v>
      </c>
      <c r="N11" s="19" t="s">
        <v>44</v>
      </c>
    </row>
    <row r="12" spans="1:14" ht="18" customHeight="1" x14ac:dyDescent="0.25">
      <c r="A12" s="10" t="s">
        <v>45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4" ht="16.5" customHeight="1" x14ac:dyDescent="0.25">
      <c r="A13" s="20">
        <v>1</v>
      </c>
      <c r="B13" s="21">
        <v>110</v>
      </c>
      <c r="C13" s="22" t="s">
        <v>46</v>
      </c>
      <c r="D13" s="23">
        <v>1</v>
      </c>
      <c r="E13" s="24" t="s">
        <v>47</v>
      </c>
      <c r="F13" s="25">
        <v>520000</v>
      </c>
      <c r="G13" s="26">
        <f>IF(OR(D13="",F13=""),"",D13*F13)</f>
        <v>520000</v>
      </c>
      <c r="H13" s="25">
        <v>500000</v>
      </c>
      <c r="I13" s="26">
        <f>IF(G13="","",G13-H13)</f>
        <v>20000</v>
      </c>
      <c r="J13" s="27">
        <f>IF(OR(G13="",H13=0),"",G13/H13-1)</f>
        <v>4.0000000000000036E-2</v>
      </c>
      <c r="K13" s="28">
        <v>0</v>
      </c>
      <c r="L13" s="26">
        <f>IF(G13="","",ROUND(G13*(1+K13),2))</f>
        <v>520000</v>
      </c>
      <c r="M13" s="26">
        <f>IF(L13="","",ROUND(L13*1.19,2))</f>
        <v>618800</v>
      </c>
      <c r="N13" s="29" t="s">
        <v>48</v>
      </c>
    </row>
    <row r="14" spans="1:14" ht="16.5" customHeight="1" x14ac:dyDescent="0.25">
      <c r="A14" s="30">
        <v>2</v>
      </c>
      <c r="B14" s="31">
        <v>120</v>
      </c>
      <c r="C14" s="32" t="s">
        <v>49</v>
      </c>
      <c r="D14" s="23">
        <v>1</v>
      </c>
      <c r="E14" s="33" t="s">
        <v>47</v>
      </c>
      <c r="F14" s="25">
        <v>15600</v>
      </c>
      <c r="G14" s="34">
        <f>IF(OR(D14="",F14=""),"",D14*F14)</f>
        <v>15600</v>
      </c>
      <c r="H14" s="25">
        <v>15000</v>
      </c>
      <c r="I14" s="34">
        <f>IF(G14="","",G14-H14)</f>
        <v>600</v>
      </c>
      <c r="J14" s="35">
        <f>IF(OR(G14="",H14=0),"",G14/H14-1)</f>
        <v>4.0000000000000036E-2</v>
      </c>
      <c r="K14" s="28">
        <v>0.02</v>
      </c>
      <c r="L14" s="34">
        <f>IF(G14="","",ROUND(G14*(1+K14),2))</f>
        <v>15912</v>
      </c>
      <c r="M14" s="34">
        <f>IF(L14="","",ROUND(L14*1.19,2))</f>
        <v>18935.28</v>
      </c>
      <c r="N14" s="36" t="s">
        <v>48</v>
      </c>
    </row>
    <row r="15" spans="1:14" ht="16.5" customHeight="1" x14ac:dyDescent="0.25">
      <c r="A15" s="20">
        <v>3</v>
      </c>
      <c r="B15" s="21">
        <v>130</v>
      </c>
      <c r="C15" s="22" t="s">
        <v>50</v>
      </c>
      <c r="D15" s="23">
        <v>1</v>
      </c>
      <c r="E15" s="24" t="s">
        <v>47</v>
      </c>
      <c r="F15" s="25">
        <v>8500</v>
      </c>
      <c r="G15" s="26">
        <f>IF(OR(D15="",F15=""),"",D15*F15)</f>
        <v>8500</v>
      </c>
      <c r="H15" s="25">
        <v>9000</v>
      </c>
      <c r="I15" s="26">
        <f>IF(G15="","",G15-H15)</f>
        <v>-500</v>
      </c>
      <c r="J15" s="27">
        <f>IF(OR(G15="",H15=0),"",G15/H15-1)</f>
        <v>-5.555555555555558E-2</v>
      </c>
      <c r="K15" s="28">
        <v>0.05</v>
      </c>
      <c r="L15" s="26">
        <f>IF(G15="","",ROUND(G15*(1+K15),2))</f>
        <v>8925</v>
      </c>
      <c r="M15" s="26">
        <f>IF(L15="","",ROUND(L15*1.19,2))</f>
        <v>10620.75</v>
      </c>
      <c r="N15" s="29" t="s">
        <v>51</v>
      </c>
    </row>
    <row r="16" spans="1:14" ht="19.5" customHeight="1" x14ac:dyDescent="0.25">
      <c r="A16" s="9" t="s">
        <v>52</v>
      </c>
      <c r="B16" s="9"/>
      <c r="C16" s="9"/>
      <c r="D16" s="37"/>
      <c r="E16" s="37"/>
      <c r="F16" s="37"/>
      <c r="G16" s="38">
        <f>SUM(G13:G15)</f>
        <v>544100</v>
      </c>
      <c r="H16" s="38">
        <f>SUM(H13:H15)</f>
        <v>524000</v>
      </c>
      <c r="I16" s="38">
        <f>G16-H16</f>
        <v>20100</v>
      </c>
      <c r="J16" s="39">
        <f>IF(H16=0,"",G16/H16-1)</f>
        <v>3.8358778625954271E-2</v>
      </c>
      <c r="K16" s="37"/>
      <c r="L16" s="38">
        <f>SUM(L13:L15)</f>
        <v>544837</v>
      </c>
      <c r="M16" s="38">
        <f>SUM(M13:M15)</f>
        <v>648356.03</v>
      </c>
      <c r="N16" s="37"/>
    </row>
    <row r="17" spans="1:14" ht="6" customHeight="1" x14ac:dyDescent="0.25"/>
    <row r="18" spans="1:14" ht="18" customHeight="1" x14ac:dyDescent="0.25">
      <c r="A18" s="8" t="s">
        <v>53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</row>
    <row r="19" spans="1:14" ht="16.5" customHeight="1" x14ac:dyDescent="0.25">
      <c r="A19" s="20">
        <v>4</v>
      </c>
      <c r="B19" s="21">
        <v>210</v>
      </c>
      <c r="C19" s="22" t="s">
        <v>54</v>
      </c>
      <c r="D19" s="23">
        <v>1</v>
      </c>
      <c r="E19" s="24" t="s">
        <v>47</v>
      </c>
      <c r="F19" s="25">
        <v>18000</v>
      </c>
      <c r="G19" s="26">
        <f>IF(OR(D19="",F19=""),"",D19*F19)</f>
        <v>18000</v>
      </c>
      <c r="H19" s="25">
        <v>20000</v>
      </c>
      <c r="I19" s="26">
        <f>IF(G19="","",G19-H19)</f>
        <v>-2000</v>
      </c>
      <c r="J19" s="27">
        <f>IF(OR(G19="",H19=0),"",G19/H19-1)</f>
        <v>-9.9999999999999978E-2</v>
      </c>
      <c r="K19" s="28">
        <v>0.05</v>
      </c>
      <c r="L19" s="26">
        <f>IF(G19="","",ROUND(G19*(1+K19),2))</f>
        <v>18900</v>
      </c>
      <c r="M19" s="26">
        <f>IF(L19="","",ROUND(L19*1.19,2))</f>
        <v>22491</v>
      </c>
      <c r="N19" s="29" t="s">
        <v>55</v>
      </c>
    </row>
    <row r="20" spans="1:14" ht="16.5" customHeight="1" x14ac:dyDescent="0.25">
      <c r="A20" s="40">
        <v>5</v>
      </c>
      <c r="B20" s="41">
        <v>220</v>
      </c>
      <c r="C20" s="42" t="s">
        <v>56</v>
      </c>
      <c r="D20" s="23">
        <v>1</v>
      </c>
      <c r="E20" s="43" t="s">
        <v>47</v>
      </c>
      <c r="F20" s="25">
        <v>32000</v>
      </c>
      <c r="G20" s="44">
        <f>IF(OR(D20="",F20=""),"",D20*F20)</f>
        <v>32000</v>
      </c>
      <c r="H20" s="25">
        <v>30000</v>
      </c>
      <c r="I20" s="44">
        <f>IF(G20="","",G20-H20)</f>
        <v>2000</v>
      </c>
      <c r="J20" s="45">
        <f>IF(OR(G20="",H20=0),"",G20/H20-1)</f>
        <v>6.6666666666666652E-2</v>
      </c>
      <c r="K20" s="28">
        <v>0.03</v>
      </c>
      <c r="L20" s="44">
        <f>IF(G20="","",ROUND(G20*(1+K20),2))</f>
        <v>32960</v>
      </c>
      <c r="M20" s="44">
        <f>IF(L20="","",ROUND(L20*1.19,2))</f>
        <v>39222.400000000001</v>
      </c>
      <c r="N20" s="46" t="s">
        <v>57</v>
      </c>
    </row>
    <row r="21" spans="1:14" ht="16.5" customHeight="1" x14ac:dyDescent="0.25">
      <c r="A21" s="20">
        <v>6</v>
      </c>
      <c r="B21" s="21">
        <v>240</v>
      </c>
      <c r="C21" s="22" t="s">
        <v>58</v>
      </c>
      <c r="D21" s="23">
        <v>180</v>
      </c>
      <c r="E21" s="24" t="s">
        <v>59</v>
      </c>
      <c r="F21" s="25">
        <v>125</v>
      </c>
      <c r="G21" s="26">
        <f>IF(OR(D21="",F21=""),"",D21*F21)</f>
        <v>22500</v>
      </c>
      <c r="H21" s="25">
        <v>22000</v>
      </c>
      <c r="I21" s="26">
        <f>IF(G21="","",G21-H21)</f>
        <v>500</v>
      </c>
      <c r="J21" s="27">
        <f>IF(OR(G21="",H21=0),"",G21/H21-1)</f>
        <v>2.2727272727272707E-2</v>
      </c>
      <c r="K21" s="28">
        <v>0.05</v>
      </c>
      <c r="L21" s="26">
        <f>IF(G21="","",ROUND(G21*(1+K21),2))</f>
        <v>23625</v>
      </c>
      <c r="M21" s="26">
        <f>IF(L21="","",ROUND(L21*1.19,2))</f>
        <v>28113.75</v>
      </c>
      <c r="N21" s="29" t="s">
        <v>60</v>
      </c>
    </row>
    <row r="22" spans="1:14" ht="19.5" customHeight="1" x14ac:dyDescent="0.25">
      <c r="A22" s="7" t="s">
        <v>61</v>
      </c>
      <c r="B22" s="7"/>
      <c r="C22" s="7"/>
      <c r="D22" s="47"/>
      <c r="E22" s="47"/>
      <c r="F22" s="47"/>
      <c r="G22" s="48">
        <f>SUM(G19:G21)</f>
        <v>72500</v>
      </c>
      <c r="H22" s="48">
        <f>SUM(H19:H21)</f>
        <v>72000</v>
      </c>
      <c r="I22" s="48">
        <f>G22-H22</f>
        <v>500</v>
      </c>
      <c r="J22" s="49">
        <f>IF(H22=0,"",G22/H22-1)</f>
        <v>6.9444444444444198E-3</v>
      </c>
      <c r="K22" s="47"/>
      <c r="L22" s="48">
        <f>SUM(L19:L21)</f>
        <v>75485</v>
      </c>
      <c r="M22" s="48">
        <f>SUM(M19:M21)</f>
        <v>89827.15</v>
      </c>
      <c r="N22" s="47"/>
    </row>
    <row r="23" spans="1:14" ht="6" customHeight="1" x14ac:dyDescent="0.25"/>
    <row r="24" spans="1:14" ht="18" customHeight="1" x14ac:dyDescent="0.25">
      <c r="A24" s="6" t="s">
        <v>62</v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ht="16.5" customHeight="1" x14ac:dyDescent="0.25">
      <c r="A25" s="20">
        <v>7</v>
      </c>
      <c r="B25" s="21">
        <v>311</v>
      </c>
      <c r="C25" s="22" t="s">
        <v>63</v>
      </c>
      <c r="D25" s="23">
        <v>4200</v>
      </c>
      <c r="E25" s="24" t="s">
        <v>64</v>
      </c>
      <c r="F25" s="25">
        <v>18</v>
      </c>
      <c r="G25" s="26">
        <f t="shared" ref="G25:G44" si="0">IF(OR(D25="",F25=""),"",D25*F25)</f>
        <v>75600</v>
      </c>
      <c r="H25" s="25">
        <v>80000</v>
      </c>
      <c r="I25" s="26">
        <f t="shared" ref="I25:I44" si="1">IF(G25="","",G25-H25)</f>
        <v>-4400</v>
      </c>
      <c r="J25" s="27">
        <f t="shared" ref="J25:J44" si="2">IF(OR(G25="",H25=0),"",G25/H25-1)</f>
        <v>-5.5000000000000049E-2</v>
      </c>
      <c r="K25" s="28">
        <v>0.08</v>
      </c>
      <c r="L25" s="26">
        <f t="shared" ref="L25:L44" si="3">IF(G25="","",ROUND(G25*(1+K25),2))</f>
        <v>81648</v>
      </c>
      <c r="M25" s="26">
        <f t="shared" ref="M25:M44" si="4">IF(L25="","",ROUND(L25*1.19,2))</f>
        <v>97161.12</v>
      </c>
      <c r="N25" s="29" t="s">
        <v>60</v>
      </c>
    </row>
    <row r="26" spans="1:14" ht="16.5" customHeight="1" x14ac:dyDescent="0.25">
      <c r="A26" s="50">
        <v>8</v>
      </c>
      <c r="B26" s="51">
        <v>312</v>
      </c>
      <c r="C26" s="52" t="s">
        <v>65</v>
      </c>
      <c r="D26" s="23">
        <v>320</v>
      </c>
      <c r="E26" s="53" t="s">
        <v>66</v>
      </c>
      <c r="F26" s="25">
        <v>145</v>
      </c>
      <c r="G26" s="54">
        <f t="shared" si="0"/>
        <v>46400</v>
      </c>
      <c r="H26" s="25">
        <v>46000</v>
      </c>
      <c r="I26" s="54">
        <f t="shared" si="1"/>
        <v>400</v>
      </c>
      <c r="J26" s="55">
        <f t="shared" si="2"/>
        <v>8.6956521739129933E-3</v>
      </c>
      <c r="K26" s="28">
        <v>0.08</v>
      </c>
      <c r="L26" s="54">
        <f t="shared" si="3"/>
        <v>50112</v>
      </c>
      <c r="M26" s="54">
        <f t="shared" si="4"/>
        <v>59633.279999999999</v>
      </c>
      <c r="N26" s="56" t="s">
        <v>60</v>
      </c>
    </row>
    <row r="27" spans="1:14" ht="16.5" customHeight="1" x14ac:dyDescent="0.25">
      <c r="A27" s="20">
        <v>9</v>
      </c>
      <c r="B27" s="21">
        <v>322</v>
      </c>
      <c r="C27" s="22" t="s">
        <v>67</v>
      </c>
      <c r="D27" s="23">
        <v>950</v>
      </c>
      <c r="E27" s="24" t="s">
        <v>66</v>
      </c>
      <c r="F27" s="25">
        <v>195</v>
      </c>
      <c r="G27" s="26">
        <f t="shared" si="0"/>
        <v>185250</v>
      </c>
      <c r="H27" s="25">
        <v>195000</v>
      </c>
      <c r="I27" s="26">
        <f t="shared" si="1"/>
        <v>-9750</v>
      </c>
      <c r="J27" s="27">
        <f t="shared" si="2"/>
        <v>-5.0000000000000044E-2</v>
      </c>
      <c r="K27" s="28">
        <v>0.05</v>
      </c>
      <c r="L27" s="26">
        <f t="shared" si="3"/>
        <v>194512.5</v>
      </c>
      <c r="M27" s="26">
        <f t="shared" si="4"/>
        <v>231469.88</v>
      </c>
      <c r="N27" s="29" t="s">
        <v>68</v>
      </c>
    </row>
    <row r="28" spans="1:14" ht="16.5" customHeight="1" x14ac:dyDescent="0.25">
      <c r="A28" s="50">
        <v>10</v>
      </c>
      <c r="B28" s="51">
        <v>321</v>
      </c>
      <c r="C28" s="52" t="s">
        <v>69</v>
      </c>
      <c r="D28" s="23">
        <v>380</v>
      </c>
      <c r="E28" s="53" t="s">
        <v>59</v>
      </c>
      <c r="F28" s="25">
        <v>220</v>
      </c>
      <c r="G28" s="54">
        <f t="shared" si="0"/>
        <v>83600</v>
      </c>
      <c r="H28" s="25">
        <v>88000</v>
      </c>
      <c r="I28" s="54">
        <f t="shared" si="1"/>
        <v>-4400</v>
      </c>
      <c r="J28" s="55">
        <f t="shared" si="2"/>
        <v>-5.0000000000000044E-2</v>
      </c>
      <c r="K28" s="28">
        <v>0.05</v>
      </c>
      <c r="L28" s="54">
        <f t="shared" si="3"/>
        <v>87780</v>
      </c>
      <c r="M28" s="54">
        <f t="shared" si="4"/>
        <v>104458.2</v>
      </c>
      <c r="N28" s="56" t="s">
        <v>68</v>
      </c>
    </row>
    <row r="29" spans="1:14" ht="16.5" customHeight="1" x14ac:dyDescent="0.25">
      <c r="A29" s="20">
        <v>11</v>
      </c>
      <c r="B29" s="21">
        <v>331</v>
      </c>
      <c r="C29" s="22" t="s">
        <v>70</v>
      </c>
      <c r="D29" s="23">
        <v>2100</v>
      </c>
      <c r="E29" s="24" t="s">
        <v>66</v>
      </c>
      <c r="F29" s="25">
        <v>220</v>
      </c>
      <c r="G29" s="26">
        <f t="shared" si="0"/>
        <v>462000</v>
      </c>
      <c r="H29" s="25">
        <v>480000</v>
      </c>
      <c r="I29" s="26">
        <f t="shared" si="1"/>
        <v>-18000</v>
      </c>
      <c r="J29" s="27">
        <f t="shared" si="2"/>
        <v>-3.7499999999999978E-2</v>
      </c>
      <c r="K29" s="28">
        <v>0.05</v>
      </c>
      <c r="L29" s="26">
        <f t="shared" si="3"/>
        <v>485100</v>
      </c>
      <c r="M29" s="26">
        <f t="shared" si="4"/>
        <v>577269</v>
      </c>
      <c r="N29" s="29" t="s">
        <v>68</v>
      </c>
    </row>
    <row r="30" spans="1:14" ht="16.5" customHeight="1" x14ac:dyDescent="0.25">
      <c r="A30" s="50">
        <v>12</v>
      </c>
      <c r="B30" s="51">
        <v>332</v>
      </c>
      <c r="C30" s="52" t="s">
        <v>71</v>
      </c>
      <c r="D30" s="23">
        <v>480</v>
      </c>
      <c r="E30" s="53" t="s">
        <v>66</v>
      </c>
      <c r="F30" s="25">
        <v>165</v>
      </c>
      <c r="G30" s="54">
        <f t="shared" si="0"/>
        <v>79200</v>
      </c>
      <c r="H30" s="25">
        <v>80000</v>
      </c>
      <c r="I30" s="54">
        <f t="shared" si="1"/>
        <v>-800</v>
      </c>
      <c r="J30" s="55">
        <f t="shared" si="2"/>
        <v>-1.0000000000000009E-2</v>
      </c>
      <c r="K30" s="28">
        <v>0.05</v>
      </c>
      <c r="L30" s="54">
        <f t="shared" si="3"/>
        <v>83160</v>
      </c>
      <c r="M30" s="54">
        <f t="shared" si="4"/>
        <v>98960.4</v>
      </c>
      <c r="N30" s="56" t="s">
        <v>72</v>
      </c>
    </row>
    <row r="31" spans="1:14" ht="16.5" customHeight="1" x14ac:dyDescent="0.25">
      <c r="A31" s="20">
        <v>13</v>
      </c>
      <c r="B31" s="21">
        <v>333</v>
      </c>
      <c r="C31" s="22" t="s">
        <v>73</v>
      </c>
      <c r="D31" s="23">
        <v>85</v>
      </c>
      <c r="E31" s="24" t="s">
        <v>74</v>
      </c>
      <c r="F31" s="25">
        <v>850</v>
      </c>
      <c r="G31" s="26">
        <f t="shared" si="0"/>
        <v>72250</v>
      </c>
      <c r="H31" s="25">
        <v>75000</v>
      </c>
      <c r="I31" s="26">
        <f t="shared" si="1"/>
        <v>-2750</v>
      </c>
      <c r="J31" s="27">
        <f t="shared" si="2"/>
        <v>-3.6666666666666625E-2</v>
      </c>
      <c r="K31" s="28">
        <v>0.05</v>
      </c>
      <c r="L31" s="26">
        <f t="shared" si="3"/>
        <v>75862.5</v>
      </c>
      <c r="M31" s="26">
        <f t="shared" si="4"/>
        <v>90276.38</v>
      </c>
      <c r="N31" s="29" t="s">
        <v>68</v>
      </c>
    </row>
    <row r="32" spans="1:14" ht="16.5" customHeight="1" x14ac:dyDescent="0.25">
      <c r="A32" s="50">
        <v>14</v>
      </c>
      <c r="B32" s="51">
        <v>335</v>
      </c>
      <c r="C32" s="52" t="s">
        <v>75</v>
      </c>
      <c r="D32" s="23">
        <v>2100</v>
      </c>
      <c r="E32" s="53" t="s">
        <v>66</v>
      </c>
      <c r="F32" s="25">
        <v>95</v>
      </c>
      <c r="G32" s="54">
        <f t="shared" si="0"/>
        <v>199500</v>
      </c>
      <c r="H32" s="25">
        <v>210000</v>
      </c>
      <c r="I32" s="54">
        <f t="shared" si="1"/>
        <v>-10500</v>
      </c>
      <c r="J32" s="55">
        <f t="shared" si="2"/>
        <v>-5.0000000000000044E-2</v>
      </c>
      <c r="K32" s="28">
        <v>0.08</v>
      </c>
      <c r="L32" s="54">
        <f t="shared" si="3"/>
        <v>215460</v>
      </c>
      <c r="M32" s="54">
        <f t="shared" si="4"/>
        <v>256397.4</v>
      </c>
      <c r="N32" s="56" t="s">
        <v>76</v>
      </c>
    </row>
    <row r="33" spans="1:14" ht="16.5" customHeight="1" x14ac:dyDescent="0.25">
      <c r="A33" s="20">
        <v>15</v>
      </c>
      <c r="B33" s="21">
        <v>336</v>
      </c>
      <c r="C33" s="22" t="s">
        <v>77</v>
      </c>
      <c r="D33" s="23">
        <v>2100</v>
      </c>
      <c r="E33" s="24" t="s">
        <v>66</v>
      </c>
      <c r="F33" s="25">
        <v>38</v>
      </c>
      <c r="G33" s="26">
        <f t="shared" si="0"/>
        <v>79800</v>
      </c>
      <c r="H33" s="25">
        <v>80000</v>
      </c>
      <c r="I33" s="26">
        <f t="shared" si="1"/>
        <v>-200</v>
      </c>
      <c r="J33" s="27">
        <f t="shared" si="2"/>
        <v>-2.4999999999999467E-3</v>
      </c>
      <c r="K33" s="28">
        <v>0.05</v>
      </c>
      <c r="L33" s="26">
        <f t="shared" si="3"/>
        <v>83790</v>
      </c>
      <c r="M33" s="26">
        <f t="shared" si="4"/>
        <v>99710.1</v>
      </c>
      <c r="N33" s="29" t="s">
        <v>78</v>
      </c>
    </row>
    <row r="34" spans="1:14" ht="16.5" customHeight="1" x14ac:dyDescent="0.25">
      <c r="A34" s="50">
        <v>16</v>
      </c>
      <c r="B34" s="51">
        <v>341</v>
      </c>
      <c r="C34" s="52" t="s">
        <v>79</v>
      </c>
      <c r="D34" s="23">
        <v>620</v>
      </c>
      <c r="E34" s="53" t="s">
        <v>66</v>
      </c>
      <c r="F34" s="25">
        <v>195</v>
      </c>
      <c r="G34" s="54">
        <f t="shared" si="0"/>
        <v>120900</v>
      </c>
      <c r="H34" s="25">
        <v>125000</v>
      </c>
      <c r="I34" s="54">
        <f t="shared" si="1"/>
        <v>-4100</v>
      </c>
      <c r="J34" s="55">
        <f t="shared" si="2"/>
        <v>-3.2800000000000051E-2</v>
      </c>
      <c r="K34" s="28">
        <v>0.05</v>
      </c>
      <c r="L34" s="54">
        <f t="shared" si="3"/>
        <v>126945</v>
      </c>
      <c r="M34" s="54">
        <f t="shared" si="4"/>
        <v>151064.54999999999</v>
      </c>
      <c r="N34" s="56" t="s">
        <v>68</v>
      </c>
    </row>
    <row r="35" spans="1:14" ht="16.5" customHeight="1" x14ac:dyDescent="0.25">
      <c r="A35" s="20">
        <v>17</v>
      </c>
      <c r="B35" s="21">
        <v>342</v>
      </c>
      <c r="C35" s="22" t="s">
        <v>80</v>
      </c>
      <c r="D35" s="23">
        <v>1850</v>
      </c>
      <c r="E35" s="24" t="s">
        <v>66</v>
      </c>
      <c r="F35" s="25">
        <v>68</v>
      </c>
      <c r="G35" s="26">
        <f t="shared" si="0"/>
        <v>125800</v>
      </c>
      <c r="H35" s="25">
        <v>130000</v>
      </c>
      <c r="I35" s="26">
        <f t="shared" si="1"/>
        <v>-4200</v>
      </c>
      <c r="J35" s="27">
        <f t="shared" si="2"/>
        <v>-3.230769230769226E-2</v>
      </c>
      <c r="K35" s="28">
        <v>0.05</v>
      </c>
      <c r="L35" s="26">
        <f t="shared" si="3"/>
        <v>132090</v>
      </c>
      <c r="M35" s="26">
        <f t="shared" si="4"/>
        <v>157187.1</v>
      </c>
      <c r="N35" s="29" t="s">
        <v>81</v>
      </c>
    </row>
    <row r="36" spans="1:14" ht="16.5" customHeight="1" x14ac:dyDescent="0.25">
      <c r="A36" s="50">
        <v>18</v>
      </c>
      <c r="B36" s="51">
        <v>344</v>
      </c>
      <c r="C36" s="52" t="s">
        <v>82</v>
      </c>
      <c r="D36" s="23">
        <v>145</v>
      </c>
      <c r="E36" s="53" t="s">
        <v>74</v>
      </c>
      <c r="F36" s="25">
        <v>620</v>
      </c>
      <c r="G36" s="54">
        <f t="shared" si="0"/>
        <v>89900</v>
      </c>
      <c r="H36" s="25">
        <v>93000</v>
      </c>
      <c r="I36" s="54">
        <f t="shared" si="1"/>
        <v>-3100</v>
      </c>
      <c r="J36" s="55">
        <f t="shared" si="2"/>
        <v>-3.3333333333333326E-2</v>
      </c>
      <c r="K36" s="28">
        <v>0.05</v>
      </c>
      <c r="L36" s="54">
        <f t="shared" si="3"/>
        <v>94395</v>
      </c>
      <c r="M36" s="54">
        <f t="shared" si="4"/>
        <v>112330.05</v>
      </c>
      <c r="N36" s="56" t="s">
        <v>83</v>
      </c>
    </row>
    <row r="37" spans="1:14" ht="16.5" customHeight="1" x14ac:dyDescent="0.25">
      <c r="A37" s="20">
        <v>19</v>
      </c>
      <c r="B37" s="21">
        <v>345</v>
      </c>
      <c r="C37" s="22" t="s">
        <v>84</v>
      </c>
      <c r="D37" s="23">
        <v>3200</v>
      </c>
      <c r="E37" s="24" t="s">
        <v>66</v>
      </c>
      <c r="F37" s="25">
        <v>28</v>
      </c>
      <c r="G37" s="26">
        <f t="shared" si="0"/>
        <v>89600</v>
      </c>
      <c r="H37" s="25">
        <v>92000</v>
      </c>
      <c r="I37" s="26">
        <f t="shared" si="1"/>
        <v>-2400</v>
      </c>
      <c r="J37" s="27">
        <f t="shared" si="2"/>
        <v>-2.6086956521739091E-2</v>
      </c>
      <c r="K37" s="28">
        <v>0.05</v>
      </c>
      <c r="L37" s="26">
        <f t="shared" si="3"/>
        <v>94080</v>
      </c>
      <c r="M37" s="26">
        <f t="shared" si="4"/>
        <v>111955.2</v>
      </c>
      <c r="N37" s="29" t="s">
        <v>78</v>
      </c>
    </row>
    <row r="38" spans="1:14" ht="16.5" customHeight="1" x14ac:dyDescent="0.25">
      <c r="A38" s="50">
        <v>20</v>
      </c>
      <c r="B38" s="51">
        <v>351</v>
      </c>
      <c r="C38" s="52" t="s">
        <v>85</v>
      </c>
      <c r="D38" s="23">
        <v>2800</v>
      </c>
      <c r="E38" s="53" t="s">
        <v>66</v>
      </c>
      <c r="F38" s="25">
        <v>185</v>
      </c>
      <c r="G38" s="54">
        <f t="shared" si="0"/>
        <v>518000</v>
      </c>
      <c r="H38" s="25">
        <v>540000</v>
      </c>
      <c r="I38" s="54">
        <f t="shared" si="1"/>
        <v>-22000</v>
      </c>
      <c r="J38" s="55">
        <f t="shared" si="2"/>
        <v>-4.0740740740740744E-2</v>
      </c>
      <c r="K38" s="28">
        <v>0.05</v>
      </c>
      <c r="L38" s="54">
        <f t="shared" si="3"/>
        <v>543900</v>
      </c>
      <c r="M38" s="54">
        <f t="shared" si="4"/>
        <v>647241</v>
      </c>
      <c r="N38" s="56" t="s">
        <v>68</v>
      </c>
    </row>
    <row r="39" spans="1:14" ht="16.5" customHeight="1" x14ac:dyDescent="0.25">
      <c r="A39" s="20">
        <v>21</v>
      </c>
      <c r="B39" s="21">
        <v>352</v>
      </c>
      <c r="C39" s="22" t="s">
        <v>86</v>
      </c>
      <c r="D39" s="23">
        <v>2650</v>
      </c>
      <c r="E39" s="24" t="s">
        <v>66</v>
      </c>
      <c r="F39" s="25">
        <v>32</v>
      </c>
      <c r="G39" s="26">
        <f t="shared" si="0"/>
        <v>84800</v>
      </c>
      <c r="H39" s="25">
        <v>88000</v>
      </c>
      <c r="I39" s="26">
        <f t="shared" si="1"/>
        <v>-3200</v>
      </c>
      <c r="J39" s="27">
        <f t="shared" si="2"/>
        <v>-3.6363636363636376E-2</v>
      </c>
      <c r="K39" s="28">
        <v>0.05</v>
      </c>
      <c r="L39" s="26">
        <f t="shared" si="3"/>
        <v>89040</v>
      </c>
      <c r="M39" s="26">
        <f t="shared" si="4"/>
        <v>105957.6</v>
      </c>
      <c r="N39" s="29" t="s">
        <v>87</v>
      </c>
    </row>
    <row r="40" spans="1:14" ht="16.5" customHeight="1" x14ac:dyDescent="0.25">
      <c r="A40" s="50">
        <v>22</v>
      </c>
      <c r="B40" s="51">
        <v>353</v>
      </c>
      <c r="C40" s="52" t="s">
        <v>88</v>
      </c>
      <c r="D40" s="23">
        <v>2650</v>
      </c>
      <c r="E40" s="53" t="s">
        <v>66</v>
      </c>
      <c r="F40" s="25">
        <v>68</v>
      </c>
      <c r="G40" s="54">
        <f t="shared" si="0"/>
        <v>180200</v>
      </c>
      <c r="H40" s="25">
        <v>185000</v>
      </c>
      <c r="I40" s="54">
        <f t="shared" si="1"/>
        <v>-4800</v>
      </c>
      <c r="J40" s="55">
        <f t="shared" si="2"/>
        <v>-2.5945945945945903E-2</v>
      </c>
      <c r="K40" s="28">
        <v>0.05</v>
      </c>
      <c r="L40" s="54">
        <f t="shared" si="3"/>
        <v>189210</v>
      </c>
      <c r="M40" s="54">
        <f t="shared" si="4"/>
        <v>225159.9</v>
      </c>
      <c r="N40" s="56" t="s">
        <v>81</v>
      </c>
    </row>
    <row r="41" spans="1:14" ht="16.5" customHeight="1" x14ac:dyDescent="0.25">
      <c r="A41" s="20">
        <v>23</v>
      </c>
      <c r="B41" s="21">
        <v>361</v>
      </c>
      <c r="C41" s="22" t="s">
        <v>89</v>
      </c>
      <c r="D41" s="23">
        <v>800</v>
      </c>
      <c r="E41" s="24" t="s">
        <v>66</v>
      </c>
      <c r="F41" s="25">
        <v>145</v>
      </c>
      <c r="G41" s="26">
        <f t="shared" si="0"/>
        <v>116000</v>
      </c>
      <c r="H41" s="25">
        <v>120000</v>
      </c>
      <c r="I41" s="26">
        <f t="shared" si="1"/>
        <v>-4000</v>
      </c>
      <c r="J41" s="27">
        <f t="shared" si="2"/>
        <v>-3.3333333333333326E-2</v>
      </c>
      <c r="K41" s="28">
        <v>0.08</v>
      </c>
      <c r="L41" s="26">
        <f t="shared" si="3"/>
        <v>125280</v>
      </c>
      <c r="M41" s="26">
        <f t="shared" si="4"/>
        <v>149083.20000000001</v>
      </c>
      <c r="N41" s="29" t="s">
        <v>68</v>
      </c>
    </row>
    <row r="42" spans="1:14" ht="16.5" customHeight="1" x14ac:dyDescent="0.25">
      <c r="A42" s="50">
        <v>24</v>
      </c>
      <c r="B42" s="51">
        <v>362</v>
      </c>
      <c r="C42" s="52" t="s">
        <v>90</v>
      </c>
      <c r="D42" s="23">
        <v>800</v>
      </c>
      <c r="E42" s="53" t="s">
        <v>66</v>
      </c>
      <c r="F42" s="25">
        <v>115</v>
      </c>
      <c r="G42" s="54">
        <f t="shared" si="0"/>
        <v>92000</v>
      </c>
      <c r="H42" s="25">
        <v>95000</v>
      </c>
      <c r="I42" s="54">
        <f t="shared" si="1"/>
        <v>-3000</v>
      </c>
      <c r="J42" s="55">
        <f t="shared" si="2"/>
        <v>-3.157894736842104E-2</v>
      </c>
      <c r="K42" s="28">
        <v>0.08</v>
      </c>
      <c r="L42" s="54">
        <f t="shared" si="3"/>
        <v>99360</v>
      </c>
      <c r="M42" s="54">
        <f t="shared" si="4"/>
        <v>118238.39999999999</v>
      </c>
      <c r="N42" s="56" t="s">
        <v>91</v>
      </c>
    </row>
    <row r="43" spans="1:14" ht="16.5" customHeight="1" x14ac:dyDescent="0.25">
      <c r="A43" s="20">
        <v>25</v>
      </c>
      <c r="B43" s="21">
        <v>374</v>
      </c>
      <c r="C43" s="22" t="s">
        <v>92</v>
      </c>
      <c r="D43" s="23">
        <v>3</v>
      </c>
      <c r="E43" s="24" t="s">
        <v>74</v>
      </c>
      <c r="F43" s="25">
        <v>18500</v>
      </c>
      <c r="G43" s="26">
        <f t="shared" si="0"/>
        <v>55500</v>
      </c>
      <c r="H43" s="25">
        <v>58000</v>
      </c>
      <c r="I43" s="26">
        <f t="shared" si="1"/>
        <v>-2500</v>
      </c>
      <c r="J43" s="27">
        <f t="shared" si="2"/>
        <v>-4.31034482758621E-2</v>
      </c>
      <c r="K43" s="28">
        <v>0.05</v>
      </c>
      <c r="L43" s="26">
        <f t="shared" si="3"/>
        <v>58275</v>
      </c>
      <c r="M43" s="26">
        <f t="shared" si="4"/>
        <v>69347.25</v>
      </c>
      <c r="N43" s="29" t="s">
        <v>93</v>
      </c>
    </row>
    <row r="44" spans="1:14" ht="16.5" customHeight="1" x14ac:dyDescent="0.25">
      <c r="A44" s="50">
        <v>26</v>
      </c>
      <c r="B44" s="51">
        <v>390</v>
      </c>
      <c r="C44" s="52" t="s">
        <v>94</v>
      </c>
      <c r="D44" s="23">
        <v>5200</v>
      </c>
      <c r="E44" s="53" t="s">
        <v>66</v>
      </c>
      <c r="F44" s="25">
        <v>18</v>
      </c>
      <c r="G44" s="54">
        <f t="shared" si="0"/>
        <v>93600</v>
      </c>
      <c r="H44" s="25">
        <v>96000</v>
      </c>
      <c r="I44" s="54">
        <f t="shared" si="1"/>
        <v>-2400</v>
      </c>
      <c r="J44" s="55">
        <f t="shared" si="2"/>
        <v>-2.5000000000000022E-2</v>
      </c>
      <c r="K44" s="28">
        <v>0.05</v>
      </c>
      <c r="L44" s="54">
        <f t="shared" si="3"/>
        <v>98280</v>
      </c>
      <c r="M44" s="54">
        <f t="shared" si="4"/>
        <v>116953.2</v>
      </c>
      <c r="N44" s="56" t="s">
        <v>95</v>
      </c>
    </row>
    <row r="45" spans="1:14" ht="19.5" customHeight="1" x14ac:dyDescent="0.25">
      <c r="A45" s="5" t="s">
        <v>96</v>
      </c>
      <c r="B45" s="5"/>
      <c r="C45" s="5"/>
      <c r="D45" s="57"/>
      <c r="E45" s="57"/>
      <c r="F45" s="57"/>
      <c r="G45" s="58">
        <f>SUM(G25:G44)</f>
        <v>2849900</v>
      </c>
      <c r="H45" s="58">
        <f>SUM(H25:H44)</f>
        <v>2956000</v>
      </c>
      <c r="I45" s="58">
        <f>G45-H45</f>
        <v>-106100</v>
      </c>
      <c r="J45" s="59">
        <f>IF(H45=0,"",G45/H45-1)</f>
        <v>-3.5893098782137978E-2</v>
      </c>
      <c r="K45" s="57"/>
      <c r="L45" s="58">
        <f>SUM(L25:L44)</f>
        <v>3008280</v>
      </c>
      <c r="M45" s="58">
        <f>SUM(M25:M44)</f>
        <v>3579853.2100000004</v>
      </c>
      <c r="N45" s="57"/>
    </row>
    <row r="46" spans="1:14" ht="6" customHeight="1" x14ac:dyDescent="0.25"/>
    <row r="47" spans="1:14" ht="18" customHeight="1" x14ac:dyDescent="0.25">
      <c r="A47" s="4" t="s">
        <v>97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</row>
    <row r="48" spans="1:14" ht="16.5" customHeight="1" x14ac:dyDescent="0.25">
      <c r="A48" s="60">
        <v>27</v>
      </c>
      <c r="B48" s="61">
        <v>410</v>
      </c>
      <c r="C48" s="62" t="s">
        <v>98</v>
      </c>
      <c r="D48" s="23">
        <v>1</v>
      </c>
      <c r="E48" s="63" t="s">
        <v>47</v>
      </c>
      <c r="F48" s="25">
        <v>185000</v>
      </c>
      <c r="G48" s="64">
        <f t="shared" ref="G48:G54" si="5">IF(OR(D48="",F48=""),"",D48*F48)</f>
        <v>185000</v>
      </c>
      <c r="H48" s="25">
        <v>175000</v>
      </c>
      <c r="I48" s="64">
        <f t="shared" ref="I48:I54" si="6">IF(G48="","",G48-H48)</f>
        <v>10000</v>
      </c>
      <c r="J48" s="65">
        <f t="shared" ref="J48:J54" si="7">IF(OR(G48="",H48=0),"",G48/H48-1)</f>
        <v>5.7142857142857162E-2</v>
      </c>
      <c r="K48" s="28">
        <v>0.05</v>
      </c>
      <c r="L48" s="64">
        <f t="shared" ref="L48:L54" si="8">IF(G48="","",ROUND(G48*(1+K48),2))</f>
        <v>194250</v>
      </c>
      <c r="M48" s="64">
        <f t="shared" ref="M48:M54" si="9">IF(L48="","",ROUND(L48*1.19,2))</f>
        <v>231157.5</v>
      </c>
      <c r="N48" s="66" t="s">
        <v>99</v>
      </c>
    </row>
    <row r="49" spans="1:14" ht="16.5" customHeight="1" x14ac:dyDescent="0.25">
      <c r="A49" s="20">
        <v>28</v>
      </c>
      <c r="B49" s="21">
        <v>420</v>
      </c>
      <c r="C49" s="22" t="s">
        <v>100</v>
      </c>
      <c r="D49" s="23">
        <v>1</v>
      </c>
      <c r="E49" s="24" t="s">
        <v>47</v>
      </c>
      <c r="F49" s="25">
        <v>145000</v>
      </c>
      <c r="G49" s="26">
        <f t="shared" si="5"/>
        <v>145000</v>
      </c>
      <c r="H49" s="25">
        <v>140000</v>
      </c>
      <c r="I49" s="26">
        <f t="shared" si="6"/>
        <v>5000</v>
      </c>
      <c r="J49" s="27">
        <f t="shared" si="7"/>
        <v>3.5714285714285809E-2</v>
      </c>
      <c r="K49" s="28">
        <v>0.05</v>
      </c>
      <c r="L49" s="26">
        <f t="shared" si="8"/>
        <v>152250</v>
      </c>
      <c r="M49" s="26">
        <f t="shared" si="9"/>
        <v>181177.5</v>
      </c>
      <c r="N49" s="29" t="s">
        <v>101</v>
      </c>
    </row>
    <row r="50" spans="1:14" ht="16.5" customHeight="1" x14ac:dyDescent="0.25">
      <c r="A50" s="60">
        <v>29</v>
      </c>
      <c r="B50" s="61">
        <v>430</v>
      </c>
      <c r="C50" s="62" t="s">
        <v>102</v>
      </c>
      <c r="D50" s="23">
        <v>1</v>
      </c>
      <c r="E50" s="63" t="s">
        <v>47</v>
      </c>
      <c r="F50" s="25">
        <v>220000</v>
      </c>
      <c r="G50" s="64">
        <f t="shared" si="5"/>
        <v>220000</v>
      </c>
      <c r="H50" s="25">
        <v>210000</v>
      </c>
      <c r="I50" s="64">
        <f t="shared" si="6"/>
        <v>10000</v>
      </c>
      <c r="J50" s="65">
        <f t="shared" si="7"/>
        <v>4.7619047619047672E-2</v>
      </c>
      <c r="K50" s="28">
        <v>0.08</v>
      </c>
      <c r="L50" s="64">
        <f t="shared" si="8"/>
        <v>237600</v>
      </c>
      <c r="M50" s="64">
        <f t="shared" si="9"/>
        <v>282744</v>
      </c>
      <c r="N50" s="66" t="s">
        <v>103</v>
      </c>
    </row>
    <row r="51" spans="1:14" ht="16.5" customHeight="1" x14ac:dyDescent="0.25">
      <c r="A51" s="20">
        <v>30</v>
      </c>
      <c r="B51" s="21">
        <v>440</v>
      </c>
      <c r="C51" s="22" t="s">
        <v>104</v>
      </c>
      <c r="D51" s="23">
        <v>1</v>
      </c>
      <c r="E51" s="24" t="s">
        <v>47</v>
      </c>
      <c r="F51" s="25">
        <v>295000</v>
      </c>
      <c r="G51" s="26">
        <f t="shared" si="5"/>
        <v>295000</v>
      </c>
      <c r="H51" s="25">
        <v>280000</v>
      </c>
      <c r="I51" s="26">
        <f t="shared" si="6"/>
        <v>15000</v>
      </c>
      <c r="J51" s="27">
        <f t="shared" si="7"/>
        <v>5.3571428571428603E-2</v>
      </c>
      <c r="K51" s="28">
        <v>0.05</v>
      </c>
      <c r="L51" s="26">
        <f t="shared" si="8"/>
        <v>309750</v>
      </c>
      <c r="M51" s="26">
        <f t="shared" si="9"/>
        <v>368602.5</v>
      </c>
      <c r="N51" s="29" t="s">
        <v>105</v>
      </c>
    </row>
    <row r="52" spans="1:14" ht="16.5" customHeight="1" x14ac:dyDescent="0.25">
      <c r="A52" s="60">
        <v>31</v>
      </c>
      <c r="B52" s="61">
        <v>450</v>
      </c>
      <c r="C52" s="62" t="s">
        <v>106</v>
      </c>
      <c r="D52" s="23">
        <v>1</v>
      </c>
      <c r="E52" s="63" t="s">
        <v>47</v>
      </c>
      <c r="F52" s="25">
        <v>88000</v>
      </c>
      <c r="G52" s="64">
        <f t="shared" si="5"/>
        <v>88000</v>
      </c>
      <c r="H52" s="25">
        <v>85000</v>
      </c>
      <c r="I52" s="64">
        <f t="shared" si="6"/>
        <v>3000</v>
      </c>
      <c r="J52" s="65">
        <f t="shared" si="7"/>
        <v>3.529411764705892E-2</v>
      </c>
      <c r="K52" s="28">
        <v>0.05</v>
      </c>
      <c r="L52" s="64">
        <f t="shared" si="8"/>
        <v>92400</v>
      </c>
      <c r="M52" s="64">
        <f t="shared" si="9"/>
        <v>109956</v>
      </c>
      <c r="N52" s="66" t="s">
        <v>107</v>
      </c>
    </row>
    <row r="53" spans="1:14" ht="16.5" customHeight="1" x14ac:dyDescent="0.25">
      <c r="A53" s="20">
        <v>32</v>
      </c>
      <c r="B53" s="21">
        <v>460</v>
      </c>
      <c r="C53" s="22" t="s">
        <v>108</v>
      </c>
      <c r="D53" s="23">
        <v>3</v>
      </c>
      <c r="E53" s="24" t="s">
        <v>74</v>
      </c>
      <c r="F53" s="25">
        <v>42000</v>
      </c>
      <c r="G53" s="26">
        <f t="shared" si="5"/>
        <v>126000</v>
      </c>
      <c r="H53" s="25">
        <v>130000</v>
      </c>
      <c r="I53" s="26">
        <f t="shared" si="6"/>
        <v>-4000</v>
      </c>
      <c r="J53" s="27">
        <f t="shared" si="7"/>
        <v>-3.0769230769230771E-2</v>
      </c>
      <c r="K53" s="28">
        <v>0.08</v>
      </c>
      <c r="L53" s="26">
        <f t="shared" si="8"/>
        <v>136080</v>
      </c>
      <c r="M53" s="26">
        <f t="shared" si="9"/>
        <v>161935.20000000001</v>
      </c>
      <c r="N53" s="29" t="s">
        <v>93</v>
      </c>
    </row>
    <row r="54" spans="1:14" ht="16.5" customHeight="1" x14ac:dyDescent="0.25">
      <c r="A54" s="60">
        <v>33</v>
      </c>
      <c r="B54" s="61">
        <v>470</v>
      </c>
      <c r="C54" s="62" t="s">
        <v>109</v>
      </c>
      <c r="D54" s="23">
        <v>1</v>
      </c>
      <c r="E54" s="63" t="s">
        <v>47</v>
      </c>
      <c r="F54" s="25">
        <v>65000</v>
      </c>
      <c r="G54" s="64">
        <f t="shared" si="5"/>
        <v>65000</v>
      </c>
      <c r="H54" s="25">
        <v>60000</v>
      </c>
      <c r="I54" s="64">
        <f t="shared" si="6"/>
        <v>5000</v>
      </c>
      <c r="J54" s="65">
        <f t="shared" si="7"/>
        <v>8.3333333333333259E-2</v>
      </c>
      <c r="K54" s="28">
        <v>0.05</v>
      </c>
      <c r="L54" s="64">
        <f t="shared" si="8"/>
        <v>68250</v>
      </c>
      <c r="M54" s="64">
        <f t="shared" si="9"/>
        <v>81217.5</v>
      </c>
      <c r="N54" s="66" t="s">
        <v>110</v>
      </c>
    </row>
    <row r="55" spans="1:14" ht="19.5" customHeight="1" x14ac:dyDescent="0.25">
      <c r="A55" s="3" t="s">
        <v>111</v>
      </c>
      <c r="B55" s="3"/>
      <c r="C55" s="3"/>
      <c r="D55" s="67"/>
      <c r="E55" s="67"/>
      <c r="F55" s="67"/>
      <c r="G55" s="68">
        <f>SUM(G48:G54)</f>
        <v>1124000</v>
      </c>
      <c r="H55" s="68">
        <f>SUM(H48:H54)</f>
        <v>1080000</v>
      </c>
      <c r="I55" s="68">
        <f>G55-H55</f>
        <v>44000</v>
      </c>
      <c r="J55" s="69">
        <f>IF(H55=0,"",G55/H55-1)</f>
        <v>4.0740740740740744E-2</v>
      </c>
      <c r="K55" s="67"/>
      <c r="L55" s="68">
        <f>SUM(L48:L54)</f>
        <v>1190580</v>
      </c>
      <c r="M55" s="68">
        <f>SUM(M48:M54)</f>
        <v>1416790.2</v>
      </c>
      <c r="N55" s="67"/>
    </row>
    <row r="56" spans="1:14" ht="6" customHeight="1" x14ac:dyDescent="0.25"/>
    <row r="57" spans="1:14" ht="18" customHeight="1" x14ac:dyDescent="0.25">
      <c r="A57" s="2" t="s">
        <v>112</v>
      </c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16.5" customHeight="1" x14ac:dyDescent="0.25">
      <c r="A58" s="70">
        <v>34</v>
      </c>
      <c r="B58" s="71">
        <v>510</v>
      </c>
      <c r="C58" s="72" t="s">
        <v>113</v>
      </c>
      <c r="D58" s="23">
        <v>1</v>
      </c>
      <c r="E58" s="73" t="s">
        <v>47</v>
      </c>
      <c r="F58" s="25">
        <v>28000</v>
      </c>
      <c r="G58" s="74">
        <f>IF(OR(D58="",F58=""),"",D58*F58)</f>
        <v>28000</v>
      </c>
      <c r="H58" s="25">
        <v>30000</v>
      </c>
      <c r="I58" s="74">
        <f>IF(G58="","",G58-H58)</f>
        <v>-2000</v>
      </c>
      <c r="J58" s="75">
        <f>IF(OR(G58="",H58=0),"",G58/H58-1)</f>
        <v>-6.6666666666666652E-2</v>
      </c>
      <c r="K58" s="28">
        <v>0.05</v>
      </c>
      <c r="L58" s="74">
        <f>IF(G58="","",ROUND(G58*(1+K58),2))</f>
        <v>29400</v>
      </c>
      <c r="M58" s="74">
        <f>IF(L58="","",ROUND(L58*1.19,2))</f>
        <v>34986</v>
      </c>
      <c r="N58" s="76" t="s">
        <v>114</v>
      </c>
    </row>
    <row r="59" spans="1:14" ht="16.5" customHeight="1" x14ac:dyDescent="0.25">
      <c r="A59" s="20">
        <v>35</v>
      </c>
      <c r="B59" s="21">
        <v>520</v>
      </c>
      <c r="C59" s="22" t="s">
        <v>115</v>
      </c>
      <c r="D59" s="23">
        <v>1850</v>
      </c>
      <c r="E59" s="24" t="s">
        <v>66</v>
      </c>
      <c r="F59" s="25">
        <v>85</v>
      </c>
      <c r="G59" s="26">
        <f>IF(OR(D59="",F59=""),"",D59*F59)</f>
        <v>157250</v>
      </c>
      <c r="H59" s="25">
        <v>160000</v>
      </c>
      <c r="I59" s="26">
        <f>IF(G59="","",G59-H59)</f>
        <v>-2750</v>
      </c>
      <c r="J59" s="27">
        <f>IF(OR(G59="",H59=0),"",G59/H59-1)</f>
        <v>-1.7187500000000022E-2</v>
      </c>
      <c r="K59" s="28">
        <v>0.05</v>
      </c>
      <c r="L59" s="26">
        <f>IF(G59="","",ROUND(G59*(1+K59),2))</f>
        <v>165112.5</v>
      </c>
      <c r="M59" s="26">
        <f>IF(L59="","",ROUND(L59*1.19,2))</f>
        <v>196483.88</v>
      </c>
      <c r="N59" s="29" t="s">
        <v>116</v>
      </c>
    </row>
    <row r="60" spans="1:14" ht="16.5" customHeight="1" x14ac:dyDescent="0.25">
      <c r="A60" s="70">
        <v>36</v>
      </c>
      <c r="B60" s="71">
        <v>530</v>
      </c>
      <c r="C60" s="72" t="s">
        <v>117</v>
      </c>
      <c r="D60" s="23">
        <v>1</v>
      </c>
      <c r="E60" s="73" t="s">
        <v>47</v>
      </c>
      <c r="F60" s="25">
        <v>22000</v>
      </c>
      <c r="G60" s="74">
        <f>IF(OR(D60="",F60=""),"",D60*F60)</f>
        <v>22000</v>
      </c>
      <c r="H60" s="25">
        <v>25000</v>
      </c>
      <c r="I60" s="74">
        <f>IF(G60="","",G60-H60)</f>
        <v>-3000</v>
      </c>
      <c r="J60" s="75">
        <f>IF(OR(G60="",H60=0),"",G60/H60-1)</f>
        <v>-0.12</v>
      </c>
      <c r="K60" s="28">
        <v>0.05</v>
      </c>
      <c r="L60" s="74">
        <f>IF(G60="","",ROUND(G60*(1+K60),2))</f>
        <v>23100</v>
      </c>
      <c r="M60" s="74">
        <f>IF(L60="","",ROUND(L60*1.19,2))</f>
        <v>27489</v>
      </c>
      <c r="N60" s="76" t="s">
        <v>114</v>
      </c>
    </row>
    <row r="61" spans="1:14" ht="16.5" customHeight="1" x14ac:dyDescent="0.25">
      <c r="A61" s="20">
        <v>37</v>
      </c>
      <c r="B61" s="21">
        <v>540</v>
      </c>
      <c r="C61" s="22" t="s">
        <v>118</v>
      </c>
      <c r="D61" s="23">
        <v>1</v>
      </c>
      <c r="E61" s="24" t="s">
        <v>47</v>
      </c>
      <c r="F61" s="25">
        <v>18500</v>
      </c>
      <c r="G61" s="26">
        <f>IF(OR(D61="",F61=""),"",D61*F61)</f>
        <v>18500</v>
      </c>
      <c r="H61" s="25">
        <v>20000</v>
      </c>
      <c r="I61" s="26">
        <f>IF(G61="","",G61-H61)</f>
        <v>-1500</v>
      </c>
      <c r="J61" s="27">
        <f>IF(OR(G61="",H61=0),"",G61/H61-1)</f>
        <v>-7.4999999999999956E-2</v>
      </c>
      <c r="K61" s="28">
        <v>0.05</v>
      </c>
      <c r="L61" s="26">
        <f>IF(G61="","",ROUND(G61*(1+K61),2))</f>
        <v>19425</v>
      </c>
      <c r="M61" s="26">
        <f>IF(L61="","",ROUND(L61*1.19,2))</f>
        <v>23115.75</v>
      </c>
      <c r="N61" s="29" t="s">
        <v>105</v>
      </c>
    </row>
    <row r="62" spans="1:14" ht="19.5" customHeight="1" x14ac:dyDescent="0.25">
      <c r="A62" s="1" t="s">
        <v>119</v>
      </c>
      <c r="B62" s="1"/>
      <c r="C62" s="1"/>
      <c r="D62" s="77"/>
      <c r="E62" s="77"/>
      <c r="F62" s="77"/>
      <c r="G62" s="78">
        <f>SUM(G58:G61)</f>
        <v>225750</v>
      </c>
      <c r="H62" s="78">
        <f>SUM(H58:H61)</f>
        <v>235000</v>
      </c>
      <c r="I62" s="78">
        <f>G62-H62</f>
        <v>-9250</v>
      </c>
      <c r="J62" s="79">
        <f>IF(H62=0,"",G62/H62-1)</f>
        <v>-3.9361702127659548E-2</v>
      </c>
      <c r="K62" s="77"/>
      <c r="L62" s="78">
        <f>SUM(L58:L61)</f>
        <v>237037.5</v>
      </c>
      <c r="M62" s="78">
        <f>SUM(M58:M61)</f>
        <v>282074.63</v>
      </c>
      <c r="N62" s="77"/>
    </row>
    <row r="63" spans="1:14" ht="6" customHeight="1" x14ac:dyDescent="0.25"/>
    <row r="64" spans="1:14" ht="18" customHeight="1" x14ac:dyDescent="0.25">
      <c r="A64" s="141" t="s">
        <v>120</v>
      </c>
      <c r="B64" s="141"/>
      <c r="C64" s="141"/>
      <c r="D64" s="141"/>
      <c r="E64" s="141"/>
      <c r="F64" s="141"/>
      <c r="G64" s="141"/>
      <c r="H64" s="141"/>
      <c r="I64" s="141"/>
      <c r="J64" s="141"/>
      <c r="K64" s="141"/>
      <c r="L64" s="141"/>
      <c r="M64" s="141"/>
      <c r="N64" s="141"/>
    </row>
    <row r="65" spans="1:14" ht="16.5" customHeight="1" x14ac:dyDescent="0.25">
      <c r="A65" s="20">
        <v>38</v>
      </c>
      <c r="B65" s="21">
        <v>610</v>
      </c>
      <c r="C65" s="22" t="s">
        <v>121</v>
      </c>
      <c r="D65" s="23">
        <v>1</v>
      </c>
      <c r="E65" s="24" t="s">
        <v>47</v>
      </c>
      <c r="F65" s="25">
        <v>32000</v>
      </c>
      <c r="G65" s="26">
        <f>IF(OR(D65="",F65=""),"",D65*F65)</f>
        <v>32000</v>
      </c>
      <c r="H65" s="25">
        <v>30000</v>
      </c>
      <c r="I65" s="26">
        <f>IF(G65="","",G65-H65)</f>
        <v>2000</v>
      </c>
      <c r="J65" s="27">
        <f>IF(OR(G65="",H65=0),"",G65/H65-1)</f>
        <v>6.6666666666666652E-2</v>
      </c>
      <c r="K65" s="28">
        <v>0.05</v>
      </c>
      <c r="L65" s="26">
        <f>IF(G65="","",ROUND(G65*(1+K65),2))</f>
        <v>33600</v>
      </c>
      <c r="M65" s="26">
        <f>IF(L65="","",ROUND(L65*1.19,2))</f>
        <v>39984</v>
      </c>
      <c r="N65" s="29" t="s">
        <v>122</v>
      </c>
    </row>
    <row r="66" spans="1:14" ht="16.5" customHeight="1" x14ac:dyDescent="0.25">
      <c r="A66" s="80">
        <v>39</v>
      </c>
      <c r="B66" s="81">
        <v>620</v>
      </c>
      <c r="C66" s="82" t="s">
        <v>123</v>
      </c>
      <c r="D66" s="23">
        <v>1</v>
      </c>
      <c r="E66" s="83" t="s">
        <v>47</v>
      </c>
      <c r="F66" s="25">
        <v>15000</v>
      </c>
      <c r="G66" s="84">
        <f>IF(OR(D66="",F66=""),"",D66*F66)</f>
        <v>15000</v>
      </c>
      <c r="H66" s="25">
        <v>15000</v>
      </c>
      <c r="I66" s="84">
        <f>IF(G66="","",G66-H66)</f>
        <v>0</v>
      </c>
      <c r="J66" s="85">
        <f>IF(OR(G66="",H66=0),"",G66/H66-1)</f>
        <v>0</v>
      </c>
      <c r="K66" s="28">
        <v>0.05</v>
      </c>
      <c r="L66" s="84">
        <f>IF(G66="","",ROUND(G66*(1+K66),2))</f>
        <v>15750</v>
      </c>
      <c r="M66" s="84">
        <f>IF(L66="","",ROUND(L66*1.19,2))</f>
        <v>18742.5</v>
      </c>
      <c r="N66" s="86" t="s">
        <v>124</v>
      </c>
    </row>
    <row r="67" spans="1:14" ht="19.5" customHeight="1" x14ac:dyDescent="0.25">
      <c r="A67" s="142" t="s">
        <v>125</v>
      </c>
      <c r="B67" s="142"/>
      <c r="C67" s="142"/>
      <c r="D67" s="87"/>
      <c r="E67" s="87"/>
      <c r="F67" s="87"/>
      <c r="G67" s="88">
        <f>SUM(G65:G66)</f>
        <v>47000</v>
      </c>
      <c r="H67" s="88">
        <f>SUM(H65:H66)</f>
        <v>45000</v>
      </c>
      <c r="I67" s="88">
        <f>G67-H67</f>
        <v>2000</v>
      </c>
      <c r="J67" s="89">
        <f>IF(H67=0,"",G67/H67-1)</f>
        <v>4.4444444444444509E-2</v>
      </c>
      <c r="K67" s="87"/>
      <c r="L67" s="88">
        <f>SUM(L65:L66)</f>
        <v>49350</v>
      </c>
      <c r="M67" s="88">
        <f>SUM(M65:M66)</f>
        <v>58726.5</v>
      </c>
      <c r="N67" s="87"/>
    </row>
    <row r="68" spans="1:14" ht="6" customHeight="1" x14ac:dyDescent="0.25"/>
    <row r="69" spans="1:14" ht="18" customHeight="1" x14ac:dyDescent="0.25">
      <c r="A69" s="143" t="s">
        <v>126</v>
      </c>
      <c r="B69" s="143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3"/>
      <c r="N69" s="143"/>
    </row>
    <row r="70" spans="1:14" ht="16.5" customHeight="1" x14ac:dyDescent="0.25">
      <c r="A70" s="90">
        <v>40</v>
      </c>
      <c r="B70" s="91">
        <v>711</v>
      </c>
      <c r="C70" s="92" t="s">
        <v>127</v>
      </c>
      <c r="D70" s="23">
        <v>1</v>
      </c>
      <c r="E70" s="93" t="s">
        <v>47</v>
      </c>
      <c r="F70" s="25">
        <v>85000</v>
      </c>
      <c r="G70" s="94">
        <f t="shared" ref="G70:G76" si="10">IF(OR(D70="",F70=""),"",D70*F70)</f>
        <v>85000</v>
      </c>
      <c r="H70" s="25">
        <v>80000</v>
      </c>
      <c r="I70" s="94">
        <f t="shared" ref="I70:I76" si="11">IF(G70="","",G70-H70)</f>
        <v>5000</v>
      </c>
      <c r="J70" s="95">
        <f t="shared" ref="J70:J76" si="12">IF(OR(G70="",H70=0),"",G70/H70-1)</f>
        <v>6.25E-2</v>
      </c>
      <c r="K70" s="28">
        <v>0.05</v>
      </c>
      <c r="L70" s="94">
        <f t="shared" ref="L70:L76" si="13">IF(G70="","",ROUND(G70*(1+K70),2))</f>
        <v>89250</v>
      </c>
      <c r="M70" s="94">
        <f t="shared" ref="M70:M76" si="14">IF(L70="","",ROUND(L70*1.19,2))</f>
        <v>106207.5</v>
      </c>
      <c r="N70" s="96" t="s">
        <v>128</v>
      </c>
    </row>
    <row r="71" spans="1:14" ht="16.5" customHeight="1" x14ac:dyDescent="0.25">
      <c r="A71" s="20">
        <v>41</v>
      </c>
      <c r="B71" s="21">
        <v>721</v>
      </c>
      <c r="C71" s="22" t="s">
        <v>129</v>
      </c>
      <c r="D71" s="23">
        <v>1</v>
      </c>
      <c r="E71" s="24" t="s">
        <v>47</v>
      </c>
      <c r="F71" s="25">
        <v>380000</v>
      </c>
      <c r="G71" s="26">
        <f t="shared" si="10"/>
        <v>380000</v>
      </c>
      <c r="H71" s="25">
        <v>360000</v>
      </c>
      <c r="I71" s="26">
        <f t="shared" si="11"/>
        <v>20000</v>
      </c>
      <c r="J71" s="27">
        <f t="shared" si="12"/>
        <v>5.555555555555558E-2</v>
      </c>
      <c r="K71" s="28">
        <v>0.03</v>
      </c>
      <c r="L71" s="26">
        <f t="shared" si="13"/>
        <v>391400</v>
      </c>
      <c r="M71" s="26">
        <f t="shared" si="14"/>
        <v>465766</v>
      </c>
      <c r="N71" s="29" t="s">
        <v>128</v>
      </c>
    </row>
    <row r="72" spans="1:14" ht="16.5" customHeight="1" x14ac:dyDescent="0.25">
      <c r="A72" s="90">
        <v>42</v>
      </c>
      <c r="B72" s="91">
        <v>722</v>
      </c>
      <c r="C72" s="92" t="s">
        <v>130</v>
      </c>
      <c r="D72" s="23">
        <v>1</v>
      </c>
      <c r="E72" s="93" t="s">
        <v>47</v>
      </c>
      <c r="F72" s="25">
        <v>95000</v>
      </c>
      <c r="G72" s="94">
        <f t="shared" si="10"/>
        <v>95000</v>
      </c>
      <c r="H72" s="25">
        <v>90000</v>
      </c>
      <c r="I72" s="94">
        <f t="shared" si="11"/>
        <v>5000</v>
      </c>
      <c r="J72" s="95">
        <f t="shared" si="12"/>
        <v>5.555555555555558E-2</v>
      </c>
      <c r="K72" s="28">
        <v>0.03</v>
      </c>
      <c r="L72" s="94">
        <f t="shared" si="13"/>
        <v>97850</v>
      </c>
      <c r="M72" s="94">
        <f t="shared" si="14"/>
        <v>116441.5</v>
      </c>
      <c r="N72" s="96" t="s">
        <v>128</v>
      </c>
    </row>
    <row r="73" spans="1:14" ht="16.5" customHeight="1" x14ac:dyDescent="0.25">
      <c r="A73" s="20">
        <v>43</v>
      </c>
      <c r="B73" s="21">
        <v>723</v>
      </c>
      <c r="C73" s="22" t="s">
        <v>131</v>
      </c>
      <c r="D73" s="23">
        <v>1</v>
      </c>
      <c r="E73" s="24" t="s">
        <v>47</v>
      </c>
      <c r="F73" s="25">
        <v>145000</v>
      </c>
      <c r="G73" s="26">
        <f t="shared" si="10"/>
        <v>145000</v>
      </c>
      <c r="H73" s="25">
        <v>140000</v>
      </c>
      <c r="I73" s="26">
        <f t="shared" si="11"/>
        <v>5000</v>
      </c>
      <c r="J73" s="27">
        <f t="shared" si="12"/>
        <v>3.5714285714285809E-2</v>
      </c>
      <c r="K73" s="28">
        <v>0.03</v>
      </c>
      <c r="L73" s="26">
        <f t="shared" si="13"/>
        <v>149350</v>
      </c>
      <c r="M73" s="26">
        <f t="shared" si="14"/>
        <v>177726.5</v>
      </c>
      <c r="N73" s="29" t="s">
        <v>128</v>
      </c>
    </row>
    <row r="74" spans="1:14" ht="16.5" customHeight="1" x14ac:dyDescent="0.25">
      <c r="A74" s="90">
        <v>44</v>
      </c>
      <c r="B74" s="91">
        <v>730</v>
      </c>
      <c r="C74" s="92" t="s">
        <v>132</v>
      </c>
      <c r="D74" s="23">
        <v>1</v>
      </c>
      <c r="E74" s="93" t="s">
        <v>47</v>
      </c>
      <c r="F74" s="25">
        <v>22000</v>
      </c>
      <c r="G74" s="94">
        <f t="shared" si="10"/>
        <v>22000</v>
      </c>
      <c r="H74" s="25">
        <v>20000</v>
      </c>
      <c r="I74" s="94">
        <f t="shared" si="11"/>
        <v>2000</v>
      </c>
      <c r="J74" s="95">
        <f t="shared" si="12"/>
        <v>0.10000000000000009</v>
      </c>
      <c r="K74" s="28">
        <v>0.05</v>
      </c>
      <c r="L74" s="94">
        <f t="shared" si="13"/>
        <v>23100</v>
      </c>
      <c r="M74" s="94">
        <f t="shared" si="14"/>
        <v>27489</v>
      </c>
      <c r="N74" s="96" t="s">
        <v>133</v>
      </c>
    </row>
    <row r="75" spans="1:14" ht="16.5" customHeight="1" x14ac:dyDescent="0.25">
      <c r="A75" s="20">
        <v>45</v>
      </c>
      <c r="B75" s="21">
        <v>740</v>
      </c>
      <c r="C75" s="22" t="s">
        <v>134</v>
      </c>
      <c r="D75" s="23">
        <v>1</v>
      </c>
      <c r="E75" s="24" t="s">
        <v>47</v>
      </c>
      <c r="F75" s="25">
        <v>38000</v>
      </c>
      <c r="G75" s="26">
        <f t="shared" si="10"/>
        <v>38000</v>
      </c>
      <c r="H75" s="25">
        <v>35000</v>
      </c>
      <c r="I75" s="26">
        <f t="shared" si="11"/>
        <v>3000</v>
      </c>
      <c r="J75" s="27">
        <f t="shared" si="12"/>
        <v>8.5714285714285632E-2</v>
      </c>
      <c r="K75" s="28">
        <v>0.02</v>
      </c>
      <c r="L75" s="26">
        <f t="shared" si="13"/>
        <v>38760</v>
      </c>
      <c r="M75" s="26">
        <f t="shared" si="14"/>
        <v>46124.4</v>
      </c>
      <c r="N75" s="29" t="s">
        <v>135</v>
      </c>
    </row>
    <row r="76" spans="1:14" ht="16.5" customHeight="1" x14ac:dyDescent="0.25">
      <c r="A76" s="90">
        <v>46</v>
      </c>
      <c r="B76" s="91">
        <v>760</v>
      </c>
      <c r="C76" s="92" t="s">
        <v>136</v>
      </c>
      <c r="D76" s="23">
        <v>1</v>
      </c>
      <c r="E76" s="93" t="s">
        <v>47</v>
      </c>
      <c r="F76" s="25">
        <v>18000</v>
      </c>
      <c r="G76" s="94">
        <f t="shared" si="10"/>
        <v>18000</v>
      </c>
      <c r="H76" s="25">
        <v>18000</v>
      </c>
      <c r="I76" s="94">
        <f t="shared" si="11"/>
        <v>0</v>
      </c>
      <c r="J76" s="95">
        <f t="shared" si="12"/>
        <v>0</v>
      </c>
      <c r="K76" s="28">
        <v>0.05</v>
      </c>
      <c r="L76" s="94">
        <f t="shared" si="13"/>
        <v>18900</v>
      </c>
      <c r="M76" s="94">
        <f t="shared" si="14"/>
        <v>22491</v>
      </c>
      <c r="N76" s="96" t="s">
        <v>137</v>
      </c>
    </row>
    <row r="77" spans="1:14" ht="19.5" customHeight="1" x14ac:dyDescent="0.25">
      <c r="A77" s="144" t="s">
        <v>138</v>
      </c>
      <c r="B77" s="144"/>
      <c r="C77" s="144"/>
      <c r="D77" s="97"/>
      <c r="E77" s="97"/>
      <c r="F77" s="97"/>
      <c r="G77" s="98">
        <f>SUM(G70:G76)</f>
        <v>783000</v>
      </c>
      <c r="H77" s="98">
        <f>SUM(H70:H76)</f>
        <v>743000</v>
      </c>
      <c r="I77" s="98">
        <f>G77-H77</f>
        <v>40000</v>
      </c>
      <c r="J77" s="99">
        <f>IF(H77=0,"",G77/H77-1)</f>
        <v>5.3835800807537026E-2</v>
      </c>
      <c r="K77" s="97"/>
      <c r="L77" s="98">
        <f>SUM(L70:L76)</f>
        <v>808610</v>
      </c>
      <c r="M77" s="98">
        <f>SUM(M70:M76)</f>
        <v>962245.9</v>
      </c>
      <c r="N77" s="97"/>
    </row>
    <row r="78" spans="1:14" ht="6" customHeight="1" x14ac:dyDescent="0.25"/>
    <row r="79" spans="1:14" ht="18" customHeight="1" x14ac:dyDescent="0.25">
      <c r="A79" s="145" t="s">
        <v>139</v>
      </c>
      <c r="B79" s="145"/>
      <c r="C79" s="145"/>
      <c r="D79" s="145"/>
      <c r="E79" s="145"/>
      <c r="F79" s="145"/>
      <c r="G79" s="145"/>
      <c r="H79" s="145"/>
      <c r="I79" s="145"/>
      <c r="J79" s="145"/>
      <c r="K79" s="145"/>
      <c r="L79" s="145"/>
      <c r="M79" s="145"/>
      <c r="N79" s="145"/>
    </row>
    <row r="80" spans="1:14" ht="16.5" customHeight="1" x14ac:dyDescent="0.25">
      <c r="A80" s="100">
        <v>47</v>
      </c>
      <c r="B80" s="101">
        <v>810</v>
      </c>
      <c r="C80" s="102" t="s">
        <v>140</v>
      </c>
      <c r="D80" s="23">
        <v>1</v>
      </c>
      <c r="E80" s="103" t="s">
        <v>47</v>
      </c>
      <c r="F80" s="25">
        <v>125000</v>
      </c>
      <c r="G80" s="104">
        <f>IF(OR(D80="",F80=""),"",D80*F80)</f>
        <v>125000</v>
      </c>
      <c r="H80" s="25">
        <v>120000</v>
      </c>
      <c r="I80" s="104">
        <f>IF(G80="","",G80-H80)</f>
        <v>5000</v>
      </c>
      <c r="J80" s="105">
        <f>IF(OR(G80="",H80=0),"",G80/H80-1)</f>
        <v>4.1666666666666741E-2</v>
      </c>
      <c r="K80" s="28">
        <v>0.03</v>
      </c>
      <c r="L80" s="104">
        <f>IF(G80="","",ROUND(G80*(1+K80),2))</f>
        <v>128750</v>
      </c>
      <c r="M80" s="104">
        <f>IF(L80="","",ROUND(L80*1.19,2))</f>
        <v>153212.5</v>
      </c>
      <c r="N80" s="106" t="s">
        <v>141</v>
      </c>
    </row>
    <row r="81" spans="1:14" ht="16.5" customHeight="1" x14ac:dyDescent="0.25">
      <c r="A81" s="20">
        <v>48</v>
      </c>
      <c r="B81" s="21">
        <v>820</v>
      </c>
      <c r="C81" s="22" t="s">
        <v>142</v>
      </c>
      <c r="D81" s="23">
        <v>1</v>
      </c>
      <c r="E81" s="24" t="s">
        <v>47</v>
      </c>
      <c r="F81" s="25">
        <v>15000</v>
      </c>
      <c r="G81" s="26">
        <f>IF(OR(D81="",F81=""),"",D81*F81)</f>
        <v>15000</v>
      </c>
      <c r="H81" s="25">
        <v>15000</v>
      </c>
      <c r="I81" s="26">
        <f>IF(G81="","",G81-H81)</f>
        <v>0</v>
      </c>
      <c r="J81" s="27">
        <f>IF(OR(G81="",H81=0),"",G81/H81-1)</f>
        <v>0</v>
      </c>
      <c r="K81" s="28">
        <v>0.03</v>
      </c>
      <c r="L81" s="26">
        <f>IF(G81="","",ROUND(G81*(1+K81),2))</f>
        <v>15450</v>
      </c>
      <c r="M81" s="26">
        <f>IF(L81="","",ROUND(L81*1.19,2))</f>
        <v>18385.5</v>
      </c>
      <c r="N81" s="29" t="s">
        <v>141</v>
      </c>
    </row>
    <row r="82" spans="1:14" ht="19.5" customHeight="1" x14ac:dyDescent="0.25">
      <c r="A82" s="146" t="s">
        <v>143</v>
      </c>
      <c r="B82" s="146"/>
      <c r="C82" s="146"/>
      <c r="D82" s="107"/>
      <c r="E82" s="107"/>
      <c r="F82" s="107"/>
      <c r="G82" s="108">
        <f>SUM(G80:G81)</f>
        <v>140000</v>
      </c>
      <c r="H82" s="108">
        <f>SUM(H80:H81)</f>
        <v>135000</v>
      </c>
      <c r="I82" s="108">
        <f>G82-H82</f>
        <v>5000</v>
      </c>
      <c r="J82" s="109">
        <f>IF(H82=0,"",G82/H82-1)</f>
        <v>3.7037037037036979E-2</v>
      </c>
      <c r="K82" s="107"/>
      <c r="L82" s="108">
        <f>SUM(L80:L81)</f>
        <v>144200</v>
      </c>
      <c r="M82" s="108">
        <f>SUM(M80:M81)</f>
        <v>171598</v>
      </c>
      <c r="N82" s="107"/>
    </row>
    <row r="83" spans="1:14" ht="6" customHeight="1" x14ac:dyDescent="0.25"/>
    <row r="84" spans="1:14" ht="25.5" customHeight="1" x14ac:dyDescent="0.25">
      <c r="A84" s="147" t="s">
        <v>144</v>
      </c>
      <c r="B84" s="147"/>
      <c r="C84" s="147"/>
      <c r="D84" s="110"/>
      <c r="E84" s="110"/>
      <c r="F84" s="110"/>
      <c r="G84" s="111">
        <f>G16+G22+G45+G55+G62+G67+G77+G82</f>
        <v>5786250</v>
      </c>
      <c r="H84" s="111">
        <f>H16+H22+H45+H55+H62+H67+H77+H82</f>
        <v>5790000</v>
      </c>
      <c r="I84" s="111">
        <f>G84-H84</f>
        <v>-3750</v>
      </c>
      <c r="J84" s="112">
        <f>IF(H84=0,"",G84/H84-1)</f>
        <v>-6.4766839378238572E-4</v>
      </c>
      <c r="K84" s="110"/>
      <c r="L84" s="111">
        <f>L16+L22+L45+L55+L62+L67+L77+L82</f>
        <v>6058379.5</v>
      </c>
      <c r="M84" s="111">
        <f>M16+M22+M45+M55+M62+M67+M77+M82</f>
        <v>7209471.620000001</v>
      </c>
      <c r="N84" s="110"/>
    </row>
    <row r="85" spans="1:14" ht="18" customHeight="1" x14ac:dyDescent="0.25">
      <c r="A85" s="148" t="s">
        <v>145</v>
      </c>
      <c r="B85" s="148"/>
      <c r="C85" s="148"/>
      <c r="D85" s="113"/>
      <c r="E85" s="113"/>
      <c r="F85" s="113"/>
      <c r="G85" s="114">
        <f>ROUND(G84/3250,2)</f>
        <v>1780.38</v>
      </c>
      <c r="H85" s="113"/>
      <c r="I85" s="113"/>
      <c r="J85" s="113"/>
      <c r="K85" s="113"/>
      <c r="L85" s="114">
        <f>ROUND(L84/3250,2)</f>
        <v>1864.12</v>
      </c>
      <c r="M85" s="115">
        <f>ROUND(M84/3250,2)</f>
        <v>2218.3000000000002</v>
      </c>
      <c r="N85" s="113"/>
    </row>
  </sheetData>
  <autoFilter ref="A11:N83" xr:uid="{00000000-0009-0000-0000-000000000000}"/>
  <mergeCells count="34">
    <mergeCell ref="A85:C85"/>
    <mergeCell ref="A9:H9"/>
    <mergeCell ref="A69:N69"/>
    <mergeCell ref="A77:C77"/>
    <mergeCell ref="A79:N79"/>
    <mergeCell ref="A82:C82"/>
    <mergeCell ref="A84:C84"/>
    <mergeCell ref="A55:C55"/>
    <mergeCell ref="A57:N57"/>
    <mergeCell ref="A62:C62"/>
    <mergeCell ref="A64:N64"/>
    <mergeCell ref="A67:C67"/>
    <mergeCell ref="A18:N18"/>
    <mergeCell ref="A22:C22"/>
    <mergeCell ref="A24:N24"/>
    <mergeCell ref="A45:C45"/>
    <mergeCell ref="A47:N47"/>
    <mergeCell ref="B7:E7"/>
    <mergeCell ref="G7:I7"/>
    <mergeCell ref="K7:M7"/>
    <mergeCell ref="A12:N12"/>
    <mergeCell ref="A16:C16"/>
    <mergeCell ref="B5:E5"/>
    <mergeCell ref="G5:I5"/>
    <mergeCell ref="K5:M5"/>
    <mergeCell ref="B6:E6"/>
    <mergeCell ref="G6:I6"/>
    <mergeCell ref="K6:M6"/>
    <mergeCell ref="A1:N1"/>
    <mergeCell ref="A2:H2"/>
    <mergeCell ref="I2:N2"/>
    <mergeCell ref="B4:E4"/>
    <mergeCell ref="G4:I4"/>
    <mergeCell ref="K4:M4"/>
  </mergeCells>
  <pageMargins left="0.75" right="0.75" top="1" bottom="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8"/>
  <sheetViews>
    <sheetView zoomScaleNormal="100" workbookViewId="0"/>
  </sheetViews>
  <sheetFormatPr baseColWidth="10" defaultColWidth="8.7109375" defaultRowHeight="15" x14ac:dyDescent="0.25"/>
  <cols>
    <col min="1" max="1" width="6" customWidth="1"/>
    <col min="2" max="2" width="28" customWidth="1"/>
    <col min="3" max="3" width="4" customWidth="1"/>
    <col min="4" max="7" width="14" customWidth="1"/>
    <col min="8" max="8" width="13" customWidth="1"/>
    <col min="9" max="9" width="10" customWidth="1"/>
    <col min="10" max="10" width="12" customWidth="1"/>
  </cols>
  <sheetData>
    <row r="1" spans="1:12" ht="36" customHeight="1" x14ac:dyDescent="0.25">
      <c r="A1" s="149" t="s">
        <v>146</v>
      </c>
      <c r="B1" s="149"/>
      <c r="C1" s="149"/>
      <c r="D1" s="149"/>
      <c r="E1" s="149"/>
      <c r="F1" s="149"/>
      <c r="G1" s="149"/>
      <c r="H1" s="149"/>
      <c r="I1" s="149"/>
      <c r="J1" s="149"/>
    </row>
    <row r="2" spans="1:12" ht="18" customHeight="1" x14ac:dyDescent="0.25">
      <c r="A2" s="150" t="s">
        <v>147</v>
      </c>
      <c r="B2" s="150"/>
      <c r="C2" s="150"/>
      <c r="D2" s="150"/>
      <c r="E2" s="150"/>
      <c r="F2" s="150"/>
      <c r="G2" s="150"/>
      <c r="H2" s="150"/>
      <c r="I2" s="150"/>
      <c r="J2" s="150"/>
    </row>
    <row r="3" spans="1:12" ht="7.5" customHeight="1" x14ac:dyDescent="0.25"/>
    <row r="4" spans="1:12" ht="15.75" customHeight="1" x14ac:dyDescent="0.25">
      <c r="A4" s="151" t="s">
        <v>148</v>
      </c>
      <c r="B4" s="151"/>
      <c r="C4" s="151"/>
      <c r="D4" s="152" t="s">
        <v>149</v>
      </c>
      <c r="E4" s="152"/>
      <c r="F4" s="152"/>
      <c r="G4" s="153" t="s">
        <v>150</v>
      </c>
      <c r="H4" s="153"/>
      <c r="I4" s="153"/>
      <c r="J4" s="154" t="s">
        <v>151</v>
      </c>
      <c r="K4" s="154"/>
      <c r="L4" s="154"/>
    </row>
    <row r="5" spans="1:12" ht="21.75" customHeight="1" x14ac:dyDescent="0.25">
      <c r="A5" s="155">
        <f>Kostenberechnung!G84</f>
        <v>5786250</v>
      </c>
      <c r="B5" s="155"/>
      <c r="C5" s="155"/>
      <c r="D5" s="156">
        <f>Kostenberechnung!L84</f>
        <v>6058379.5</v>
      </c>
      <c r="E5" s="156"/>
      <c r="F5" s="156"/>
      <c r="G5" s="157">
        <f>Kostenberechnung!M84</f>
        <v>7209471.620000001</v>
      </c>
      <c r="H5" s="157"/>
      <c r="I5" s="157"/>
      <c r="J5" s="158">
        <f>Kostenberechnung!H84</f>
        <v>5790000</v>
      </c>
      <c r="K5" s="158"/>
      <c r="L5" s="158"/>
    </row>
    <row r="6" spans="1:12" ht="15.75" customHeight="1" x14ac:dyDescent="0.25">
      <c r="A6" s="159"/>
      <c r="B6" s="159"/>
      <c r="C6" s="159"/>
      <c r="D6" s="159"/>
      <c r="E6" s="159"/>
      <c r="F6" s="159"/>
      <c r="G6" s="159"/>
      <c r="H6" s="159"/>
      <c r="I6" s="159"/>
      <c r="J6" s="159"/>
      <c r="K6" s="159"/>
      <c r="L6" s="159"/>
    </row>
    <row r="7" spans="1:12" ht="9.75" customHeight="1" x14ac:dyDescent="0.25"/>
    <row r="8" spans="1:12" ht="19.5" customHeight="1" x14ac:dyDescent="0.25">
      <c r="A8" s="160" t="s">
        <v>152</v>
      </c>
      <c r="B8" s="160"/>
      <c r="C8" s="160"/>
      <c r="D8" s="160"/>
      <c r="E8" s="160"/>
      <c r="F8" s="160"/>
      <c r="G8" s="160"/>
      <c r="H8" s="160"/>
      <c r="I8" s="160"/>
      <c r="J8" s="160"/>
    </row>
    <row r="9" spans="1:12" ht="30" customHeight="1" x14ac:dyDescent="0.25">
      <c r="A9" s="116" t="s">
        <v>32</v>
      </c>
      <c r="B9" s="161" t="s">
        <v>153</v>
      </c>
      <c r="C9" s="161"/>
      <c r="D9" s="116" t="s">
        <v>38</v>
      </c>
      <c r="E9" s="116" t="s">
        <v>154</v>
      </c>
      <c r="F9" s="116" t="s">
        <v>155</v>
      </c>
      <c r="G9" s="116" t="s">
        <v>156</v>
      </c>
      <c r="H9" s="116" t="s">
        <v>157</v>
      </c>
      <c r="I9" s="116" t="s">
        <v>158</v>
      </c>
      <c r="J9" s="116" t="s">
        <v>159</v>
      </c>
    </row>
    <row r="10" spans="1:12" ht="18" customHeight="1" x14ac:dyDescent="0.25">
      <c r="A10" s="117" t="s">
        <v>160</v>
      </c>
      <c r="B10" s="162" t="s">
        <v>161</v>
      </c>
      <c r="C10" s="162"/>
      <c r="D10" s="34">
        <f>Kostenberechnung!H16</f>
        <v>524000</v>
      </c>
      <c r="E10" s="34">
        <f>Kostenberechnung!G16</f>
        <v>544100</v>
      </c>
      <c r="F10" s="34">
        <f>Kostenberechnung!L16</f>
        <v>544837</v>
      </c>
      <c r="G10" s="34">
        <f>Kostenberechnung!M16</f>
        <v>648356.03</v>
      </c>
      <c r="H10" s="34">
        <f t="shared" ref="H10:H17" si="0">E10-D10</f>
        <v>20100</v>
      </c>
      <c r="I10" s="118">
        <f t="shared" ref="I10:I18" si="1">IF(D10=0,"",E10/D10-1)</f>
        <v>3.8358778625954271E-2</v>
      </c>
      <c r="J10" s="35">
        <f>IF(Kostenberechnung!G84=0,"",E10/Kostenberechnung!G84)</f>
        <v>9.4033268524519334E-2</v>
      </c>
    </row>
    <row r="11" spans="1:12" ht="18" customHeight="1" x14ac:dyDescent="0.25">
      <c r="A11" s="119" t="s">
        <v>162</v>
      </c>
      <c r="B11" s="163" t="s">
        <v>163</v>
      </c>
      <c r="C11" s="163"/>
      <c r="D11" s="26">
        <f>Kostenberechnung!H22</f>
        <v>72000</v>
      </c>
      <c r="E11" s="26">
        <f>Kostenberechnung!G22</f>
        <v>72500</v>
      </c>
      <c r="F11" s="26">
        <f>Kostenberechnung!L22</f>
        <v>75485</v>
      </c>
      <c r="G11" s="26">
        <f>Kostenberechnung!M22</f>
        <v>89827.15</v>
      </c>
      <c r="H11" s="26">
        <f t="shared" si="0"/>
        <v>500</v>
      </c>
      <c r="I11" s="120">
        <f t="shared" si="1"/>
        <v>6.9444444444444198E-3</v>
      </c>
      <c r="J11" s="27">
        <f>IF(Kostenberechnung!G84=0,"",E11/Kostenberechnung!G84)</f>
        <v>1.2529704039749406E-2</v>
      </c>
    </row>
    <row r="12" spans="1:12" ht="18" customHeight="1" x14ac:dyDescent="0.25">
      <c r="A12" s="121" t="s">
        <v>164</v>
      </c>
      <c r="B12" s="164" t="s">
        <v>165</v>
      </c>
      <c r="C12" s="164"/>
      <c r="D12" s="54">
        <f>Kostenberechnung!H45</f>
        <v>2956000</v>
      </c>
      <c r="E12" s="54">
        <f>Kostenberechnung!G45</f>
        <v>2849900</v>
      </c>
      <c r="F12" s="54">
        <f>Kostenberechnung!L45</f>
        <v>3008280</v>
      </c>
      <c r="G12" s="54">
        <f>Kostenberechnung!M45</f>
        <v>3579853.2100000004</v>
      </c>
      <c r="H12" s="54">
        <f t="shared" si="0"/>
        <v>-106100</v>
      </c>
      <c r="I12" s="122">
        <f t="shared" si="1"/>
        <v>-3.5893098782137978E-2</v>
      </c>
      <c r="J12" s="55">
        <f>IF(Kostenberechnung!G84=0,"",E12/Kostenberechnung!G84)</f>
        <v>0.49252970403974938</v>
      </c>
    </row>
    <row r="13" spans="1:12" ht="18" customHeight="1" x14ac:dyDescent="0.25">
      <c r="A13" s="123" t="s">
        <v>166</v>
      </c>
      <c r="B13" s="163" t="s">
        <v>167</v>
      </c>
      <c r="C13" s="163"/>
      <c r="D13" s="26">
        <f>Kostenberechnung!H55</f>
        <v>1080000</v>
      </c>
      <c r="E13" s="26">
        <f>Kostenberechnung!G55</f>
        <v>1124000</v>
      </c>
      <c r="F13" s="26">
        <f>Kostenberechnung!L55</f>
        <v>1190580</v>
      </c>
      <c r="G13" s="26">
        <f>Kostenberechnung!M55</f>
        <v>1416790.2</v>
      </c>
      <c r="H13" s="26">
        <f t="shared" si="0"/>
        <v>44000</v>
      </c>
      <c r="I13" s="120">
        <f t="shared" si="1"/>
        <v>4.0740740740740744E-2</v>
      </c>
      <c r="J13" s="27">
        <f>IF(Kostenberechnung!G84=0,"",E13/Kostenberechnung!G84)</f>
        <v>0.19425361849211492</v>
      </c>
    </row>
    <row r="14" spans="1:12" ht="18" customHeight="1" x14ac:dyDescent="0.25">
      <c r="A14" s="124" t="s">
        <v>168</v>
      </c>
      <c r="B14" s="165" t="s">
        <v>169</v>
      </c>
      <c r="C14" s="165"/>
      <c r="D14" s="74">
        <f>Kostenberechnung!H62</f>
        <v>235000</v>
      </c>
      <c r="E14" s="74">
        <f>Kostenberechnung!G62</f>
        <v>225750</v>
      </c>
      <c r="F14" s="74">
        <f>Kostenberechnung!L62</f>
        <v>237037.5</v>
      </c>
      <c r="G14" s="74">
        <f>Kostenberechnung!M62</f>
        <v>282074.63</v>
      </c>
      <c r="H14" s="74">
        <f t="shared" si="0"/>
        <v>-9250</v>
      </c>
      <c r="I14" s="125">
        <f t="shared" si="1"/>
        <v>-3.9361702127659548E-2</v>
      </c>
      <c r="J14" s="75">
        <f>IF(Kostenberechnung!G84=0,"",E14/Kostenberechnung!G84)</f>
        <v>3.9014906027219701E-2</v>
      </c>
    </row>
    <row r="15" spans="1:12" ht="18" customHeight="1" x14ac:dyDescent="0.25">
      <c r="A15" s="126" t="s">
        <v>170</v>
      </c>
      <c r="B15" s="163" t="s">
        <v>171</v>
      </c>
      <c r="C15" s="163"/>
      <c r="D15" s="26">
        <f>Kostenberechnung!H67</f>
        <v>45000</v>
      </c>
      <c r="E15" s="26">
        <f>Kostenberechnung!G67</f>
        <v>47000</v>
      </c>
      <c r="F15" s="26">
        <f>Kostenberechnung!L67</f>
        <v>49350</v>
      </c>
      <c r="G15" s="26">
        <f>Kostenberechnung!M67</f>
        <v>58726.5</v>
      </c>
      <c r="H15" s="26">
        <f t="shared" si="0"/>
        <v>2000</v>
      </c>
      <c r="I15" s="120">
        <f t="shared" si="1"/>
        <v>4.4444444444444509E-2</v>
      </c>
      <c r="J15" s="27">
        <f>IF(Kostenberechnung!G84=0,"",E15/Kostenberechnung!G84)</f>
        <v>8.1227046878375453E-3</v>
      </c>
    </row>
    <row r="16" spans="1:12" ht="18" customHeight="1" x14ac:dyDescent="0.25">
      <c r="A16" s="127" t="s">
        <v>172</v>
      </c>
      <c r="B16" s="166" t="s">
        <v>173</v>
      </c>
      <c r="C16" s="166"/>
      <c r="D16" s="94">
        <f>Kostenberechnung!H77</f>
        <v>743000</v>
      </c>
      <c r="E16" s="94">
        <f>Kostenberechnung!G77</f>
        <v>783000</v>
      </c>
      <c r="F16" s="94">
        <f>Kostenberechnung!L77</f>
        <v>808610</v>
      </c>
      <c r="G16" s="94">
        <f>Kostenberechnung!M77</f>
        <v>962245.9</v>
      </c>
      <c r="H16" s="94">
        <f t="shared" si="0"/>
        <v>40000</v>
      </c>
      <c r="I16" s="128">
        <f t="shared" si="1"/>
        <v>5.3835800807537026E-2</v>
      </c>
      <c r="J16" s="95">
        <f>IF(Kostenberechnung!G84=0,"",E16/Kostenberechnung!G84)</f>
        <v>0.13532080362929358</v>
      </c>
    </row>
    <row r="17" spans="1:10" ht="18" customHeight="1" x14ac:dyDescent="0.25">
      <c r="A17" s="129" t="s">
        <v>174</v>
      </c>
      <c r="B17" s="163" t="s">
        <v>175</v>
      </c>
      <c r="C17" s="163"/>
      <c r="D17" s="26">
        <f>Kostenberechnung!H82</f>
        <v>135000</v>
      </c>
      <c r="E17" s="26">
        <f>Kostenberechnung!G82</f>
        <v>140000</v>
      </c>
      <c r="F17" s="26">
        <f>Kostenberechnung!L82</f>
        <v>144200</v>
      </c>
      <c r="G17" s="26">
        <f>Kostenberechnung!M82</f>
        <v>171598</v>
      </c>
      <c r="H17" s="26">
        <f t="shared" si="0"/>
        <v>5000</v>
      </c>
      <c r="I17" s="120">
        <f t="shared" si="1"/>
        <v>3.7037037037036979E-2</v>
      </c>
      <c r="J17" s="27">
        <f>IF(Kostenberechnung!G84=0,"",E17/Kostenberechnung!G84)</f>
        <v>2.4195290559516094E-2</v>
      </c>
    </row>
    <row r="18" spans="1:10" ht="21.75" customHeight="1" x14ac:dyDescent="0.25">
      <c r="A18" s="167" t="s">
        <v>176</v>
      </c>
      <c r="B18" s="167"/>
      <c r="C18" s="167"/>
      <c r="D18" s="130">
        <f>SUM(D10:D17)</f>
        <v>5790000</v>
      </c>
      <c r="E18" s="130">
        <f>SUM(E10:E17)</f>
        <v>5786250</v>
      </c>
      <c r="F18" s="130">
        <f>SUM(F10:F17)</f>
        <v>6058379.5</v>
      </c>
      <c r="G18" s="130">
        <f>SUM(G10:G17)</f>
        <v>7209471.620000001</v>
      </c>
      <c r="H18" s="130">
        <f>SUM(H10:H17)</f>
        <v>-3750</v>
      </c>
      <c r="I18" s="131">
        <f t="shared" si="1"/>
        <v>-6.4766839378238572E-4</v>
      </c>
      <c r="J18" s="132" t="s">
        <v>177</v>
      </c>
    </row>
  </sheetData>
  <mergeCells count="25">
    <mergeCell ref="A18:C18"/>
    <mergeCell ref="B13:C13"/>
    <mergeCell ref="B14:C14"/>
    <mergeCell ref="B15:C15"/>
    <mergeCell ref="B16:C16"/>
    <mergeCell ref="B17:C17"/>
    <mergeCell ref="A8:J8"/>
    <mergeCell ref="B9:C9"/>
    <mergeCell ref="B10:C10"/>
    <mergeCell ref="B11:C11"/>
    <mergeCell ref="B12:C12"/>
    <mergeCell ref="A5:C5"/>
    <mergeCell ref="D5:F5"/>
    <mergeCell ref="G5:I5"/>
    <mergeCell ref="J5:L5"/>
    <mergeCell ref="A6:C6"/>
    <mergeCell ref="D6:F6"/>
    <mergeCell ref="G6:I6"/>
    <mergeCell ref="J6:L6"/>
    <mergeCell ref="A1:J1"/>
    <mergeCell ref="A2:J2"/>
    <mergeCell ref="A4:C4"/>
    <mergeCell ref="D4:F4"/>
    <mergeCell ref="G4:I4"/>
    <mergeCell ref="J4:L4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6"/>
  <sheetViews>
    <sheetView zoomScaleNormal="100" workbookViewId="0"/>
  </sheetViews>
  <sheetFormatPr baseColWidth="10" defaultColWidth="8.7109375" defaultRowHeight="15" x14ac:dyDescent="0.25"/>
  <cols>
    <col min="1" max="1" width="26" customWidth="1"/>
    <col min="2" max="2" width="11" customWidth="1"/>
    <col min="3" max="6" width="14" customWidth="1"/>
  </cols>
  <sheetData>
    <row r="1" spans="1:6" ht="31.5" customHeight="1" x14ac:dyDescent="0.25">
      <c r="A1" s="168" t="s">
        <v>178</v>
      </c>
      <c r="B1" s="168"/>
      <c r="C1" s="168"/>
      <c r="D1" s="168"/>
      <c r="E1" s="168"/>
      <c r="F1" s="168"/>
    </row>
    <row r="2" spans="1:6" ht="18" customHeight="1" x14ac:dyDescent="0.25">
      <c r="A2" s="150" t="s">
        <v>179</v>
      </c>
      <c r="B2" s="150"/>
      <c r="C2" s="150"/>
      <c r="D2" s="150"/>
      <c r="E2" s="150"/>
      <c r="F2" s="150"/>
    </row>
    <row r="3" spans="1:6" ht="7.5" customHeight="1" x14ac:dyDescent="0.25"/>
    <row r="4" spans="1:6" ht="18" customHeight="1" x14ac:dyDescent="0.25">
      <c r="A4" s="6" t="s">
        <v>180</v>
      </c>
      <c r="B4" s="6"/>
      <c r="C4" s="6"/>
      <c r="D4" s="6"/>
      <c r="E4" s="6"/>
      <c r="F4" s="6"/>
    </row>
    <row r="5" spans="1:6" ht="27.75" customHeight="1" x14ac:dyDescent="0.25">
      <c r="A5" s="116" t="s">
        <v>44</v>
      </c>
      <c r="B5" s="116" t="s">
        <v>181</v>
      </c>
      <c r="C5" s="116" t="s">
        <v>154</v>
      </c>
      <c r="D5" s="116" t="s">
        <v>155</v>
      </c>
      <c r="E5" s="116" t="s">
        <v>156</v>
      </c>
      <c r="F5" s="116" t="s">
        <v>182</v>
      </c>
    </row>
    <row r="6" spans="1:6" ht="16.5" customHeight="1" x14ac:dyDescent="0.25">
      <c r="A6" s="133" t="s">
        <v>51</v>
      </c>
      <c r="B6" s="134">
        <f>COUNTIF(Kostenberechnung!N12:N83,"Abbruch/Freimachen")</f>
        <v>1</v>
      </c>
      <c r="C6" s="135">
        <f>SUMIF(Kostenberechnung!N12:N83,"Abbruch/Freimachen",Kostenberechnung!G12:G83)</f>
        <v>8500</v>
      </c>
      <c r="D6" s="135">
        <f>SUMIF(Kostenberechnung!N12:N83,"Abbruch/Freimachen",Kostenberechnung!L12:L83)</f>
        <v>8925</v>
      </c>
      <c r="E6" s="135">
        <f>SUMIF(Kostenberechnung!N12:N83,"Abbruch/Freimachen",Kostenberechnung!M12:M83)</f>
        <v>10620.75</v>
      </c>
      <c r="F6" s="136">
        <f>IF(Kostenberechnung!G84=0,"",C6/Kostenberechnung!G84)</f>
        <v>1.4689997839706201E-3</v>
      </c>
    </row>
    <row r="7" spans="1:6" ht="16.5" customHeight="1" x14ac:dyDescent="0.25">
      <c r="A7" s="137" t="s">
        <v>55</v>
      </c>
      <c r="B7" s="138">
        <f>COUNTIF(Kostenberechnung!N12:N83,"Baustelleneinrichtung")</f>
        <v>1</v>
      </c>
      <c r="C7" s="26">
        <f>SUMIF(Kostenberechnung!N12:N83,"Baustelleneinrichtung",Kostenberechnung!G12:G83)</f>
        <v>18000</v>
      </c>
      <c r="D7" s="26">
        <f>SUMIF(Kostenberechnung!N12:N83,"Baustelleneinrichtung",Kostenberechnung!L12:L83)</f>
        <v>18900</v>
      </c>
      <c r="E7" s="26">
        <f>SUMIF(Kostenberechnung!N12:N83,"Baustelleneinrichtung",Kostenberechnung!M12:M83)</f>
        <v>22491</v>
      </c>
      <c r="F7" s="27">
        <f>IF(Kostenberechnung!G84=0,"",C7/Kostenberechnung!G84)</f>
        <v>3.1108230719377834E-3</v>
      </c>
    </row>
    <row r="8" spans="1:6" ht="16.5" customHeight="1" x14ac:dyDescent="0.25">
      <c r="A8" s="133" t="s">
        <v>57</v>
      </c>
      <c r="B8" s="134">
        <f>COUNTIF(Kostenberechnung!N12:N83,"Erschließung")</f>
        <v>1</v>
      </c>
      <c r="C8" s="135">
        <f>SUMIF(Kostenberechnung!N12:N83,"Erschließung",Kostenberechnung!G12:G83)</f>
        <v>32000</v>
      </c>
      <c r="D8" s="135">
        <f>SUMIF(Kostenberechnung!N12:N83,"Erschließung",Kostenberechnung!L12:L83)</f>
        <v>32960</v>
      </c>
      <c r="E8" s="135">
        <f>SUMIF(Kostenberechnung!N12:N83,"Erschließung",Kostenberechnung!M12:M83)</f>
        <v>39222.400000000001</v>
      </c>
      <c r="F8" s="136">
        <f>IF(Kostenberechnung!G84=0,"",C8/Kostenberechnung!G84)</f>
        <v>5.5303521278893932E-3</v>
      </c>
    </row>
    <row r="9" spans="1:6" ht="16.5" customHeight="1" x14ac:dyDescent="0.25">
      <c r="A9" s="137" t="s">
        <v>60</v>
      </c>
      <c r="B9" s="138">
        <f>COUNTIF(Kostenberechnung!N12:N83,"Tiefbau/Erdarbeiten")</f>
        <v>3</v>
      </c>
      <c r="C9" s="26">
        <f>SUMIF(Kostenberechnung!N12:N83,"Tiefbau/Erdarbeiten",Kostenberechnung!G12:G83)</f>
        <v>144500</v>
      </c>
      <c r="D9" s="26">
        <f>SUMIF(Kostenberechnung!N12:N83,"Tiefbau/Erdarbeiten",Kostenberechnung!L12:L83)</f>
        <v>155385</v>
      </c>
      <c r="E9" s="26">
        <f>SUMIF(Kostenberechnung!N12:N83,"Tiefbau/Erdarbeiten",Kostenberechnung!M12:M83)</f>
        <v>184908.15</v>
      </c>
      <c r="F9" s="27">
        <f>IF(Kostenberechnung!G84=0,"",C9/Kostenberechnung!G84)</f>
        <v>2.4972996327500541E-2</v>
      </c>
    </row>
    <row r="10" spans="1:6" ht="16.5" customHeight="1" x14ac:dyDescent="0.25">
      <c r="A10" s="133" t="s">
        <v>68</v>
      </c>
      <c r="B10" s="134">
        <f>COUNTIF(Kostenberechnung!N12:N83,"Rohbau/Beton")</f>
        <v>7</v>
      </c>
      <c r="C10" s="135">
        <f>SUMIF(Kostenberechnung!N12:N83,"Rohbau/Beton",Kostenberechnung!G12:G83)</f>
        <v>1558000</v>
      </c>
      <c r="D10" s="135">
        <f>SUMIF(Kostenberechnung!N12:N83,"Rohbau/Beton",Kostenberechnung!L12:L83)</f>
        <v>1639380</v>
      </c>
      <c r="E10" s="135">
        <f>SUMIF(Kostenberechnung!N12:N83,"Rohbau/Beton",Kostenberechnung!M12:M83)</f>
        <v>1950862.21</v>
      </c>
      <c r="F10" s="136">
        <f>IF(Kostenberechnung!G84=0,"",C10/Kostenberechnung!G84)</f>
        <v>0.26925901922661483</v>
      </c>
    </row>
    <row r="11" spans="1:6" ht="16.5" customHeight="1" x14ac:dyDescent="0.25">
      <c r="A11" s="137" t="s">
        <v>72</v>
      </c>
      <c r="B11" s="138">
        <f>COUNTIF(Kostenberechnung!N12:N83,"Mauerarbeiten")</f>
        <v>1</v>
      </c>
      <c r="C11" s="26">
        <f>SUMIF(Kostenberechnung!N12:N83,"Mauerarbeiten",Kostenberechnung!G12:G83)</f>
        <v>79200</v>
      </c>
      <c r="D11" s="26">
        <f>SUMIF(Kostenberechnung!N12:N83,"Mauerarbeiten",Kostenberechnung!L12:L83)</f>
        <v>83160</v>
      </c>
      <c r="E11" s="26">
        <f>SUMIF(Kostenberechnung!N12:N83,"Mauerarbeiten",Kostenberechnung!M12:M83)</f>
        <v>98960.4</v>
      </c>
      <c r="F11" s="27">
        <f>IF(Kostenberechnung!G84=0,"",C11/Kostenberechnung!G84)</f>
        <v>1.3687621516526248E-2</v>
      </c>
    </row>
    <row r="12" spans="1:6" ht="16.5" customHeight="1" x14ac:dyDescent="0.25">
      <c r="A12" s="133" t="s">
        <v>76</v>
      </c>
      <c r="B12" s="134">
        <f>COUNTIF(Kostenberechnung!N12:N83,"Wärmedämmung")</f>
        <v>1</v>
      </c>
      <c r="C12" s="135">
        <f>SUMIF(Kostenberechnung!N12:N83,"Wärmedämmung",Kostenberechnung!G12:G83)</f>
        <v>199500</v>
      </c>
      <c r="D12" s="135">
        <f>SUMIF(Kostenberechnung!N12:N83,"Wärmedämmung",Kostenberechnung!L12:L83)</f>
        <v>215460</v>
      </c>
      <c r="E12" s="135">
        <f>SUMIF(Kostenberechnung!N12:N83,"Wärmedämmung",Kostenberechnung!M12:M83)</f>
        <v>256397.4</v>
      </c>
      <c r="F12" s="136">
        <f>IF(Kostenberechnung!G84=0,"",C12/Kostenberechnung!G84)</f>
        <v>3.4478289047310436E-2</v>
      </c>
    </row>
    <row r="13" spans="1:6" ht="16.5" customHeight="1" x14ac:dyDescent="0.25">
      <c r="A13" s="137" t="s">
        <v>78</v>
      </c>
      <c r="B13" s="138">
        <f>COUNTIF(Kostenberechnung!N12:N83,"Putzarbeiten")</f>
        <v>2</v>
      </c>
      <c r="C13" s="26">
        <f>SUMIF(Kostenberechnung!N12:N83,"Putzarbeiten",Kostenberechnung!G12:G83)</f>
        <v>169400</v>
      </c>
      <c r="D13" s="26">
        <f>SUMIF(Kostenberechnung!N12:N83,"Putzarbeiten",Kostenberechnung!L12:L83)</f>
        <v>177870</v>
      </c>
      <c r="E13" s="26">
        <f>SUMIF(Kostenberechnung!N12:N83,"Putzarbeiten",Kostenberechnung!M12:M83)</f>
        <v>211665.3</v>
      </c>
      <c r="F13" s="27">
        <f>IF(Kostenberechnung!G84=0,"",C13/Kostenberechnung!G84)</f>
        <v>2.9276301577014475E-2</v>
      </c>
    </row>
    <row r="14" spans="1:6" ht="16.5" customHeight="1" x14ac:dyDescent="0.25">
      <c r="A14" s="133" t="s">
        <v>81</v>
      </c>
      <c r="B14" s="134">
        <f>COUNTIF(Kostenberechnung!N12:N83,"Trockenbau")</f>
        <v>2</v>
      </c>
      <c r="C14" s="135">
        <f>SUMIF(Kostenberechnung!N12:N83,"Trockenbau",Kostenberechnung!G12:G83)</f>
        <v>306000</v>
      </c>
      <c r="D14" s="135">
        <f>SUMIF(Kostenberechnung!N12:N83,"Trockenbau",Kostenberechnung!L12:L83)</f>
        <v>321300</v>
      </c>
      <c r="E14" s="135">
        <f>SUMIF(Kostenberechnung!N12:N83,"Trockenbau",Kostenberechnung!M12:M83)</f>
        <v>382347</v>
      </c>
      <c r="F14" s="136">
        <f>IF(Kostenberechnung!G84=0,"",C14/Kostenberechnung!G84)</f>
        <v>5.2883992222942322E-2</v>
      </c>
    </row>
    <row r="15" spans="1:6" ht="16.5" customHeight="1" x14ac:dyDescent="0.25">
      <c r="A15" s="137" t="s">
        <v>87</v>
      </c>
      <c r="B15" s="138">
        <f>COUNTIF(Kostenberechnung!N12:N83,"Estricharbeiten")</f>
        <v>1</v>
      </c>
      <c r="C15" s="26">
        <f>SUMIF(Kostenberechnung!N12:N83,"Estricharbeiten",Kostenberechnung!G12:G83)</f>
        <v>84800</v>
      </c>
      <c r="D15" s="26">
        <f>SUMIF(Kostenberechnung!N12:N83,"Estricharbeiten",Kostenberechnung!L12:L83)</f>
        <v>89040</v>
      </c>
      <c r="E15" s="26">
        <f>SUMIF(Kostenberechnung!N12:N83,"Estricharbeiten",Kostenberechnung!M12:M83)</f>
        <v>105957.6</v>
      </c>
      <c r="F15" s="27">
        <f>IF(Kostenberechnung!G84=0,"",C15/Kostenberechnung!G84)</f>
        <v>1.4655433138906892E-2</v>
      </c>
    </row>
    <row r="16" spans="1:6" ht="16.5" customHeight="1" x14ac:dyDescent="0.25">
      <c r="A16" s="133" t="s">
        <v>83</v>
      </c>
      <c r="B16" s="134">
        <f>COUNTIF(Kostenberechnung!N12:N83,"Schreiner/Türen")</f>
        <v>1</v>
      </c>
      <c r="C16" s="135">
        <f>SUMIF(Kostenberechnung!N12:N83,"Schreiner/Türen",Kostenberechnung!G12:G83)</f>
        <v>89900</v>
      </c>
      <c r="D16" s="135">
        <f>SUMIF(Kostenberechnung!N12:N83,"Schreiner/Türen",Kostenberechnung!L12:L83)</f>
        <v>94395</v>
      </c>
      <c r="E16" s="135">
        <f>SUMIF(Kostenberechnung!N12:N83,"Schreiner/Türen",Kostenberechnung!M12:M83)</f>
        <v>112330.05</v>
      </c>
      <c r="F16" s="136">
        <f>IF(Kostenberechnung!G84=0,"",C16/Kostenberechnung!G84)</f>
        <v>1.5536833009289264E-2</v>
      </c>
    </row>
    <row r="17" spans="1:6" ht="16.5" customHeight="1" x14ac:dyDescent="0.25">
      <c r="A17" s="137" t="s">
        <v>91</v>
      </c>
      <c r="B17" s="138">
        <f>COUNTIF(Kostenberechnung!N12:N83,"Dachdecker")</f>
        <v>1</v>
      </c>
      <c r="C17" s="26">
        <f>SUMIF(Kostenberechnung!N12:N83,"Dachdecker",Kostenberechnung!G12:G83)</f>
        <v>92000</v>
      </c>
      <c r="D17" s="26">
        <f>SUMIF(Kostenberechnung!N12:N83,"Dachdecker",Kostenberechnung!L12:L83)</f>
        <v>99360</v>
      </c>
      <c r="E17" s="26">
        <f>SUMIF(Kostenberechnung!N12:N83,"Dachdecker",Kostenberechnung!M12:M83)</f>
        <v>118238.39999999999</v>
      </c>
      <c r="F17" s="27">
        <f>IF(Kostenberechnung!G84=0,"",C17/Kostenberechnung!G84)</f>
        <v>1.5899762367682004E-2</v>
      </c>
    </row>
    <row r="18" spans="1:6" ht="16.5" customHeight="1" x14ac:dyDescent="0.25">
      <c r="A18" s="133" t="s">
        <v>99</v>
      </c>
      <c r="B18" s="134">
        <f>COUNTIF(Kostenberechnung!N12:N83,"Sanitär/HLS")</f>
        <v>1</v>
      </c>
      <c r="C18" s="135">
        <f>SUMIF(Kostenberechnung!N12:N83,"Sanitär/HLS",Kostenberechnung!G12:G83)</f>
        <v>185000</v>
      </c>
      <c r="D18" s="135">
        <f>SUMIF(Kostenberechnung!N12:N83,"Sanitär/HLS",Kostenberechnung!L12:L83)</f>
        <v>194250</v>
      </c>
      <c r="E18" s="135">
        <f>SUMIF(Kostenberechnung!N12:N83,"Sanitär/HLS",Kostenberechnung!M12:M83)</f>
        <v>231157.5</v>
      </c>
      <c r="F18" s="136">
        <f>IF(Kostenberechnung!G84=0,"",C18/Kostenberechnung!G84)</f>
        <v>3.197234823936055E-2</v>
      </c>
    </row>
    <row r="19" spans="1:6" ht="16.5" customHeight="1" x14ac:dyDescent="0.25">
      <c r="A19" s="137" t="s">
        <v>101</v>
      </c>
      <c r="B19" s="138">
        <f>COUNTIF(Kostenberechnung!N12:N83,"Heizung/HLS")</f>
        <v>1</v>
      </c>
      <c r="C19" s="26">
        <f>SUMIF(Kostenberechnung!N12:N83,"Heizung/HLS",Kostenberechnung!G12:G83)</f>
        <v>145000</v>
      </c>
      <c r="D19" s="26">
        <f>SUMIF(Kostenberechnung!N12:N83,"Heizung/HLS",Kostenberechnung!L12:L83)</f>
        <v>152250</v>
      </c>
      <c r="E19" s="26">
        <f>SUMIF(Kostenberechnung!N12:N83,"Heizung/HLS",Kostenberechnung!M12:M83)</f>
        <v>181177.5</v>
      </c>
      <c r="F19" s="27">
        <f>IF(Kostenberechnung!G84=0,"",C19/Kostenberechnung!G84)</f>
        <v>2.5059408079498812E-2</v>
      </c>
    </row>
    <row r="20" spans="1:6" ht="16.5" customHeight="1" x14ac:dyDescent="0.25">
      <c r="A20" s="133" t="s">
        <v>103</v>
      </c>
      <c r="B20" s="134">
        <f>COUNTIF(Kostenberechnung!N12:N83,"Lüftung/HLS")</f>
        <v>1</v>
      </c>
      <c r="C20" s="135">
        <f>SUMIF(Kostenberechnung!N12:N83,"Lüftung/HLS",Kostenberechnung!G12:G83)</f>
        <v>220000</v>
      </c>
      <c r="D20" s="135">
        <f>SUMIF(Kostenberechnung!N12:N83,"Lüftung/HLS",Kostenberechnung!L12:L83)</f>
        <v>237600</v>
      </c>
      <c r="E20" s="135">
        <f>SUMIF(Kostenberechnung!N12:N83,"Lüftung/HLS",Kostenberechnung!M12:M83)</f>
        <v>282744</v>
      </c>
      <c r="F20" s="136">
        <f>IF(Kostenberechnung!G84=0,"",C20/Kostenberechnung!G84)</f>
        <v>3.8021170879239577E-2</v>
      </c>
    </row>
    <row r="21" spans="1:6" ht="16.5" customHeight="1" x14ac:dyDescent="0.25">
      <c r="A21" s="137" t="s">
        <v>105</v>
      </c>
      <c r="B21" s="138">
        <f>COUNTIF(Kostenberechnung!N12:N83,"Elektro")</f>
        <v>2</v>
      </c>
      <c r="C21" s="26">
        <f>SUMIF(Kostenberechnung!N12:N83,"Elektro",Kostenberechnung!G12:G83)</f>
        <v>313500</v>
      </c>
      <c r="D21" s="26">
        <f>SUMIF(Kostenberechnung!N12:N83,"Elektro",Kostenberechnung!L12:L83)</f>
        <v>329175</v>
      </c>
      <c r="E21" s="26">
        <f>SUMIF(Kostenberechnung!N12:N83,"Elektro",Kostenberechnung!M12:M83)</f>
        <v>391718.25</v>
      </c>
      <c r="F21" s="27">
        <f>IF(Kostenberechnung!G84=0,"",C21/Kostenberechnung!G84)</f>
        <v>5.4180168502916397E-2</v>
      </c>
    </row>
    <row r="22" spans="1:6" ht="16.5" customHeight="1" x14ac:dyDescent="0.25">
      <c r="A22" s="133" t="s">
        <v>107</v>
      </c>
      <c r="B22" s="134">
        <f>COUNTIF(Kostenberechnung!N12:N83,"Elektro/IT")</f>
        <v>1</v>
      </c>
      <c r="C22" s="135">
        <f>SUMIF(Kostenberechnung!N12:N83,"Elektro/IT",Kostenberechnung!G12:G83)</f>
        <v>88000</v>
      </c>
      <c r="D22" s="135">
        <f>SUMIF(Kostenberechnung!N12:N83,"Elektro/IT",Kostenberechnung!L12:L83)</f>
        <v>92400</v>
      </c>
      <c r="E22" s="135">
        <f>SUMIF(Kostenberechnung!N12:N83,"Elektro/IT",Kostenberechnung!M12:M83)</f>
        <v>109956</v>
      </c>
      <c r="F22" s="136">
        <f>IF(Kostenberechnung!G84=0,"",C22/Kostenberechnung!G84)</f>
        <v>1.5208468351695831E-2</v>
      </c>
    </row>
    <row r="23" spans="1:6" ht="16.5" customHeight="1" x14ac:dyDescent="0.25">
      <c r="A23" s="137" t="s">
        <v>110</v>
      </c>
      <c r="B23" s="138">
        <f>COUNTIF(Kostenberechnung!N12:N83,"IT-Infrastruktur")</f>
        <v>1</v>
      </c>
      <c r="C23" s="26">
        <f>SUMIF(Kostenberechnung!N12:N83,"IT-Infrastruktur",Kostenberechnung!G12:G83)</f>
        <v>65000</v>
      </c>
      <c r="D23" s="26">
        <f>SUMIF(Kostenberechnung!N12:N83,"IT-Infrastruktur",Kostenberechnung!L12:L83)</f>
        <v>68250</v>
      </c>
      <c r="E23" s="26">
        <f>SUMIF(Kostenberechnung!N12:N83,"IT-Infrastruktur",Kostenberechnung!M12:M83)</f>
        <v>81217.5</v>
      </c>
      <c r="F23" s="27">
        <f>IF(Kostenberechnung!G84=0,"",C23/Kostenberechnung!G84)</f>
        <v>1.123352775977533E-2</v>
      </c>
    </row>
    <row r="24" spans="1:6" ht="16.5" customHeight="1" x14ac:dyDescent="0.25">
      <c r="A24" s="133" t="s">
        <v>93</v>
      </c>
      <c r="B24" s="134">
        <f>COUNTIF(Kostenberechnung!N12:N83,"Aufzug")</f>
        <v>2</v>
      </c>
      <c r="C24" s="135">
        <f>SUMIF(Kostenberechnung!N12:N83,"Aufzug",Kostenberechnung!G12:G83)</f>
        <v>181500</v>
      </c>
      <c r="D24" s="135">
        <f>SUMIF(Kostenberechnung!N12:N83,"Aufzug",Kostenberechnung!L12:L83)</f>
        <v>194355</v>
      </c>
      <c r="E24" s="135">
        <f>SUMIF(Kostenberechnung!N12:N83,"Aufzug",Kostenberechnung!M12:M83)</f>
        <v>231282.45</v>
      </c>
      <c r="F24" s="136">
        <f>IF(Kostenberechnung!G84=0,"",C24/Kostenberechnung!G84)</f>
        <v>3.1367465975372648E-2</v>
      </c>
    </row>
    <row r="25" spans="1:6" ht="16.5" customHeight="1" x14ac:dyDescent="0.25">
      <c r="A25" s="137" t="s">
        <v>95</v>
      </c>
      <c r="B25" s="138">
        <f>COUNTIF(Kostenberechnung!N12:N83,"Gerüstbau")</f>
        <v>1</v>
      </c>
      <c r="C25" s="26">
        <f>SUMIF(Kostenberechnung!N12:N83,"Gerüstbau",Kostenberechnung!G12:G83)</f>
        <v>93600</v>
      </c>
      <c r="D25" s="26">
        <f>SUMIF(Kostenberechnung!N12:N83,"Gerüstbau",Kostenberechnung!L12:L83)</f>
        <v>98280</v>
      </c>
      <c r="E25" s="26">
        <f>SUMIF(Kostenberechnung!N12:N83,"Gerüstbau",Kostenberechnung!M12:M83)</f>
        <v>116953.2</v>
      </c>
      <c r="F25" s="27">
        <f>IF(Kostenberechnung!G84=0,"",C25/Kostenberechnung!G84)</f>
        <v>1.6176279974076474E-2</v>
      </c>
    </row>
    <row r="26" spans="1:6" ht="16.5" customHeight="1" x14ac:dyDescent="0.25">
      <c r="A26" s="133" t="s">
        <v>114</v>
      </c>
      <c r="B26" s="134">
        <f>COUNTIF(Kostenberechnung!N12:N83,"Garten/Außen")</f>
        <v>2</v>
      </c>
      <c r="C26" s="135">
        <f>SUMIF(Kostenberechnung!N12:N83,"Garten/Außen",Kostenberechnung!G12:G83)</f>
        <v>50000</v>
      </c>
      <c r="D26" s="135">
        <f>SUMIF(Kostenberechnung!N12:N83,"Garten/Außen",Kostenberechnung!L12:L83)</f>
        <v>52500</v>
      </c>
      <c r="E26" s="135">
        <f>SUMIF(Kostenberechnung!N12:N83,"Garten/Außen",Kostenberechnung!M12:M83)</f>
        <v>62475</v>
      </c>
      <c r="F26" s="136">
        <f>IF(Kostenberechnung!G84=0,"",C26/Kostenberechnung!G84)</f>
        <v>8.6411751998271766E-3</v>
      </c>
    </row>
    <row r="27" spans="1:6" ht="16.5" customHeight="1" x14ac:dyDescent="0.25">
      <c r="A27" s="137" t="s">
        <v>116</v>
      </c>
      <c r="B27" s="138">
        <f>COUNTIF(Kostenberechnung!N12:N83,"Pflasterarbeiten")</f>
        <v>1</v>
      </c>
      <c r="C27" s="26">
        <f>SUMIF(Kostenberechnung!N12:N83,"Pflasterarbeiten",Kostenberechnung!G12:G83)</f>
        <v>157250</v>
      </c>
      <c r="D27" s="26">
        <f>SUMIF(Kostenberechnung!N12:N83,"Pflasterarbeiten",Kostenberechnung!L12:L83)</f>
        <v>165112.5</v>
      </c>
      <c r="E27" s="26">
        <f>SUMIF(Kostenberechnung!N12:N83,"Pflasterarbeiten",Kostenberechnung!M12:M83)</f>
        <v>196483.88</v>
      </c>
      <c r="F27" s="27">
        <f>IF(Kostenberechnung!G84=0,"",C27/Kostenberechnung!G84)</f>
        <v>2.7176496003456469E-2</v>
      </c>
    </row>
    <row r="28" spans="1:6" ht="16.5" customHeight="1" x14ac:dyDescent="0.25">
      <c r="A28" s="133" t="s">
        <v>124</v>
      </c>
      <c r="B28" s="134">
        <f>COUNTIF(Kostenberechnung!N12:N83,"Innenausbau")</f>
        <v>1</v>
      </c>
      <c r="C28" s="135">
        <f>SUMIF(Kostenberechnung!N12:N83,"Innenausbau",Kostenberechnung!G12:G83)</f>
        <v>15000</v>
      </c>
      <c r="D28" s="135">
        <f>SUMIF(Kostenberechnung!N12:N83,"Innenausbau",Kostenberechnung!L12:L83)</f>
        <v>15750</v>
      </c>
      <c r="E28" s="135">
        <f>SUMIF(Kostenberechnung!N12:N83,"Innenausbau",Kostenberechnung!M12:M83)</f>
        <v>18742.5</v>
      </c>
      <c r="F28" s="136">
        <f>IF(Kostenberechnung!G84=0,"",C28/Kostenberechnung!G84)</f>
        <v>2.592352559948153E-3</v>
      </c>
    </row>
    <row r="29" spans="1:6" ht="16.5" customHeight="1" x14ac:dyDescent="0.25">
      <c r="A29" s="137" t="s">
        <v>122</v>
      </c>
      <c r="B29" s="138">
        <f>COUNTIF(Kostenberechnung!N12:N83,"Schreiner/Ausstatt.")</f>
        <v>1</v>
      </c>
      <c r="C29" s="26">
        <f>SUMIF(Kostenberechnung!N12:N83,"Schreiner/Ausstatt.",Kostenberechnung!G12:G83)</f>
        <v>32000</v>
      </c>
      <c r="D29" s="26">
        <f>SUMIF(Kostenberechnung!N12:N83,"Schreiner/Ausstatt.",Kostenberechnung!L12:L83)</f>
        <v>33600</v>
      </c>
      <c r="E29" s="26">
        <f>SUMIF(Kostenberechnung!N12:N83,"Schreiner/Ausstatt.",Kostenberechnung!M12:M83)</f>
        <v>39984</v>
      </c>
      <c r="F29" s="27">
        <f>IF(Kostenberechnung!G84=0,"",C29/Kostenberechnung!G84)</f>
        <v>5.5303521278893932E-3</v>
      </c>
    </row>
    <row r="30" spans="1:6" ht="16.5" customHeight="1" x14ac:dyDescent="0.25">
      <c r="A30" s="133" t="s">
        <v>128</v>
      </c>
      <c r="B30" s="134">
        <f>COUNTIF(Kostenberechnung!N12:N83,"Planungskosten")</f>
        <v>4</v>
      </c>
      <c r="C30" s="135">
        <f>SUMIF(Kostenberechnung!N12:N83,"Planungskosten",Kostenberechnung!G12:G83)</f>
        <v>705000</v>
      </c>
      <c r="D30" s="135">
        <f>SUMIF(Kostenberechnung!N12:N83,"Planungskosten",Kostenberechnung!L12:L83)</f>
        <v>727850</v>
      </c>
      <c r="E30" s="135">
        <f>SUMIF(Kostenberechnung!N12:N83,"Planungskosten",Kostenberechnung!M12:M83)</f>
        <v>866141.5</v>
      </c>
      <c r="F30" s="136">
        <f>IF(Kostenberechnung!G84=0,"",C30/Kostenberechnung!G84)</f>
        <v>0.12184057031756319</v>
      </c>
    </row>
    <row r="31" spans="1:6" ht="16.5" customHeight="1" x14ac:dyDescent="0.25">
      <c r="A31" s="137" t="s">
        <v>133</v>
      </c>
      <c r="B31" s="138">
        <f>COUNTIF(Kostenberechnung!N12:N83,"Gutachten")</f>
        <v>1</v>
      </c>
      <c r="C31" s="26">
        <f>SUMIF(Kostenberechnung!N12:N83,"Gutachten",Kostenberechnung!G12:G83)</f>
        <v>22000</v>
      </c>
      <c r="D31" s="26">
        <f>SUMIF(Kostenberechnung!N12:N83,"Gutachten",Kostenberechnung!L12:L83)</f>
        <v>23100</v>
      </c>
      <c r="E31" s="26">
        <f>SUMIF(Kostenberechnung!N12:N83,"Gutachten",Kostenberechnung!M12:M83)</f>
        <v>27489</v>
      </c>
      <c r="F31" s="27">
        <f>IF(Kostenberechnung!G84=0,"",C31/Kostenberechnung!G84)</f>
        <v>3.8021170879239579E-3</v>
      </c>
    </row>
    <row r="32" spans="1:6" ht="16.5" customHeight="1" x14ac:dyDescent="0.25">
      <c r="A32" s="133" t="s">
        <v>135</v>
      </c>
      <c r="B32" s="134">
        <f>COUNTIF(Kostenberechnung!N12:N83,"Behörden/Gebühren")</f>
        <v>1</v>
      </c>
      <c r="C32" s="135">
        <f>SUMIF(Kostenberechnung!N12:N83,"Behörden/Gebühren",Kostenberechnung!G12:G83)</f>
        <v>38000</v>
      </c>
      <c r="D32" s="135">
        <f>SUMIF(Kostenberechnung!N12:N83,"Behörden/Gebühren",Kostenberechnung!L12:L83)</f>
        <v>38760</v>
      </c>
      <c r="E32" s="135">
        <f>SUMIF(Kostenberechnung!N12:N83,"Behörden/Gebühren",Kostenberechnung!M12:M83)</f>
        <v>46124.4</v>
      </c>
      <c r="F32" s="136">
        <f>IF(Kostenberechnung!G84=0,"",C32/Kostenberechnung!G84)</f>
        <v>6.567293151868654E-3</v>
      </c>
    </row>
    <row r="33" spans="1:6" ht="16.5" customHeight="1" x14ac:dyDescent="0.25">
      <c r="A33" s="137" t="s">
        <v>137</v>
      </c>
      <c r="B33" s="138">
        <f>COUNTIF(Kostenberechnung!N12:N83,"Baunebenkosten")</f>
        <v>1</v>
      </c>
      <c r="C33" s="26">
        <f>SUMIF(Kostenberechnung!N12:N83,"Baunebenkosten",Kostenberechnung!G12:G83)</f>
        <v>18000</v>
      </c>
      <c r="D33" s="26">
        <f>SUMIF(Kostenberechnung!N12:N83,"Baunebenkosten",Kostenberechnung!L12:L83)</f>
        <v>18900</v>
      </c>
      <c r="E33" s="26">
        <f>SUMIF(Kostenberechnung!N12:N83,"Baunebenkosten",Kostenberechnung!M12:M83)</f>
        <v>22491</v>
      </c>
      <c r="F33" s="27">
        <f>IF(Kostenberechnung!G84=0,"",C33/Kostenberechnung!G84)</f>
        <v>3.1108230719377834E-3</v>
      </c>
    </row>
    <row r="34" spans="1:6" ht="16.5" customHeight="1" x14ac:dyDescent="0.25">
      <c r="A34" s="133" t="s">
        <v>141</v>
      </c>
      <c r="B34" s="134">
        <f>COUNTIF(Kostenberechnung!N12:N83,"Finanzierung")</f>
        <v>2</v>
      </c>
      <c r="C34" s="135">
        <f>SUMIF(Kostenberechnung!N12:N83,"Finanzierung",Kostenberechnung!G12:G83)</f>
        <v>140000</v>
      </c>
      <c r="D34" s="135">
        <f>SUMIF(Kostenberechnung!N12:N83,"Finanzierung",Kostenberechnung!L12:L83)</f>
        <v>144200</v>
      </c>
      <c r="E34" s="135">
        <f>SUMIF(Kostenberechnung!N12:N83,"Finanzierung",Kostenberechnung!M12:M83)</f>
        <v>171598</v>
      </c>
      <c r="F34" s="136">
        <f>IF(Kostenberechnung!G84=0,"",C34/Kostenberechnung!G84)</f>
        <v>2.4195290559516094E-2</v>
      </c>
    </row>
    <row r="35" spans="1:6" ht="16.5" customHeight="1" x14ac:dyDescent="0.25">
      <c r="A35" s="137" t="s">
        <v>48</v>
      </c>
      <c r="B35" s="138">
        <f>COUNTIF(Kostenberechnung!N12:N83,"Grundstück/Erwerb")</f>
        <v>2</v>
      </c>
      <c r="C35" s="26">
        <f>SUMIF(Kostenberechnung!N12:N83,"Grundstück/Erwerb",Kostenberechnung!G12:G83)</f>
        <v>535600</v>
      </c>
      <c r="D35" s="26">
        <f>SUMIF(Kostenberechnung!N12:N83,"Grundstück/Erwerb",Kostenberechnung!L12:L83)</f>
        <v>535912</v>
      </c>
      <c r="E35" s="26">
        <f>SUMIF(Kostenberechnung!N12:N83,"Grundstück/Erwerb",Kostenberechnung!M12:M83)</f>
        <v>637735.28</v>
      </c>
      <c r="F35" s="27">
        <f>IF(Kostenberechnung!G84=0,"",C35/Kostenberechnung!G84)</f>
        <v>9.2564268740548711E-2</v>
      </c>
    </row>
    <row r="36" spans="1:6" ht="21.75" customHeight="1" x14ac:dyDescent="0.25">
      <c r="A36" s="139" t="s">
        <v>183</v>
      </c>
      <c r="B36" s="140">
        <f>SUM(B6:B35)</f>
        <v>48</v>
      </c>
      <c r="C36" s="130">
        <f>SUM(C6:C35)</f>
        <v>5786250</v>
      </c>
      <c r="D36" s="130">
        <f>SUM(D6:D35)</f>
        <v>6058379.5</v>
      </c>
      <c r="E36" s="130">
        <f>SUM(E6:E35)</f>
        <v>7209471.6200000001</v>
      </c>
      <c r="F36" s="140" t="s">
        <v>184</v>
      </c>
    </row>
  </sheetData>
  <mergeCells count="3">
    <mergeCell ref="A1:F1"/>
    <mergeCell ref="A2:F2"/>
    <mergeCell ref="A4:F4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"/>
  <sheetViews>
    <sheetView zoomScaleNormal="100" workbookViewId="0"/>
  </sheetViews>
  <sheetFormatPr baseColWidth="10" defaultColWidth="8.7109375" defaultRowHeight="15" x14ac:dyDescent="0.25"/>
  <cols>
    <col min="1" max="1" width="112" customWidth="1"/>
  </cols>
  <sheetData>
    <row r="1" spans="1:6" ht="31.5" customHeight="1" x14ac:dyDescent="0.25">
      <c r="A1" s="169" t="s">
        <v>185</v>
      </c>
      <c r="B1" s="169"/>
      <c r="C1" s="169"/>
      <c r="D1" s="169"/>
      <c r="E1" s="169"/>
      <c r="F1" s="169"/>
    </row>
    <row r="3" spans="1:6" ht="19.5" customHeight="1" x14ac:dyDescent="0.25">
      <c r="A3" s="170" t="s">
        <v>186</v>
      </c>
      <c r="B3" s="170"/>
      <c r="C3" s="170"/>
      <c r="D3" s="170"/>
      <c r="E3" s="170"/>
      <c r="F3" s="170"/>
    </row>
    <row r="4" spans="1:6" ht="55.5" customHeight="1" x14ac:dyDescent="0.25">
      <c r="A4" s="171" t="s">
        <v>187</v>
      </c>
      <c r="B4" s="171"/>
      <c r="C4" s="171"/>
      <c r="D4" s="171"/>
      <c r="E4" s="171"/>
      <c r="F4" s="171"/>
    </row>
    <row r="5" spans="1:6" ht="19.5" customHeight="1" x14ac:dyDescent="0.25">
      <c r="A5" s="172" t="s">
        <v>188</v>
      </c>
      <c r="B5" s="172"/>
      <c r="C5" s="172"/>
      <c r="D5" s="172"/>
      <c r="E5" s="172"/>
      <c r="F5" s="172"/>
    </row>
    <row r="6" spans="1:6" ht="55.5" customHeight="1" x14ac:dyDescent="0.25">
      <c r="A6" s="171" t="s">
        <v>189</v>
      </c>
      <c r="B6" s="171"/>
      <c r="C6" s="171"/>
      <c r="D6" s="171"/>
      <c r="E6" s="171"/>
      <c r="F6" s="171"/>
    </row>
    <row r="7" spans="1:6" ht="19.5" customHeight="1" x14ac:dyDescent="0.25">
      <c r="A7" s="173" t="s">
        <v>190</v>
      </c>
      <c r="B7" s="173"/>
      <c r="C7" s="173"/>
      <c r="D7" s="173"/>
      <c r="E7" s="173"/>
      <c r="F7" s="173"/>
    </row>
    <row r="8" spans="1:6" ht="55.5" customHeight="1" x14ac:dyDescent="0.25">
      <c r="A8" s="171" t="s">
        <v>191</v>
      </c>
      <c r="B8" s="171"/>
      <c r="C8" s="171"/>
      <c r="D8" s="171"/>
      <c r="E8" s="171"/>
      <c r="F8" s="171"/>
    </row>
    <row r="9" spans="1:6" ht="19.5" customHeight="1" x14ac:dyDescent="0.25">
      <c r="A9" s="172" t="s">
        <v>192</v>
      </c>
      <c r="B9" s="172"/>
      <c r="C9" s="172"/>
      <c r="D9" s="172"/>
      <c r="E9" s="172"/>
      <c r="F9" s="172"/>
    </row>
    <row r="10" spans="1:6" ht="55.5" customHeight="1" x14ac:dyDescent="0.25">
      <c r="A10" s="171" t="s">
        <v>193</v>
      </c>
      <c r="B10" s="171"/>
      <c r="C10" s="171"/>
      <c r="D10" s="171"/>
      <c r="E10" s="171"/>
      <c r="F10" s="171"/>
    </row>
    <row r="11" spans="1:6" ht="19.5" customHeight="1" x14ac:dyDescent="0.25">
      <c r="A11" s="170" t="s">
        <v>194</v>
      </c>
      <c r="B11" s="170"/>
      <c r="C11" s="170"/>
      <c r="D11" s="170"/>
      <c r="E11" s="170"/>
      <c r="F11" s="170"/>
    </row>
    <row r="12" spans="1:6" ht="55.5" customHeight="1" x14ac:dyDescent="0.25">
      <c r="A12" s="171" t="s">
        <v>195</v>
      </c>
      <c r="B12" s="171"/>
      <c r="C12" s="171"/>
      <c r="D12" s="171"/>
      <c r="E12" s="171"/>
      <c r="F12" s="171"/>
    </row>
    <row r="13" spans="1:6" ht="19.5" customHeight="1" x14ac:dyDescent="0.25">
      <c r="A13" s="172" t="s">
        <v>196</v>
      </c>
      <c r="B13" s="172"/>
      <c r="C13" s="172"/>
      <c r="D13" s="172"/>
      <c r="E13" s="172"/>
      <c r="F13" s="172"/>
    </row>
    <row r="14" spans="1:6" ht="55.5" customHeight="1" x14ac:dyDescent="0.25">
      <c r="A14" s="171" t="s">
        <v>197</v>
      </c>
      <c r="B14" s="171"/>
      <c r="C14" s="171"/>
      <c r="D14" s="171"/>
      <c r="E14" s="171"/>
      <c r="F14" s="171"/>
    </row>
    <row r="15" spans="1:6" ht="19.5" customHeight="1" x14ac:dyDescent="0.25">
      <c r="A15" s="173" t="s">
        <v>198</v>
      </c>
      <c r="B15" s="173"/>
      <c r="C15" s="173"/>
      <c r="D15" s="173"/>
      <c r="E15" s="173"/>
      <c r="F15" s="173"/>
    </row>
    <row r="16" spans="1:6" ht="55.5" customHeight="1" x14ac:dyDescent="0.25">
      <c r="A16" s="171" t="s">
        <v>199</v>
      </c>
      <c r="B16" s="171"/>
      <c r="C16" s="171"/>
      <c r="D16" s="171"/>
      <c r="E16" s="171"/>
      <c r="F16" s="171"/>
    </row>
  </sheetData>
  <mergeCells count="15">
    <mergeCell ref="A12:F12"/>
    <mergeCell ref="A13:F13"/>
    <mergeCell ref="A14:F14"/>
    <mergeCell ref="A15:F15"/>
    <mergeCell ref="A16:F16"/>
    <mergeCell ref="A7:F7"/>
    <mergeCell ref="A8:F8"/>
    <mergeCell ref="A9:F9"/>
    <mergeCell ref="A10:F10"/>
    <mergeCell ref="A11:F11"/>
    <mergeCell ref="A1:F1"/>
    <mergeCell ref="A3:F3"/>
    <mergeCell ref="A4:F4"/>
    <mergeCell ref="A5:F5"/>
    <mergeCell ref="A6:F6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Kostenberechnung</vt:lpstr>
      <vt:lpstr>Kostenübersicht DIN 276</vt:lpstr>
      <vt:lpstr>Auswertung Gewerke</vt:lpstr>
      <vt:lpstr>Anleitung</vt:lpstr>
      <vt:lpstr>Kostenberechnung!Druckbereich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2026-08-05T10:24:44Z</dcterms:created>
  <dcterms:modified xsi:type="dcterms:W3CDTF">2026-08-06T08:27:00Z</dcterms:modified>
  <dc:language>en-US</dc:language>
</cp:coreProperties>
</file>