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90AABAF4-5F61-4353-85FE-20424CBD5140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Übersicht" sheetId="1" r:id="rId1"/>
    <sheet name="Mitarbeiterliste" sheetId="2" r:id="rId2"/>
    <sheet name="Listen" sheetId="3" r:id="rId3"/>
  </sheets>
  <definedNames>
    <definedName name="_xlnm._FilterDatabase" localSheetId="1" hidden="1">Mitarbeiterliste!$A$3:$T$43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43" i="2" l="1"/>
  <c r="O43" i="2"/>
  <c r="K43" i="2"/>
  <c r="H43" i="2"/>
  <c r="Q42" i="2"/>
  <c r="O42" i="2"/>
  <c r="K42" i="2"/>
  <c r="H42" i="2"/>
  <c r="Q41" i="2"/>
  <c r="O41" i="2"/>
  <c r="K41" i="2"/>
  <c r="H41" i="2"/>
  <c r="Q40" i="2"/>
  <c r="O40" i="2"/>
  <c r="K40" i="2"/>
  <c r="H40" i="2"/>
  <c r="Q39" i="2"/>
  <c r="O39" i="2"/>
  <c r="K39" i="2"/>
  <c r="H39" i="2"/>
  <c r="Q38" i="2"/>
  <c r="O38" i="2"/>
  <c r="K38" i="2"/>
  <c r="H38" i="2"/>
  <c r="Q37" i="2"/>
  <c r="O37" i="2"/>
  <c r="K37" i="2"/>
  <c r="H37" i="2"/>
  <c r="Q36" i="2"/>
  <c r="O36" i="2"/>
  <c r="K36" i="2"/>
  <c r="H36" i="2"/>
  <c r="Q35" i="2"/>
  <c r="O35" i="2"/>
  <c r="K35" i="2"/>
  <c r="H35" i="2"/>
  <c r="Q34" i="2"/>
  <c r="O34" i="2"/>
  <c r="K34" i="2"/>
  <c r="H34" i="2"/>
  <c r="Q33" i="2"/>
  <c r="O33" i="2"/>
  <c r="K33" i="2"/>
  <c r="H33" i="2"/>
  <c r="Q32" i="2"/>
  <c r="O32" i="2"/>
  <c r="K32" i="2"/>
  <c r="H32" i="2"/>
  <c r="Q31" i="2"/>
  <c r="O31" i="2"/>
  <c r="K31" i="2"/>
  <c r="H31" i="2"/>
  <c r="Q30" i="2"/>
  <c r="O30" i="2"/>
  <c r="K30" i="2"/>
  <c r="H30" i="2"/>
  <c r="Q29" i="2"/>
  <c r="O29" i="2"/>
  <c r="K29" i="2"/>
  <c r="H29" i="2"/>
  <c r="Q28" i="2"/>
  <c r="O28" i="2"/>
  <c r="K28" i="2"/>
  <c r="H28" i="2"/>
  <c r="Q27" i="2"/>
  <c r="O27" i="2"/>
  <c r="K27" i="2"/>
  <c r="H27" i="2"/>
  <c r="Q26" i="2"/>
  <c r="O26" i="2"/>
  <c r="K26" i="2"/>
  <c r="H26" i="2"/>
  <c r="Q25" i="2"/>
  <c r="O25" i="2"/>
  <c r="K25" i="2"/>
  <c r="H25" i="2"/>
  <c r="Q24" i="2"/>
  <c r="O24" i="2"/>
  <c r="K24" i="2"/>
  <c r="H24" i="2"/>
  <c r="Q23" i="2"/>
  <c r="O23" i="2"/>
  <c r="K23" i="2"/>
  <c r="H23" i="2"/>
  <c r="Q22" i="2"/>
  <c r="O22" i="2"/>
  <c r="K22" i="2"/>
  <c r="H22" i="2"/>
  <c r="Q21" i="2"/>
  <c r="O21" i="2"/>
  <c r="K21" i="2"/>
  <c r="H21" i="2"/>
  <c r="Q20" i="2"/>
  <c r="O20" i="2"/>
  <c r="K20" i="2"/>
  <c r="H20" i="2"/>
  <c r="Q19" i="2"/>
  <c r="O19" i="2"/>
  <c r="K19" i="2"/>
  <c r="H19" i="2"/>
  <c r="Q18" i="2"/>
  <c r="O18" i="2"/>
  <c r="K18" i="2"/>
  <c r="H18" i="2"/>
  <c r="Q17" i="2"/>
  <c r="O17" i="2"/>
  <c r="K17" i="2"/>
  <c r="H17" i="2"/>
  <c r="Q16" i="2"/>
  <c r="O16" i="2"/>
  <c r="K16" i="2"/>
  <c r="H16" i="2"/>
  <c r="Q15" i="2"/>
  <c r="O15" i="2"/>
  <c r="K15" i="2"/>
  <c r="H15" i="2"/>
  <c r="Q14" i="2"/>
  <c r="O14" i="2"/>
  <c r="K14" i="2"/>
  <c r="H14" i="2"/>
  <c r="Q13" i="2"/>
  <c r="O13" i="2"/>
  <c r="K13" i="2"/>
  <c r="H13" i="2"/>
  <c r="Q12" i="2"/>
  <c r="O12" i="2"/>
  <c r="K12" i="2"/>
  <c r="H12" i="2"/>
  <c r="Q11" i="2"/>
  <c r="O11" i="2"/>
  <c r="K11" i="2"/>
  <c r="H11" i="2"/>
  <c r="Q10" i="2"/>
  <c r="O10" i="2"/>
  <c r="K10" i="2"/>
  <c r="H10" i="2"/>
  <c r="Q9" i="2"/>
  <c r="O9" i="2"/>
  <c r="K9" i="2"/>
  <c r="H9" i="2"/>
  <c r="Q8" i="2"/>
  <c r="O8" i="2"/>
  <c r="K8" i="2"/>
  <c r="H8" i="2"/>
  <c r="Q7" i="2"/>
  <c r="O7" i="2"/>
  <c r="K7" i="2"/>
  <c r="H7" i="2"/>
  <c r="Q6" i="2"/>
  <c r="O6" i="2"/>
  <c r="K6" i="2"/>
  <c r="H6" i="2"/>
  <c r="Q5" i="2"/>
  <c r="O5" i="2"/>
  <c r="K5" i="2"/>
  <c r="H5" i="2"/>
  <c r="Q4" i="2"/>
  <c r="O4" i="2"/>
  <c r="K4" i="2"/>
  <c r="H4" i="2"/>
  <c r="E27" i="1"/>
  <c r="E26" i="1"/>
  <c r="L25" i="1"/>
  <c r="E25" i="1"/>
  <c r="L24" i="1"/>
  <c r="E24" i="1"/>
  <c r="L23" i="1"/>
  <c r="E23" i="1"/>
  <c r="J18" i="1"/>
  <c r="G18" i="1"/>
  <c r="E18" i="1"/>
  <c r="J17" i="1"/>
  <c r="G17" i="1"/>
  <c r="E17" i="1"/>
  <c r="J16" i="1"/>
  <c r="G16" i="1"/>
  <c r="E16" i="1"/>
  <c r="J15" i="1"/>
  <c r="G15" i="1"/>
  <c r="E15" i="1"/>
  <c r="J14" i="1"/>
  <c r="J19" i="1" s="1"/>
  <c r="G14" i="1"/>
  <c r="G19" i="1" s="1"/>
  <c r="E14" i="1"/>
  <c r="E19" i="1" s="1"/>
  <c r="K10" i="1"/>
  <c r="H10" i="1"/>
  <c r="E10" i="1"/>
  <c r="B10" i="1"/>
  <c r="K7" i="1"/>
  <c r="H7" i="1"/>
  <c r="E7" i="1"/>
  <c r="B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D3" authorId="0" shapeId="0" xr:uid="{00000000-0006-0000-0100-000001000000}">
      <text>
        <r>
          <rPr>
            <sz val="10"/>
            <rFont val="Arial"/>
            <family val="2"/>
          </rPr>
          <t>Auswahl per Dropdown.</t>
        </r>
      </text>
    </comment>
    <comment ref="H3" authorId="0" shapeId="0" xr:uid="{00000000-0006-0000-0100-000002000000}">
      <text>
        <r>
          <rPr>
            <sz val="10"/>
            <rFont val="Arial"/>
            <family val="2"/>
          </rPr>
          <t>Automatisch berechnet aus dem Eintrittsdatum. Nicht überschreiben.</t>
        </r>
      </text>
    </comment>
    <comment ref="K3" authorId="0" shapeId="0" xr:uid="{00000000-0006-0000-0100-000003000000}">
      <text>
        <r>
          <rPr>
            <sz val="10"/>
            <rFont val="Arial"/>
            <family val="2"/>
          </rPr>
          <t>Automatisch: Wochenstunden × 4,33 × Stundenlohn (≈ Monatskosten). Nicht überschreiben.</t>
        </r>
      </text>
    </comment>
    <comment ref="O3" authorId="0" shapeId="0" xr:uid="{00000000-0006-0000-0100-000004000000}">
      <text>
        <r>
          <rPr>
            <sz val="10"/>
            <rFont val="Arial"/>
            <family val="2"/>
          </rPr>
          <t>Automatisch aus dem Geburtsdatum berechnet. Nicht überschreiben.</t>
        </r>
      </text>
    </comment>
    <comment ref="Q3" authorId="0" shapeId="0" xr:uid="{00000000-0006-0000-0100-000005000000}">
      <text>
        <r>
          <rPr>
            <sz val="10"/>
            <rFont val="Arial"/>
            <family val="2"/>
          </rPr>
          <t>Automatisch: letzte Belehrung + 24 Monate. Rot = überfällig, gelb = fällig in 60 Tagen.</t>
        </r>
      </text>
    </comment>
  </commentList>
</comments>
</file>

<file path=xl/sharedStrings.xml><?xml version="1.0" encoding="utf-8"?>
<sst xmlns="http://schemas.openxmlformats.org/spreadsheetml/2006/main" count="295" uniqueCount="195">
  <si>
    <t>Personalübersicht</t>
  </si>
  <si>
    <t>Automatische Auswertung der Mitarbeiterliste – alle Kennzahlen aktualisieren sich mit den Daten.</t>
  </si>
  <si>
    <t>KENNZAHLEN</t>
  </si>
  <si>
    <t>Mitarbeiter gesamt</t>
  </si>
  <si>
    <t>Aktive Mitarbeiter</t>
  </si>
  <si>
    <t>Personalkosten/Monat (aktiv)</t>
  </si>
  <si>
    <t>Ø Stundenlohn</t>
  </si>
  <si>
    <t>Vollzeit</t>
  </si>
  <si>
    <t>Teilzeit</t>
  </si>
  <si>
    <t>Minijob / Aushilfe</t>
  </si>
  <si>
    <t>Auszubildende/r</t>
  </si>
  <si>
    <t>NACH BEREICH</t>
  </si>
  <si>
    <t>Bereich</t>
  </si>
  <si>
    <t>Mitarbeiter</t>
  </si>
  <si>
    <t>Wochenstunden</t>
  </si>
  <si>
    <t>Kosten/Monat (aktiv)</t>
  </si>
  <si>
    <t>Service</t>
  </si>
  <si>
    <t>Küche</t>
  </si>
  <si>
    <t>Bar</t>
  </si>
  <si>
    <t>Spülküche</t>
  </si>
  <si>
    <t>Verwaltung</t>
  </si>
  <si>
    <t>Gesamt</t>
  </si>
  <si>
    <t>NACH BESCHÄFTIGUNGSART</t>
  </si>
  <si>
    <t>COMPLIANCE §43 IFSG</t>
  </si>
  <si>
    <t>Beschäftigungsart</t>
  </si>
  <si>
    <t>Anzahl</t>
  </si>
  <si>
    <t>Überfällige Belehrungen</t>
  </si>
  <si>
    <t>Fällig in 60 Tagen</t>
  </si>
  <si>
    <t>Minijob</t>
  </si>
  <si>
    <t>Belehrungen gültig</t>
  </si>
  <si>
    <t>Aushilfe</t>
  </si>
  <si>
    <t>Belehrung nach §43 Infektionsschutzgesetz i. d. R. alle 24 Monate erneuern.</t>
  </si>
  <si>
    <t>Diese Übersicht wird automatisch aus dem Blatt „Mitarbeiterliste“ berechnet. Bitte Daten ausschließlich dort pflegen.</t>
  </si>
  <si>
    <t>Mitarbeiterliste</t>
  </si>
  <si>
    <t>Musterbetrieb Gastronomie   ·   Stand 2026</t>
  </si>
  <si>
    <t>Personalverwaltung – alle Mitarbeitenden im Überblick</t>
  </si>
  <si>
    <t>Vertraulich · DSGVO</t>
  </si>
  <si>
    <t>Personal-Nr.</t>
  </si>
  <si>
    <t>Nachname</t>
  </si>
  <si>
    <t>Vorname</t>
  </si>
  <si>
    <t>Position</t>
  </si>
  <si>
    <t>Eintrittsdatum</t>
  </si>
  <si>
    <t>Betriebs-
zugehör. (J.)</t>
  </si>
  <si>
    <t>Wochen-
stunden</t>
  </si>
  <si>
    <t>Stundenlohn</t>
  </si>
  <si>
    <t>Personal-
kosten/Monat</t>
  </si>
  <si>
    <t>Telefon</t>
  </si>
  <si>
    <t>E-Mail</t>
  </si>
  <si>
    <t>Geburtsdatum</t>
  </si>
  <si>
    <t>Alter</t>
  </si>
  <si>
    <t>Belehrung §43
IfSG (letzte)</t>
  </si>
  <si>
    <t>Nächste
Belehrung</t>
  </si>
  <si>
    <t>Notfallkontakt</t>
  </si>
  <si>
    <t>Notfall-Telefon</t>
  </si>
  <si>
    <t>Status</t>
  </si>
  <si>
    <t>Berger</t>
  </si>
  <si>
    <t>Anna</t>
  </si>
  <si>
    <t>Betriebsleitung</t>
  </si>
  <si>
    <t>0151 24880711</t>
  </si>
  <si>
    <t>anna.berger@musterbetrieb.de</t>
  </si>
  <si>
    <t>Markus Berger</t>
  </si>
  <si>
    <t>0151 24880712</t>
  </si>
  <si>
    <t>Aktiv</t>
  </si>
  <si>
    <t>Hoffmann</t>
  </si>
  <si>
    <t>Lukas</t>
  </si>
  <si>
    <t>Küchenchef/in</t>
  </si>
  <si>
    <t>0160 33127045</t>
  </si>
  <si>
    <t>lukas.hoffmann@musterbetrieb.de</t>
  </si>
  <si>
    <t>Petra Hoffmann</t>
  </si>
  <si>
    <t>0160 33127046</t>
  </si>
  <si>
    <t>Wagner</t>
  </si>
  <si>
    <t>Sophie</t>
  </si>
  <si>
    <t>Restaurantleitung</t>
  </si>
  <si>
    <t>0170 55490183</t>
  </si>
  <si>
    <t>sophie.wagner@musterbetrieb.de</t>
  </si>
  <si>
    <t>Daniel Wagner</t>
  </si>
  <si>
    <t>0170 55490184</t>
  </si>
  <si>
    <t>Schmidt</t>
  </si>
  <si>
    <t>Elias</t>
  </si>
  <si>
    <t>Schichtleitung Service</t>
  </si>
  <si>
    <t>0151 60271338</t>
  </si>
  <si>
    <t>elias.schmidt@musterbetrieb.de</t>
  </si>
  <si>
    <t>Laura Schmidt</t>
  </si>
  <si>
    <t>0151 60271339</t>
  </si>
  <si>
    <t>Fischer</t>
  </si>
  <si>
    <t>Marie</t>
  </si>
  <si>
    <t>Servicekraft</t>
  </si>
  <si>
    <t>0160 71184402</t>
  </si>
  <si>
    <t>marie.fischer@musterbetrieb.de</t>
  </si>
  <si>
    <t>Jan Fischer</t>
  </si>
  <si>
    <t>0160 71184403</t>
  </si>
  <si>
    <t>Weber</t>
  </si>
  <si>
    <t>Jonas</t>
  </si>
  <si>
    <t>Kellner/in</t>
  </si>
  <si>
    <t>0170 22908156</t>
  </si>
  <si>
    <t>jonas.weber@musterbetrieb.de</t>
  </si>
  <si>
    <t>Nina Weber</t>
  </si>
  <si>
    <t>0170 22908157</t>
  </si>
  <si>
    <t>Becker</t>
  </si>
  <si>
    <t>Lena</t>
  </si>
  <si>
    <t>0151 41552097</t>
  </si>
  <si>
    <t>lena.becker@musterbetrieb.de</t>
  </si>
  <si>
    <t>Ute Becker</t>
  </si>
  <si>
    <t>0151 41552098</t>
  </si>
  <si>
    <t>Koch</t>
  </si>
  <si>
    <t>Finn</t>
  </si>
  <si>
    <t>Koch/Köchin</t>
  </si>
  <si>
    <t>0160 88340561</t>
  </si>
  <si>
    <t>finn.koch@musterbetrieb.de</t>
  </si>
  <si>
    <t>Klara Koch</t>
  </si>
  <si>
    <t>0160 88340562</t>
  </si>
  <si>
    <t>Richter</t>
  </si>
  <si>
    <t>Emma</t>
  </si>
  <si>
    <t>0170 30671249</t>
  </si>
  <si>
    <t>emma.richter@musterbetrieb.de</t>
  </si>
  <si>
    <t>Tom Richter</t>
  </si>
  <si>
    <t>0170 30671250</t>
  </si>
  <si>
    <t>Elternzeit</t>
  </si>
  <si>
    <t>Klein</t>
  </si>
  <si>
    <t>Ben</t>
  </si>
  <si>
    <t>Küchenhilfe</t>
  </si>
  <si>
    <t>0151 90228475</t>
  </si>
  <si>
    <t>ben.klein@musterbetrieb.de</t>
  </si>
  <si>
    <t>Sara Klein</t>
  </si>
  <si>
    <t>0151 90228476</t>
  </si>
  <si>
    <t>Wolf</t>
  </si>
  <si>
    <t>Mia</t>
  </si>
  <si>
    <t>0160 15974380</t>
  </si>
  <si>
    <t>mia.wolf@musterbetrieb.de</t>
  </si>
  <si>
    <t>Andrea Wolf</t>
  </si>
  <si>
    <t>0160 15974381</t>
  </si>
  <si>
    <t>Schäfer</t>
  </si>
  <si>
    <t>Paul</t>
  </si>
  <si>
    <t>Barkeeper/in</t>
  </si>
  <si>
    <t>0170 64830912</t>
  </si>
  <si>
    <t>paul.schaefer@musterbetrieb.de</t>
  </si>
  <si>
    <t>Lea Schäfer</t>
  </si>
  <si>
    <t>0170 64830913</t>
  </si>
  <si>
    <t>Neumann</t>
  </si>
  <si>
    <t>Clara</t>
  </si>
  <si>
    <t>Barista</t>
  </si>
  <si>
    <t>0151 78120563</t>
  </si>
  <si>
    <t>clara.neumann@musterbetrieb.de</t>
  </si>
  <si>
    <t>Ralf Neumann</t>
  </si>
  <si>
    <t>0151 78120564</t>
  </si>
  <si>
    <t>Braun</t>
  </si>
  <si>
    <t>Noah</t>
  </si>
  <si>
    <t>0160 29045187</t>
  </si>
  <si>
    <t>noah.braun@musterbetrieb.de</t>
  </si>
  <si>
    <t>Ines Braun</t>
  </si>
  <si>
    <t>0160 29045188</t>
  </si>
  <si>
    <t>Zimmermann</t>
  </si>
  <si>
    <t>Laura</t>
  </si>
  <si>
    <t>Spülkraft</t>
  </si>
  <si>
    <t>0170 41938276</t>
  </si>
  <si>
    <t>laura.zimmermann@musterbetrieb.de</t>
  </si>
  <si>
    <t>Erik Zimmermann</t>
  </si>
  <si>
    <t>0170 41938277</t>
  </si>
  <si>
    <t>Krüger</t>
  </si>
  <si>
    <t>Tim</t>
  </si>
  <si>
    <t>0151 55287401</t>
  </si>
  <si>
    <t>tim.krueger@musterbetrieb.de</t>
  </si>
  <si>
    <t>Maja Krüger</t>
  </si>
  <si>
    <t>0151 55287402</t>
  </si>
  <si>
    <t>Hartmann</t>
  </si>
  <si>
    <t>Julia</t>
  </si>
  <si>
    <t>0160 63710948</t>
  </si>
  <si>
    <t>julia.hartmann@musterbetrieb.de</t>
  </si>
  <si>
    <t>Sven Hartmann</t>
  </si>
  <si>
    <t>0160 63710949</t>
  </si>
  <si>
    <t>Lange</t>
  </si>
  <si>
    <t>David</t>
  </si>
  <si>
    <t>0170 88451203</t>
  </si>
  <si>
    <t>david.lange@musterbetrieb.de</t>
  </si>
  <si>
    <t>Ellen Lange</t>
  </si>
  <si>
    <t>0170 88451204</t>
  </si>
  <si>
    <t>Schulz</t>
  </si>
  <si>
    <t>Nina</t>
  </si>
  <si>
    <t>0151 32664819</t>
  </si>
  <si>
    <t>nina.schulz@musterbetrieb.de</t>
  </si>
  <si>
    <t>Ben Schulz</t>
  </si>
  <si>
    <t>0151 32664820</t>
  </si>
  <si>
    <t>Probezeit</t>
  </si>
  <si>
    <t>Maier</t>
  </si>
  <si>
    <t>Felix</t>
  </si>
  <si>
    <t>0160 47029513</t>
  </si>
  <si>
    <t>felix.maier@musterbetrieb.de</t>
  </si>
  <si>
    <t>Rita Maier</t>
  </si>
  <si>
    <t>0160 47029514</t>
  </si>
  <si>
    <t>Inaktiv</t>
  </si>
  <si>
    <t>Legende:  Grün hinterlegte Kopfzeilen = automatisch berechnete Spalten (Betriebszugehörigkeit, Personalkosten/Monat, Alter, Nächste Belehrung) – bitte nicht überschreiben.</t>
  </si>
  <si>
    <t>Auswahllisten (Bereich, Position, Beschäftigungsart, Status) werden im Blatt „Listen“ gepflegt.  Belehrung §43 IfSG: rot = überfällig, gelb = in den nächsten 60 Tagen fällig.</t>
  </si>
  <si>
    <t>Auswahllisten</t>
  </si>
  <si>
    <t>Diese Werte speisen die Dropdown-Menüs der Mitarbeiterliste. Einträge können hier ergänzt oder angepasst werden.</t>
  </si>
  <si>
    <t>Musterbetrieb Gastronomie · Stand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</si>
</sst>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&quot; €&quot;"/>
    <numFmt numFmtId="165" formatCode="0.00&quot; €&quot;"/>
    <numFmt numFmtId="166" formatCode="dd\.mm\.yyyy"/>
    <numFmt numFmtId="167" formatCode="0.0"/>
    <numFmt numFmtId="168" formatCode="#,##0.00&quot; €&quot;"/>
  </numFmts>
  <fonts count="19" x14ac:knownFonts="1">
    <font>
      <sz val="11"/>
      <color theme="1"/>
      <name val="Calibri"/>
      <family val="2"/>
      <charset val="1"/>
    </font>
    <font>
      <b/>
      <sz val="20"/>
      <color rgb="FFFBF9F4"/>
      <name val="Calibri"/>
      <charset val="1"/>
    </font>
    <font>
      <sz val="10"/>
      <color rgb="FFFBF9F4"/>
      <name val="Calibri"/>
      <charset val="1"/>
    </font>
    <font>
      <sz val="9"/>
      <color rgb="FF6E7B77"/>
      <name val="Calibri"/>
      <charset val="1"/>
    </font>
    <font>
      <b/>
      <sz val="10"/>
      <color rgb="FFA66E1F"/>
      <name val="Calibri"/>
      <charset val="1"/>
    </font>
    <font>
      <b/>
      <sz val="22"/>
      <color rgb="FF12433D"/>
      <name val="Calibri"/>
      <charset val="1"/>
    </font>
    <font>
      <b/>
      <sz val="9"/>
      <color rgb="FFFBF9F4"/>
      <name val="Calibri"/>
      <charset val="1"/>
    </font>
    <font>
      <sz val="10"/>
      <color rgb="FF26302E"/>
      <name val="Calibri"/>
      <charset val="1"/>
    </font>
    <font>
      <b/>
      <sz val="10"/>
      <color rgb="FFFBF9F4"/>
      <name val="Calibri"/>
      <charset val="1"/>
    </font>
    <font>
      <b/>
      <sz val="12"/>
      <color rgb="FF9B3122"/>
      <name val="Calibri"/>
      <charset val="1"/>
    </font>
    <font>
      <b/>
      <sz val="12"/>
      <color rgb="FF8A5A16"/>
      <name val="Calibri"/>
      <charset val="1"/>
    </font>
    <font>
      <b/>
      <sz val="12"/>
      <color rgb="FF26302E"/>
      <name val="Calibri"/>
      <charset val="1"/>
    </font>
    <font>
      <b/>
      <sz val="8"/>
      <color rgb="FF6E7B77"/>
      <name val="Calibri"/>
      <charset val="1"/>
    </font>
    <font>
      <sz val="8.5"/>
      <color rgb="FF6E7B77"/>
      <name val="Calibri"/>
      <charset val="1"/>
    </font>
    <font>
      <sz val="11"/>
      <color rgb="FFFBF9F4"/>
      <name val="Calibri"/>
      <charset val="1"/>
    </font>
    <font>
      <b/>
      <sz val="9"/>
      <color rgb="FFA66E1F"/>
      <name val="Calibri"/>
      <charset val="1"/>
    </font>
    <font>
      <b/>
      <sz val="9.5"/>
      <color rgb="FFFBF9F4"/>
      <name val="Calibri"/>
      <charset val="1"/>
    </font>
    <font>
      <sz val="10"/>
      <name val="Arial"/>
      <family val="2"/>
    </font>
    <font>
      <b/>
      <sz val="14"/>
      <color rgb="FFFBF9F4"/>
      <name val="Calibri"/>
      <charset val="1"/>
    </font>
  </fonts>
  <fills count="13">
    <fill>
      <patternFill patternType="none"/>
    </fill>
    <fill>
      <patternFill patternType="gray125"/>
    </fill>
    <fill>
      <patternFill patternType="solid">
        <fgColor rgb="FFC6862C"/>
        <bgColor rgb="FFA66E1F"/>
      </patternFill>
    </fill>
    <fill>
      <patternFill patternType="solid">
        <fgColor rgb="FF12433D"/>
        <bgColor rgb="FF26302E"/>
      </patternFill>
    </fill>
    <fill>
      <patternFill patternType="solid">
        <fgColor rgb="FFEDE7DB"/>
        <bgColor rgb="FFECEAE4"/>
      </patternFill>
    </fill>
    <fill>
      <patternFill patternType="solid">
        <fgColor rgb="FFFFFFFF"/>
        <bgColor rgb="FFFCFAF5"/>
      </patternFill>
    </fill>
    <fill>
      <patternFill patternType="solid">
        <fgColor rgb="FF1B5A50"/>
        <bgColor rgb="FF1E6B4F"/>
      </patternFill>
    </fill>
    <fill>
      <patternFill patternType="solid">
        <fgColor rgb="FFFCFAF5"/>
        <bgColor rgb="FFFBF9F4"/>
      </patternFill>
    </fill>
    <fill>
      <patternFill patternType="solid">
        <fgColor rgb="FFF6F2EA"/>
        <bgColor rgb="FFEEF1EC"/>
      </patternFill>
    </fill>
    <fill>
      <patternFill patternType="solid">
        <fgColor rgb="FFF4D7D1"/>
        <bgColor rgb="FFE3DCCB"/>
      </patternFill>
    </fill>
    <fill>
      <patternFill patternType="solid">
        <fgColor rgb="FFFBE9C8"/>
        <bgColor rgb="FFEDE7DB"/>
      </patternFill>
    </fill>
    <fill>
      <patternFill patternType="solid">
        <fgColor rgb="FFD8EBDF"/>
        <bgColor rgb="FFD7E7E4"/>
      </patternFill>
    </fill>
    <fill>
      <patternFill patternType="solid">
        <fgColor rgb="FFEEF1EC"/>
        <bgColor rgb="FFF6F2EA"/>
      </patternFill>
    </fill>
  </fills>
  <borders count="10">
    <border>
      <left/>
      <right/>
      <top/>
      <bottom/>
      <diagonal/>
    </border>
    <border>
      <left/>
      <right/>
      <top/>
      <bottom style="thin">
        <color rgb="FFE3DCCB"/>
      </bottom>
      <diagonal/>
    </border>
    <border>
      <left style="thin">
        <color rgb="FFD7D0C2"/>
      </left>
      <right style="thin">
        <color rgb="FFD7D0C2"/>
      </right>
      <top style="medium">
        <color rgb="FFC6862C"/>
      </top>
      <bottom/>
      <diagonal/>
    </border>
    <border>
      <left style="thin">
        <color rgb="FFD7D0C2"/>
      </left>
      <right style="thin">
        <color rgb="FFD7D0C2"/>
      </right>
      <top/>
      <bottom style="thin">
        <color rgb="FFD7D0C2"/>
      </bottom>
      <diagonal/>
    </border>
    <border>
      <left style="thin">
        <color rgb="FF12433D"/>
      </left>
      <right style="thin">
        <color rgb="FF12433D"/>
      </right>
      <top style="thin">
        <color rgb="FF12433D"/>
      </top>
      <bottom style="thin">
        <color rgb="FF12433D"/>
      </bottom>
      <diagonal/>
    </border>
    <border>
      <left style="hair">
        <color rgb="FFD7D0C2"/>
      </left>
      <right style="hair">
        <color rgb="FFD7D0C2"/>
      </right>
      <top style="hair">
        <color rgb="FFD7D0C2"/>
      </top>
      <bottom style="hair">
        <color rgb="FFD7D0C2"/>
      </bottom>
      <diagonal/>
    </border>
    <border>
      <left style="thin">
        <color rgb="FF12433D"/>
      </left>
      <right style="thin">
        <color rgb="FF12433D"/>
      </right>
      <top style="medium">
        <color rgb="FFC6862C"/>
      </top>
      <bottom style="thin">
        <color rgb="FF12433D"/>
      </bottom>
      <diagonal/>
    </border>
    <border>
      <left style="thin">
        <color rgb="FF12433D"/>
      </left>
      <right style="thin">
        <color rgb="FF12433D"/>
      </right>
      <top style="thin">
        <color rgb="FF12433D"/>
      </top>
      <bottom style="medium">
        <color rgb="FFC6862C"/>
      </bottom>
      <diagonal/>
    </border>
    <border>
      <left style="thin">
        <color rgb="FFD7D0C2"/>
      </left>
      <right style="thin">
        <color rgb="FFD7D0C2"/>
      </right>
      <top style="hair">
        <color rgb="FFD7D0C2"/>
      </top>
      <bottom style="thin">
        <color rgb="FFD7D0C2"/>
      </bottom>
      <diagonal/>
    </border>
    <border>
      <left style="thin">
        <color rgb="FFD7D0C2"/>
      </left>
      <right style="thin">
        <color rgb="FFD7D0C2"/>
      </right>
      <top style="hair">
        <color rgb="FFD7D0C2"/>
      </top>
      <bottom style="medium">
        <color rgb="FF1B5A50"/>
      </bottom>
      <diagonal/>
    </border>
  </borders>
  <cellStyleXfs count="1">
    <xf numFmtId="0" fontId="0" fillId="0" borderId="0"/>
  </cellStyleXfs>
  <cellXfs count="64">
    <xf numFmtId="0" fontId="0" fillId="0" borderId="0" xfId="0"/>
    <xf numFmtId="1" fontId="7" fillId="8" borderId="5" xfId="0" applyNumberFormat="1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left" vertical="center" indent="1"/>
    </xf>
    <xf numFmtId="164" fontId="7" fillId="7" borderId="5" xfId="0" applyNumberFormat="1" applyFont="1" applyFill="1" applyBorder="1" applyAlignment="1">
      <alignment horizontal="center" vertical="center"/>
    </xf>
    <xf numFmtId="1" fontId="7" fillId="7" borderId="5" xfId="0" applyNumberFormat="1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left" vertical="center" indent="1"/>
    </xf>
    <xf numFmtId="0" fontId="6" fillId="6" borderId="4" xfId="0" applyFont="1" applyFill="1" applyBorder="1" applyAlignment="1">
      <alignment horizontal="center" vertical="center"/>
    </xf>
    <xf numFmtId="165" fontId="5" fillId="5" borderId="3" xfId="0" applyNumberFormat="1" applyFont="1" applyFill="1" applyBorder="1" applyAlignment="1">
      <alignment horizontal="left" vertical="center" indent="1"/>
    </xf>
    <xf numFmtId="164" fontId="5" fillId="5" borderId="3" xfId="0" applyNumberFormat="1" applyFont="1" applyFill="1" applyBorder="1" applyAlignment="1">
      <alignment horizontal="left" vertical="center" indent="1"/>
    </xf>
    <xf numFmtId="1" fontId="5" fillId="5" borderId="3" xfId="0" applyNumberFormat="1" applyFont="1" applyFill="1" applyBorder="1" applyAlignment="1">
      <alignment horizontal="left" vertical="center" indent="1"/>
    </xf>
    <xf numFmtId="0" fontId="3" fillId="5" borderId="2" xfId="0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/>
    </xf>
    <xf numFmtId="0" fontId="3" fillId="4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right" vertical="center" indent="1"/>
    </xf>
    <xf numFmtId="0" fontId="1" fillId="3" borderId="0" xfId="0" applyFont="1" applyFill="1" applyAlignment="1">
      <alignment horizontal="left" vertical="center" indent="1"/>
    </xf>
    <xf numFmtId="0" fontId="0" fillId="2" borderId="0" xfId="0" applyFill="1"/>
    <xf numFmtId="0" fontId="7" fillId="7" borderId="5" xfId="0" applyFont="1" applyFill="1" applyBorder="1" applyAlignment="1">
      <alignment horizontal="left" vertical="center" indent="1"/>
    </xf>
    <xf numFmtId="0" fontId="7" fillId="8" borderId="5" xfId="0" applyFont="1" applyFill="1" applyBorder="1" applyAlignment="1">
      <alignment horizontal="left" vertical="center" indent="1"/>
    </xf>
    <xf numFmtId="0" fontId="16" fillId="3" borderId="7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1" fontId="7" fillId="7" borderId="8" xfId="0" applyNumberFormat="1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left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left" vertical="center" indent="1"/>
    </xf>
    <xf numFmtId="166" fontId="7" fillId="7" borderId="8" xfId="0" applyNumberFormat="1" applyFont="1" applyFill="1" applyBorder="1" applyAlignment="1">
      <alignment horizontal="center" vertical="center"/>
    </xf>
    <xf numFmtId="167" fontId="7" fillId="12" borderId="8" xfId="0" applyNumberFormat="1" applyFont="1" applyFill="1" applyBorder="1" applyAlignment="1">
      <alignment horizontal="center" vertical="center"/>
    </xf>
    <xf numFmtId="168" fontId="7" fillId="7" borderId="8" xfId="0" applyNumberFormat="1" applyFont="1" applyFill="1" applyBorder="1" applyAlignment="1">
      <alignment horizontal="center" vertical="center"/>
    </xf>
    <xf numFmtId="168" fontId="7" fillId="12" borderId="8" xfId="0" applyNumberFormat="1" applyFont="1" applyFill="1" applyBorder="1" applyAlignment="1">
      <alignment horizontal="center" vertical="center"/>
    </xf>
    <xf numFmtId="1" fontId="7" fillId="12" borderId="8" xfId="0" applyNumberFormat="1" applyFont="1" applyFill="1" applyBorder="1" applyAlignment="1">
      <alignment horizontal="center" vertical="center"/>
    </xf>
    <xf numFmtId="166" fontId="7" fillId="12" borderId="8" xfId="0" applyNumberFormat="1" applyFont="1" applyFill="1" applyBorder="1" applyAlignment="1">
      <alignment horizontal="center" vertical="center"/>
    </xf>
    <xf numFmtId="1" fontId="7" fillId="8" borderId="8" xfId="0" applyNumberFormat="1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left" vertical="center"/>
    </xf>
    <xf numFmtId="0" fontId="7" fillId="8" borderId="8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left" vertical="center" indent="1"/>
    </xf>
    <xf numFmtId="166" fontId="7" fillId="8" borderId="8" xfId="0" applyNumberFormat="1" applyFont="1" applyFill="1" applyBorder="1" applyAlignment="1">
      <alignment horizontal="center" vertical="center"/>
    </xf>
    <xf numFmtId="168" fontId="7" fillId="8" borderId="8" xfId="0" applyNumberFormat="1" applyFont="1" applyFill="1" applyBorder="1" applyAlignment="1">
      <alignment horizontal="center" vertical="center"/>
    </xf>
    <xf numFmtId="1" fontId="7" fillId="8" borderId="9" xfId="0" applyNumberFormat="1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left" vertical="center"/>
    </xf>
    <xf numFmtId="0" fontId="7" fillId="8" borderId="9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left" vertical="center" indent="1"/>
    </xf>
    <xf numFmtId="166" fontId="7" fillId="8" borderId="9" xfId="0" applyNumberFormat="1" applyFont="1" applyFill="1" applyBorder="1" applyAlignment="1">
      <alignment horizontal="center" vertical="center"/>
    </xf>
    <xf numFmtId="167" fontId="7" fillId="12" borderId="9" xfId="0" applyNumberFormat="1" applyFont="1" applyFill="1" applyBorder="1" applyAlignment="1">
      <alignment horizontal="center" vertical="center"/>
    </xf>
    <xf numFmtId="168" fontId="7" fillId="8" borderId="9" xfId="0" applyNumberFormat="1" applyFont="1" applyFill="1" applyBorder="1" applyAlignment="1">
      <alignment horizontal="center" vertical="center"/>
    </xf>
    <xf numFmtId="168" fontId="7" fillId="12" borderId="9" xfId="0" applyNumberFormat="1" applyFont="1" applyFill="1" applyBorder="1" applyAlignment="1">
      <alignment horizontal="center" vertical="center"/>
    </xf>
    <xf numFmtId="1" fontId="7" fillId="12" borderId="9" xfId="0" applyNumberFormat="1" applyFont="1" applyFill="1" applyBorder="1" applyAlignment="1">
      <alignment horizontal="center" vertical="center"/>
    </xf>
    <xf numFmtId="166" fontId="7" fillId="12" borderId="9" xfId="0" applyNumberFormat="1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164" fontId="7" fillId="8" borderId="5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left" vertical="center" indent="1"/>
    </xf>
    <xf numFmtId="1" fontId="8" fillId="3" borderId="6" xfId="0" applyNumberFormat="1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6" fillId="6" borderId="4" xfId="0" applyFont="1" applyFill="1" applyBorder="1" applyAlignment="1">
      <alignment horizontal="left" vertical="center" indent="1"/>
    </xf>
    <xf numFmtId="0" fontId="7" fillId="9" borderId="5" xfId="0" applyFont="1" applyFill="1" applyBorder="1" applyAlignment="1">
      <alignment horizontal="left" vertical="center" indent="1"/>
    </xf>
    <xf numFmtId="1" fontId="9" fillId="9" borderId="5" xfId="0" applyNumberFormat="1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left" vertical="center" indent="1"/>
    </xf>
    <xf numFmtId="1" fontId="10" fillId="10" borderId="5" xfId="0" applyNumberFormat="1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left" vertical="center" indent="1"/>
    </xf>
    <xf numFmtId="1" fontId="11" fillId="11" borderId="5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4" fillId="3" borderId="0" xfId="0" applyFont="1" applyFill="1" applyAlignment="1">
      <alignment horizontal="right" vertical="center" indent="1"/>
    </xf>
    <xf numFmtId="0" fontId="15" fillId="4" borderId="0" xfId="0" applyFont="1" applyFill="1" applyAlignment="1">
      <alignment horizontal="right" vertical="center" indent="1"/>
    </xf>
    <xf numFmtId="0" fontId="18" fillId="3" borderId="0" xfId="0" applyFont="1" applyFill="1" applyAlignment="1">
      <alignment horizontal="left" vertical="center" indent="1"/>
    </xf>
  </cellXfs>
  <cellStyles count="1">
    <cellStyle name="Standard" xfId="0" builtinId="0"/>
  </cellStyles>
  <dxfs count="7">
    <dxf>
      <font>
        <b/>
        <sz val="10"/>
        <color rgb="FF8A8A85"/>
        <name val="Calibri"/>
        <charset val="1"/>
      </font>
      <fill>
        <patternFill>
          <bgColor rgb="FFECEAE4"/>
        </patternFill>
      </fill>
    </dxf>
    <dxf>
      <font>
        <b/>
        <sz val="10"/>
        <color rgb="FF1B5A50"/>
        <name val="Calibri"/>
        <charset val="1"/>
      </font>
      <fill>
        <patternFill>
          <bgColor rgb="FFD7E7E4"/>
        </patternFill>
      </fill>
    </dxf>
    <dxf>
      <font>
        <b/>
        <sz val="10"/>
        <color rgb="FF8A5A16"/>
        <name val="Calibri"/>
        <charset val="1"/>
      </font>
      <fill>
        <patternFill>
          <bgColor rgb="FFFBE9C8"/>
        </patternFill>
      </fill>
    </dxf>
    <dxf>
      <font>
        <b/>
        <sz val="10"/>
        <color rgb="FF1E6B4F"/>
        <name val="Calibri"/>
        <charset val="1"/>
      </font>
      <fill>
        <patternFill>
          <bgColor rgb="FFD8EBDF"/>
        </patternFill>
      </fill>
    </dxf>
    <dxf>
      <font>
        <b/>
        <sz val="10"/>
        <color rgb="FF8A5A16"/>
        <name val="Calibri"/>
        <charset val="1"/>
      </font>
      <fill>
        <patternFill>
          <bgColor rgb="FFFBE9C8"/>
        </patternFill>
      </fill>
    </dxf>
    <dxf>
      <font>
        <b/>
        <sz val="10"/>
        <color rgb="FF9B3122"/>
        <name val="Calibri"/>
        <charset val="1"/>
      </font>
      <fill>
        <patternFill>
          <bgColor rgb="FFF4D7D1"/>
        </patternFill>
      </fill>
    </dxf>
    <dxf>
      <font>
        <sz val="10"/>
        <color rgb="FF8A8A85"/>
        <name val="Calibri"/>
        <charset val="1"/>
      </font>
      <fill>
        <patternFill>
          <bgColor rgb="FFECEAE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CFAF5"/>
      <rgbColor rgb="FFFF00FF"/>
      <rgbColor rgb="FF00FFFF"/>
      <rgbColor rgb="FF800000"/>
      <rgbColor rgb="FF008000"/>
      <rgbColor rgb="FF000080"/>
      <rgbColor rgb="FFA66E1F"/>
      <rgbColor rgb="FF800080"/>
      <rgbColor rgb="FF1E6B4F"/>
      <rgbColor rgb="FFD7D0C2"/>
      <rgbColor rgb="FF8A8A85"/>
      <rgbColor rgb="FF9999FF"/>
      <rgbColor rgb="FF8A5A16"/>
      <rgbColor rgb="FFFBF9F4"/>
      <rgbColor rgb="FFD7E7E4"/>
      <rgbColor rgb="FF660066"/>
      <rgbColor rgb="FFFF8080"/>
      <rgbColor rgb="FF0066CC"/>
      <rgbColor rgb="FFE3DCCB"/>
      <rgbColor rgb="FF000080"/>
      <rgbColor rgb="FFFF00FF"/>
      <rgbColor rgb="FFFFFF00"/>
      <rgbColor rgb="FF00FFFF"/>
      <rgbColor rgb="FF800080"/>
      <rgbColor rgb="FF800000"/>
      <rgbColor rgb="FF1B5A50"/>
      <rgbColor rgb="FF0000FF"/>
      <rgbColor rgb="FF00CCFF"/>
      <rgbColor rgb="FFEEF1EC"/>
      <rgbColor rgb="FFD8EBDF"/>
      <rgbColor rgb="FFFBE9C8"/>
      <rgbColor rgb="FFECEAE4"/>
      <rgbColor rgb="FFEDE7DB"/>
      <rgbColor rgb="FFF6F2EA"/>
      <rgbColor rgb="FFF4D7D1"/>
      <rgbColor rgb="FF3366FF"/>
      <rgbColor rgb="FF33CCCC"/>
      <rgbColor rgb="FF99CC00"/>
      <rgbColor rgb="FFFFCC00"/>
      <rgbColor rgb="FFC6862C"/>
      <rgbColor rgb="FFFF6600"/>
      <rgbColor rgb="FF6E7B77"/>
      <rgbColor rgb="FF969696"/>
      <rgbColor rgb="FF12433D"/>
      <rgbColor rgb="FF339966"/>
      <rgbColor rgb="FF003300"/>
      <rgbColor rgb="FF333300"/>
      <rgbColor rgb="FF9B3122"/>
      <rgbColor rgb="FF993366"/>
      <rgbColor rgb="FF333399"/>
      <rgbColor rgb="FF2630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6862C"/>
  </sheetPr>
  <dimension ref="A1:N29"/>
  <sheetViews>
    <sheetView showGridLines="0" tabSelected="1" zoomScaleNormal="100" workbookViewId="0">
      <selection activeCell="J36" sqref="J36"/>
    </sheetView>
  </sheetViews>
  <sheetFormatPr baseColWidth="10" defaultColWidth="8.7109375" defaultRowHeight="15" x14ac:dyDescent="0.25"/>
  <cols>
    <col min="1" max="1" width="2.140625" customWidth="1"/>
    <col min="2" max="12" width="11.140625" customWidth="1"/>
    <col min="13" max="13" width="4" customWidth="1"/>
    <col min="14" max="14" width="2.140625" customWidth="1"/>
  </cols>
  <sheetData>
    <row r="1" spans="1:14" ht="6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9.75" customHeight="1" x14ac:dyDescent="0.25">
      <c r="B2" s="14" t="s">
        <v>0</v>
      </c>
      <c r="C2" s="14"/>
      <c r="D2" s="14"/>
      <c r="E2" s="14"/>
      <c r="F2" s="14"/>
      <c r="G2" s="14"/>
      <c r="H2" s="14"/>
      <c r="I2" s="14"/>
      <c r="J2" s="13" t="s">
        <v>194</v>
      </c>
      <c r="K2" s="13"/>
      <c r="L2" s="13"/>
      <c r="M2" s="13"/>
    </row>
    <row r="3" spans="1:14" ht="18" customHeight="1" x14ac:dyDescent="0.25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5" spans="1:14" x14ac:dyDescent="0.25">
      <c r="B5" s="11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4" ht="15.75" customHeight="1" x14ac:dyDescent="0.25">
      <c r="B6" s="10" t="s">
        <v>3</v>
      </c>
      <c r="C6" s="10"/>
      <c r="D6" s="10"/>
      <c r="E6" s="10" t="s">
        <v>4</v>
      </c>
      <c r="F6" s="10"/>
      <c r="G6" s="10"/>
      <c r="H6" s="10" t="s">
        <v>5</v>
      </c>
      <c r="I6" s="10"/>
      <c r="J6" s="10"/>
      <c r="K6" s="10" t="s">
        <v>6</v>
      </c>
      <c r="L6" s="10"/>
      <c r="M6" s="10"/>
    </row>
    <row r="7" spans="1:14" ht="33.75" customHeight="1" x14ac:dyDescent="0.25">
      <c r="B7" s="9">
        <f>COUNTA(Mitarbeiterliste!$A$4:$A$43)</f>
        <v>20</v>
      </c>
      <c r="C7" s="9"/>
      <c r="D7" s="9"/>
      <c r="E7" s="9">
        <f>COUNTIF(Mitarbeiterliste!$T$4:$T$43,"Aktiv")</f>
        <v>17</v>
      </c>
      <c r="F7" s="9"/>
      <c r="G7" s="9"/>
      <c r="H7" s="8">
        <f>SUMIF(Mitarbeiterliste!$T$4:$T$43,"Aktiv",Mitarbeiterliste!$K$4:$K$43)+SUMIF(Mitarbeiterliste!$T$4:$T$43,"Probezeit",Mitarbeiterliste!$K$4:$K$43)</f>
        <v>34789.817999999999</v>
      </c>
      <c r="I7" s="8"/>
      <c r="J7" s="8"/>
      <c r="K7" s="7">
        <f>IFERROR(AVERAGE(Mitarbeiterliste!$J$4:$J$43),0)</f>
        <v>15.440000000000001</v>
      </c>
      <c r="L7" s="7"/>
      <c r="M7" s="7"/>
    </row>
    <row r="8" spans="1:14" ht="6" customHeight="1" x14ac:dyDescent="0.25"/>
    <row r="9" spans="1:14" ht="15.75" customHeight="1" x14ac:dyDescent="0.25">
      <c r="B9" s="10" t="s">
        <v>7</v>
      </c>
      <c r="C9" s="10"/>
      <c r="D9" s="10"/>
      <c r="E9" s="10" t="s">
        <v>8</v>
      </c>
      <c r="F9" s="10"/>
      <c r="G9" s="10"/>
      <c r="H9" s="10" t="s">
        <v>9</v>
      </c>
      <c r="I9" s="10"/>
      <c r="J9" s="10"/>
      <c r="K9" s="10" t="s">
        <v>10</v>
      </c>
      <c r="L9" s="10"/>
      <c r="M9" s="10"/>
    </row>
    <row r="10" spans="1:14" ht="30" customHeight="1" x14ac:dyDescent="0.25">
      <c r="B10" s="9">
        <f>COUNTIF(Mitarbeiterliste!$F$4:$F$43,"Vollzeit")</f>
        <v>7</v>
      </c>
      <c r="C10" s="9"/>
      <c r="D10" s="9"/>
      <c r="E10" s="9">
        <f>COUNTIF(Mitarbeiterliste!$F$4:$F$43,"Teilzeit")</f>
        <v>7</v>
      </c>
      <c r="F10" s="9"/>
      <c r="G10" s="9"/>
      <c r="H10" s="9">
        <f>COUNTIF(Mitarbeiterliste!$F$4:$F$43,"Minijob")+COUNTIF(Mitarbeiterliste!$F$4:$F$43,"Aushilfe")</f>
        <v>5</v>
      </c>
      <c r="I10" s="9"/>
      <c r="J10" s="9"/>
      <c r="K10" s="9">
        <f>COUNTIF(Mitarbeiterliste!$F$4:$F$43,"Auszubildende/r")</f>
        <v>1</v>
      </c>
      <c r="L10" s="9"/>
      <c r="M10" s="9"/>
    </row>
    <row r="11" spans="1:14" ht="7.5" customHeight="1" x14ac:dyDescent="0.25"/>
    <row r="12" spans="1:14" x14ac:dyDescent="0.25">
      <c r="B12" s="11" t="s">
        <v>11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4" x14ac:dyDescent="0.25">
      <c r="B13" s="6" t="s">
        <v>12</v>
      </c>
      <c r="C13" s="6"/>
      <c r="D13" s="6"/>
      <c r="E13" s="6" t="s">
        <v>13</v>
      </c>
      <c r="F13" s="6"/>
      <c r="G13" s="6" t="s">
        <v>14</v>
      </c>
      <c r="H13" s="6"/>
      <c r="I13" s="6"/>
      <c r="J13" s="6" t="s">
        <v>15</v>
      </c>
      <c r="K13" s="6"/>
      <c r="L13" s="6"/>
      <c r="M13" s="6"/>
    </row>
    <row r="14" spans="1:14" x14ac:dyDescent="0.25">
      <c r="B14" s="5" t="s">
        <v>16</v>
      </c>
      <c r="C14" s="5"/>
      <c r="D14" s="5"/>
      <c r="E14" s="4">
        <f>COUNTIF(Mitarbeiterliste!$D$4:$D$43,"Service")</f>
        <v>7</v>
      </c>
      <c r="F14" s="4"/>
      <c r="G14" s="4">
        <f>SUMIF(Mitarbeiterliste!$D$4:$D$43,"Service",Mitarbeiterliste!$I$4:$I$43)</f>
        <v>170</v>
      </c>
      <c r="H14" s="4"/>
      <c r="I14" s="4"/>
      <c r="J14" s="3">
        <f>SUMIFS(Mitarbeiterliste!$K$4:$K$43,Mitarbeiterliste!$D$4:$D$43,"Service",Mitarbeiterliste!$T$4:$T$43,"Aktiv")+SUMIFS(Mitarbeiterliste!$K$4:$K$43,Mitarbeiterliste!$D$4:$D$43,"Service",Mitarbeiterliste!$T$4:$T$43,"Probezeit")</f>
        <v>11619.987999999999</v>
      </c>
      <c r="K14" s="3"/>
      <c r="L14" s="3"/>
      <c r="M14" s="3"/>
    </row>
    <row r="15" spans="1:14" x14ac:dyDescent="0.25">
      <c r="B15" s="2" t="s">
        <v>17</v>
      </c>
      <c r="C15" s="2"/>
      <c r="D15" s="2"/>
      <c r="E15" s="1">
        <f>COUNTIF(Mitarbeiterliste!$D$4:$D$43,"Küche")</f>
        <v>7</v>
      </c>
      <c r="F15" s="1"/>
      <c r="G15" s="1">
        <f>SUMIF(Mitarbeiterliste!$D$4:$D$43,"Küche",Mitarbeiterliste!$I$4:$I$43)</f>
        <v>225</v>
      </c>
      <c r="H15" s="1"/>
      <c r="I15" s="1"/>
      <c r="J15" s="47">
        <f>SUMIFS(Mitarbeiterliste!$K$4:$K$43,Mitarbeiterliste!$D$4:$D$43,"Küche",Mitarbeiterliste!$T$4:$T$43,"Aktiv")+SUMIFS(Mitarbeiterliste!$K$4:$K$43,Mitarbeiterliste!$D$4:$D$43,"Küche",Mitarbeiterliste!$T$4:$T$43,"Probezeit")</f>
        <v>12487.72</v>
      </c>
      <c r="K15" s="47"/>
      <c r="L15" s="47"/>
      <c r="M15" s="47"/>
    </row>
    <row r="16" spans="1:14" x14ac:dyDescent="0.25">
      <c r="B16" s="5" t="s">
        <v>18</v>
      </c>
      <c r="C16" s="5"/>
      <c r="D16" s="5"/>
      <c r="E16" s="4">
        <f>COUNTIF(Mitarbeiterliste!$D$4:$D$43,"Bar")</f>
        <v>3</v>
      </c>
      <c r="F16" s="4"/>
      <c r="G16" s="4">
        <f>SUMIF(Mitarbeiterliste!$D$4:$D$43,"Bar",Mitarbeiterliste!$I$4:$I$43)</f>
        <v>71</v>
      </c>
      <c r="H16" s="4"/>
      <c r="I16" s="4"/>
      <c r="J16" s="3">
        <f>SUMIFS(Mitarbeiterliste!$K$4:$K$43,Mitarbeiterliste!$D$4:$D$43,"Bar",Mitarbeiterliste!$T$4:$T$43,"Aktiv")+SUMIFS(Mitarbeiterliste!$K$4:$K$43,Mitarbeiterliste!$D$4:$D$43,"Bar",Mitarbeiterliste!$T$4:$T$43,"Probezeit")</f>
        <v>4685.0599999999995</v>
      </c>
      <c r="K16" s="3"/>
      <c r="L16" s="3"/>
      <c r="M16" s="3"/>
    </row>
    <row r="17" spans="2:13" x14ac:dyDescent="0.25">
      <c r="B17" s="2" t="s">
        <v>19</v>
      </c>
      <c r="C17" s="2"/>
      <c r="D17" s="2"/>
      <c r="E17" s="1">
        <f>COUNTIF(Mitarbeiterliste!$D$4:$D$43,"Spülküche")</f>
        <v>2</v>
      </c>
      <c r="F17" s="1"/>
      <c r="G17" s="1">
        <f>SUMIF(Mitarbeiterliste!$D$4:$D$43,"Spülküche",Mitarbeiterliste!$I$4:$I$43)</f>
        <v>30</v>
      </c>
      <c r="H17" s="1"/>
      <c r="I17" s="1"/>
      <c r="J17" s="47">
        <f>SUMIFS(Mitarbeiterliste!$K$4:$K$43,Mitarbeiterliste!$D$4:$D$43,"Spülküche",Mitarbeiterliste!$T$4:$T$43,"Aktiv")+SUMIFS(Mitarbeiterliste!$K$4:$K$43,Mitarbeiterliste!$D$4:$D$43,"Spülküche",Mitarbeiterliste!$T$4:$T$43,"Probezeit")</f>
        <v>1753.6499999999999</v>
      </c>
      <c r="K17" s="47"/>
      <c r="L17" s="47"/>
      <c r="M17" s="47"/>
    </row>
    <row r="18" spans="2:13" x14ac:dyDescent="0.25">
      <c r="B18" s="5" t="s">
        <v>20</v>
      </c>
      <c r="C18" s="5"/>
      <c r="D18" s="5"/>
      <c r="E18" s="4">
        <f>COUNTIF(Mitarbeiterliste!$D$4:$D$43,"Verwaltung")</f>
        <v>1</v>
      </c>
      <c r="F18" s="4"/>
      <c r="G18" s="4">
        <f>SUMIF(Mitarbeiterliste!$D$4:$D$43,"Verwaltung",Mitarbeiterliste!$I$4:$I$43)</f>
        <v>40</v>
      </c>
      <c r="H18" s="4"/>
      <c r="I18" s="4"/>
      <c r="J18" s="3">
        <f>SUMIFS(Mitarbeiterliste!$K$4:$K$43,Mitarbeiterliste!$D$4:$D$43,"Verwaltung",Mitarbeiterliste!$T$4:$T$43,"Aktiv")+SUMIFS(Mitarbeiterliste!$K$4:$K$43,Mitarbeiterliste!$D$4:$D$43,"Verwaltung",Mitarbeiterliste!$T$4:$T$43,"Probezeit")</f>
        <v>4243.3999999999996</v>
      </c>
      <c r="K18" s="3"/>
      <c r="L18" s="3"/>
      <c r="M18" s="3"/>
    </row>
    <row r="19" spans="2:13" x14ac:dyDescent="0.25">
      <c r="B19" s="48" t="s">
        <v>21</v>
      </c>
      <c r="C19" s="48"/>
      <c r="D19" s="48"/>
      <c r="E19" s="49">
        <f>SUM(E14:E18)</f>
        <v>20</v>
      </c>
      <c r="F19" s="49"/>
      <c r="G19" s="49">
        <f>SUM(G14:G18)</f>
        <v>536</v>
      </c>
      <c r="H19" s="49"/>
      <c r="I19" s="49"/>
      <c r="J19" s="50">
        <f>SUM(J14:J18)</f>
        <v>34789.817999999999</v>
      </c>
      <c r="K19" s="50"/>
      <c r="L19" s="50"/>
      <c r="M19" s="50"/>
    </row>
    <row r="20" spans="2:13" ht="7.5" customHeight="1" x14ac:dyDescent="0.25"/>
    <row r="21" spans="2:13" x14ac:dyDescent="0.25">
      <c r="B21" s="51" t="s">
        <v>22</v>
      </c>
      <c r="C21" s="51"/>
      <c r="D21" s="51"/>
      <c r="E21" s="51"/>
      <c r="F21" s="51"/>
      <c r="H21" s="51" t="s">
        <v>23</v>
      </c>
      <c r="I21" s="51"/>
      <c r="J21" s="51"/>
      <c r="K21" s="51"/>
      <c r="L21" s="51"/>
      <c r="M21" s="51"/>
    </row>
    <row r="22" spans="2:13" x14ac:dyDescent="0.25">
      <c r="B22" s="52" t="s">
        <v>24</v>
      </c>
      <c r="C22" s="52"/>
      <c r="D22" s="52"/>
      <c r="E22" s="6" t="s">
        <v>25</v>
      </c>
      <c r="F22" s="6"/>
    </row>
    <row r="23" spans="2:13" ht="15.75" x14ac:dyDescent="0.25">
      <c r="B23" s="5" t="s">
        <v>7</v>
      </c>
      <c r="C23" s="5"/>
      <c r="D23" s="5"/>
      <c r="E23" s="4">
        <f>COUNTIF(Mitarbeiterliste!$F$4:$F$43,"Vollzeit")</f>
        <v>7</v>
      </c>
      <c r="F23" s="4"/>
      <c r="H23" s="53" t="s">
        <v>26</v>
      </c>
      <c r="I23" s="53"/>
      <c r="J23" s="53"/>
      <c r="K23" s="53"/>
      <c r="L23" s="54">
        <f ca="1">COUNTIF(Mitarbeiterliste!$Q$4:$Q$43,"&lt;"&amp;TODAY())</f>
        <v>4</v>
      </c>
      <c r="M23" s="54"/>
    </row>
    <row r="24" spans="2:13" ht="15.75" x14ac:dyDescent="0.25">
      <c r="B24" s="2" t="s">
        <v>8</v>
      </c>
      <c r="C24" s="2"/>
      <c r="D24" s="2"/>
      <c r="E24" s="1">
        <f>COUNTIF(Mitarbeiterliste!$F$4:$F$43,"Teilzeit")</f>
        <v>7</v>
      </c>
      <c r="F24" s="1"/>
      <c r="H24" s="55" t="s">
        <v>27</v>
      </c>
      <c r="I24" s="55"/>
      <c r="J24" s="55"/>
      <c r="K24" s="55"/>
      <c r="L24" s="56">
        <f ca="1">COUNTIFS(Mitarbeiterliste!$Q$4:$Q$43,"&gt;="&amp;TODAY(),Mitarbeiterliste!$Q$4:$Q$43,"&lt;="&amp;(TODAY()+60))</f>
        <v>2</v>
      </c>
      <c r="M24" s="56"/>
    </row>
    <row r="25" spans="2:13" ht="15.75" x14ac:dyDescent="0.25">
      <c r="B25" s="5" t="s">
        <v>28</v>
      </c>
      <c r="C25" s="5"/>
      <c r="D25" s="5"/>
      <c r="E25" s="4">
        <f>COUNTIF(Mitarbeiterliste!$F$4:$F$43,"Minijob")</f>
        <v>3</v>
      </c>
      <c r="F25" s="4"/>
      <c r="H25" s="57" t="s">
        <v>29</v>
      </c>
      <c r="I25" s="57"/>
      <c r="J25" s="57"/>
      <c r="K25" s="57"/>
      <c r="L25" s="58">
        <f ca="1">COUNTIF(Mitarbeiterliste!$Q$4:$Q$43,"&gt;"&amp;(TODAY()+60))</f>
        <v>14</v>
      </c>
      <c r="M25" s="58"/>
    </row>
    <row r="26" spans="2:13" ht="25.5" customHeight="1" x14ac:dyDescent="0.25">
      <c r="B26" s="2" t="s">
        <v>30</v>
      </c>
      <c r="C26" s="2"/>
      <c r="D26" s="2"/>
      <c r="E26" s="1">
        <f>COUNTIF(Mitarbeiterliste!$F$4:$F$43,"Aushilfe")</f>
        <v>2</v>
      </c>
      <c r="F26" s="1"/>
      <c r="H26" s="59" t="s">
        <v>31</v>
      </c>
      <c r="I26" s="59"/>
      <c r="J26" s="59"/>
      <c r="K26" s="59"/>
      <c r="L26" s="59"/>
      <c r="M26" s="59"/>
    </row>
    <row r="27" spans="2:13" x14ac:dyDescent="0.25">
      <c r="B27" s="5" t="s">
        <v>10</v>
      </c>
      <c r="C27" s="5"/>
      <c r="D27" s="5"/>
      <c r="E27" s="4">
        <f>COUNTIF(Mitarbeiterliste!$F$4:$F$43,"Auszubildende/r")</f>
        <v>1</v>
      </c>
      <c r="F27" s="4"/>
    </row>
    <row r="29" spans="2:13" x14ac:dyDescent="0.25">
      <c r="B29" s="60" t="s">
        <v>32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</row>
  </sheetData>
  <mergeCells count="71">
    <mergeCell ref="B27:D27"/>
    <mergeCell ref="E27:F27"/>
    <mergeCell ref="B29:M29"/>
    <mergeCell ref="B25:D25"/>
    <mergeCell ref="E25:F25"/>
    <mergeCell ref="H25:K25"/>
    <mergeCell ref="L25:M25"/>
    <mergeCell ref="B26:D26"/>
    <mergeCell ref="E26:F26"/>
    <mergeCell ref="H26:M26"/>
    <mergeCell ref="L23:M23"/>
    <mergeCell ref="B24:D24"/>
    <mergeCell ref="E24:F24"/>
    <mergeCell ref="H24:K24"/>
    <mergeCell ref="L24:M24"/>
    <mergeCell ref="B22:D22"/>
    <mergeCell ref="E22:F22"/>
    <mergeCell ref="B23:D23"/>
    <mergeCell ref="E23:F23"/>
    <mergeCell ref="H23:K23"/>
    <mergeCell ref="B19:D19"/>
    <mergeCell ref="E19:F19"/>
    <mergeCell ref="G19:I19"/>
    <mergeCell ref="J19:M19"/>
    <mergeCell ref="B21:F21"/>
    <mergeCell ref="H21:M21"/>
    <mergeCell ref="B17:D17"/>
    <mergeCell ref="E17:F17"/>
    <mergeCell ref="G17:I17"/>
    <mergeCell ref="J17:M17"/>
    <mergeCell ref="B18:D18"/>
    <mergeCell ref="E18:F18"/>
    <mergeCell ref="G18:I18"/>
    <mergeCell ref="J18:M18"/>
    <mergeCell ref="B15:D15"/>
    <mergeCell ref="E15:F15"/>
    <mergeCell ref="G15:I15"/>
    <mergeCell ref="J15:M15"/>
    <mergeCell ref="B16:D16"/>
    <mergeCell ref="E16:F16"/>
    <mergeCell ref="G16:I16"/>
    <mergeCell ref="J16:M16"/>
    <mergeCell ref="B13:D13"/>
    <mergeCell ref="E13:F13"/>
    <mergeCell ref="G13:I13"/>
    <mergeCell ref="J13:M13"/>
    <mergeCell ref="B14:D14"/>
    <mergeCell ref="E14:F14"/>
    <mergeCell ref="G14:I14"/>
    <mergeCell ref="J14:M14"/>
    <mergeCell ref="B10:D10"/>
    <mergeCell ref="E10:G10"/>
    <mergeCell ref="H10:J10"/>
    <mergeCell ref="K10:M10"/>
    <mergeCell ref="B12:M12"/>
    <mergeCell ref="B7:D7"/>
    <mergeCell ref="E7:G7"/>
    <mergeCell ref="H7:J7"/>
    <mergeCell ref="K7:M7"/>
    <mergeCell ref="B9:D9"/>
    <mergeCell ref="E9:G9"/>
    <mergeCell ref="H9:J9"/>
    <mergeCell ref="K9:M9"/>
    <mergeCell ref="B2:I2"/>
    <mergeCell ref="J2:M2"/>
    <mergeCell ref="B3:M3"/>
    <mergeCell ref="B5:M5"/>
    <mergeCell ref="B6:D6"/>
    <mergeCell ref="E6:G6"/>
    <mergeCell ref="H6:J6"/>
    <mergeCell ref="K6:M6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2433D"/>
    <pageSetUpPr fitToPage="1"/>
  </sheetPr>
  <dimension ref="A1:T4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baseColWidth="10" defaultColWidth="8.7109375" defaultRowHeight="15" x14ac:dyDescent="0.25"/>
  <cols>
    <col min="1" max="1" width="11" customWidth="1"/>
    <col min="2" max="2" width="14" customWidth="1"/>
    <col min="3" max="3" width="13" customWidth="1"/>
    <col min="4" max="4" width="12" customWidth="1"/>
    <col min="5" max="5" width="20" customWidth="1"/>
    <col min="6" max="6" width="17" customWidth="1"/>
    <col min="7" max="7" width="14" customWidth="1"/>
    <col min="8" max="8" width="11" customWidth="1"/>
    <col min="9" max="9" width="10" customWidth="1"/>
    <col min="10" max="10" width="12" customWidth="1"/>
    <col min="11" max="11" width="13" customWidth="1"/>
    <col min="12" max="12" width="15" customWidth="1"/>
    <col min="13" max="13" width="27" customWidth="1"/>
    <col min="14" max="14" width="13" customWidth="1"/>
    <col min="15" max="15" width="7" customWidth="1"/>
    <col min="16" max="16" width="14" customWidth="1"/>
    <col min="17" max="17" width="12" customWidth="1"/>
    <col min="18" max="18" width="17" customWidth="1"/>
    <col min="19" max="19" width="15" customWidth="1"/>
    <col min="20" max="20" width="12" customWidth="1"/>
  </cols>
  <sheetData>
    <row r="1" spans="1:20" ht="30" customHeight="1" x14ac:dyDescent="0.25">
      <c r="A1" s="14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61" t="s">
        <v>34</v>
      </c>
      <c r="M1" s="61"/>
      <c r="N1" s="61"/>
      <c r="O1" s="61"/>
      <c r="P1" s="61"/>
      <c r="Q1" s="61"/>
      <c r="R1" s="61"/>
      <c r="S1" s="61"/>
      <c r="T1" s="61"/>
    </row>
    <row r="2" spans="1:20" ht="15.75" customHeight="1" x14ac:dyDescent="0.25">
      <c r="A2" s="12" t="s">
        <v>35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62" t="s">
        <v>36</v>
      </c>
      <c r="M2" s="62"/>
      <c r="N2" s="62"/>
      <c r="O2" s="62"/>
      <c r="P2" s="62"/>
      <c r="Q2" s="62"/>
      <c r="R2" s="62"/>
      <c r="S2" s="62"/>
      <c r="T2" s="62"/>
    </row>
    <row r="3" spans="1:20" ht="31.5" customHeight="1" x14ac:dyDescent="0.25">
      <c r="A3" s="18" t="s">
        <v>37</v>
      </c>
      <c r="B3" s="18" t="s">
        <v>38</v>
      </c>
      <c r="C3" s="18" t="s">
        <v>39</v>
      </c>
      <c r="D3" s="18" t="s">
        <v>12</v>
      </c>
      <c r="E3" s="18" t="s">
        <v>40</v>
      </c>
      <c r="F3" s="18" t="s">
        <v>24</v>
      </c>
      <c r="G3" s="18" t="s">
        <v>41</v>
      </c>
      <c r="H3" s="19" t="s">
        <v>42</v>
      </c>
      <c r="I3" s="18" t="s">
        <v>43</v>
      </c>
      <c r="J3" s="18" t="s">
        <v>44</v>
      </c>
      <c r="K3" s="19" t="s">
        <v>45</v>
      </c>
      <c r="L3" s="18" t="s">
        <v>46</v>
      </c>
      <c r="M3" s="18" t="s">
        <v>47</v>
      </c>
      <c r="N3" s="18" t="s">
        <v>48</v>
      </c>
      <c r="O3" s="19" t="s">
        <v>49</v>
      </c>
      <c r="P3" s="18" t="s">
        <v>50</v>
      </c>
      <c r="Q3" s="19" t="s">
        <v>51</v>
      </c>
      <c r="R3" s="18" t="s">
        <v>52</v>
      </c>
      <c r="S3" s="18" t="s">
        <v>53</v>
      </c>
      <c r="T3" s="18" t="s">
        <v>54</v>
      </c>
    </row>
    <row r="4" spans="1:20" x14ac:dyDescent="0.25">
      <c r="A4" s="20">
        <v>1001</v>
      </c>
      <c r="B4" s="21" t="s">
        <v>55</v>
      </c>
      <c r="C4" s="21" t="s">
        <v>56</v>
      </c>
      <c r="D4" s="22" t="s">
        <v>20</v>
      </c>
      <c r="E4" s="23" t="s">
        <v>57</v>
      </c>
      <c r="F4" s="22" t="s">
        <v>7</v>
      </c>
      <c r="G4" s="24">
        <v>43525</v>
      </c>
      <c r="H4" s="25">
        <f t="shared" ref="H4:H43" ca="1" si="0">IF($G4="","",ROUND(YEARFRAC($G4,TODAY()),1))</f>
        <v>7.4</v>
      </c>
      <c r="I4" s="20">
        <v>40</v>
      </c>
      <c r="J4" s="26">
        <v>24.5</v>
      </c>
      <c r="K4" s="27">
        <f t="shared" ref="K4:K43" si="1">IF(OR($I4="",$J4=""),"",$I4*4.33*$J4)</f>
        <v>4243.3999999999996</v>
      </c>
      <c r="L4" s="23" t="s">
        <v>58</v>
      </c>
      <c r="M4" s="23" t="s">
        <v>59</v>
      </c>
      <c r="N4" s="24">
        <v>31242</v>
      </c>
      <c r="O4" s="28">
        <f t="shared" ref="O4:O43" ca="1" si="2">IF($N4="","",DATEDIF($N4,TODAY(),"Y"))</f>
        <v>41</v>
      </c>
      <c r="P4" s="24">
        <v>45811</v>
      </c>
      <c r="Q4" s="29">
        <f t="shared" ref="Q4:Q43" si="3">IF($P4="","",EDATE($P4,24))</f>
        <v>46541</v>
      </c>
      <c r="R4" s="23" t="s">
        <v>60</v>
      </c>
      <c r="S4" s="23" t="s">
        <v>61</v>
      </c>
      <c r="T4" s="22" t="s">
        <v>62</v>
      </c>
    </row>
    <row r="5" spans="1:20" x14ac:dyDescent="0.25">
      <c r="A5" s="30">
        <v>1002</v>
      </c>
      <c r="B5" s="31" t="s">
        <v>63</v>
      </c>
      <c r="C5" s="31" t="s">
        <v>64</v>
      </c>
      <c r="D5" s="32" t="s">
        <v>17</v>
      </c>
      <c r="E5" s="33" t="s">
        <v>65</v>
      </c>
      <c r="F5" s="32" t="s">
        <v>7</v>
      </c>
      <c r="G5" s="34">
        <v>43997</v>
      </c>
      <c r="H5" s="25">
        <f t="shared" ca="1" si="0"/>
        <v>6.1</v>
      </c>
      <c r="I5" s="30">
        <v>40</v>
      </c>
      <c r="J5" s="35">
        <v>22</v>
      </c>
      <c r="K5" s="27">
        <f t="shared" si="1"/>
        <v>3810.3999999999996</v>
      </c>
      <c r="L5" s="33" t="s">
        <v>66</v>
      </c>
      <c r="M5" s="33" t="s">
        <v>67</v>
      </c>
      <c r="N5" s="34">
        <v>32182</v>
      </c>
      <c r="O5" s="28">
        <f t="shared" ca="1" si="2"/>
        <v>38</v>
      </c>
      <c r="P5" s="34">
        <v>45769</v>
      </c>
      <c r="Q5" s="29">
        <f t="shared" si="3"/>
        <v>46499</v>
      </c>
      <c r="R5" s="33" t="s">
        <v>68</v>
      </c>
      <c r="S5" s="33" t="s">
        <v>69</v>
      </c>
      <c r="T5" s="32" t="s">
        <v>62</v>
      </c>
    </row>
    <row r="6" spans="1:20" x14ac:dyDescent="0.25">
      <c r="A6" s="20">
        <v>1003</v>
      </c>
      <c r="B6" s="21" t="s">
        <v>70</v>
      </c>
      <c r="C6" s="21" t="s">
        <v>71</v>
      </c>
      <c r="D6" s="22" t="s">
        <v>16</v>
      </c>
      <c r="E6" s="23" t="s">
        <v>72</v>
      </c>
      <c r="F6" s="22" t="s">
        <v>7</v>
      </c>
      <c r="G6" s="24">
        <v>44440</v>
      </c>
      <c r="H6" s="25">
        <f t="shared" ca="1" si="0"/>
        <v>4.9000000000000004</v>
      </c>
      <c r="I6" s="20">
        <v>40</v>
      </c>
      <c r="J6" s="26">
        <v>19.5</v>
      </c>
      <c r="K6" s="27">
        <f t="shared" si="1"/>
        <v>3377.3999999999996</v>
      </c>
      <c r="L6" s="23" t="s">
        <v>73</v>
      </c>
      <c r="M6" s="23" t="s">
        <v>74</v>
      </c>
      <c r="N6" s="24">
        <v>33545</v>
      </c>
      <c r="O6" s="28">
        <f t="shared" ca="1" si="2"/>
        <v>34</v>
      </c>
      <c r="P6" s="24">
        <v>45910</v>
      </c>
      <c r="Q6" s="29">
        <f t="shared" si="3"/>
        <v>46640</v>
      </c>
      <c r="R6" s="23" t="s">
        <v>75</v>
      </c>
      <c r="S6" s="23" t="s">
        <v>76</v>
      </c>
      <c r="T6" s="22" t="s">
        <v>62</v>
      </c>
    </row>
    <row r="7" spans="1:20" x14ac:dyDescent="0.25">
      <c r="A7" s="30">
        <v>1004</v>
      </c>
      <c r="B7" s="31" t="s">
        <v>77</v>
      </c>
      <c r="C7" s="31" t="s">
        <v>78</v>
      </c>
      <c r="D7" s="32" t="s">
        <v>16</v>
      </c>
      <c r="E7" s="33" t="s">
        <v>79</v>
      </c>
      <c r="F7" s="32" t="s">
        <v>7</v>
      </c>
      <c r="G7" s="34">
        <v>44571</v>
      </c>
      <c r="H7" s="25">
        <f t="shared" ca="1" si="0"/>
        <v>4.5999999999999996</v>
      </c>
      <c r="I7" s="30">
        <v>38</v>
      </c>
      <c r="J7" s="35">
        <v>16.5</v>
      </c>
      <c r="K7" s="27">
        <f t="shared" si="1"/>
        <v>2714.91</v>
      </c>
      <c r="L7" s="33" t="s">
        <v>80</v>
      </c>
      <c r="M7" s="33" t="s">
        <v>81</v>
      </c>
      <c r="N7" s="34">
        <v>34481</v>
      </c>
      <c r="O7" s="28">
        <f t="shared" ca="1" si="2"/>
        <v>32</v>
      </c>
      <c r="P7" s="34">
        <v>45706</v>
      </c>
      <c r="Q7" s="29">
        <f t="shared" si="3"/>
        <v>46436</v>
      </c>
      <c r="R7" s="33" t="s">
        <v>82</v>
      </c>
      <c r="S7" s="33" t="s">
        <v>83</v>
      </c>
      <c r="T7" s="32" t="s">
        <v>62</v>
      </c>
    </row>
    <row r="8" spans="1:20" x14ac:dyDescent="0.25">
      <c r="A8" s="20">
        <v>1005</v>
      </c>
      <c r="B8" s="21" t="s">
        <v>84</v>
      </c>
      <c r="C8" s="21" t="s">
        <v>85</v>
      </c>
      <c r="D8" s="22" t="s">
        <v>16</v>
      </c>
      <c r="E8" s="23" t="s">
        <v>86</v>
      </c>
      <c r="F8" s="22" t="s">
        <v>8</v>
      </c>
      <c r="G8" s="24">
        <v>44656</v>
      </c>
      <c r="H8" s="25">
        <f t="shared" ca="1" si="0"/>
        <v>4.3</v>
      </c>
      <c r="I8" s="20">
        <v>25</v>
      </c>
      <c r="J8" s="26">
        <v>14</v>
      </c>
      <c r="K8" s="27">
        <f t="shared" si="1"/>
        <v>1515.5</v>
      </c>
      <c r="L8" s="23" t="s">
        <v>87</v>
      </c>
      <c r="M8" s="23" t="s">
        <v>88</v>
      </c>
      <c r="N8" s="24">
        <v>35661</v>
      </c>
      <c r="O8" s="28">
        <f t="shared" ca="1" si="2"/>
        <v>28</v>
      </c>
      <c r="P8" s="24">
        <v>45555</v>
      </c>
      <c r="Q8" s="29">
        <f t="shared" si="3"/>
        <v>46285</v>
      </c>
      <c r="R8" s="23" t="s">
        <v>89</v>
      </c>
      <c r="S8" s="23" t="s">
        <v>90</v>
      </c>
      <c r="T8" s="22" t="s">
        <v>62</v>
      </c>
    </row>
    <row r="9" spans="1:20" x14ac:dyDescent="0.25">
      <c r="A9" s="30">
        <v>1006</v>
      </c>
      <c r="B9" s="31" t="s">
        <v>91</v>
      </c>
      <c r="C9" s="31" t="s">
        <v>92</v>
      </c>
      <c r="D9" s="32" t="s">
        <v>16</v>
      </c>
      <c r="E9" s="33" t="s">
        <v>93</v>
      </c>
      <c r="F9" s="32" t="s">
        <v>8</v>
      </c>
      <c r="G9" s="34">
        <v>45158</v>
      </c>
      <c r="H9" s="25">
        <f t="shared" ca="1" si="0"/>
        <v>2.9</v>
      </c>
      <c r="I9" s="30">
        <v>20</v>
      </c>
      <c r="J9" s="35">
        <v>13.8</v>
      </c>
      <c r="K9" s="27">
        <f t="shared" si="1"/>
        <v>1195.08</v>
      </c>
      <c r="L9" s="33" t="s">
        <v>94</v>
      </c>
      <c r="M9" s="33" t="s">
        <v>95</v>
      </c>
      <c r="N9" s="34">
        <v>36555</v>
      </c>
      <c r="O9" s="28">
        <f t="shared" ca="1" si="2"/>
        <v>26</v>
      </c>
      <c r="P9" s="34">
        <v>45529</v>
      </c>
      <c r="Q9" s="29">
        <f t="shared" si="3"/>
        <v>46259</v>
      </c>
      <c r="R9" s="33" t="s">
        <v>96</v>
      </c>
      <c r="S9" s="33" t="s">
        <v>97</v>
      </c>
      <c r="T9" s="32" t="s">
        <v>62</v>
      </c>
    </row>
    <row r="10" spans="1:20" x14ac:dyDescent="0.25">
      <c r="A10" s="20">
        <v>1007</v>
      </c>
      <c r="B10" s="21" t="s">
        <v>98</v>
      </c>
      <c r="C10" s="21" t="s">
        <v>99</v>
      </c>
      <c r="D10" s="22" t="s">
        <v>16</v>
      </c>
      <c r="E10" s="23" t="s">
        <v>86</v>
      </c>
      <c r="F10" s="22" t="s">
        <v>28</v>
      </c>
      <c r="G10" s="24">
        <v>45323</v>
      </c>
      <c r="H10" s="25">
        <f t="shared" ca="1" si="0"/>
        <v>2.5</v>
      </c>
      <c r="I10" s="20">
        <v>10</v>
      </c>
      <c r="J10" s="26">
        <v>13.5</v>
      </c>
      <c r="K10" s="27">
        <f t="shared" si="1"/>
        <v>584.54999999999995</v>
      </c>
      <c r="L10" s="23" t="s">
        <v>100</v>
      </c>
      <c r="M10" s="23" t="s">
        <v>101</v>
      </c>
      <c r="N10" s="24">
        <v>37358</v>
      </c>
      <c r="O10" s="28">
        <f t="shared" ca="1" si="2"/>
        <v>24</v>
      </c>
      <c r="P10" s="24">
        <v>45337</v>
      </c>
      <c r="Q10" s="29">
        <f t="shared" si="3"/>
        <v>46068</v>
      </c>
      <c r="R10" s="23" t="s">
        <v>102</v>
      </c>
      <c r="S10" s="23" t="s">
        <v>103</v>
      </c>
      <c r="T10" s="22" t="s">
        <v>62</v>
      </c>
    </row>
    <row r="11" spans="1:20" x14ac:dyDescent="0.25">
      <c r="A11" s="30">
        <v>1008</v>
      </c>
      <c r="B11" s="31" t="s">
        <v>104</v>
      </c>
      <c r="C11" s="31" t="s">
        <v>105</v>
      </c>
      <c r="D11" s="32" t="s">
        <v>17</v>
      </c>
      <c r="E11" s="33" t="s">
        <v>106</v>
      </c>
      <c r="F11" s="32" t="s">
        <v>7</v>
      </c>
      <c r="G11" s="34">
        <v>44328</v>
      </c>
      <c r="H11" s="25">
        <f t="shared" ca="1" si="0"/>
        <v>5.2</v>
      </c>
      <c r="I11" s="30">
        <v>40</v>
      </c>
      <c r="J11" s="35">
        <v>17.5</v>
      </c>
      <c r="K11" s="27">
        <f t="shared" si="1"/>
        <v>3031</v>
      </c>
      <c r="L11" s="33" t="s">
        <v>107</v>
      </c>
      <c r="M11" s="33" t="s">
        <v>108</v>
      </c>
      <c r="N11" s="34">
        <v>34247</v>
      </c>
      <c r="O11" s="28">
        <f t="shared" ca="1" si="2"/>
        <v>32</v>
      </c>
      <c r="P11" s="34">
        <v>45784</v>
      </c>
      <c r="Q11" s="29">
        <f t="shared" si="3"/>
        <v>46514</v>
      </c>
      <c r="R11" s="33" t="s">
        <v>109</v>
      </c>
      <c r="S11" s="33" t="s">
        <v>110</v>
      </c>
      <c r="T11" s="32" t="s">
        <v>62</v>
      </c>
    </row>
    <row r="12" spans="1:20" x14ac:dyDescent="0.25">
      <c r="A12" s="20">
        <v>1009</v>
      </c>
      <c r="B12" s="21" t="s">
        <v>111</v>
      </c>
      <c r="C12" s="21" t="s">
        <v>112</v>
      </c>
      <c r="D12" s="22" t="s">
        <v>17</v>
      </c>
      <c r="E12" s="23" t="s">
        <v>106</v>
      </c>
      <c r="F12" s="22" t="s">
        <v>8</v>
      </c>
      <c r="G12" s="24">
        <v>44868</v>
      </c>
      <c r="H12" s="25">
        <f t="shared" ca="1" si="0"/>
        <v>3.7</v>
      </c>
      <c r="I12" s="20">
        <v>30</v>
      </c>
      <c r="J12" s="26">
        <v>16.8</v>
      </c>
      <c r="K12" s="27">
        <f t="shared" si="1"/>
        <v>2182.3200000000002</v>
      </c>
      <c r="L12" s="23" t="s">
        <v>113</v>
      </c>
      <c r="M12" s="23" t="s">
        <v>114</v>
      </c>
      <c r="N12" s="24">
        <v>34780</v>
      </c>
      <c r="O12" s="28">
        <f t="shared" ca="1" si="2"/>
        <v>31</v>
      </c>
      <c r="P12" s="24">
        <v>45671</v>
      </c>
      <c r="Q12" s="29">
        <f t="shared" si="3"/>
        <v>46401</v>
      </c>
      <c r="R12" s="23" t="s">
        <v>115</v>
      </c>
      <c r="S12" s="23" t="s">
        <v>116</v>
      </c>
      <c r="T12" s="22" t="s">
        <v>117</v>
      </c>
    </row>
    <row r="13" spans="1:20" x14ac:dyDescent="0.25">
      <c r="A13" s="30">
        <v>1010</v>
      </c>
      <c r="B13" s="31" t="s">
        <v>118</v>
      </c>
      <c r="C13" s="31" t="s">
        <v>119</v>
      </c>
      <c r="D13" s="32" t="s">
        <v>17</v>
      </c>
      <c r="E13" s="33" t="s">
        <v>120</v>
      </c>
      <c r="F13" s="32" t="s">
        <v>8</v>
      </c>
      <c r="G13" s="34">
        <v>45003</v>
      </c>
      <c r="H13" s="25">
        <f t="shared" ca="1" si="0"/>
        <v>3.4</v>
      </c>
      <c r="I13" s="30">
        <v>25</v>
      </c>
      <c r="J13" s="35">
        <v>13.6</v>
      </c>
      <c r="K13" s="27">
        <f t="shared" si="1"/>
        <v>1472.2</v>
      </c>
      <c r="L13" s="33" t="s">
        <v>121</v>
      </c>
      <c r="M13" s="33" t="s">
        <v>122</v>
      </c>
      <c r="N13" s="34">
        <v>36319</v>
      </c>
      <c r="O13" s="28">
        <f t="shared" ca="1" si="2"/>
        <v>27</v>
      </c>
      <c r="P13" s="34">
        <v>44967</v>
      </c>
      <c r="Q13" s="29">
        <f t="shared" si="3"/>
        <v>45698</v>
      </c>
      <c r="R13" s="33" t="s">
        <v>123</v>
      </c>
      <c r="S13" s="33" t="s">
        <v>124</v>
      </c>
      <c r="T13" s="32" t="s">
        <v>62</v>
      </c>
    </row>
    <row r="14" spans="1:20" x14ac:dyDescent="0.25">
      <c r="A14" s="20">
        <v>1011</v>
      </c>
      <c r="B14" s="21" t="s">
        <v>125</v>
      </c>
      <c r="C14" s="21" t="s">
        <v>126</v>
      </c>
      <c r="D14" s="22" t="s">
        <v>17</v>
      </c>
      <c r="E14" s="23" t="s">
        <v>10</v>
      </c>
      <c r="F14" s="22" t="s">
        <v>10</v>
      </c>
      <c r="G14" s="24">
        <v>45505</v>
      </c>
      <c r="H14" s="25">
        <f t="shared" ca="1" si="0"/>
        <v>2</v>
      </c>
      <c r="I14" s="20">
        <v>40</v>
      </c>
      <c r="J14" s="26">
        <v>7.1</v>
      </c>
      <c r="K14" s="27">
        <f t="shared" si="1"/>
        <v>1229.7199999999998</v>
      </c>
      <c r="L14" s="23" t="s">
        <v>127</v>
      </c>
      <c r="M14" s="23" t="s">
        <v>128</v>
      </c>
      <c r="N14" s="24">
        <v>38975</v>
      </c>
      <c r="O14" s="28">
        <f t="shared" ca="1" si="2"/>
        <v>19</v>
      </c>
      <c r="P14" s="24">
        <v>45502</v>
      </c>
      <c r="Q14" s="29">
        <f t="shared" si="3"/>
        <v>46232</v>
      </c>
      <c r="R14" s="23" t="s">
        <v>129</v>
      </c>
      <c r="S14" s="23" t="s">
        <v>130</v>
      </c>
      <c r="T14" s="22" t="s">
        <v>62</v>
      </c>
    </row>
    <row r="15" spans="1:20" x14ac:dyDescent="0.25">
      <c r="A15" s="30">
        <v>1012</v>
      </c>
      <c r="B15" s="31" t="s">
        <v>131</v>
      </c>
      <c r="C15" s="31" t="s">
        <v>132</v>
      </c>
      <c r="D15" s="32" t="s">
        <v>18</v>
      </c>
      <c r="E15" s="33" t="s">
        <v>133</v>
      </c>
      <c r="F15" s="32" t="s">
        <v>7</v>
      </c>
      <c r="G15" s="34">
        <v>44384</v>
      </c>
      <c r="H15" s="25">
        <f t="shared" ca="1" si="0"/>
        <v>5.0999999999999996</v>
      </c>
      <c r="I15" s="30">
        <v>39</v>
      </c>
      <c r="J15" s="35">
        <v>16</v>
      </c>
      <c r="K15" s="27">
        <f t="shared" si="1"/>
        <v>2701.92</v>
      </c>
      <c r="L15" s="33" t="s">
        <v>134</v>
      </c>
      <c r="M15" s="33" t="s">
        <v>135</v>
      </c>
      <c r="N15" s="34">
        <v>33939</v>
      </c>
      <c r="O15" s="28">
        <f t="shared" ca="1" si="2"/>
        <v>33</v>
      </c>
      <c r="P15" s="34">
        <v>45840</v>
      </c>
      <c r="Q15" s="29">
        <f t="shared" si="3"/>
        <v>46570</v>
      </c>
      <c r="R15" s="33" t="s">
        <v>136</v>
      </c>
      <c r="S15" s="33" t="s">
        <v>137</v>
      </c>
      <c r="T15" s="32" t="s">
        <v>62</v>
      </c>
    </row>
    <row r="16" spans="1:20" x14ac:dyDescent="0.25">
      <c r="A16" s="20">
        <v>1013</v>
      </c>
      <c r="B16" s="21" t="s">
        <v>138</v>
      </c>
      <c r="C16" s="21" t="s">
        <v>139</v>
      </c>
      <c r="D16" s="22" t="s">
        <v>18</v>
      </c>
      <c r="E16" s="23" t="s">
        <v>140</v>
      </c>
      <c r="F16" s="22" t="s">
        <v>8</v>
      </c>
      <c r="G16" s="24">
        <v>45191</v>
      </c>
      <c r="H16" s="25">
        <f t="shared" ca="1" si="0"/>
        <v>2.9</v>
      </c>
      <c r="I16" s="20">
        <v>20</v>
      </c>
      <c r="J16" s="26">
        <v>14.2</v>
      </c>
      <c r="K16" s="27">
        <f t="shared" si="1"/>
        <v>1229.7199999999998</v>
      </c>
      <c r="L16" s="23" t="s">
        <v>141</v>
      </c>
      <c r="M16" s="23" t="s">
        <v>142</v>
      </c>
      <c r="N16" s="24">
        <v>36939</v>
      </c>
      <c r="O16" s="28">
        <f t="shared" ca="1" si="2"/>
        <v>25</v>
      </c>
      <c r="P16" s="24">
        <v>45746</v>
      </c>
      <c r="Q16" s="29">
        <f t="shared" si="3"/>
        <v>46476</v>
      </c>
      <c r="R16" s="23" t="s">
        <v>143</v>
      </c>
      <c r="S16" s="23" t="s">
        <v>144</v>
      </c>
      <c r="T16" s="22" t="s">
        <v>62</v>
      </c>
    </row>
    <row r="17" spans="1:20" x14ac:dyDescent="0.25">
      <c r="A17" s="30">
        <v>1014</v>
      </c>
      <c r="B17" s="31" t="s">
        <v>145</v>
      </c>
      <c r="C17" s="31" t="s">
        <v>146</v>
      </c>
      <c r="D17" s="32" t="s">
        <v>18</v>
      </c>
      <c r="E17" s="33" t="s">
        <v>133</v>
      </c>
      <c r="F17" s="32" t="s">
        <v>30</v>
      </c>
      <c r="G17" s="34">
        <v>45427</v>
      </c>
      <c r="H17" s="25">
        <f t="shared" ca="1" si="0"/>
        <v>2.2000000000000002</v>
      </c>
      <c r="I17" s="30">
        <v>12</v>
      </c>
      <c r="J17" s="35">
        <v>14.5</v>
      </c>
      <c r="K17" s="27">
        <f t="shared" si="1"/>
        <v>753.42</v>
      </c>
      <c r="L17" s="33" t="s">
        <v>147</v>
      </c>
      <c r="M17" s="33" t="s">
        <v>148</v>
      </c>
      <c r="N17" s="34">
        <v>37951</v>
      </c>
      <c r="O17" s="28">
        <f t="shared" ca="1" si="2"/>
        <v>22</v>
      </c>
      <c r="P17" s="34">
        <v>45789</v>
      </c>
      <c r="Q17" s="29">
        <f t="shared" si="3"/>
        <v>46519</v>
      </c>
      <c r="R17" s="33" t="s">
        <v>149</v>
      </c>
      <c r="S17" s="33" t="s">
        <v>150</v>
      </c>
      <c r="T17" s="32" t="s">
        <v>62</v>
      </c>
    </row>
    <row r="18" spans="1:20" x14ac:dyDescent="0.25">
      <c r="A18" s="20">
        <v>1015</v>
      </c>
      <c r="B18" s="21" t="s">
        <v>151</v>
      </c>
      <c r="C18" s="21" t="s">
        <v>152</v>
      </c>
      <c r="D18" s="22" t="s">
        <v>19</v>
      </c>
      <c r="E18" s="23" t="s">
        <v>153</v>
      </c>
      <c r="F18" s="22" t="s">
        <v>28</v>
      </c>
      <c r="G18" s="24">
        <v>45078</v>
      </c>
      <c r="H18" s="25">
        <f t="shared" ca="1" si="0"/>
        <v>3.2</v>
      </c>
      <c r="I18" s="20">
        <v>10</v>
      </c>
      <c r="J18" s="26">
        <v>13.5</v>
      </c>
      <c r="K18" s="27">
        <f t="shared" si="1"/>
        <v>584.54999999999995</v>
      </c>
      <c r="L18" s="23" t="s">
        <v>154</v>
      </c>
      <c r="M18" s="23" t="s">
        <v>155</v>
      </c>
      <c r="N18" s="24">
        <v>32967</v>
      </c>
      <c r="O18" s="28">
        <f t="shared" ca="1" si="2"/>
        <v>36</v>
      </c>
      <c r="P18" s="24">
        <v>45826</v>
      </c>
      <c r="Q18" s="29">
        <f t="shared" si="3"/>
        <v>46556</v>
      </c>
      <c r="R18" s="23" t="s">
        <v>156</v>
      </c>
      <c r="S18" s="23" t="s">
        <v>157</v>
      </c>
      <c r="T18" s="22" t="s">
        <v>62</v>
      </c>
    </row>
    <row r="19" spans="1:20" x14ac:dyDescent="0.25">
      <c r="A19" s="30">
        <v>1016</v>
      </c>
      <c r="B19" s="31" t="s">
        <v>158</v>
      </c>
      <c r="C19" s="31" t="s">
        <v>159</v>
      </c>
      <c r="D19" s="32" t="s">
        <v>19</v>
      </c>
      <c r="E19" s="33" t="s">
        <v>153</v>
      </c>
      <c r="F19" s="32" t="s">
        <v>8</v>
      </c>
      <c r="G19" s="34">
        <v>45336</v>
      </c>
      <c r="H19" s="25">
        <f t="shared" ca="1" si="0"/>
        <v>2.5</v>
      </c>
      <c r="I19" s="30">
        <v>20</v>
      </c>
      <c r="J19" s="35">
        <v>13.5</v>
      </c>
      <c r="K19" s="27">
        <f t="shared" si="1"/>
        <v>1169.0999999999999</v>
      </c>
      <c r="L19" s="33" t="s">
        <v>160</v>
      </c>
      <c r="M19" s="33" t="s">
        <v>161</v>
      </c>
      <c r="N19" s="34">
        <v>35997</v>
      </c>
      <c r="O19" s="28">
        <f t="shared" ca="1" si="2"/>
        <v>28</v>
      </c>
      <c r="P19" s="34">
        <v>45699</v>
      </c>
      <c r="Q19" s="29">
        <f t="shared" si="3"/>
        <v>46429</v>
      </c>
      <c r="R19" s="33" t="s">
        <v>162</v>
      </c>
      <c r="S19" s="33" t="s">
        <v>163</v>
      </c>
      <c r="T19" s="32" t="s">
        <v>62</v>
      </c>
    </row>
    <row r="20" spans="1:20" x14ac:dyDescent="0.25">
      <c r="A20" s="20">
        <v>1017</v>
      </c>
      <c r="B20" s="21" t="s">
        <v>164</v>
      </c>
      <c r="C20" s="21" t="s">
        <v>165</v>
      </c>
      <c r="D20" s="22" t="s">
        <v>16</v>
      </c>
      <c r="E20" s="23" t="s">
        <v>86</v>
      </c>
      <c r="F20" s="22" t="s">
        <v>30</v>
      </c>
      <c r="G20" s="24">
        <v>45616</v>
      </c>
      <c r="H20" s="25">
        <f t="shared" ca="1" si="0"/>
        <v>1.7</v>
      </c>
      <c r="I20" s="20">
        <v>12</v>
      </c>
      <c r="J20" s="26">
        <v>13.8</v>
      </c>
      <c r="K20" s="27">
        <f t="shared" si="1"/>
        <v>717.048</v>
      </c>
      <c r="L20" s="23" t="s">
        <v>166</v>
      </c>
      <c r="M20" s="23" t="s">
        <v>167</v>
      </c>
      <c r="N20" s="24">
        <v>37995</v>
      </c>
      <c r="O20" s="28">
        <f t="shared" ca="1" si="2"/>
        <v>22</v>
      </c>
      <c r="P20" s="24">
        <v>45978</v>
      </c>
      <c r="Q20" s="29">
        <f t="shared" si="3"/>
        <v>46708</v>
      </c>
      <c r="R20" s="23" t="s">
        <v>168</v>
      </c>
      <c r="S20" s="23" t="s">
        <v>169</v>
      </c>
      <c r="T20" s="22" t="s">
        <v>62</v>
      </c>
    </row>
    <row r="21" spans="1:20" x14ac:dyDescent="0.25">
      <c r="A21" s="30">
        <v>1018</v>
      </c>
      <c r="B21" s="31" t="s">
        <v>170</v>
      </c>
      <c r="C21" s="31" t="s">
        <v>171</v>
      </c>
      <c r="D21" s="32" t="s">
        <v>17</v>
      </c>
      <c r="E21" s="33" t="s">
        <v>106</v>
      </c>
      <c r="F21" s="32" t="s">
        <v>7</v>
      </c>
      <c r="G21" s="34">
        <v>44623</v>
      </c>
      <c r="H21" s="25">
        <f t="shared" ca="1" si="0"/>
        <v>4.4000000000000004</v>
      </c>
      <c r="I21" s="30">
        <v>40</v>
      </c>
      <c r="J21" s="35">
        <v>17</v>
      </c>
      <c r="K21" s="27">
        <f t="shared" si="1"/>
        <v>2944.3999999999996</v>
      </c>
      <c r="L21" s="33" t="s">
        <v>172</v>
      </c>
      <c r="M21" s="33" t="s">
        <v>173</v>
      </c>
      <c r="N21" s="34">
        <v>35352</v>
      </c>
      <c r="O21" s="28">
        <f t="shared" ca="1" si="2"/>
        <v>29</v>
      </c>
      <c r="P21" s="34">
        <v>45874</v>
      </c>
      <c r="Q21" s="29">
        <f t="shared" si="3"/>
        <v>46604</v>
      </c>
      <c r="R21" s="33" t="s">
        <v>174</v>
      </c>
      <c r="S21" s="33" t="s">
        <v>175</v>
      </c>
      <c r="T21" s="32" t="s">
        <v>62</v>
      </c>
    </row>
    <row r="22" spans="1:20" x14ac:dyDescent="0.25">
      <c r="A22" s="20">
        <v>1019</v>
      </c>
      <c r="B22" s="21" t="s">
        <v>176</v>
      </c>
      <c r="C22" s="21" t="s">
        <v>177</v>
      </c>
      <c r="D22" s="22" t="s">
        <v>16</v>
      </c>
      <c r="E22" s="23" t="s">
        <v>86</v>
      </c>
      <c r="F22" s="22" t="s">
        <v>8</v>
      </c>
      <c r="G22" s="24">
        <v>46055</v>
      </c>
      <c r="H22" s="25">
        <f t="shared" ca="1" si="0"/>
        <v>0.5</v>
      </c>
      <c r="I22" s="20">
        <v>25</v>
      </c>
      <c r="J22" s="26">
        <v>14</v>
      </c>
      <c r="K22" s="27">
        <f t="shared" si="1"/>
        <v>1515.5</v>
      </c>
      <c r="L22" s="23" t="s">
        <v>178</v>
      </c>
      <c r="M22" s="23" t="s">
        <v>179</v>
      </c>
      <c r="N22" s="24">
        <v>37014</v>
      </c>
      <c r="O22" s="28">
        <f t="shared" ca="1" si="2"/>
        <v>25</v>
      </c>
      <c r="P22" s="24">
        <v>46042</v>
      </c>
      <c r="Q22" s="29">
        <f t="shared" si="3"/>
        <v>46772</v>
      </c>
      <c r="R22" s="23" t="s">
        <v>180</v>
      </c>
      <c r="S22" s="23" t="s">
        <v>181</v>
      </c>
      <c r="T22" s="22" t="s">
        <v>182</v>
      </c>
    </row>
    <row r="23" spans="1:20" x14ac:dyDescent="0.25">
      <c r="A23" s="30">
        <v>1020</v>
      </c>
      <c r="B23" s="31" t="s">
        <v>183</v>
      </c>
      <c r="C23" s="31" t="s">
        <v>184</v>
      </c>
      <c r="D23" s="32" t="s">
        <v>17</v>
      </c>
      <c r="E23" s="33" t="s">
        <v>120</v>
      </c>
      <c r="F23" s="32" t="s">
        <v>28</v>
      </c>
      <c r="G23" s="34">
        <v>44936</v>
      </c>
      <c r="H23" s="25">
        <f t="shared" ca="1" si="0"/>
        <v>3.6</v>
      </c>
      <c r="I23" s="30">
        <v>10</v>
      </c>
      <c r="J23" s="35">
        <v>13.5</v>
      </c>
      <c r="K23" s="27">
        <f t="shared" si="1"/>
        <v>584.54999999999995</v>
      </c>
      <c r="L23" s="33" t="s">
        <v>185</v>
      </c>
      <c r="M23" s="33" t="s">
        <v>186</v>
      </c>
      <c r="N23" s="34">
        <v>36766</v>
      </c>
      <c r="O23" s="28">
        <f t="shared" ca="1" si="2"/>
        <v>25</v>
      </c>
      <c r="P23" s="34">
        <v>45299</v>
      </c>
      <c r="Q23" s="29">
        <f t="shared" si="3"/>
        <v>46030</v>
      </c>
      <c r="R23" s="33" t="s">
        <v>187</v>
      </c>
      <c r="S23" s="33" t="s">
        <v>188</v>
      </c>
      <c r="T23" s="32" t="s">
        <v>189</v>
      </c>
    </row>
    <row r="24" spans="1:20" x14ac:dyDescent="0.25">
      <c r="A24" s="20"/>
      <c r="B24" s="21"/>
      <c r="C24" s="21"/>
      <c r="D24" s="22"/>
      <c r="E24" s="23"/>
      <c r="F24" s="22"/>
      <c r="G24" s="24"/>
      <c r="H24" s="25" t="str">
        <f t="shared" ca="1" si="0"/>
        <v/>
      </c>
      <c r="I24" s="20"/>
      <c r="J24" s="26"/>
      <c r="K24" s="27" t="str">
        <f t="shared" si="1"/>
        <v/>
      </c>
      <c r="L24" s="23"/>
      <c r="M24" s="23"/>
      <c r="N24" s="24"/>
      <c r="O24" s="28" t="str">
        <f t="shared" ca="1" si="2"/>
        <v/>
      </c>
      <c r="P24" s="24"/>
      <c r="Q24" s="29" t="str">
        <f t="shared" si="3"/>
        <v/>
      </c>
      <c r="R24" s="23"/>
      <c r="S24" s="23"/>
      <c r="T24" s="22"/>
    </row>
    <row r="25" spans="1:20" x14ac:dyDescent="0.25">
      <c r="A25" s="30"/>
      <c r="B25" s="31"/>
      <c r="C25" s="31"/>
      <c r="D25" s="32"/>
      <c r="E25" s="33"/>
      <c r="F25" s="32"/>
      <c r="G25" s="34"/>
      <c r="H25" s="25" t="str">
        <f t="shared" ca="1" si="0"/>
        <v/>
      </c>
      <c r="I25" s="30"/>
      <c r="J25" s="35"/>
      <c r="K25" s="27" t="str">
        <f t="shared" si="1"/>
        <v/>
      </c>
      <c r="L25" s="33"/>
      <c r="M25" s="33"/>
      <c r="N25" s="34"/>
      <c r="O25" s="28" t="str">
        <f t="shared" ca="1" si="2"/>
        <v/>
      </c>
      <c r="P25" s="34"/>
      <c r="Q25" s="29" t="str">
        <f t="shared" si="3"/>
        <v/>
      </c>
      <c r="R25" s="33"/>
      <c r="S25" s="33"/>
      <c r="T25" s="32"/>
    </row>
    <row r="26" spans="1:20" x14ac:dyDescent="0.25">
      <c r="A26" s="20"/>
      <c r="B26" s="21"/>
      <c r="C26" s="21"/>
      <c r="D26" s="22"/>
      <c r="E26" s="23"/>
      <c r="F26" s="22"/>
      <c r="G26" s="24"/>
      <c r="H26" s="25" t="str">
        <f t="shared" ca="1" si="0"/>
        <v/>
      </c>
      <c r="I26" s="20"/>
      <c r="J26" s="26"/>
      <c r="K26" s="27" t="str">
        <f t="shared" si="1"/>
        <v/>
      </c>
      <c r="L26" s="23"/>
      <c r="M26" s="23"/>
      <c r="N26" s="24"/>
      <c r="O26" s="28" t="str">
        <f t="shared" ca="1" si="2"/>
        <v/>
      </c>
      <c r="P26" s="24"/>
      <c r="Q26" s="29" t="str">
        <f t="shared" si="3"/>
        <v/>
      </c>
      <c r="R26" s="23"/>
      <c r="S26" s="23"/>
      <c r="T26" s="22"/>
    </row>
    <row r="27" spans="1:20" x14ac:dyDescent="0.25">
      <c r="A27" s="30"/>
      <c r="B27" s="31"/>
      <c r="C27" s="31"/>
      <c r="D27" s="32"/>
      <c r="E27" s="33"/>
      <c r="F27" s="32"/>
      <c r="G27" s="34"/>
      <c r="H27" s="25" t="str">
        <f t="shared" ca="1" si="0"/>
        <v/>
      </c>
      <c r="I27" s="30"/>
      <c r="J27" s="35"/>
      <c r="K27" s="27" t="str">
        <f t="shared" si="1"/>
        <v/>
      </c>
      <c r="L27" s="33"/>
      <c r="M27" s="33"/>
      <c r="N27" s="34"/>
      <c r="O27" s="28" t="str">
        <f t="shared" ca="1" si="2"/>
        <v/>
      </c>
      <c r="P27" s="34"/>
      <c r="Q27" s="29" t="str">
        <f t="shared" si="3"/>
        <v/>
      </c>
      <c r="R27" s="33"/>
      <c r="S27" s="33"/>
      <c r="T27" s="32"/>
    </row>
    <row r="28" spans="1:20" x14ac:dyDescent="0.25">
      <c r="A28" s="20"/>
      <c r="B28" s="21"/>
      <c r="C28" s="21"/>
      <c r="D28" s="22"/>
      <c r="E28" s="23"/>
      <c r="F28" s="22"/>
      <c r="G28" s="24"/>
      <c r="H28" s="25" t="str">
        <f t="shared" ca="1" si="0"/>
        <v/>
      </c>
      <c r="I28" s="20"/>
      <c r="J28" s="26"/>
      <c r="K28" s="27" t="str">
        <f t="shared" si="1"/>
        <v/>
      </c>
      <c r="L28" s="23"/>
      <c r="M28" s="23"/>
      <c r="N28" s="24"/>
      <c r="O28" s="28" t="str">
        <f t="shared" ca="1" si="2"/>
        <v/>
      </c>
      <c r="P28" s="24"/>
      <c r="Q28" s="29" t="str">
        <f t="shared" si="3"/>
        <v/>
      </c>
      <c r="R28" s="23"/>
      <c r="S28" s="23"/>
      <c r="T28" s="22"/>
    </row>
    <row r="29" spans="1:20" x14ac:dyDescent="0.25">
      <c r="A29" s="30"/>
      <c r="B29" s="31"/>
      <c r="C29" s="31"/>
      <c r="D29" s="32"/>
      <c r="E29" s="33"/>
      <c r="F29" s="32"/>
      <c r="G29" s="34"/>
      <c r="H29" s="25" t="str">
        <f t="shared" ca="1" si="0"/>
        <v/>
      </c>
      <c r="I29" s="30"/>
      <c r="J29" s="35"/>
      <c r="K29" s="27" t="str">
        <f t="shared" si="1"/>
        <v/>
      </c>
      <c r="L29" s="33"/>
      <c r="M29" s="33"/>
      <c r="N29" s="34"/>
      <c r="O29" s="28" t="str">
        <f t="shared" ca="1" si="2"/>
        <v/>
      </c>
      <c r="P29" s="34"/>
      <c r="Q29" s="29" t="str">
        <f t="shared" si="3"/>
        <v/>
      </c>
      <c r="R29" s="33"/>
      <c r="S29" s="33"/>
      <c r="T29" s="32"/>
    </row>
    <row r="30" spans="1:20" x14ac:dyDescent="0.25">
      <c r="A30" s="20"/>
      <c r="B30" s="21"/>
      <c r="C30" s="21"/>
      <c r="D30" s="22"/>
      <c r="E30" s="23"/>
      <c r="F30" s="22"/>
      <c r="G30" s="24"/>
      <c r="H30" s="25" t="str">
        <f t="shared" ca="1" si="0"/>
        <v/>
      </c>
      <c r="I30" s="20"/>
      <c r="J30" s="26"/>
      <c r="K30" s="27" t="str">
        <f t="shared" si="1"/>
        <v/>
      </c>
      <c r="L30" s="23"/>
      <c r="M30" s="23"/>
      <c r="N30" s="24"/>
      <c r="O30" s="28" t="str">
        <f t="shared" ca="1" si="2"/>
        <v/>
      </c>
      <c r="P30" s="24"/>
      <c r="Q30" s="29" t="str">
        <f t="shared" si="3"/>
        <v/>
      </c>
      <c r="R30" s="23"/>
      <c r="S30" s="23"/>
      <c r="T30" s="22"/>
    </row>
    <row r="31" spans="1:20" x14ac:dyDescent="0.25">
      <c r="A31" s="30"/>
      <c r="B31" s="31"/>
      <c r="C31" s="31"/>
      <c r="D31" s="32"/>
      <c r="E31" s="33"/>
      <c r="F31" s="32"/>
      <c r="G31" s="34"/>
      <c r="H31" s="25" t="str">
        <f t="shared" ca="1" si="0"/>
        <v/>
      </c>
      <c r="I31" s="30"/>
      <c r="J31" s="35"/>
      <c r="K31" s="27" t="str">
        <f t="shared" si="1"/>
        <v/>
      </c>
      <c r="L31" s="33"/>
      <c r="M31" s="33"/>
      <c r="N31" s="34"/>
      <c r="O31" s="28" t="str">
        <f t="shared" ca="1" si="2"/>
        <v/>
      </c>
      <c r="P31" s="34"/>
      <c r="Q31" s="29" t="str">
        <f t="shared" si="3"/>
        <v/>
      </c>
      <c r="R31" s="33"/>
      <c r="S31" s="33"/>
      <c r="T31" s="32"/>
    </row>
    <row r="32" spans="1:20" x14ac:dyDescent="0.25">
      <c r="A32" s="20"/>
      <c r="B32" s="21"/>
      <c r="C32" s="21"/>
      <c r="D32" s="22"/>
      <c r="E32" s="23"/>
      <c r="F32" s="22"/>
      <c r="G32" s="24"/>
      <c r="H32" s="25" t="str">
        <f t="shared" ca="1" si="0"/>
        <v/>
      </c>
      <c r="I32" s="20"/>
      <c r="J32" s="26"/>
      <c r="K32" s="27" t="str">
        <f t="shared" si="1"/>
        <v/>
      </c>
      <c r="L32" s="23"/>
      <c r="M32" s="23"/>
      <c r="N32" s="24"/>
      <c r="O32" s="28" t="str">
        <f t="shared" ca="1" si="2"/>
        <v/>
      </c>
      <c r="P32" s="24"/>
      <c r="Q32" s="29" t="str">
        <f t="shared" si="3"/>
        <v/>
      </c>
      <c r="R32" s="23"/>
      <c r="S32" s="23"/>
      <c r="T32" s="22"/>
    </row>
    <row r="33" spans="1:20" x14ac:dyDescent="0.25">
      <c r="A33" s="30"/>
      <c r="B33" s="31"/>
      <c r="C33" s="31"/>
      <c r="D33" s="32"/>
      <c r="E33" s="33"/>
      <c r="F33" s="32"/>
      <c r="G33" s="34"/>
      <c r="H33" s="25" t="str">
        <f t="shared" ca="1" si="0"/>
        <v/>
      </c>
      <c r="I33" s="30"/>
      <c r="J33" s="35"/>
      <c r="K33" s="27" t="str">
        <f t="shared" si="1"/>
        <v/>
      </c>
      <c r="L33" s="33"/>
      <c r="M33" s="33"/>
      <c r="N33" s="34"/>
      <c r="O33" s="28" t="str">
        <f t="shared" ca="1" si="2"/>
        <v/>
      </c>
      <c r="P33" s="34"/>
      <c r="Q33" s="29" t="str">
        <f t="shared" si="3"/>
        <v/>
      </c>
      <c r="R33" s="33"/>
      <c r="S33" s="33"/>
      <c r="T33" s="32"/>
    </row>
    <row r="34" spans="1:20" x14ac:dyDescent="0.25">
      <c r="A34" s="20"/>
      <c r="B34" s="21"/>
      <c r="C34" s="21"/>
      <c r="D34" s="22"/>
      <c r="E34" s="23"/>
      <c r="F34" s="22"/>
      <c r="G34" s="24"/>
      <c r="H34" s="25" t="str">
        <f t="shared" ca="1" si="0"/>
        <v/>
      </c>
      <c r="I34" s="20"/>
      <c r="J34" s="26"/>
      <c r="K34" s="27" t="str">
        <f t="shared" si="1"/>
        <v/>
      </c>
      <c r="L34" s="23"/>
      <c r="M34" s="23"/>
      <c r="N34" s="24"/>
      <c r="O34" s="28" t="str">
        <f t="shared" ca="1" si="2"/>
        <v/>
      </c>
      <c r="P34" s="24"/>
      <c r="Q34" s="29" t="str">
        <f t="shared" si="3"/>
        <v/>
      </c>
      <c r="R34" s="23"/>
      <c r="S34" s="23"/>
      <c r="T34" s="22"/>
    </row>
    <row r="35" spans="1:20" x14ac:dyDescent="0.25">
      <c r="A35" s="30"/>
      <c r="B35" s="31"/>
      <c r="C35" s="31"/>
      <c r="D35" s="32"/>
      <c r="E35" s="33"/>
      <c r="F35" s="32"/>
      <c r="G35" s="34"/>
      <c r="H35" s="25" t="str">
        <f t="shared" ca="1" si="0"/>
        <v/>
      </c>
      <c r="I35" s="30"/>
      <c r="J35" s="35"/>
      <c r="K35" s="27" t="str">
        <f t="shared" si="1"/>
        <v/>
      </c>
      <c r="L35" s="33"/>
      <c r="M35" s="33"/>
      <c r="N35" s="34"/>
      <c r="O35" s="28" t="str">
        <f t="shared" ca="1" si="2"/>
        <v/>
      </c>
      <c r="P35" s="34"/>
      <c r="Q35" s="29" t="str">
        <f t="shared" si="3"/>
        <v/>
      </c>
      <c r="R35" s="33"/>
      <c r="S35" s="33"/>
      <c r="T35" s="32"/>
    </row>
    <row r="36" spans="1:20" x14ac:dyDescent="0.25">
      <c r="A36" s="20"/>
      <c r="B36" s="21"/>
      <c r="C36" s="21"/>
      <c r="D36" s="22"/>
      <c r="E36" s="23"/>
      <c r="F36" s="22"/>
      <c r="G36" s="24"/>
      <c r="H36" s="25" t="str">
        <f t="shared" ca="1" si="0"/>
        <v/>
      </c>
      <c r="I36" s="20"/>
      <c r="J36" s="26"/>
      <c r="K36" s="27" t="str">
        <f t="shared" si="1"/>
        <v/>
      </c>
      <c r="L36" s="23"/>
      <c r="M36" s="23"/>
      <c r="N36" s="24"/>
      <c r="O36" s="28" t="str">
        <f t="shared" ca="1" si="2"/>
        <v/>
      </c>
      <c r="P36" s="24"/>
      <c r="Q36" s="29" t="str">
        <f t="shared" si="3"/>
        <v/>
      </c>
      <c r="R36" s="23"/>
      <c r="S36" s="23"/>
      <c r="T36" s="22"/>
    </row>
    <row r="37" spans="1:20" x14ac:dyDescent="0.25">
      <c r="A37" s="30"/>
      <c r="B37" s="31"/>
      <c r="C37" s="31"/>
      <c r="D37" s="32"/>
      <c r="E37" s="33"/>
      <c r="F37" s="32"/>
      <c r="G37" s="34"/>
      <c r="H37" s="25" t="str">
        <f t="shared" ca="1" si="0"/>
        <v/>
      </c>
      <c r="I37" s="30"/>
      <c r="J37" s="35"/>
      <c r="K37" s="27" t="str">
        <f t="shared" si="1"/>
        <v/>
      </c>
      <c r="L37" s="33"/>
      <c r="M37" s="33"/>
      <c r="N37" s="34"/>
      <c r="O37" s="28" t="str">
        <f t="shared" ca="1" si="2"/>
        <v/>
      </c>
      <c r="P37" s="34"/>
      <c r="Q37" s="29" t="str">
        <f t="shared" si="3"/>
        <v/>
      </c>
      <c r="R37" s="33"/>
      <c r="S37" s="33"/>
      <c r="T37" s="32"/>
    </row>
    <row r="38" spans="1:20" x14ac:dyDescent="0.25">
      <c r="A38" s="20"/>
      <c r="B38" s="21"/>
      <c r="C38" s="21"/>
      <c r="D38" s="22"/>
      <c r="E38" s="23"/>
      <c r="F38" s="22"/>
      <c r="G38" s="24"/>
      <c r="H38" s="25" t="str">
        <f t="shared" ca="1" si="0"/>
        <v/>
      </c>
      <c r="I38" s="20"/>
      <c r="J38" s="26"/>
      <c r="K38" s="27" t="str">
        <f t="shared" si="1"/>
        <v/>
      </c>
      <c r="L38" s="23"/>
      <c r="M38" s="23"/>
      <c r="N38" s="24"/>
      <c r="O38" s="28" t="str">
        <f t="shared" ca="1" si="2"/>
        <v/>
      </c>
      <c r="P38" s="24"/>
      <c r="Q38" s="29" t="str">
        <f t="shared" si="3"/>
        <v/>
      </c>
      <c r="R38" s="23"/>
      <c r="S38" s="23"/>
      <c r="T38" s="22"/>
    </row>
    <row r="39" spans="1:20" x14ac:dyDescent="0.25">
      <c r="A39" s="30"/>
      <c r="B39" s="31"/>
      <c r="C39" s="31"/>
      <c r="D39" s="32"/>
      <c r="E39" s="33"/>
      <c r="F39" s="32"/>
      <c r="G39" s="34"/>
      <c r="H39" s="25" t="str">
        <f t="shared" ca="1" si="0"/>
        <v/>
      </c>
      <c r="I39" s="30"/>
      <c r="J39" s="35"/>
      <c r="K39" s="27" t="str">
        <f t="shared" si="1"/>
        <v/>
      </c>
      <c r="L39" s="33"/>
      <c r="M39" s="33"/>
      <c r="N39" s="34"/>
      <c r="O39" s="28" t="str">
        <f t="shared" ca="1" si="2"/>
        <v/>
      </c>
      <c r="P39" s="34"/>
      <c r="Q39" s="29" t="str">
        <f t="shared" si="3"/>
        <v/>
      </c>
      <c r="R39" s="33"/>
      <c r="S39" s="33"/>
      <c r="T39" s="32"/>
    </row>
    <row r="40" spans="1:20" x14ac:dyDescent="0.25">
      <c r="A40" s="20"/>
      <c r="B40" s="21"/>
      <c r="C40" s="21"/>
      <c r="D40" s="22"/>
      <c r="E40" s="23"/>
      <c r="F40" s="22"/>
      <c r="G40" s="24"/>
      <c r="H40" s="25" t="str">
        <f t="shared" ca="1" si="0"/>
        <v/>
      </c>
      <c r="I40" s="20"/>
      <c r="J40" s="26"/>
      <c r="K40" s="27" t="str">
        <f t="shared" si="1"/>
        <v/>
      </c>
      <c r="L40" s="23"/>
      <c r="M40" s="23"/>
      <c r="N40" s="24"/>
      <c r="O40" s="28" t="str">
        <f t="shared" ca="1" si="2"/>
        <v/>
      </c>
      <c r="P40" s="24"/>
      <c r="Q40" s="29" t="str">
        <f t="shared" si="3"/>
        <v/>
      </c>
      <c r="R40" s="23"/>
      <c r="S40" s="23"/>
      <c r="T40" s="22"/>
    </row>
    <row r="41" spans="1:20" x14ac:dyDescent="0.25">
      <c r="A41" s="30"/>
      <c r="B41" s="31"/>
      <c r="C41" s="31"/>
      <c r="D41" s="32"/>
      <c r="E41" s="33"/>
      <c r="F41" s="32"/>
      <c r="G41" s="34"/>
      <c r="H41" s="25" t="str">
        <f t="shared" ca="1" si="0"/>
        <v/>
      </c>
      <c r="I41" s="30"/>
      <c r="J41" s="35"/>
      <c r="K41" s="27" t="str">
        <f t="shared" si="1"/>
        <v/>
      </c>
      <c r="L41" s="33"/>
      <c r="M41" s="33"/>
      <c r="N41" s="34"/>
      <c r="O41" s="28" t="str">
        <f t="shared" ca="1" si="2"/>
        <v/>
      </c>
      <c r="P41" s="34"/>
      <c r="Q41" s="29" t="str">
        <f t="shared" si="3"/>
        <v/>
      </c>
      <c r="R41" s="33"/>
      <c r="S41" s="33"/>
      <c r="T41" s="32"/>
    </row>
    <row r="42" spans="1:20" x14ac:dyDescent="0.25">
      <c r="A42" s="20"/>
      <c r="B42" s="21"/>
      <c r="C42" s="21"/>
      <c r="D42" s="22"/>
      <c r="E42" s="23"/>
      <c r="F42" s="22"/>
      <c r="G42" s="24"/>
      <c r="H42" s="25" t="str">
        <f t="shared" ca="1" si="0"/>
        <v/>
      </c>
      <c r="I42" s="20"/>
      <c r="J42" s="26"/>
      <c r="K42" s="27" t="str">
        <f t="shared" si="1"/>
        <v/>
      </c>
      <c r="L42" s="23"/>
      <c r="M42" s="23"/>
      <c r="N42" s="24"/>
      <c r="O42" s="28" t="str">
        <f t="shared" ca="1" si="2"/>
        <v/>
      </c>
      <c r="P42" s="24"/>
      <c r="Q42" s="29" t="str">
        <f t="shared" si="3"/>
        <v/>
      </c>
      <c r="R42" s="23"/>
      <c r="S42" s="23"/>
      <c r="T42" s="22"/>
    </row>
    <row r="43" spans="1:20" x14ac:dyDescent="0.25">
      <c r="A43" s="36"/>
      <c r="B43" s="37"/>
      <c r="C43" s="37"/>
      <c r="D43" s="38"/>
      <c r="E43" s="39"/>
      <c r="F43" s="38"/>
      <c r="G43" s="40"/>
      <c r="H43" s="41" t="str">
        <f t="shared" ca="1" si="0"/>
        <v/>
      </c>
      <c r="I43" s="36"/>
      <c r="J43" s="42"/>
      <c r="K43" s="43" t="str">
        <f t="shared" si="1"/>
        <v/>
      </c>
      <c r="L43" s="39"/>
      <c r="M43" s="39"/>
      <c r="N43" s="40"/>
      <c r="O43" s="44" t="str">
        <f t="shared" ca="1" si="2"/>
        <v/>
      </c>
      <c r="P43" s="40"/>
      <c r="Q43" s="45" t="str">
        <f t="shared" si="3"/>
        <v/>
      </c>
      <c r="R43" s="39"/>
      <c r="S43" s="39"/>
      <c r="T43" s="38"/>
    </row>
    <row r="45" spans="1:20" x14ac:dyDescent="0.25">
      <c r="A45" s="60" t="s">
        <v>190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</row>
    <row r="46" spans="1:20" x14ac:dyDescent="0.25">
      <c r="A46" s="60" t="s">
        <v>191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</row>
  </sheetData>
  <autoFilter ref="A3:T43" xr:uid="{00000000-0009-0000-0000-000001000000}"/>
  <mergeCells count="6">
    <mergeCell ref="A46:T46"/>
    <mergeCell ref="A1:K1"/>
    <mergeCell ref="L1:T1"/>
    <mergeCell ref="A2:K2"/>
    <mergeCell ref="L2:T2"/>
    <mergeCell ref="A45:T45"/>
  </mergeCells>
  <conditionalFormatting sqref="A4:T43">
    <cfRule type="expression" dxfId="6" priority="6">
      <formula>$T4="Inaktiv"</formula>
    </cfRule>
  </conditionalFormatting>
  <conditionalFormatting sqref="Q4:Q43">
    <cfRule type="expression" dxfId="5" priority="7">
      <formula>AND($Q4&lt;&gt;"",$Q4&lt;TODAY())</formula>
    </cfRule>
    <cfRule type="expression" dxfId="4" priority="8">
      <formula>AND($Q4&lt;&gt;"",$Q4&gt;=TODAY(),$Q4&lt;=TODAY()+60)</formula>
    </cfRule>
  </conditionalFormatting>
  <conditionalFormatting sqref="T4:T43">
    <cfRule type="cellIs" dxfId="3" priority="2" operator="equal">
      <formula>"Aktiv"</formula>
    </cfRule>
    <cfRule type="cellIs" dxfId="2" priority="3" operator="equal">
      <formula>"Probezeit"</formula>
    </cfRule>
    <cfRule type="cellIs" dxfId="1" priority="4" operator="equal">
      <formula>"Elternzeit"</formula>
    </cfRule>
    <cfRule type="cellIs" dxfId="0" priority="5" operator="equal">
      <formula>"Inaktiv"</formula>
    </cfRule>
  </conditionalFormatting>
  <dataValidations count="2">
    <dataValidation type="decimal" allowBlank="1" showErrorMessage="1" errorTitle="Wochenstunden" error="Bitte einen Wert zwischen 0 und 60 eingeben." sqref="I4:I43" xr:uid="{00000000-0002-0000-0100-000004000000}">
      <formula1>0</formula1>
      <formula2>60</formula2>
    </dataValidation>
    <dataValidation type="decimal" operator="greaterThanOrEqual" allowBlank="1" showErrorMessage="1" errorTitle="Stundenlohn" error="Bitte einen Betrag ≥ 0 eingeben." sqref="J4:J43" xr:uid="{00000000-0002-0000-0100-000005000000}">
      <formula1>0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  <legacy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errorTitle="Ungültiger Bereich" error="Bitte einen Wert aus der Liste wählen." xr:uid="{00000000-0002-0000-0100-000000000000}">
          <x14:formula1>
            <xm:f>Listen!$A$5:$A$9</xm:f>
          </x14:formula1>
          <x14:formula2>
            <xm:f>0</xm:f>
          </x14:formula2>
          <xm:sqref>D4:D43</xm:sqref>
        </x14:dataValidation>
        <x14:dataValidation type="list" allowBlank="1" showErrorMessage="1" errorTitle="Ungültige Position" error="Bitte einen Wert aus der Liste wählen." xr:uid="{00000000-0002-0000-0100-000001000000}">
          <x14:formula1>
            <xm:f>Listen!$C$5:$C$16</xm:f>
          </x14:formula1>
          <x14:formula2>
            <xm:f>0</xm:f>
          </x14:formula2>
          <xm:sqref>E4:E43</xm:sqref>
        </x14:dataValidation>
        <x14:dataValidation type="list" allowBlank="1" showErrorMessage="1" errorTitle="Ungültige Beschäftigungsart" error="Bitte einen Wert aus der Liste wählen." xr:uid="{00000000-0002-0000-0100-000002000000}">
          <x14:formula1>
            <xm:f>Listen!$E$5:$E$9</xm:f>
          </x14:formula1>
          <x14:formula2>
            <xm:f>0</xm:f>
          </x14:formula2>
          <xm:sqref>F4:F43</xm:sqref>
        </x14:dataValidation>
        <x14:dataValidation type="list" allowBlank="1" showErrorMessage="1" errorTitle="Ungültiger Status" error="Bitte einen Wert aus der Liste wählen." xr:uid="{00000000-0002-0000-0100-000003000000}">
          <x14:formula1>
            <xm:f>Listen!$G$5:$G$8</xm:f>
          </x14:formula1>
          <x14:formula2>
            <xm:f>0</xm:f>
          </x14:formula2>
          <xm:sqref>T4:T43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E7B77"/>
  </sheetPr>
  <dimension ref="A1:G16"/>
  <sheetViews>
    <sheetView showGridLines="0" zoomScaleNormal="100" workbookViewId="0"/>
  </sheetViews>
  <sheetFormatPr baseColWidth="10" defaultColWidth="8.7109375" defaultRowHeight="15" x14ac:dyDescent="0.25"/>
  <cols>
    <col min="1" max="1" width="20" customWidth="1"/>
    <col min="2" max="2" width="3" customWidth="1"/>
    <col min="3" max="3" width="22" customWidth="1"/>
    <col min="4" max="4" width="3" customWidth="1"/>
    <col min="5" max="5" width="20" customWidth="1"/>
    <col min="6" max="6" width="3" customWidth="1"/>
    <col min="7" max="7" width="16" customWidth="1"/>
  </cols>
  <sheetData>
    <row r="1" spans="1:7" ht="25.5" customHeight="1" x14ac:dyDescent="0.25">
      <c r="A1" s="63" t="s">
        <v>192</v>
      </c>
      <c r="B1" s="63"/>
      <c r="C1" s="63"/>
      <c r="D1" s="63"/>
      <c r="E1" s="63"/>
      <c r="F1" s="63"/>
      <c r="G1" s="63"/>
    </row>
    <row r="2" spans="1:7" ht="15.75" customHeight="1" x14ac:dyDescent="0.25">
      <c r="A2" s="12" t="s">
        <v>193</v>
      </c>
      <c r="B2" s="12"/>
      <c r="C2" s="12"/>
      <c r="D2" s="12"/>
      <c r="E2" s="12"/>
      <c r="F2" s="12"/>
      <c r="G2" s="12"/>
    </row>
    <row r="4" spans="1:7" ht="19.5" customHeight="1" x14ac:dyDescent="0.25">
      <c r="A4" s="46" t="s">
        <v>12</v>
      </c>
      <c r="C4" s="46" t="s">
        <v>40</v>
      </c>
      <c r="E4" s="46" t="s">
        <v>24</v>
      </c>
      <c r="G4" s="46" t="s">
        <v>54</v>
      </c>
    </row>
    <row r="5" spans="1:7" x14ac:dyDescent="0.25">
      <c r="A5" s="16" t="s">
        <v>16</v>
      </c>
      <c r="C5" s="16" t="s">
        <v>57</v>
      </c>
      <c r="E5" s="16" t="s">
        <v>7</v>
      </c>
      <c r="G5" s="16" t="s">
        <v>62</v>
      </c>
    </row>
    <row r="6" spans="1:7" x14ac:dyDescent="0.25">
      <c r="A6" s="17" t="s">
        <v>17</v>
      </c>
      <c r="C6" s="17" t="s">
        <v>72</v>
      </c>
      <c r="E6" s="17" t="s">
        <v>8</v>
      </c>
      <c r="G6" s="17" t="s">
        <v>182</v>
      </c>
    </row>
    <row r="7" spans="1:7" x14ac:dyDescent="0.25">
      <c r="A7" s="16" t="s">
        <v>18</v>
      </c>
      <c r="C7" s="16" t="s">
        <v>79</v>
      </c>
      <c r="E7" s="16" t="s">
        <v>28</v>
      </c>
      <c r="G7" s="16" t="s">
        <v>117</v>
      </c>
    </row>
    <row r="8" spans="1:7" x14ac:dyDescent="0.25">
      <c r="A8" s="17" t="s">
        <v>19</v>
      </c>
      <c r="C8" s="17" t="s">
        <v>93</v>
      </c>
      <c r="E8" s="17" t="s">
        <v>30</v>
      </c>
      <c r="G8" s="17" t="s">
        <v>189</v>
      </c>
    </row>
    <row r="9" spans="1:7" x14ac:dyDescent="0.25">
      <c r="A9" s="16" t="s">
        <v>20</v>
      </c>
      <c r="C9" s="16" t="s">
        <v>86</v>
      </c>
      <c r="E9" s="16" t="s">
        <v>10</v>
      </c>
    </row>
    <row r="10" spans="1:7" x14ac:dyDescent="0.25">
      <c r="C10" s="17" t="s">
        <v>65</v>
      </c>
    </row>
    <row r="11" spans="1:7" x14ac:dyDescent="0.25">
      <c r="C11" s="16" t="s">
        <v>106</v>
      </c>
    </row>
    <row r="12" spans="1:7" x14ac:dyDescent="0.25">
      <c r="C12" s="17" t="s">
        <v>120</v>
      </c>
    </row>
    <row r="13" spans="1:7" x14ac:dyDescent="0.25">
      <c r="C13" s="16" t="s">
        <v>133</v>
      </c>
    </row>
    <row r="14" spans="1:7" x14ac:dyDescent="0.25">
      <c r="C14" s="17" t="s">
        <v>140</v>
      </c>
    </row>
    <row r="15" spans="1:7" x14ac:dyDescent="0.25">
      <c r="C15" s="16" t="s">
        <v>153</v>
      </c>
    </row>
    <row r="16" spans="1:7" x14ac:dyDescent="0.25">
      <c r="C16" s="17" t="s">
        <v>10</v>
      </c>
    </row>
  </sheetData>
  <mergeCells count="2">
    <mergeCell ref="A1:G1"/>
    <mergeCell ref="A2:G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Übersicht</vt:lpstr>
      <vt:lpstr>Mitarbeiterliste</vt:lpstr>
      <vt:lpstr>Listen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2026-08-01T14:45:02Z</dcterms:created>
  <dcterms:modified xsi:type="dcterms:W3CDTF">2026-08-01T15:02:25Z</dcterms:modified>
  <dc:language>en-US</dc:language>
</cp:coreProperties>
</file>