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ergi\Documents\SEO\SEO\AA_Webs\Excel Vorlage\Generador\"/>
    </mc:Choice>
  </mc:AlternateContent>
  <xr:revisionPtr revIDLastSave="0" documentId="13_ncr:1_{13690C67-1B87-497B-9B94-3420E10F4EAD}" xr6:coauthVersionLast="47" xr6:coauthVersionMax="47" xr10:uidLastSave="{00000000-0000-0000-0000-000000000000}"/>
  <bookViews>
    <workbookView xWindow="-120" yWindow="-120" windowWidth="29040" windowHeight="15720" tabRatio="500" xr2:uid="{00000000-000D-0000-FFFF-FFFF00000000}"/>
  </bookViews>
  <sheets>
    <sheet name="Cockpit" sheetId="1" r:id="rId1"/>
    <sheet name="Risikoregister" sheetId="2" r:id="rId2"/>
    <sheet name="Risikomatrix" sheetId="3" r:id="rId3"/>
    <sheet name="Bewertungsskalen" sheetId="4" r:id="rId4"/>
  </sheets>
  <definedNames>
    <definedName name="_xlnm._FilterDatabase" localSheetId="1" hidden="1">Risikoregister!$A$7:$V$37</definedName>
    <definedName name="Bearbeitungsstatus">Bewertungsskalen!$K$7:$K$10</definedName>
    <definedName name="Bewertungsstufen">Bewertungsskalen!$A$7:$A$11</definedName>
    <definedName name="_xlnm.Print_Area" localSheetId="3">Bewertungsskalen!$A$1:$K$32</definedName>
    <definedName name="_xlnm.Print_Area" localSheetId="0">Cockpit!$A$1:$L$44</definedName>
    <definedName name="_xlnm.Print_Area" localSheetId="2">Risikomatrix!$A$1:$H$33</definedName>
    <definedName name="_xlnm.Print_Area" localSheetId="1">Risikoregister!$A$1:$V$39</definedName>
    <definedName name="_xlnm.Print_Titles" localSheetId="1">Risikoregister!$6:$7</definedName>
    <definedName name="Risikokategorien">Bewertungsskalen!$G$7:$G$14</definedName>
    <definedName name="Risikostrategien">Bewertungsskalen!$I$7:$I$10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21" i="3" l="1"/>
  <c r="G21" i="3"/>
  <c r="F21" i="3"/>
  <c r="E21" i="3"/>
  <c r="D21" i="3"/>
  <c r="H20" i="3"/>
  <c r="G20" i="3"/>
  <c r="F20" i="3"/>
  <c r="E20" i="3"/>
  <c r="D20" i="3"/>
  <c r="H19" i="3"/>
  <c r="G19" i="3"/>
  <c r="F19" i="3"/>
  <c r="E19" i="3"/>
  <c r="D19" i="3"/>
  <c r="H18" i="3"/>
  <c r="G18" i="3"/>
  <c r="F18" i="3"/>
  <c r="E18" i="3"/>
  <c r="D18" i="3"/>
  <c r="H17" i="3"/>
  <c r="G17" i="3"/>
  <c r="F17" i="3"/>
  <c r="E17" i="3"/>
  <c r="D17" i="3"/>
  <c r="H11" i="3"/>
  <c r="G11" i="3"/>
  <c r="F11" i="3"/>
  <c r="E11" i="3"/>
  <c r="D11" i="3"/>
  <c r="H10" i="3"/>
  <c r="G10" i="3"/>
  <c r="F10" i="3"/>
  <c r="E10" i="3"/>
  <c r="D10" i="3"/>
  <c r="H9" i="3"/>
  <c r="G9" i="3"/>
  <c r="F9" i="3"/>
  <c r="E9" i="3"/>
  <c r="D9" i="3"/>
  <c r="H8" i="3"/>
  <c r="G8" i="3"/>
  <c r="F8" i="3"/>
  <c r="E8" i="3"/>
  <c r="D8" i="3"/>
  <c r="H7" i="3"/>
  <c r="G7" i="3"/>
  <c r="F7" i="3"/>
  <c r="E7" i="3"/>
  <c r="D7" i="3"/>
  <c r="R39" i="2"/>
  <c r="Q39" i="2"/>
  <c r="N39" i="2"/>
  <c r="K39" i="2"/>
  <c r="H39" i="2"/>
  <c r="G39" i="2"/>
  <c r="S37" i="2"/>
  <c r="X37" i="2" s="1"/>
  <c r="L37" i="2"/>
  <c r="I37" i="2"/>
  <c r="U37" i="2" s="1"/>
  <c r="X36" i="2"/>
  <c r="S36" i="2"/>
  <c r="T36" i="2" s="1"/>
  <c r="L36" i="2"/>
  <c r="I36" i="2"/>
  <c r="J36" i="2" s="1"/>
  <c r="S35" i="2"/>
  <c r="X35" i="2" s="1"/>
  <c r="L35" i="2"/>
  <c r="I35" i="2"/>
  <c r="U35" i="2" s="1"/>
  <c r="S34" i="2"/>
  <c r="X34" i="2" s="1"/>
  <c r="L34" i="2"/>
  <c r="I34" i="2"/>
  <c r="J34" i="2" s="1"/>
  <c r="S33" i="2"/>
  <c r="X33" i="2" s="1"/>
  <c r="L33" i="2"/>
  <c r="I33" i="2"/>
  <c r="J33" i="2" s="1"/>
  <c r="S32" i="2"/>
  <c r="X32" i="2" s="1"/>
  <c r="L32" i="2"/>
  <c r="I32" i="2"/>
  <c r="U32" i="2" s="1"/>
  <c r="S31" i="2"/>
  <c r="X31" i="2" s="1"/>
  <c r="L31" i="2"/>
  <c r="I31" i="2"/>
  <c r="U31" i="2" s="1"/>
  <c r="X30" i="2"/>
  <c r="U30" i="2"/>
  <c r="T30" i="2"/>
  <c r="S30" i="2"/>
  <c r="L30" i="2"/>
  <c r="J30" i="2"/>
  <c r="I30" i="2"/>
  <c r="S29" i="2"/>
  <c r="X29" i="2" s="1"/>
  <c r="L29" i="2"/>
  <c r="I29" i="2"/>
  <c r="U29" i="2" s="1"/>
  <c r="S28" i="2"/>
  <c r="U28" i="2" s="1"/>
  <c r="L28" i="2"/>
  <c r="J28" i="2"/>
  <c r="I28" i="2"/>
  <c r="U27" i="2"/>
  <c r="S27" i="2"/>
  <c r="T27" i="2" s="1"/>
  <c r="L27" i="2"/>
  <c r="I27" i="2"/>
  <c r="J27" i="2" s="1"/>
  <c r="S26" i="2"/>
  <c r="X26" i="2" s="1"/>
  <c r="L26" i="2"/>
  <c r="I26" i="2"/>
  <c r="U26" i="2" s="1"/>
  <c r="S25" i="2"/>
  <c r="T25" i="2" s="1"/>
  <c r="L25" i="2"/>
  <c r="I25" i="2"/>
  <c r="J25" i="2" s="1"/>
  <c r="S24" i="2"/>
  <c r="T24" i="2" s="1"/>
  <c r="L24" i="2"/>
  <c r="I24" i="2"/>
  <c r="U24" i="2" s="1"/>
  <c r="S23" i="2"/>
  <c r="X23" i="2" s="1"/>
  <c r="L23" i="2"/>
  <c r="I23" i="2"/>
  <c r="U23" i="2" s="1"/>
  <c r="S22" i="2"/>
  <c r="U22" i="2" s="1"/>
  <c r="L22" i="2"/>
  <c r="I22" i="2"/>
  <c r="J22" i="2" s="1"/>
  <c r="T21" i="2"/>
  <c r="S21" i="2"/>
  <c r="X21" i="2" s="1"/>
  <c r="L21" i="2"/>
  <c r="I21" i="2"/>
  <c r="U21" i="2" s="1"/>
  <c r="S20" i="2"/>
  <c r="X20" i="2" s="1"/>
  <c r="L20" i="2"/>
  <c r="I20" i="2"/>
  <c r="J20" i="2" s="1"/>
  <c r="X19" i="2"/>
  <c r="U19" i="2"/>
  <c r="T19" i="2"/>
  <c r="S19" i="2"/>
  <c r="L19" i="2"/>
  <c r="J19" i="2"/>
  <c r="I19" i="2"/>
  <c r="X18" i="2"/>
  <c r="U18" i="2"/>
  <c r="S18" i="2"/>
  <c r="T18" i="2" s="1"/>
  <c r="L18" i="2"/>
  <c r="I18" i="2"/>
  <c r="J18" i="2" s="1"/>
  <c r="S17" i="2"/>
  <c r="T17" i="2" s="1"/>
  <c r="L17" i="2"/>
  <c r="I17" i="2"/>
  <c r="U17" i="2" s="1"/>
  <c r="X16" i="2"/>
  <c r="U16" i="2"/>
  <c r="S16" i="2"/>
  <c r="T16" i="2" s="1"/>
  <c r="L16" i="2"/>
  <c r="I16" i="2"/>
  <c r="J16" i="2" s="1"/>
  <c r="X15" i="2"/>
  <c r="S15" i="2"/>
  <c r="T15" i="2" s="1"/>
  <c r="L15" i="2"/>
  <c r="I15" i="2"/>
  <c r="U15" i="2" s="1"/>
  <c r="S14" i="2"/>
  <c r="X14" i="2" s="1"/>
  <c r="L14" i="2"/>
  <c r="F26" i="1" s="1"/>
  <c r="I14" i="2"/>
  <c r="U14" i="2" s="1"/>
  <c r="X13" i="2"/>
  <c r="S13" i="2"/>
  <c r="T13" i="2" s="1"/>
  <c r="L13" i="2"/>
  <c r="I13" i="2"/>
  <c r="J13" i="2" s="1"/>
  <c r="S12" i="2"/>
  <c r="X12" i="2" s="1"/>
  <c r="L12" i="2"/>
  <c r="I12" i="2"/>
  <c r="U12" i="2" s="1"/>
  <c r="S11" i="2"/>
  <c r="X11" i="2" s="1"/>
  <c r="L11" i="2"/>
  <c r="I11" i="2"/>
  <c r="J11" i="2" s="1"/>
  <c r="X10" i="2"/>
  <c r="U10" i="2"/>
  <c r="T10" i="2"/>
  <c r="S10" i="2"/>
  <c r="L10" i="2"/>
  <c r="J10" i="2"/>
  <c r="I10" i="2"/>
  <c r="S9" i="2"/>
  <c r="X9" i="2" s="1"/>
  <c r="L9" i="2"/>
  <c r="I9" i="2"/>
  <c r="I39" i="2" s="1"/>
  <c r="S8" i="2"/>
  <c r="B17" i="1" s="1"/>
  <c r="L8" i="2"/>
  <c r="L39" i="2" s="1"/>
  <c r="J8" i="2"/>
  <c r="I8" i="2"/>
  <c r="I33" i="1"/>
  <c r="K33" i="1" s="1"/>
  <c r="I32" i="1"/>
  <c r="K32" i="1" s="1"/>
  <c r="I31" i="1"/>
  <c r="K31" i="1" s="1"/>
  <c r="F31" i="1"/>
  <c r="E31" i="1"/>
  <c r="D31" i="1"/>
  <c r="B31" i="1"/>
  <c r="I30" i="1"/>
  <c r="K30" i="1" s="1"/>
  <c r="D30" i="1"/>
  <c r="B30" i="1"/>
  <c r="F30" i="1" s="1"/>
  <c r="B29" i="1"/>
  <c r="F29" i="1" s="1"/>
  <c r="B28" i="1"/>
  <c r="D28" i="1" s="1"/>
  <c r="F27" i="1"/>
  <c r="E27" i="1"/>
  <c r="B27" i="1"/>
  <c r="D27" i="1" s="1"/>
  <c r="B26" i="1"/>
  <c r="E26" i="1" s="1"/>
  <c r="B25" i="1"/>
  <c r="F25" i="1" s="1"/>
  <c r="F24" i="1"/>
  <c r="B24" i="1"/>
  <c r="E24" i="1" s="1"/>
  <c r="J17" i="1"/>
  <c r="H17" i="1"/>
  <c r="F17" i="1"/>
  <c r="B12" i="1"/>
  <c r="J6" i="1"/>
  <c r="J5" i="1"/>
  <c r="J14" i="2" l="1"/>
  <c r="T8" i="2"/>
  <c r="J17" i="2"/>
  <c r="X22" i="2"/>
  <c r="U25" i="2"/>
  <c r="U8" i="2"/>
  <c r="T31" i="2"/>
  <c r="U11" i="2"/>
  <c r="T20" i="2"/>
  <c r="J29" i="2"/>
  <c r="X24" i="2"/>
  <c r="S39" i="2"/>
  <c r="D24" i="1"/>
  <c r="X27" i="2"/>
  <c r="T33" i="2"/>
  <c r="U39" i="2"/>
  <c r="U13" i="2"/>
  <c r="U33" i="2"/>
  <c r="U36" i="2"/>
  <c r="J37" i="2"/>
  <c r="X8" i="2"/>
  <c r="J23" i="2"/>
  <c r="X28" i="2"/>
  <c r="T34" i="2"/>
  <c r="J26" i="2"/>
  <c r="U34" i="2"/>
  <c r="T37" i="2"/>
  <c r="X25" i="2"/>
  <c r="D25" i="1"/>
  <c r="F28" i="1"/>
  <c r="J12" i="2"/>
  <c r="I26" i="1" s="1"/>
  <c r="X17" i="2"/>
  <c r="U20" i="2"/>
  <c r="T23" i="2"/>
  <c r="J32" i="2"/>
  <c r="J15" i="2"/>
  <c r="T26" i="2"/>
  <c r="T35" i="2"/>
  <c r="T22" i="2"/>
  <c r="J31" i="2"/>
  <c r="T28" i="2"/>
  <c r="T14" i="2"/>
  <c r="E28" i="1"/>
  <c r="J9" i="2"/>
  <c r="J35" i="2"/>
  <c r="H12" i="1"/>
  <c r="D29" i="1"/>
  <c r="T9" i="2"/>
  <c r="T29" i="2"/>
  <c r="J12" i="1"/>
  <c r="E29" i="1"/>
  <c r="U9" i="2"/>
  <c r="T12" i="2"/>
  <c r="J21" i="2"/>
  <c r="T32" i="2"/>
  <c r="D26" i="1"/>
  <c r="J24" i="2"/>
  <c r="D17" i="1"/>
  <c r="E29" i="3"/>
  <c r="T11" i="2"/>
  <c r="E25" i="1"/>
  <c r="E30" i="1"/>
  <c r="I25" i="1" l="1"/>
  <c r="D12" i="1"/>
  <c r="E27" i="3"/>
  <c r="I27" i="1"/>
  <c r="E30" i="3"/>
  <c r="G41" i="1"/>
  <c r="C38" i="1"/>
  <c r="F41" i="1"/>
  <c r="B38" i="1"/>
  <c r="C41" i="1"/>
  <c r="K37" i="1"/>
  <c r="B40" i="1"/>
  <c r="G39" i="1"/>
  <c r="B41" i="1"/>
  <c r="J37" i="1"/>
  <c r="K40" i="1"/>
  <c r="G37" i="1"/>
  <c r="J40" i="1"/>
  <c r="F37" i="1"/>
  <c r="G40" i="1"/>
  <c r="F40" i="1"/>
  <c r="B37" i="1"/>
  <c r="C40" i="1"/>
  <c r="C39" i="1"/>
  <c r="B39" i="1"/>
  <c r="K38" i="1"/>
  <c r="C37" i="1"/>
  <c r="K39" i="1"/>
  <c r="J39" i="1"/>
  <c r="J38" i="1"/>
  <c r="K41" i="1"/>
  <c r="G38" i="1"/>
  <c r="J41" i="1"/>
  <c r="F38" i="1"/>
  <c r="F39" i="1"/>
  <c r="F30" i="3"/>
  <c r="J26" i="1"/>
  <c r="K26" i="1" s="1"/>
  <c r="F29" i="3"/>
  <c r="F27" i="3"/>
  <c r="F12" i="1"/>
  <c r="F28" i="3"/>
  <c r="J25" i="1"/>
  <c r="K25" i="1" s="1"/>
  <c r="J27" i="1"/>
  <c r="K27" i="1" s="1"/>
  <c r="J24" i="1"/>
  <c r="K24" i="1" s="1"/>
  <c r="E28" i="3"/>
  <c r="I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G7" authorId="0" shapeId="0" xr:uid="{00000000-0006-0000-0100-000001000000}">
      <text>
        <r>
          <rPr>
            <sz val="10"/>
            <rFont val="Arial"/>
            <family val="2"/>
          </rPr>
          <t>E = Eintrittswahrscheinlichkeit, Stufe 1 bis 5.
Definition siehe Blatt »Bewertungsskalen«.</t>
        </r>
      </text>
    </comment>
    <comment ref="H7" authorId="0" shapeId="0" xr:uid="{00000000-0006-0000-0100-000002000000}">
      <text>
        <r>
          <rPr>
            <sz val="10"/>
            <rFont val="Arial"/>
            <family val="2"/>
          </rPr>
          <t>A = Schadensausmaß, Stufe 1 bis 5.
Definition siehe Blatt »Bewertungsskalen«.</t>
        </r>
      </text>
    </comment>
    <comment ref="L7" authorId="0" shapeId="0" xr:uid="{00000000-0006-0000-0100-000003000000}">
      <text>
        <r>
          <rPr>
            <sz val="10"/>
            <rFont val="Arial"/>
            <family val="2"/>
          </rPr>
          <t>Erwartungswert = Schadenpotenzial × Rechenwert der Eintrittswahrscheinlichkeit (Blatt »Bewertungsskalen«, Spalte E).</t>
        </r>
      </text>
    </comment>
  </commentList>
</comments>
</file>

<file path=xl/sharedStrings.xml><?xml version="1.0" encoding="utf-8"?>
<sst xmlns="http://schemas.openxmlformats.org/spreadsheetml/2006/main" count="409" uniqueCount="302">
  <si>
    <t>Verdichtete Auswertung des Risikoregisters · alle Werte aktualisieren sich automatisch</t>
  </si>
  <si>
    <t>Organisation / Bereich</t>
  </si>
  <si>
    <t>Musterunternehmen GmbH – Gesamtorganisation</t>
  </si>
  <si>
    <t>Stand der Auswertung</t>
  </si>
  <si>
    <t>Berichtszeitraum</t>
  </si>
  <si>
    <t>Geschäftsjahr 2026</t>
  </si>
  <si>
    <t>Nächster Review-Termin</t>
  </si>
  <si>
    <t>Verantwortlich</t>
  </si>
  <si>
    <t>Risikomanagement / Kaufmännische Leitung</t>
  </si>
  <si>
    <t>Version der Vorlage</t>
  </si>
  <si>
    <t>1.0 / 2026</t>
  </si>
  <si>
    <t>KENNZAHLEN AUF EINEN BLICK</t>
  </si>
  <si>
    <t>Erfasste Risiken</t>
  </si>
  <si>
    <t>Kritische Risiken (brutto)</t>
  </si>
  <si>
    <t>Kritische Risiken (netto)</t>
  </si>
  <si>
    <t>Ø Risikowert brutto</t>
  </si>
  <si>
    <t>Ø Risikowert netto</t>
  </si>
  <si>
    <t>gesamtes Register</t>
  </si>
  <si>
    <t>vor Maßnahmen</t>
  </si>
  <si>
    <t>nach Maßnahmen</t>
  </si>
  <si>
    <t>Skala 1 bis 25</t>
  </si>
  <si>
    <t>Risikoreduktion gesamt</t>
  </si>
  <si>
    <t>Erwarteter Schaden p. a.</t>
  </si>
  <si>
    <t>Offene Maßnahmen</t>
  </si>
  <si>
    <t>Maßnahmen in Umsetzung</t>
  </si>
  <si>
    <t>Überfällige Fristen</t>
  </si>
  <si>
    <t>Wirkung aller Maßnahmen</t>
  </si>
  <si>
    <t>Summe der Erwartungswerte</t>
  </si>
  <si>
    <t>noch nicht begonnen</t>
  </si>
  <si>
    <t>laufende Bearbeitung</t>
  </si>
  <si>
    <t>Termin bereits verstrichen</t>
  </si>
  <si>
    <t>RISIKEN NACH KATEGORIE</t>
  </si>
  <si>
    <t>VERTEILUNG NACH RISIKOKLASSE</t>
  </si>
  <si>
    <t>Risikokategorie</t>
  </si>
  <si>
    <t>Anzahl</t>
  </si>
  <si>
    <t>Ø netto</t>
  </si>
  <si>
    <t>Erwartungswert</t>
  </si>
  <si>
    <t>Risikoklasse</t>
  </si>
  <si>
    <t>brutto</t>
  </si>
  <si>
    <t>netto</t>
  </si>
  <si>
    <t>Anteil netto</t>
  </si>
  <si>
    <t>Kritisch</t>
  </si>
  <si>
    <t>Erheblich</t>
  </si>
  <si>
    <t>Spürbar</t>
  </si>
  <si>
    <t>Gering</t>
  </si>
  <si>
    <t>MASSNAHMENSTAND</t>
  </si>
  <si>
    <t>Offen</t>
  </si>
  <si>
    <t>In Umsetzung</t>
  </si>
  <si>
    <t>Umgesetzt</t>
  </si>
  <si>
    <t>Beobachtung</t>
  </si>
  <si>
    <t>TOP 5 RISIKEN NACH NETTOBEWERTUNG</t>
  </si>
  <si>
    <t>Risiko-ID</t>
  </si>
  <si>
    <t>Risikobezeichnung</t>
  </si>
  <si>
    <t>Wert</t>
  </si>
  <si>
    <t>Kategorie und Risikoeigner</t>
  </si>
  <si>
    <t>Klasse</t>
  </si>
  <si>
    <t>Status</t>
  </si>
  <si>
    <t>Hinweis: Die Rangfolge berücksichtigt die Nettobewertung, also das verbleibende Risiko nach Umsetzung der vereinbarten Maßnahmen. Sie wird bei jeder Änderung im Register neu berechnet.</t>
  </si>
  <si>
    <t>RISIKOREGISTER  ·  GESCHÄFTSJAHR 2026</t>
  </si>
  <si>
    <t>Erfassung, Bewertung und Steuerung aller identifizierten Risiken · weiße Felder ausfüllen, hellblaue Felder rechnen automatisch</t>
  </si>
  <si>
    <t>Legende:</t>
  </si>
  <si>
    <t>Eingabe</t>
  </si>
  <si>
    <t>Automatisch berechnet</t>
  </si>
  <si>
    <t>Auswahlliste</t>
  </si>
  <si>
    <t>Fristüberschreitung wird rot markiert</t>
  </si>
  <si>
    <t>1 · RISIKOERFASSUNG</t>
  </si>
  <si>
    <t>2 · BEWERTUNG OHNE MASSNAHMEN  (BRUTTO)</t>
  </si>
  <si>
    <t>3 · STEUERUNG UND MASSNAHMEN</t>
  </si>
  <si>
    <t>4 · BEWERTUNG NACH MASSNAHMEN  (NETTO)</t>
  </si>
  <si>
    <t>Ursache / Auslöser</t>
  </si>
  <si>
    <t>Mögliche Auswirkung</t>
  </si>
  <si>
    <t>Risikoeigner</t>
  </si>
  <si>
    <t>E</t>
  </si>
  <si>
    <t>A</t>
  </si>
  <si>
    <t>Risiko-
wert</t>
  </si>
  <si>
    <t>Schaden-
potenzial</t>
  </si>
  <si>
    <t>Erwartungs-
wert</t>
  </si>
  <si>
    <t>Risikostrategie</t>
  </si>
  <si>
    <t>Vereinbarte Maßnahme</t>
  </si>
  <si>
    <t>Frist</t>
  </si>
  <si>
    <t>Reduktion</t>
  </si>
  <si>
    <t>Nächste
Prüfung</t>
  </si>
  <si>
    <t>R-01</t>
  </si>
  <si>
    <t>Markt &amp; Wettbewerb</t>
  </si>
  <si>
    <t>Nachfragerückgang im Kernmarkt</t>
  </si>
  <si>
    <t>Konjunkturelle Abkühlung und Eintritt neuer Anbieter</t>
  </si>
  <si>
    <t>Umsatzrückgang und Unterauslastung der Kapazitäten</t>
  </si>
  <si>
    <t>Vertriebsleitung</t>
  </si>
  <si>
    <t>Reduzieren</t>
  </si>
  <si>
    <t>Zweitmarkt erschließen, Servicegeschäft ausbauen</t>
  </si>
  <si>
    <t>R-02</t>
  </si>
  <si>
    <t>Anhaltender Preisdruck</t>
  </si>
  <si>
    <t>Günstigere Wettbewerbsangebote im Standardsegment</t>
  </si>
  <si>
    <t>Margenverlust, Ergebnisrückgang</t>
  </si>
  <si>
    <t>Produktmanagement</t>
  </si>
  <si>
    <t>Leistungsdifferenzierung und Wertargumentation im Angebot</t>
  </si>
  <si>
    <t>R-03</t>
  </si>
  <si>
    <t>Abhängigkeit von wenigen Großkunden</t>
  </si>
  <si>
    <t>Stark konzentriertes Auftragsportfolio</t>
  </si>
  <si>
    <t>Umsatzeinbruch beim Wegfall eines Großkunden</t>
  </si>
  <si>
    <t>Kundenportfolio verbreitern, Zielkundenliste aufbauen</t>
  </si>
  <si>
    <t>R-04</t>
  </si>
  <si>
    <t>Finanzen &amp; Liquidität</t>
  </si>
  <si>
    <t>Liquiditätsengpass durch Zahlungsverzug</t>
  </si>
  <si>
    <t>Verschlechterte Zahlungsmoral wichtiger Kunden</t>
  </si>
  <si>
    <t>Kurzfristige Zahlungsunfähigkeit, Mahnkosten</t>
  </si>
  <si>
    <t>Kaufmännische Leitung</t>
  </si>
  <si>
    <t>Konsequentes Mahnwesen, Kreditlinie erweitern</t>
  </si>
  <si>
    <t>R-05</t>
  </si>
  <si>
    <t>Kostensteigerung bei Energie und Material</t>
  </si>
  <si>
    <t>Volatile Beschaffungsmärkte ohne Preisbindung</t>
  </si>
  <si>
    <t>Ergebnisbelastung, sinkende Deckungsbeiträge</t>
  </si>
  <si>
    <t>Einkauf</t>
  </si>
  <si>
    <t>Übertragen</t>
  </si>
  <si>
    <t>Preisgleitklauseln vereinbaren, Rahmenverträge verlängern</t>
  </si>
  <si>
    <t>R-06</t>
  </si>
  <si>
    <t>Wechselkursschwankungen im Auslandsgeschäft</t>
  </si>
  <si>
    <t>Abrechnung in Fremdwährung ohne Absicherung</t>
  </si>
  <si>
    <t>Schwankendes Periodenergebnis</t>
  </si>
  <si>
    <t>Treasury</t>
  </si>
  <si>
    <t>Akzeptieren</t>
  </si>
  <si>
    <t>Laufende Beobachtung, Teilabsicherung ab definiertem Schwellenwert</t>
  </si>
  <si>
    <t>R-07</t>
  </si>
  <si>
    <t>Prozesse &amp; Abläufe</t>
  </si>
  <si>
    <t>Qualitätsmängel in der Leistungserbringung</t>
  </si>
  <si>
    <t>Fehlende Prüfschritte und hoher Termindruck</t>
  </si>
  <si>
    <t>Nacharbeit, Reklamationen, Kundenverlust</t>
  </si>
  <si>
    <t>Qualitätsmanagement</t>
  </si>
  <si>
    <t>Verbindlicher Prüfplan und Vier-Augen-Prinzip vor Auslieferung</t>
  </si>
  <si>
    <t>R-08</t>
  </si>
  <si>
    <t>Ausfall eines zentralen Betriebsmittels</t>
  </si>
  <si>
    <t>Fehlende vorbeugende Instandhaltung</t>
  </si>
  <si>
    <t>Stillstand der Leistungserstellung, Lieferverzug</t>
  </si>
  <si>
    <t>Betriebsleitung</t>
  </si>
  <si>
    <t>Wartungsplan einführen, kritische Ersatzteile bevorraten</t>
  </si>
  <si>
    <t>R-09</t>
  </si>
  <si>
    <t>Keine belastbare Notfallvorsorge</t>
  </si>
  <si>
    <t>Notfallplan vorhanden, aber nie erprobt</t>
  </si>
  <si>
    <t>Längerer Betriebsstillstand nach Standortausfall</t>
  </si>
  <si>
    <t>Versicherungsschutz prüfen, Ausweichstandort und Notfallübung</t>
  </si>
  <si>
    <t>R-10</t>
  </si>
  <si>
    <t>Technik &amp; IT-Systeme</t>
  </si>
  <si>
    <t>Cyberangriff mit Datenverschlüsselung</t>
  </si>
  <si>
    <t>Phishing-Mails und unzureichend gehärtete Systeme</t>
  </si>
  <si>
    <t>Betriebsunterbrechung, Datenverlust, Lösegeldforderung</t>
  </si>
  <si>
    <t>IT-Leitung</t>
  </si>
  <si>
    <t>Mehrfaktor-Anmeldung, getrennte Backups, Awareness-Schulungen</t>
  </si>
  <si>
    <t>R-11</t>
  </si>
  <si>
    <t>Ausfall geschäftskritischer Anwendungen</t>
  </si>
  <si>
    <t>Veraltete Systemlandschaft ohne Redundanz</t>
  </si>
  <si>
    <t>Stillstand der Kernprozesse</t>
  </si>
  <si>
    <t>Redundanz aufbauen, Wiederanlauf zweimal jährlich testen</t>
  </si>
  <si>
    <t>R-12</t>
  </si>
  <si>
    <t>Unklare Zugriffsrechte in Kernsystemen</t>
  </si>
  <si>
    <t>Historisch gewachsene Rollen ohne Überprüfung</t>
  </si>
  <si>
    <t>Datenmissbrauch, Feststellung in der Prüfung</t>
  </si>
  <si>
    <t>Rollenkonzept erstellen, jährliche Rezertifizierung</t>
  </si>
  <si>
    <t>R-13</t>
  </si>
  <si>
    <t>Personal &amp; Know-how</t>
  </si>
  <si>
    <t>Verlust von Schlüsselpersonen</t>
  </si>
  <si>
    <t>Fehlende Nachfolgeplanung für Engpassfunktionen</t>
  </si>
  <si>
    <t>Know-how-Verlust, Verzögerung laufender Vorhaben</t>
  </si>
  <si>
    <t>Personalleitung</t>
  </si>
  <si>
    <t>Nachfolgeplanung je Schlüsselrolle, Wissen dokumentieren</t>
  </si>
  <si>
    <t>R-14</t>
  </si>
  <si>
    <t>Engpass bei qualifizierten Fachkräften</t>
  </si>
  <si>
    <t>Angespannte Lage am Arbeitsmarkt</t>
  </si>
  <si>
    <t>Verzögerte Auftragsabwicklung, Überlastung</t>
  </si>
  <si>
    <t>Ausbildungsprogramm starten, Arbeitgeberauftritt schärfen</t>
  </si>
  <si>
    <t>R-15</t>
  </si>
  <si>
    <t>Recht &amp; Regulatorik</t>
  </si>
  <si>
    <t>Verstoß gegen Datenschutzvorgaben</t>
  </si>
  <si>
    <t>Unklare Prozesse und fehlende Schulungen</t>
  </si>
  <si>
    <t>Bußgeld, Meldepflicht, Reputationsschaden</t>
  </si>
  <si>
    <t>Datenschutzkoordination</t>
  </si>
  <si>
    <t>Verarbeitungsverzeichnis und Löschkonzept, jährliche Schulung</t>
  </si>
  <si>
    <t>R-16</t>
  </si>
  <si>
    <t>Neue Berichtspflichten nicht fristgerecht erfüllt</t>
  </si>
  <si>
    <t>Kurzfristige Änderung der Rechtslage</t>
  </si>
  <si>
    <t>Sanktionen und Feststellungen in der Prüfung</t>
  </si>
  <si>
    <t>Compliance</t>
  </si>
  <si>
    <t>Regulatorik-Monitoring und Fristenkalender einführen</t>
  </si>
  <si>
    <t>R-17</t>
  </si>
  <si>
    <t>Lieferkette &amp; Partner</t>
  </si>
  <si>
    <t>Ausfall eines Einzellieferanten</t>
  </si>
  <si>
    <t>Abhängigkeit von einer einzigen Bezugsquelle</t>
  </si>
  <si>
    <t>Lieferverzug, Vertragsstrafen</t>
  </si>
  <si>
    <t>Vermeiden</t>
  </si>
  <si>
    <t>Zweitlieferanten qualifizieren und freigeben</t>
  </si>
  <si>
    <t>R-18</t>
  </si>
  <si>
    <t>Qualitätsprobleme bei externen Dienstleistern</t>
  </si>
  <si>
    <t>Unzureichende Auswahl und Bewertung der Partner</t>
  </si>
  <si>
    <t>Mängel, Mehraufwand, Terminverschiebung</t>
  </si>
  <si>
    <t>Bewertungsmatrix einführen, jährliche Lieferantenaudits</t>
  </si>
  <si>
    <t>R-19</t>
  </si>
  <si>
    <t>Reputation &amp; Kommunikation</t>
  </si>
  <si>
    <t>Negative Berichterstattung nach Vorfall</t>
  </si>
  <si>
    <t>Kein abgestimmter Kommunikationsweg im Krisenfall</t>
  </si>
  <si>
    <t>Vertrauensverlust bei Kunden und Bewerbern</t>
  </si>
  <si>
    <t>Unternehmenskommunikation</t>
  </si>
  <si>
    <t>Krisenkommunikationsplan und feste Sprecherregelung</t>
  </si>
  <si>
    <t>R-20</t>
  </si>
  <si>
    <t>Unzufriedenheit wichtiger Bestandskunden</t>
  </si>
  <si>
    <t>Verzögerte Reaktionszeiten im Service</t>
  </si>
  <si>
    <t>Abwanderung und Verlust von Folgeaufträgen</t>
  </si>
  <si>
    <t>Kundenservice</t>
  </si>
  <si>
    <t>Strukturierter Feedbackprozess mit klaren Eskalationsstufen</t>
  </si>
  <si>
    <t>GESAMT · Durchschnittswerte und Summen</t>
  </si>
  <si>
    <t>RISIKOMATRIX 5 × 5  ·  BRUTTO- UND NETTOBETRACHTUNG</t>
  </si>
  <si>
    <t>Anzahl der Risiken je Feld · Vergleich vor und nach Umsetzung der vereinbarten Maßnahmen</t>
  </si>
  <si>
    <t>1 · BRUTTORISIKO – Bewertung ohne Maßnahmen</t>
  </si>
  <si>
    <t>Anzahl Risiken je Feld</t>
  </si>
  <si>
    <t>Eintrittswahrscheinlichkeit</t>
  </si>
  <si>
    <t>Schadensausmaß  ▶</t>
  </si>
  <si>
    <t>2 · NETTORISIKO – Bewertung nach Umsetzung der Maßnahmen</t>
  </si>
  <si>
    <t>3 · RISIKOKLASSEN, BESETZUNG UND HANDLUNGSBEDARF</t>
  </si>
  <si>
    <t>Wertebereich</t>
  </si>
  <si>
    <t>Anzahl brutto</t>
  </si>
  <si>
    <t>Anzahl netto</t>
  </si>
  <si>
    <t>Handlungsbedarf</t>
  </si>
  <si>
    <t>15 bis 25 Punkte</t>
  </si>
  <si>
    <t>Sofortmaßnahmen einleiten, monatliches Reporting</t>
  </si>
  <si>
    <t>10 bis 14 Punkte</t>
  </si>
  <si>
    <t>Maßnahmen verbindlich terminieren und nachhalten</t>
  </si>
  <si>
    <t>5 bis 9 Punkte</t>
  </si>
  <si>
    <t>Maßnahmen planen und im Regelbetrieb umsetzen</t>
  </si>
  <si>
    <t>1 bis 4 Punkte</t>
  </si>
  <si>
    <t>Beobachten, kein gesonderter Maßnahmenplan erforderlich</t>
  </si>
  <si>
    <t>Ablesehilfe: Jedes Feld zeigt, wie viele Risiken des Registers auf die jeweilige Kombination aus Eintrittswahrscheinlichkeit und Schadensausmaß entfallen. Verschieben sich Einträge von der oberen Matrix in die untere nach links unten, wirken die vereinbarten Maßnahmen.</t>
  </si>
  <si>
    <t>BEWERTUNGSSKALEN, LISTEN UND ANLEITUNG</t>
  </si>
  <si>
    <t>Zentrale Konfiguration der Vorlage · alle Auswahllisten und Schwellenwerte werden hier gepflegt</t>
  </si>
  <si>
    <t>1 · EINTRITTSWAHRSCHEINLICHKEIT  (E)</t>
  </si>
  <si>
    <t>4 · AUSWAHLLISTEN</t>
  </si>
  <si>
    <t>Stufe</t>
  </si>
  <si>
    <t>Bezeichnung</t>
  </si>
  <si>
    <t>Beschreibung / Orientierung</t>
  </si>
  <si>
    <t>Erwartete Häufigkeit</t>
  </si>
  <si>
    <t>Rechenwert</t>
  </si>
  <si>
    <t>Bearbeitungsstatus</t>
  </si>
  <si>
    <t>Sehr unwahrscheinlich</t>
  </si>
  <si>
    <t>Ereignis ist theoretisch denkbar, es liegen keine Vorfälle vor</t>
  </si>
  <si>
    <t>seltener als alle 10 Jahre</t>
  </si>
  <si>
    <t>Unwahrscheinlich</t>
  </si>
  <si>
    <t>Einzelne Vorfälle in der Vergangenheit bekannt</t>
  </si>
  <si>
    <t>alle 5 bis 10 Jahre</t>
  </si>
  <si>
    <t>Möglich</t>
  </si>
  <si>
    <t>Tritt gelegentlich auf, Ursachen sind bekannt</t>
  </si>
  <si>
    <t>etwa einmal jährlich</t>
  </si>
  <si>
    <t>Wahrscheinlich</t>
  </si>
  <si>
    <t>Tritt regelmäßig auf, Gegensteuerung greift nur teilweise</t>
  </si>
  <si>
    <t>mehrmals pro Jahr</t>
  </si>
  <si>
    <t>Nahezu sicher</t>
  </si>
  <si>
    <t>Tritt laufend auf oder ist bereits eingetreten</t>
  </si>
  <si>
    <t>monatlich oder häufiger</t>
  </si>
  <si>
    <t>2 · SCHADENSAUSMASS  (A)</t>
  </si>
  <si>
    <t>Finanzieller Richtwert</t>
  </si>
  <si>
    <t>Dauer</t>
  </si>
  <si>
    <t>Marginal</t>
  </si>
  <si>
    <t>Kaum spürbar, Abwicklung im Tagesgeschäft</t>
  </si>
  <si>
    <t>bis 10.000 €</t>
  </si>
  <si>
    <t>&lt; 1 Tag</t>
  </si>
  <si>
    <t>Mehraufwand, keine Auswirkung auf Ziele</t>
  </si>
  <si>
    <t>10.000 – 50.000 €</t>
  </si>
  <si>
    <t>1 – 5 Tage</t>
  </si>
  <si>
    <t>Hinweis: Neue Einträge direkt unterhalb der letzten Zeile ergänzen und den Bereich der Gültigkeitsprüfung im Risikoregister entsprechend erweitern.</t>
  </si>
  <si>
    <t>Ziele werden verfehlt, Kunden bemerken die Störung</t>
  </si>
  <si>
    <t>50.000 – 250.000 €</t>
  </si>
  <si>
    <t>1 – 4 Wochen</t>
  </si>
  <si>
    <t>Schwerwiegend</t>
  </si>
  <si>
    <t>Erhebliche Ergebnis- und Reputationswirkung</t>
  </si>
  <si>
    <t>250.000 – 1.000.000 €</t>
  </si>
  <si>
    <t>1 – 6 Monate</t>
  </si>
  <si>
    <t>Existenzbedrohend</t>
  </si>
  <si>
    <t>Fortbestand oder Geschäftsmodell gefährdet</t>
  </si>
  <si>
    <t>über 1.000.000 €</t>
  </si>
  <si>
    <t>&gt; 6 Monate</t>
  </si>
  <si>
    <t>5 · KURZANLEITUNG</t>
  </si>
  <si>
    <t>3 · RISIKOKLASSEN  (Risikowert = E × A)</t>
  </si>
  <si>
    <t>Schritt 1</t>
  </si>
  <si>
    <t>Risiken im Blatt »Risikoregister« erfassen: Kategorie, Bezeichnung, Ursache, Auswirkung und Risikoeigner.</t>
  </si>
  <si>
    <t>von</t>
  </si>
  <si>
    <t>bis</t>
  </si>
  <si>
    <t>Entscheidungsebene</t>
  </si>
  <si>
    <t>Schritt 2</t>
  </si>
  <si>
    <t>Bruttobewertung vornehmen – Eintrittswahrscheinlichkeit und Schadensausmaß jeweils von 1 bis 5 auswählen.</t>
  </si>
  <si>
    <t>Fachbereich</t>
  </si>
  <si>
    <t>Schritt 3</t>
  </si>
  <si>
    <t>Strategie und Maßnahme festlegen, Frist und Status pflegen.</t>
  </si>
  <si>
    <t>Bereichsleitung</t>
  </si>
  <si>
    <t>Schritt 4</t>
  </si>
  <si>
    <t>Nettobewertung eintragen: erwartete Werte nach vollständiger Umsetzung der Maßnahme.</t>
  </si>
  <si>
    <t>Geschäftsleitung</t>
  </si>
  <si>
    <t>Schritt 5</t>
  </si>
  <si>
    <t>Ergebnisse im »Cockpit« und in der »Risikomatrix« auswerten – beide aktualisieren sich automatisch.</t>
  </si>
  <si>
    <t>Geschäftsführung</t>
  </si>
  <si>
    <t>6 · FARBLEGENDE DER EINGABEN</t>
  </si>
  <si>
    <t>Eingabefeld</t>
  </si>
  <si>
    <t>Hier tragen Sie Ihre eigenen Werte ein.</t>
  </si>
  <si>
    <t>Automatische Berechnung</t>
  </si>
  <si>
    <t>Formelzelle – bitte nicht überschreiben.</t>
  </si>
  <si>
    <t>Wert über das Dropdown der Zelle wählen.</t>
  </si>
  <si>
    <t>RISIKOANALYSE  ·  MANAGEMENT-COCKPIT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</si>
</sst>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dd\.mm\.yyyy"/>
    <numFmt numFmtId="165" formatCode="0.0"/>
    <numFmt numFmtId="166" formatCode="0\ %"/>
    <numFmt numFmtId="167" formatCode="#,##0&quot; €&quot;"/>
    <numFmt numFmtId="168" formatCode="0&quot; · Marginal&quot;"/>
    <numFmt numFmtId="169" formatCode="0&quot; · Gering&quot;"/>
    <numFmt numFmtId="170" formatCode="0&quot; · Spürbar&quot;"/>
    <numFmt numFmtId="171" formatCode="0&quot; · Schwerwiegend&quot;"/>
    <numFmt numFmtId="172" formatCode="0&quot; · Existenzbedrohend&quot;"/>
    <numFmt numFmtId="173" formatCode="0&quot; · Nahezu sicher&quot;"/>
    <numFmt numFmtId="174" formatCode="0;0;\–"/>
    <numFmt numFmtId="175" formatCode="0&quot; · Wahrscheinlich&quot;"/>
    <numFmt numFmtId="176" formatCode="0&quot; · Möglich&quot;"/>
    <numFmt numFmtId="177" formatCode="0&quot; · Unwahrscheinlich&quot;"/>
    <numFmt numFmtId="178" formatCode="0&quot; · Sehr unwahrscheinlich&quot;"/>
  </numFmts>
  <fonts count="51" x14ac:knownFonts="1">
    <font>
      <sz val="11"/>
      <color rgb="FF1F2A30"/>
      <name val="Calibri"/>
      <charset val="1"/>
    </font>
    <font>
      <b/>
      <sz val="17"/>
      <color rgb="FFFFFFFF"/>
      <name val="Calibri"/>
      <charset val="1"/>
    </font>
    <font>
      <sz val="10"/>
      <color rgb="FFD6E7EC"/>
      <name val="Calibri"/>
      <charset val="1"/>
    </font>
    <font>
      <sz val="11"/>
      <color theme="1"/>
      <name val="Calibri"/>
      <family val="2"/>
      <charset val="1"/>
    </font>
    <font>
      <b/>
      <sz val="10"/>
      <color rgb="FF5A6E77"/>
      <name val="Calibri"/>
      <charset val="1"/>
    </font>
    <font>
      <b/>
      <sz val="11"/>
      <color rgb="FF14556B"/>
      <name val="Calibri"/>
      <charset val="1"/>
    </font>
    <font>
      <b/>
      <sz val="11.5"/>
      <color rgb="FF14556B"/>
      <name val="Calibri"/>
      <charset val="1"/>
    </font>
    <font>
      <b/>
      <sz val="9.5"/>
      <color rgb="FFFFFFFF"/>
      <name val="Calibri"/>
      <charset val="1"/>
    </font>
    <font>
      <b/>
      <sz val="22"/>
      <color rgb="FF1E6478"/>
      <name val="Calibri"/>
      <charset val="1"/>
    </font>
    <font>
      <b/>
      <sz val="22"/>
      <color rgb="FFB94A48"/>
      <name val="Calibri"/>
      <charset val="1"/>
    </font>
    <font>
      <b/>
      <sz val="22"/>
      <color rgb="FF3E8C6E"/>
      <name val="Calibri"/>
      <charset val="1"/>
    </font>
    <font>
      <b/>
      <sz val="22"/>
      <color rgb="FFB05B45"/>
      <name val="Calibri"/>
      <charset val="1"/>
    </font>
    <font>
      <i/>
      <sz val="9"/>
      <color rgb="FF6B7F88"/>
      <name val="Calibri"/>
      <charset val="1"/>
    </font>
    <font>
      <b/>
      <sz val="22"/>
      <color rgb="FFC08A2E"/>
      <name val="Calibri"/>
      <charset val="1"/>
    </font>
    <font>
      <b/>
      <sz val="22"/>
      <color rgb="FF1E7A8C"/>
      <name val="Calibri"/>
      <charset val="1"/>
    </font>
    <font>
      <b/>
      <sz val="11.5"/>
      <color rgb="FF1E6478"/>
      <name val="Calibri"/>
      <charset val="1"/>
    </font>
    <font>
      <b/>
      <sz val="11.5"/>
      <color rgb="FF3E8C6E"/>
      <name val="Calibri"/>
      <charset val="1"/>
    </font>
    <font>
      <b/>
      <sz val="10"/>
      <color rgb="FFFFFFFF"/>
      <name val="Calibri"/>
      <charset val="1"/>
    </font>
    <font>
      <b/>
      <sz val="10.5"/>
      <color rgb="FF1F2A30"/>
      <name val="Calibri"/>
      <charset val="1"/>
    </font>
    <font>
      <b/>
      <sz val="11"/>
      <color rgb="FF24404C"/>
      <name val="Calibri"/>
      <charset val="1"/>
    </font>
    <font>
      <sz val="10.5"/>
      <name val="Calibri"/>
      <charset val="1"/>
    </font>
    <font>
      <b/>
      <sz val="10.5"/>
      <color rgb="FFB05B45"/>
      <name val="Calibri"/>
      <charset val="1"/>
    </font>
    <font>
      <b/>
      <sz val="10.5"/>
      <color rgb="FFFFFFFF"/>
      <name val="Calibri"/>
      <charset val="1"/>
    </font>
    <font>
      <b/>
      <sz val="11"/>
      <color rgb="FF3E8C6E"/>
      <name val="Calibri"/>
      <charset val="1"/>
    </font>
    <font>
      <b/>
      <sz val="10.5"/>
      <color rgb="FF3A3120"/>
      <name val="Calibri"/>
      <charset val="1"/>
    </font>
    <font>
      <b/>
      <sz val="10.5"/>
      <name val="Calibri"/>
      <charset val="1"/>
    </font>
    <font>
      <b/>
      <sz val="10.5"/>
      <color rgb="FF24404C"/>
      <name val="Calibri"/>
      <charset val="1"/>
    </font>
    <font>
      <b/>
      <sz val="11.5"/>
      <color rgb="FFB94A48"/>
      <name val="Calibri"/>
      <charset val="1"/>
    </font>
    <font>
      <b/>
      <sz val="10.5"/>
      <color rgb="FF1E6478"/>
      <name val="Calibri"/>
      <charset val="1"/>
    </font>
    <font>
      <b/>
      <sz val="12"/>
      <color rgb="FF24404C"/>
      <name val="Calibri"/>
      <charset val="1"/>
    </font>
    <font>
      <sz val="10"/>
      <color rgb="FF3C5560"/>
      <name val="Calibri"/>
      <charset val="1"/>
    </font>
    <font>
      <i/>
      <sz val="9.5"/>
      <color rgb="FF5A6E77"/>
      <name val="Calibri"/>
      <charset val="1"/>
    </font>
    <font>
      <b/>
      <sz val="10"/>
      <color rgb="FF24404C"/>
      <name val="Calibri"/>
      <charset val="1"/>
    </font>
    <font>
      <sz val="10"/>
      <name val="Calibri"/>
      <charset val="1"/>
    </font>
    <font>
      <b/>
      <sz val="10"/>
      <color rgb="FFB94A48"/>
      <name val="Calibri"/>
      <charset val="1"/>
    </font>
    <font>
      <sz val="10.5"/>
      <color rgb="FF1F2A30"/>
      <name val="Calibri"/>
      <charset val="1"/>
    </font>
    <font>
      <b/>
      <sz val="11"/>
      <color rgb="FFB05B45"/>
      <name val="Calibri"/>
      <charset val="1"/>
    </font>
    <font>
      <b/>
      <sz val="12"/>
      <name val="Calibri"/>
      <charset val="1"/>
    </font>
    <font>
      <sz val="10"/>
      <name val="Arial"/>
      <family val="2"/>
    </font>
    <font>
      <b/>
      <sz val="11.5"/>
      <color rgb="FFB05B45"/>
      <name val="Calibri"/>
      <charset val="1"/>
    </font>
    <font>
      <i/>
      <sz val="9"/>
      <color rgb="FFFFFFFF"/>
      <name val="Calibri"/>
      <charset val="1"/>
    </font>
    <font>
      <b/>
      <sz val="18"/>
      <color rgb="FF3A3120"/>
      <name val="Calibri"/>
      <charset val="1"/>
    </font>
    <font>
      <b/>
      <sz val="18"/>
      <color rgb="FFFFFFFF"/>
      <name val="Calibri"/>
      <charset val="1"/>
    </font>
    <font>
      <b/>
      <sz val="11"/>
      <color rgb="FFFFFFFF"/>
      <name val="Calibri"/>
      <charset val="1"/>
    </font>
    <font>
      <b/>
      <sz val="13"/>
      <color rgb="FF24404C"/>
      <name val="Calibri"/>
      <charset val="1"/>
    </font>
    <font>
      <b/>
      <sz val="11"/>
      <color rgb="FF3A3120"/>
      <name val="Calibri"/>
      <charset val="1"/>
    </font>
    <font>
      <b/>
      <sz val="11.5"/>
      <color rgb="FFC08A2E"/>
      <name val="Calibri"/>
      <charset val="1"/>
    </font>
    <font>
      <b/>
      <sz val="11"/>
      <color rgb="FF1E6478"/>
      <name val="Calibri"/>
      <charset val="1"/>
    </font>
    <font>
      <b/>
      <sz val="10"/>
      <color rgb="FF1E6478"/>
      <name val="Calibri"/>
      <charset val="1"/>
    </font>
    <font>
      <sz val="10.5"/>
      <color rgb="FF3C5560"/>
      <name val="Calibri"/>
      <charset val="1"/>
    </font>
    <font>
      <b/>
      <sz val="10.5"/>
      <color rgb="FF7A5E12"/>
      <name val="Calibri"/>
      <charset val="1"/>
    </font>
  </fonts>
  <fills count="24">
    <fill>
      <patternFill patternType="none"/>
    </fill>
    <fill>
      <patternFill patternType="gray125"/>
    </fill>
    <fill>
      <patternFill patternType="solid">
        <fgColor rgb="FF14556B"/>
        <bgColor rgb="FF2C5566"/>
      </patternFill>
    </fill>
    <fill>
      <patternFill patternType="solid">
        <fgColor rgb="FF1E7A8C"/>
        <bgColor rgb="FF1E6478"/>
      </patternFill>
    </fill>
    <fill>
      <patternFill patternType="solid">
        <fgColor rgb="FFE0A93B"/>
        <bgColor rgb="FFDE8B4A"/>
      </patternFill>
    </fill>
    <fill>
      <patternFill patternType="solid">
        <fgColor rgb="FF1E6478"/>
        <bgColor rgb="FF14556B"/>
      </patternFill>
    </fill>
    <fill>
      <patternFill patternType="solid">
        <fgColor rgb="FFB94A48"/>
        <bgColor rgb="FFB05B45"/>
      </patternFill>
    </fill>
    <fill>
      <patternFill patternType="solid">
        <fgColor rgb="FF3E8C6E"/>
        <bgColor rgb="FF1E7A8C"/>
      </patternFill>
    </fill>
    <fill>
      <patternFill patternType="solid">
        <fgColor rgb="FFB05B45"/>
        <bgColor rgb="FFB94A48"/>
      </patternFill>
    </fill>
    <fill>
      <patternFill patternType="solid">
        <fgColor rgb="FFF5F9FA"/>
        <bgColor rgb="FFEDF3F5"/>
      </patternFill>
    </fill>
    <fill>
      <patternFill patternType="solid">
        <fgColor rgb="FFC08A2E"/>
        <bgColor rgb="FFDE8B4A"/>
      </patternFill>
    </fill>
    <fill>
      <patternFill patternType="solid">
        <fgColor rgb="FFE8F0F3"/>
        <bgColor rgb="FFE7F3EE"/>
      </patternFill>
    </fill>
    <fill>
      <patternFill patternType="solid">
        <fgColor rgb="FFFFFFFF"/>
        <bgColor rgb="FFF5F9FA"/>
      </patternFill>
    </fill>
    <fill>
      <patternFill patternType="solid">
        <fgColor rgb="FFE7F3EE"/>
        <bgColor rgb="FFE8F0F3"/>
      </patternFill>
    </fill>
    <fill>
      <patternFill patternType="solid">
        <fgColor rgb="FFDE8B4A"/>
        <bgColor rgb="FFC08A2E"/>
      </patternFill>
    </fill>
    <fill>
      <patternFill patternType="solid">
        <fgColor rgb="FFE8C55A"/>
        <bgColor rgb="FFE0A93B"/>
      </patternFill>
    </fill>
    <fill>
      <patternFill patternType="solid">
        <fgColor rgb="FFFBF2DE"/>
        <bgColor rgb="FFFBF0D2"/>
      </patternFill>
    </fill>
    <fill>
      <patternFill patternType="solid">
        <fgColor rgb="FFEDF3F5"/>
        <bgColor rgb="FFE8F0F3"/>
      </patternFill>
    </fill>
    <fill>
      <patternFill patternType="solid">
        <fgColor rgb="FF24404C"/>
        <bgColor rgb="FF2C5566"/>
      </patternFill>
    </fill>
    <fill>
      <patternFill patternType="solid">
        <fgColor rgb="FFF5DAD9"/>
        <bgColor rgb="FFFAE3CE"/>
      </patternFill>
    </fill>
    <fill>
      <patternFill patternType="solid">
        <fgColor rgb="FFFAE3CE"/>
        <bgColor rgb="FFF5DAD9"/>
      </patternFill>
    </fill>
    <fill>
      <patternFill patternType="solid">
        <fgColor rgb="FFFBF0D2"/>
        <bgColor rgb="FFFBF2DE"/>
      </patternFill>
    </fill>
    <fill>
      <patternFill patternType="solid">
        <fgColor rgb="FFDDEEE5"/>
        <bgColor rgb="FFE3ECF1"/>
      </patternFill>
    </fill>
    <fill>
      <patternFill patternType="solid">
        <fgColor rgb="FFF8EBE6"/>
        <bgColor rgb="FFFBF2DE"/>
      </patternFill>
    </fill>
  </fills>
  <borders count="16">
    <border>
      <left/>
      <right/>
      <top/>
      <bottom/>
      <diagonal/>
    </border>
    <border>
      <left/>
      <right/>
      <top/>
      <bottom style="thin">
        <color rgb="FFC3D2D8"/>
      </bottom>
      <diagonal/>
    </border>
    <border>
      <left style="thin">
        <color rgb="FFC3D2D8"/>
      </left>
      <right style="thin">
        <color rgb="FFC3D2D8"/>
      </right>
      <top/>
      <bottom/>
      <diagonal/>
    </border>
    <border>
      <left style="thin">
        <color rgb="FFC3D2D8"/>
      </left>
      <right style="thin">
        <color rgb="FFC3D2D8"/>
      </right>
      <top/>
      <bottom style="medium">
        <color rgb="FF1E6478"/>
      </bottom>
      <diagonal/>
    </border>
    <border>
      <left style="thin">
        <color rgb="FFC3D2D8"/>
      </left>
      <right style="thin">
        <color rgb="FFC3D2D8"/>
      </right>
      <top/>
      <bottom style="medium">
        <color rgb="FFB94A48"/>
      </bottom>
      <diagonal/>
    </border>
    <border>
      <left style="thin">
        <color rgb="FFC3D2D8"/>
      </left>
      <right style="thin">
        <color rgb="FFC3D2D8"/>
      </right>
      <top/>
      <bottom style="medium">
        <color rgb="FF3E8C6E"/>
      </bottom>
      <diagonal/>
    </border>
    <border>
      <left style="thin">
        <color rgb="FFC3D2D8"/>
      </left>
      <right style="thin">
        <color rgb="FFC3D2D8"/>
      </right>
      <top/>
      <bottom style="medium">
        <color rgb="FFB05B45"/>
      </bottom>
      <diagonal/>
    </border>
    <border>
      <left style="thin">
        <color rgb="FFC3D2D8"/>
      </left>
      <right style="thin">
        <color rgb="FFC3D2D8"/>
      </right>
      <top/>
      <bottom style="medium">
        <color rgb="FFC08A2E"/>
      </bottom>
      <diagonal/>
    </border>
    <border>
      <left style="thin">
        <color rgb="FFC3D2D8"/>
      </left>
      <right style="thin">
        <color rgb="FFC3D2D8"/>
      </right>
      <top/>
      <bottom style="medium">
        <color rgb="FF1E7A8C"/>
      </bottom>
      <diagonal/>
    </border>
    <border>
      <left style="thin">
        <color rgb="FFC3D2D8"/>
      </left>
      <right style="thin">
        <color rgb="FFC3D2D8"/>
      </right>
      <top style="thin">
        <color rgb="FFC3D2D8"/>
      </top>
      <bottom style="thin">
        <color rgb="FFC3D2D8"/>
      </bottom>
      <diagonal/>
    </border>
    <border>
      <left style="thin">
        <color rgb="FF8FA9B3"/>
      </left>
      <right style="thin">
        <color rgb="FF8FA9B3"/>
      </right>
      <top style="thin">
        <color rgb="FF8FA9B3"/>
      </top>
      <bottom style="thin">
        <color rgb="FF8FA9B3"/>
      </bottom>
      <diagonal/>
    </border>
    <border>
      <left style="thin">
        <color rgb="FFFFFFFF"/>
      </left>
      <right style="thin">
        <color rgb="FFFFFFFF"/>
      </right>
      <top/>
      <bottom/>
      <diagonal/>
    </border>
    <border>
      <left style="thin">
        <color rgb="FFFFFFFF"/>
      </left>
      <right style="thin">
        <color rgb="FFFFFFFF"/>
      </right>
      <top/>
      <bottom style="medium">
        <color rgb="FF24404C"/>
      </bottom>
      <diagonal/>
    </border>
    <border>
      <left/>
      <right/>
      <top style="medium">
        <color rgb="FFE0A93B"/>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42">
    <xf numFmtId="0" fontId="0" fillId="0" borderId="0" xfId="0"/>
    <xf numFmtId="1" fontId="10" fillId="9" borderId="2" xfId="0" applyNumberFormat="1" applyFont="1" applyFill="1" applyBorder="1" applyAlignment="1">
      <alignment horizontal="center" vertical="center"/>
    </xf>
    <xf numFmtId="1" fontId="9" fillId="9" borderId="2" xfId="0" applyNumberFormat="1" applyFont="1" applyFill="1" applyBorder="1" applyAlignment="1">
      <alignment horizontal="center" vertical="center"/>
    </xf>
    <xf numFmtId="1" fontId="8" fillId="9" borderId="2" xfId="0" applyNumberFormat="1" applyFont="1" applyFill="1" applyBorder="1" applyAlignment="1">
      <alignment horizontal="center" vertical="center"/>
    </xf>
    <xf numFmtId="0" fontId="7" fillId="8" borderId="0" xfId="0" applyFont="1" applyFill="1" applyAlignment="1">
      <alignment horizontal="center" vertical="center" wrapText="1"/>
    </xf>
    <xf numFmtId="0" fontId="7" fillId="7" borderId="0" xfId="0" applyFont="1" applyFill="1" applyAlignment="1">
      <alignment horizontal="center" vertical="center" wrapText="1"/>
    </xf>
    <xf numFmtId="0" fontId="7" fillId="6" borderId="0" xfId="0" applyFont="1" applyFill="1" applyAlignment="1">
      <alignment horizontal="center" vertical="center" wrapText="1"/>
    </xf>
    <xf numFmtId="0" fontId="7" fillId="5" borderId="0" xfId="0" applyFont="1" applyFill="1" applyAlignment="1">
      <alignment horizontal="center" vertical="center" wrapText="1"/>
    </xf>
    <xf numFmtId="49" fontId="5" fillId="0" borderId="1" xfId="0" applyNumberFormat="1" applyFont="1" applyBorder="1" applyAlignment="1">
      <alignment horizontal="left" vertical="center"/>
    </xf>
    <xf numFmtId="164" fontId="5" fillId="0" borderId="1" xfId="0" applyNumberFormat="1" applyFont="1" applyBorder="1" applyAlignment="1">
      <alignment horizontal="left" vertical="center"/>
    </xf>
    <xf numFmtId="0" fontId="5" fillId="0" borderId="1" xfId="0" applyFont="1" applyBorder="1" applyAlignment="1">
      <alignment horizontal="left" vertical="center"/>
    </xf>
    <xf numFmtId="0" fontId="4" fillId="0" borderId="0" xfId="0" applyFont="1" applyAlignment="1">
      <alignment horizontal="left" vertical="center"/>
    </xf>
    <xf numFmtId="0" fontId="3" fillId="4" borderId="0" xfId="0" applyFont="1" applyFill="1"/>
    <xf numFmtId="0" fontId="2" fillId="3" borderId="0" xfId="0" applyFont="1" applyFill="1" applyAlignment="1">
      <alignment horizontal="left" vertical="center" indent="1"/>
    </xf>
    <xf numFmtId="0" fontId="1" fillId="2" borderId="0" xfId="0" applyFont="1" applyFill="1" applyAlignment="1">
      <alignment horizontal="left" vertical="center" indent="1"/>
    </xf>
    <xf numFmtId="0" fontId="6"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7" fillId="5" borderId="9" xfId="0" applyFont="1" applyFill="1" applyBorder="1" applyAlignment="1">
      <alignment horizontal="center" vertical="center" wrapText="1"/>
    </xf>
    <xf numFmtId="0" fontId="17" fillId="7" borderId="9" xfId="0" applyFont="1" applyFill="1" applyBorder="1" applyAlignment="1">
      <alignment horizontal="center" vertical="center" wrapText="1"/>
    </xf>
    <xf numFmtId="1" fontId="19" fillId="12" borderId="9" xfId="0" applyNumberFormat="1" applyFont="1" applyFill="1" applyBorder="1" applyAlignment="1">
      <alignment horizontal="center" vertical="center"/>
    </xf>
    <xf numFmtId="165" fontId="20" fillId="12" borderId="9" xfId="0" applyNumberFormat="1" applyFont="1" applyFill="1" applyBorder="1" applyAlignment="1">
      <alignment horizontal="center" vertical="center"/>
    </xf>
    <xf numFmtId="167" fontId="21" fillId="12" borderId="9" xfId="0" applyNumberFormat="1" applyFont="1" applyFill="1" applyBorder="1" applyAlignment="1">
      <alignment horizontal="right" vertical="center" indent="1"/>
    </xf>
    <xf numFmtId="166" fontId="23" fillId="13" borderId="9" xfId="0" applyNumberFormat="1" applyFont="1" applyFill="1" applyBorder="1" applyAlignment="1">
      <alignment horizontal="center" vertical="center"/>
    </xf>
    <xf numFmtId="166" fontId="26" fillId="13" borderId="9" xfId="0" applyNumberFormat="1" applyFont="1" applyFill="1" applyBorder="1" applyAlignment="1">
      <alignment horizontal="center" vertical="center"/>
    </xf>
    <xf numFmtId="0" fontId="27" fillId="0" borderId="0" xfId="0" applyFont="1" applyAlignment="1">
      <alignment horizontal="left" vertical="center"/>
    </xf>
    <xf numFmtId="0" fontId="17" fillId="6" borderId="9" xfId="0" applyFont="1" applyFill="1" applyBorder="1" applyAlignment="1">
      <alignment horizontal="center" vertical="center" wrapText="1"/>
    </xf>
    <xf numFmtId="0" fontId="28" fillId="11" borderId="9" xfId="0" applyFont="1" applyFill="1" applyBorder="1" applyAlignment="1">
      <alignment horizontal="center" vertical="center"/>
    </xf>
    <xf numFmtId="1" fontId="29" fillId="17" borderId="9" xfId="0" applyNumberFormat="1" applyFont="1" applyFill="1" applyBorder="1" applyAlignment="1">
      <alignment horizontal="center" vertical="center"/>
    </xf>
    <xf numFmtId="0" fontId="25" fillId="17" borderId="9" xfId="0" applyFont="1" applyFill="1" applyBorder="1" applyAlignment="1">
      <alignment horizontal="center" vertical="center"/>
    </xf>
    <xf numFmtId="0" fontId="25" fillId="16" borderId="9" xfId="0" applyFont="1" applyFill="1" applyBorder="1" applyAlignment="1">
      <alignment horizontal="center" vertical="center"/>
    </xf>
    <xf numFmtId="0" fontId="32" fillId="0" borderId="0" xfId="0" applyFont="1"/>
    <xf numFmtId="0" fontId="33" fillId="12" borderId="10" xfId="0" applyFont="1" applyFill="1" applyBorder="1" applyAlignment="1">
      <alignment horizontal="center" vertical="center"/>
    </xf>
    <xf numFmtId="0" fontId="33" fillId="17" borderId="10" xfId="0" applyFont="1" applyFill="1" applyBorder="1" applyAlignment="1">
      <alignment horizontal="center" vertical="center"/>
    </xf>
    <xf numFmtId="0" fontId="33" fillId="16" borderId="10" xfId="0" applyFont="1" applyFill="1" applyBorder="1" applyAlignment="1">
      <alignment horizontal="center" vertical="center"/>
    </xf>
    <xf numFmtId="0" fontId="34" fillId="0" borderId="0" xfId="0" applyFont="1"/>
    <xf numFmtId="0" fontId="17" fillId="5" borderId="12" xfId="0" applyFont="1" applyFill="1" applyBorder="1" applyAlignment="1">
      <alignment horizontal="center" vertical="center" wrapText="1"/>
    </xf>
    <xf numFmtId="0" fontId="17" fillId="8" borderId="12" xfId="0" applyFont="1" applyFill="1" applyBorder="1" applyAlignment="1">
      <alignment horizontal="center" vertical="center" wrapText="1"/>
    </xf>
    <xf numFmtId="0" fontId="17" fillId="10" borderId="12"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35" fillId="16" borderId="9" xfId="0" applyFont="1" applyFill="1" applyBorder="1" applyAlignment="1">
      <alignment horizontal="left" vertical="center" wrapText="1" indent="1"/>
    </xf>
    <xf numFmtId="0" fontId="18" fillId="12" borderId="9" xfId="0" applyFont="1" applyFill="1" applyBorder="1" applyAlignment="1">
      <alignment horizontal="left" vertical="center" wrapText="1" indent="1"/>
    </xf>
    <xf numFmtId="0" fontId="35" fillId="12" borderId="9" xfId="0" applyFont="1" applyFill="1" applyBorder="1" applyAlignment="1">
      <alignment horizontal="left" vertical="center" wrapText="1" indent="1"/>
    </xf>
    <xf numFmtId="0" fontId="36" fillId="16" borderId="9" xfId="0" applyFont="1" applyFill="1" applyBorder="1" applyAlignment="1">
      <alignment horizontal="center" vertical="center"/>
    </xf>
    <xf numFmtId="0" fontId="37" fillId="17" borderId="9" xfId="0" applyFont="1" applyFill="1" applyBorder="1" applyAlignment="1">
      <alignment horizontal="center" vertical="center"/>
    </xf>
    <xf numFmtId="167" fontId="35" fillId="12" borderId="9" xfId="0" applyNumberFormat="1" applyFont="1" applyFill="1" applyBorder="1" applyAlignment="1">
      <alignment horizontal="right" vertical="center" indent="1"/>
    </xf>
    <xf numFmtId="167" fontId="21" fillId="17" borderId="9" xfId="0" applyNumberFormat="1" applyFont="1" applyFill="1" applyBorder="1" applyAlignment="1">
      <alignment horizontal="right" vertical="center" indent="1"/>
    </xf>
    <xf numFmtId="0" fontId="35" fillId="16" borderId="9" xfId="0" applyFont="1" applyFill="1" applyBorder="1" applyAlignment="1">
      <alignment horizontal="center" vertical="center"/>
    </xf>
    <xf numFmtId="164" fontId="35" fillId="12" borderId="9" xfId="0" applyNumberFormat="1" applyFont="1" applyFill="1" applyBorder="1" applyAlignment="1">
      <alignment horizontal="center" vertical="center"/>
    </xf>
    <xf numFmtId="0" fontId="23" fillId="16" borderId="9" xfId="0" applyFont="1" applyFill="1" applyBorder="1" applyAlignment="1">
      <alignment horizontal="center" vertical="center"/>
    </xf>
    <xf numFmtId="166" fontId="26" fillId="17" borderId="9" xfId="0" applyNumberFormat="1" applyFont="1" applyFill="1" applyBorder="1" applyAlignment="1">
      <alignment horizontal="center" vertical="center"/>
    </xf>
    <xf numFmtId="165" fontId="22" fillId="18" borderId="13" xfId="0" applyNumberFormat="1" applyFont="1" applyFill="1" applyBorder="1" applyAlignment="1">
      <alignment horizontal="center" vertical="center"/>
    </xf>
    <xf numFmtId="0" fontId="22" fillId="18" borderId="13" xfId="0" applyFont="1" applyFill="1" applyBorder="1" applyAlignment="1">
      <alignment horizontal="center" vertical="center"/>
    </xf>
    <xf numFmtId="167" fontId="22" fillId="18" borderId="13" xfId="0" applyNumberFormat="1" applyFont="1" applyFill="1" applyBorder="1" applyAlignment="1">
      <alignment horizontal="center" vertical="center"/>
    </xf>
    <xf numFmtId="166" fontId="22" fillId="18" borderId="13" xfId="0" applyNumberFormat="1" applyFont="1" applyFill="1" applyBorder="1" applyAlignment="1">
      <alignment horizontal="center" vertical="center"/>
    </xf>
    <xf numFmtId="0" fontId="39" fillId="0" borderId="0" xfId="0" applyFont="1" applyAlignment="1">
      <alignment horizontal="left" vertical="center"/>
    </xf>
    <xf numFmtId="0" fontId="40" fillId="18" borderId="9" xfId="0" applyFont="1" applyFill="1" applyBorder="1" applyAlignment="1">
      <alignment horizontal="center" vertical="center"/>
    </xf>
    <xf numFmtId="168" fontId="17" fillId="18" borderId="11" xfId="0" applyNumberFormat="1" applyFont="1" applyFill="1" applyBorder="1" applyAlignment="1">
      <alignment horizontal="center" vertical="center" wrapText="1"/>
    </xf>
    <xf numFmtId="169" fontId="17" fillId="18" borderId="11" xfId="0" applyNumberFormat="1" applyFont="1" applyFill="1" applyBorder="1" applyAlignment="1">
      <alignment horizontal="center" vertical="center" wrapText="1"/>
    </xf>
    <xf numFmtId="170" fontId="17" fillId="18" borderId="11" xfId="0" applyNumberFormat="1" applyFont="1" applyFill="1" applyBorder="1" applyAlignment="1">
      <alignment horizontal="center" vertical="center" wrapText="1"/>
    </xf>
    <xf numFmtId="171" fontId="17" fillId="18" borderId="11" xfId="0" applyNumberFormat="1" applyFont="1" applyFill="1" applyBorder="1" applyAlignment="1">
      <alignment horizontal="center" vertical="center" wrapText="1"/>
    </xf>
    <xf numFmtId="172" fontId="17" fillId="18" borderId="11" xfId="0" applyNumberFormat="1" applyFont="1" applyFill="1" applyBorder="1" applyAlignment="1">
      <alignment horizontal="center" vertical="center" wrapText="1"/>
    </xf>
    <xf numFmtId="173" fontId="17" fillId="18" borderId="14" xfId="0" applyNumberFormat="1" applyFont="1" applyFill="1" applyBorder="1" applyAlignment="1">
      <alignment horizontal="right" vertical="center" indent="1"/>
    </xf>
    <xf numFmtId="174" fontId="41" fillId="15" borderId="15" xfId="0" applyNumberFormat="1" applyFont="1" applyFill="1" applyBorder="1" applyAlignment="1">
      <alignment horizontal="center" vertical="center"/>
    </xf>
    <xf numFmtId="174" fontId="42" fillId="14" borderId="15" xfId="0" applyNumberFormat="1" applyFont="1" applyFill="1" applyBorder="1" applyAlignment="1">
      <alignment horizontal="center" vertical="center"/>
    </xf>
    <xf numFmtId="174" fontId="42" fillId="6" borderId="15" xfId="0" applyNumberFormat="1" applyFont="1" applyFill="1" applyBorder="1" applyAlignment="1">
      <alignment horizontal="center" vertical="center"/>
    </xf>
    <xf numFmtId="175" fontId="17" fillId="18" borderId="14" xfId="0" applyNumberFormat="1" applyFont="1" applyFill="1" applyBorder="1" applyAlignment="1">
      <alignment horizontal="right" vertical="center" indent="1"/>
    </xf>
    <xf numFmtId="174" fontId="42" fillId="7" borderId="15" xfId="0" applyNumberFormat="1" applyFont="1" applyFill="1" applyBorder="1" applyAlignment="1">
      <alignment horizontal="center" vertical="center"/>
    </xf>
    <xf numFmtId="176" fontId="17" fillId="18" borderId="14" xfId="0" applyNumberFormat="1" applyFont="1" applyFill="1" applyBorder="1" applyAlignment="1">
      <alignment horizontal="right" vertical="center" indent="1"/>
    </xf>
    <xf numFmtId="177" fontId="17" fillId="18" borderId="14" xfId="0" applyNumberFormat="1" applyFont="1" applyFill="1" applyBorder="1" applyAlignment="1">
      <alignment horizontal="right" vertical="center" indent="1"/>
    </xf>
    <xf numFmtId="178" fontId="17" fillId="18" borderId="14" xfId="0" applyNumberFormat="1" applyFont="1" applyFill="1" applyBorder="1" applyAlignment="1">
      <alignment horizontal="right" vertical="center" indent="1"/>
    </xf>
    <xf numFmtId="0" fontId="17" fillId="18" borderId="9" xfId="0" applyFont="1" applyFill="1" applyBorder="1" applyAlignment="1">
      <alignment horizontal="center" vertical="center" wrapText="1"/>
    </xf>
    <xf numFmtId="0" fontId="26" fillId="19" borderId="9" xfId="0" applyFont="1" applyFill="1" applyBorder="1" applyAlignment="1">
      <alignment horizontal="center" vertical="center"/>
    </xf>
    <xf numFmtId="1" fontId="44" fillId="12" borderId="9" xfId="0" applyNumberFormat="1" applyFont="1" applyFill="1" applyBorder="1" applyAlignment="1">
      <alignment horizontal="center" vertical="center"/>
    </xf>
    <xf numFmtId="0" fontId="26" fillId="20" borderId="9" xfId="0" applyFont="1" applyFill="1" applyBorder="1" applyAlignment="1">
      <alignment horizontal="center" vertical="center"/>
    </xf>
    <xf numFmtId="0" fontId="26" fillId="21" borderId="9" xfId="0" applyFont="1" applyFill="1" applyBorder="1" applyAlignment="1">
      <alignment horizontal="center" vertical="center"/>
    </xf>
    <xf numFmtId="0" fontId="26" fillId="22" borderId="9" xfId="0" applyFont="1" applyFill="1" applyBorder="1" applyAlignment="1">
      <alignment horizontal="center" vertical="center"/>
    </xf>
    <xf numFmtId="0" fontId="46" fillId="0" borderId="0" xfId="0" applyFont="1" applyAlignment="1">
      <alignment horizontal="left" vertical="center"/>
    </xf>
    <xf numFmtId="0" fontId="17" fillId="10" borderId="9" xfId="0" applyFont="1" applyFill="1" applyBorder="1" applyAlignment="1">
      <alignment horizontal="center" vertical="center"/>
    </xf>
    <xf numFmtId="0" fontId="47" fillId="11" borderId="9" xfId="0" applyFont="1" applyFill="1" applyBorder="1" applyAlignment="1">
      <alignment horizontal="center" vertical="center"/>
    </xf>
    <xf numFmtId="0" fontId="25" fillId="12" borderId="9" xfId="0" applyFont="1" applyFill="1" applyBorder="1" applyAlignment="1">
      <alignment horizontal="left" vertical="center" indent="1"/>
    </xf>
    <xf numFmtId="0" fontId="20" fillId="12" borderId="9" xfId="0" applyFont="1" applyFill="1" applyBorder="1" applyAlignment="1">
      <alignment horizontal="left" vertical="center" wrapText="1"/>
    </xf>
    <xf numFmtId="0" fontId="20" fillId="12" borderId="9" xfId="0" applyFont="1" applyFill="1" applyBorder="1" applyAlignment="1">
      <alignment horizontal="center" vertical="center" wrapText="1"/>
    </xf>
    <xf numFmtId="166" fontId="28" fillId="11" borderId="9" xfId="0" applyNumberFormat="1" applyFont="1" applyFill="1" applyBorder="1" applyAlignment="1">
      <alignment horizontal="center" vertical="center"/>
    </xf>
    <xf numFmtId="0" fontId="20" fillId="12" borderId="9" xfId="0" applyFont="1" applyFill="1" applyBorder="1" applyAlignment="1">
      <alignment horizontal="left" vertical="center" indent="1"/>
    </xf>
    <xf numFmtId="0" fontId="17" fillId="8" borderId="9" xfId="0" applyFont="1" applyFill="1" applyBorder="1" applyAlignment="1">
      <alignment horizontal="center" vertical="center" wrapText="1"/>
    </xf>
    <xf numFmtId="0" fontId="36" fillId="23" borderId="9" xfId="0" applyFont="1" applyFill="1" applyBorder="1" applyAlignment="1">
      <alignment horizontal="center" vertical="center"/>
    </xf>
    <xf numFmtId="0" fontId="48" fillId="11" borderId="9" xfId="0" applyFont="1" applyFill="1" applyBorder="1" applyAlignment="1">
      <alignment horizontal="center" vertical="center"/>
    </xf>
    <xf numFmtId="0" fontId="25" fillId="12" borderId="9" xfId="0" applyFont="1" applyFill="1" applyBorder="1" applyAlignment="1">
      <alignment horizontal="center" vertical="center"/>
    </xf>
    <xf numFmtId="0" fontId="22" fillId="7" borderId="9" xfId="0" applyFont="1" applyFill="1" applyBorder="1" applyAlignment="1">
      <alignment horizontal="center" vertical="center"/>
    </xf>
    <xf numFmtId="0" fontId="24" fillId="15" borderId="9" xfId="0" applyFont="1" applyFill="1" applyBorder="1" applyAlignment="1">
      <alignment horizontal="center" vertical="center"/>
    </xf>
    <xf numFmtId="0" fontId="22" fillId="14" borderId="9" xfId="0" applyFont="1" applyFill="1" applyBorder="1" applyAlignment="1">
      <alignment horizontal="center" vertical="center"/>
    </xf>
    <xf numFmtId="0" fontId="22" fillId="6" borderId="9" xfId="0" applyFont="1" applyFill="1" applyBorder="1" applyAlignment="1">
      <alignment horizontal="center" vertical="center"/>
    </xf>
    <xf numFmtId="0" fontId="18" fillId="12" borderId="10" xfId="0" applyFont="1" applyFill="1" applyBorder="1" applyAlignment="1">
      <alignment horizontal="center" vertical="center"/>
    </xf>
    <xf numFmtId="0" fontId="28" fillId="17" borderId="10" xfId="0" applyFont="1" applyFill="1" applyBorder="1" applyAlignment="1">
      <alignment horizontal="center" vertical="center"/>
    </xf>
    <xf numFmtId="0" fontId="50" fillId="16" borderId="10" xfId="0" applyFont="1" applyFill="1" applyBorder="1" applyAlignment="1">
      <alignment horizontal="center" vertical="center"/>
    </xf>
    <xf numFmtId="165" fontId="11" fillId="9" borderId="2" xfId="0" applyNumberFormat="1" applyFont="1" applyFill="1" applyBorder="1" applyAlignment="1">
      <alignment horizontal="center" vertical="center"/>
    </xf>
    <xf numFmtId="165" fontId="10" fillId="9" borderId="2" xfId="0" applyNumberFormat="1" applyFont="1" applyFill="1" applyBorder="1" applyAlignment="1">
      <alignment horizontal="center" vertical="center"/>
    </xf>
    <xf numFmtId="0" fontId="12" fillId="9" borderId="3" xfId="0" applyFont="1" applyFill="1" applyBorder="1" applyAlignment="1">
      <alignment horizontal="center" vertical="center"/>
    </xf>
    <xf numFmtId="0" fontId="12" fillId="9" borderId="4" xfId="0" applyFont="1" applyFill="1" applyBorder="1" applyAlignment="1">
      <alignment horizontal="center" vertical="center"/>
    </xf>
    <xf numFmtId="0" fontId="12" fillId="9" borderId="5" xfId="0" applyFont="1" applyFill="1" applyBorder="1" applyAlignment="1">
      <alignment horizontal="center" vertical="center"/>
    </xf>
    <xf numFmtId="0" fontId="12" fillId="9" borderId="6" xfId="0" applyFont="1" applyFill="1" applyBorder="1" applyAlignment="1">
      <alignment horizontal="center" vertical="center"/>
    </xf>
    <xf numFmtId="0" fontId="7" fillId="10" borderId="0" xfId="0" applyFont="1" applyFill="1" applyAlignment="1">
      <alignment horizontal="center" vertical="center" wrapText="1"/>
    </xf>
    <xf numFmtId="0" fontId="7" fillId="3" borderId="0" xfId="0" applyFont="1" applyFill="1" applyAlignment="1">
      <alignment horizontal="center" vertical="center" wrapText="1"/>
    </xf>
    <xf numFmtId="166" fontId="10" fillId="9" borderId="2" xfId="0" applyNumberFormat="1" applyFont="1" applyFill="1" applyBorder="1" applyAlignment="1">
      <alignment horizontal="center" vertical="center"/>
    </xf>
    <xf numFmtId="167" fontId="11" fillId="9" borderId="2" xfId="0" applyNumberFormat="1" applyFont="1" applyFill="1" applyBorder="1" applyAlignment="1">
      <alignment horizontal="center" vertical="center"/>
    </xf>
    <xf numFmtId="1" fontId="13" fillId="9" borderId="2" xfId="0" applyNumberFormat="1" applyFont="1" applyFill="1" applyBorder="1" applyAlignment="1">
      <alignment horizontal="center" vertical="center"/>
    </xf>
    <xf numFmtId="1" fontId="14" fillId="9" borderId="2" xfId="0" applyNumberFormat="1" applyFont="1" applyFill="1" applyBorder="1" applyAlignment="1">
      <alignment horizontal="center" vertical="center"/>
    </xf>
    <xf numFmtId="0" fontId="12" fillId="9" borderId="7" xfId="0" applyFont="1" applyFill="1" applyBorder="1" applyAlignment="1">
      <alignment horizontal="center" vertical="center"/>
    </xf>
    <xf numFmtId="0" fontId="12" fillId="9" borderId="8" xfId="0" applyFont="1" applyFill="1" applyBorder="1" applyAlignment="1">
      <alignment horizontal="center" vertical="center"/>
    </xf>
    <xf numFmtId="0" fontId="17" fillId="5" borderId="9" xfId="0" applyFont="1" applyFill="1" applyBorder="1" applyAlignment="1">
      <alignment horizontal="left" vertical="center" indent="1"/>
    </xf>
    <xf numFmtId="0" fontId="17" fillId="7" borderId="9" xfId="0" applyFont="1" applyFill="1" applyBorder="1" applyAlignment="1">
      <alignment horizontal="left" vertical="center" indent="1"/>
    </xf>
    <xf numFmtId="0" fontId="18" fillId="11" borderId="9" xfId="0" applyFont="1" applyFill="1" applyBorder="1" applyAlignment="1">
      <alignment horizontal="left" vertical="center" indent="1"/>
    </xf>
    <xf numFmtId="0" fontId="22" fillId="6" borderId="9" xfId="0" applyFont="1" applyFill="1" applyBorder="1" applyAlignment="1">
      <alignment horizontal="left" vertical="center" indent="1"/>
    </xf>
    <xf numFmtId="0" fontId="22" fillId="14" borderId="9" xfId="0" applyFont="1" applyFill="1" applyBorder="1" applyAlignment="1">
      <alignment horizontal="left" vertical="center" indent="1"/>
    </xf>
    <xf numFmtId="0" fontId="24" fillId="15" borderId="9" xfId="0" applyFont="1" applyFill="1" applyBorder="1" applyAlignment="1">
      <alignment horizontal="left" vertical="center" indent="1"/>
    </xf>
    <xf numFmtId="0" fontId="22" fillId="7" borderId="9" xfId="0" applyFont="1" applyFill="1" applyBorder="1" applyAlignment="1">
      <alignment horizontal="left" vertical="center" indent="1"/>
    </xf>
    <xf numFmtId="0" fontId="17" fillId="10" borderId="9" xfId="0" applyFont="1" applyFill="1" applyBorder="1" applyAlignment="1">
      <alignment horizontal="left" vertical="center" indent="1"/>
    </xf>
    <xf numFmtId="0" fontId="25" fillId="16" borderId="9" xfId="0" applyFont="1" applyFill="1" applyBorder="1" applyAlignment="1">
      <alignment horizontal="left" vertical="center" indent="1"/>
    </xf>
    <xf numFmtId="1" fontId="19" fillId="12" borderId="9" xfId="0" applyNumberFormat="1" applyFont="1" applyFill="1" applyBorder="1" applyAlignment="1">
      <alignment horizontal="center" vertical="center"/>
    </xf>
    <xf numFmtId="0" fontId="17" fillId="6" borderId="9" xfId="0" applyFont="1" applyFill="1" applyBorder="1" applyAlignment="1">
      <alignment horizontal="center" vertical="center" wrapText="1"/>
    </xf>
    <xf numFmtId="0" fontId="18" fillId="12" borderId="9" xfId="0" applyFont="1" applyFill="1" applyBorder="1" applyAlignment="1">
      <alignment horizontal="left" vertical="center" indent="1"/>
    </xf>
    <xf numFmtId="0" fontId="30" fillId="12" borderId="9" xfId="0" applyFont="1" applyFill="1" applyBorder="1" applyAlignment="1">
      <alignment horizontal="left" vertical="center" indent="1"/>
    </xf>
    <xf numFmtId="0" fontId="31" fillId="9" borderId="9" xfId="0" applyFont="1" applyFill="1" applyBorder="1" applyAlignment="1">
      <alignment horizontal="left" vertical="top" wrapText="1" indent="1"/>
    </xf>
    <xf numFmtId="0" fontId="22" fillId="5" borderId="11" xfId="0" applyFont="1" applyFill="1" applyBorder="1" applyAlignment="1">
      <alignment horizontal="center" vertical="center"/>
    </xf>
    <xf numFmtId="0" fontId="22" fillId="8" borderId="11" xfId="0" applyFont="1" applyFill="1" applyBorder="1" applyAlignment="1">
      <alignment horizontal="center" vertical="center"/>
    </xf>
    <xf numFmtId="0" fontId="22" fillId="10" borderId="11" xfId="0" applyFont="1" applyFill="1" applyBorder="1" applyAlignment="1">
      <alignment horizontal="center" vertical="center"/>
    </xf>
    <xf numFmtId="0" fontId="22" fillId="7" borderId="11" xfId="0" applyFont="1" applyFill="1" applyBorder="1" applyAlignment="1">
      <alignment horizontal="center" vertical="center"/>
    </xf>
    <xf numFmtId="0" fontId="22" fillId="18" borderId="13" xfId="0" applyFont="1" applyFill="1" applyBorder="1" applyAlignment="1">
      <alignment horizontal="left" vertical="center" indent="1"/>
    </xf>
    <xf numFmtId="0" fontId="7" fillId="8" borderId="0" xfId="0" applyFont="1" applyFill="1" applyAlignment="1">
      <alignment horizontal="center" vertical="center" textRotation="90"/>
    </xf>
    <xf numFmtId="0" fontId="7" fillId="8" borderId="0" xfId="0" applyFont="1" applyFill="1" applyAlignment="1">
      <alignment horizontal="center" vertical="center"/>
    </xf>
    <xf numFmtId="0" fontId="7" fillId="7" borderId="0" xfId="0" applyFont="1" applyFill="1" applyAlignment="1">
      <alignment horizontal="center" vertical="center" textRotation="90"/>
    </xf>
    <xf numFmtId="0" fontId="7" fillId="7" borderId="0" xfId="0" applyFont="1" applyFill="1" applyAlignment="1">
      <alignment horizontal="center" vertical="center"/>
    </xf>
    <xf numFmtId="0" fontId="17" fillId="18" borderId="9" xfId="0" applyFont="1" applyFill="1" applyBorder="1" applyAlignment="1">
      <alignment horizontal="center" vertical="center" wrapText="1"/>
    </xf>
    <xf numFmtId="0" fontId="43" fillId="6" borderId="9" xfId="0" applyFont="1" applyFill="1" applyBorder="1" applyAlignment="1">
      <alignment horizontal="center" vertical="center"/>
    </xf>
    <xf numFmtId="0" fontId="33" fillId="12" borderId="9" xfId="0" applyFont="1" applyFill="1" applyBorder="1" applyAlignment="1">
      <alignment horizontal="left" vertical="center" wrapText="1" indent="1"/>
    </xf>
    <xf numFmtId="0" fontId="43" fillId="14" borderId="9" xfId="0" applyFont="1" applyFill="1" applyBorder="1" applyAlignment="1">
      <alignment horizontal="center" vertical="center"/>
    </xf>
    <xf numFmtId="0" fontId="45" fillId="15" borderId="9" xfId="0" applyFont="1" applyFill="1" applyBorder="1" applyAlignment="1">
      <alignment horizontal="center" vertical="center"/>
    </xf>
    <xf numFmtId="0" fontId="43" fillId="7" borderId="9" xfId="0" applyFont="1" applyFill="1" applyBorder="1" applyAlignment="1">
      <alignment horizontal="center" vertical="center"/>
    </xf>
    <xf numFmtId="0" fontId="31" fillId="0" borderId="0" xfId="0" applyFont="1" applyAlignment="1">
      <alignment horizontal="left" vertical="top" wrapText="1"/>
    </xf>
    <xf numFmtId="0" fontId="20" fillId="12" borderId="9" xfId="0" applyFont="1" applyFill="1" applyBorder="1" applyAlignment="1">
      <alignment horizontal="left" vertical="center" wrapText="1"/>
    </xf>
    <xf numFmtId="0" fontId="49" fillId="0" borderId="0" xfId="0" applyFont="1" applyAlignment="1">
      <alignment horizontal="left" vertical="center" wrapText="1" indent="1"/>
    </xf>
  </cellXfs>
  <cellStyles count="1">
    <cellStyle name="Standard" xfId="0" builtinId="0"/>
  </cellStyles>
  <dxfs count="35">
    <dxf>
      <font>
        <sz val="14"/>
        <color rgb="FFFFFFFF"/>
        <name val="Calibri"/>
        <charset val="1"/>
      </font>
    </dxf>
    <dxf>
      <font>
        <sz val="14"/>
        <color rgb="FFFFFFFF"/>
        <name val="Calibri"/>
        <charset val="1"/>
      </font>
    </dxf>
    <dxf>
      <font>
        <b/>
        <sz val="10"/>
        <color rgb="FFFFFFFF"/>
        <name val="Calibri"/>
        <charset val="1"/>
      </font>
      <fill>
        <patternFill>
          <bgColor rgb="FF3E8C6E"/>
        </patternFill>
      </fill>
    </dxf>
    <dxf>
      <font>
        <b/>
        <sz val="10"/>
        <color rgb="FF3A3120"/>
        <name val="Calibri"/>
        <charset val="1"/>
      </font>
      <fill>
        <patternFill>
          <bgColor rgb="FFE8C55A"/>
        </patternFill>
      </fill>
    </dxf>
    <dxf>
      <font>
        <b/>
        <sz val="10"/>
        <color rgb="FFFFFFFF"/>
        <name val="Calibri"/>
        <charset val="1"/>
      </font>
      <fill>
        <patternFill>
          <bgColor rgb="FFDE8B4A"/>
        </patternFill>
      </fill>
    </dxf>
    <dxf>
      <font>
        <b/>
        <sz val="10"/>
        <color rgb="FFFFFFFF"/>
        <name val="Calibri"/>
        <charset val="1"/>
      </font>
      <fill>
        <patternFill>
          <bgColor rgb="FFB94A48"/>
        </patternFill>
      </fill>
    </dxf>
    <dxf>
      <font>
        <b/>
        <sz val="12"/>
        <color rgb="FF1F6B4F"/>
        <name val="Calibri"/>
        <charset val="1"/>
      </font>
      <fill>
        <patternFill>
          <bgColor rgb="FFDDEEE5"/>
        </patternFill>
      </fill>
    </dxf>
    <dxf>
      <font>
        <b/>
        <sz val="12"/>
        <color rgb="FF6B5514"/>
        <name val="Calibri"/>
        <charset val="1"/>
      </font>
      <fill>
        <patternFill>
          <bgColor rgb="FFFBF0D2"/>
        </patternFill>
      </fill>
    </dxf>
    <dxf>
      <font>
        <b/>
        <sz val="12"/>
        <color rgb="FF8A4A1E"/>
        <name val="Calibri"/>
        <charset val="1"/>
      </font>
      <fill>
        <patternFill>
          <bgColor rgb="FFFAE3CE"/>
        </patternFill>
      </fill>
    </dxf>
    <dxf>
      <font>
        <b/>
        <sz val="12"/>
        <color rgb="FFB94A48"/>
        <name val="Calibri"/>
        <charset val="1"/>
      </font>
      <fill>
        <patternFill>
          <bgColor rgb="FFF5DAD9"/>
        </patternFill>
      </fill>
    </dxf>
    <dxf>
      <font>
        <b/>
        <sz val="10"/>
        <color rgb="FF2C5566"/>
        <name val="Calibri"/>
        <charset val="1"/>
      </font>
      <fill>
        <patternFill>
          <bgColor rgb="FFE3ECF1"/>
        </patternFill>
      </fill>
    </dxf>
    <dxf>
      <font>
        <b/>
        <sz val="10"/>
        <color rgb="FF1F6B4F"/>
        <name val="Calibri"/>
        <charset val="1"/>
      </font>
      <fill>
        <patternFill>
          <bgColor rgb="FFDDEEE5"/>
        </patternFill>
      </fill>
    </dxf>
    <dxf>
      <font>
        <b/>
        <sz val="10"/>
        <color rgb="FF7A5E12"/>
        <name val="Calibri"/>
        <charset val="1"/>
      </font>
      <fill>
        <patternFill>
          <bgColor rgb="FFFBF0D2"/>
        </patternFill>
      </fill>
    </dxf>
    <dxf>
      <font>
        <b/>
        <sz val="10"/>
        <color rgb="FF8E2F2D"/>
        <name val="Calibri"/>
        <charset val="1"/>
      </font>
      <fill>
        <patternFill>
          <bgColor rgb="FFF5DAD9"/>
        </patternFill>
      </fill>
    </dxf>
    <dxf>
      <font>
        <b/>
        <sz val="10"/>
        <color rgb="FF8E2F2D"/>
        <name val="Calibri"/>
        <charset val="1"/>
      </font>
      <fill>
        <patternFill>
          <bgColor rgb="FFF5DAD9"/>
        </patternFill>
      </fill>
    </dxf>
    <dxf>
      <font>
        <b/>
        <sz val="10"/>
        <color rgb="FFFFFFFF"/>
        <name val="Calibri"/>
        <charset val="1"/>
      </font>
      <fill>
        <patternFill>
          <bgColor rgb="FF3E8C6E"/>
        </patternFill>
      </fill>
    </dxf>
    <dxf>
      <font>
        <b/>
        <sz val="10"/>
        <color rgb="FF3A3120"/>
        <name val="Calibri"/>
        <charset val="1"/>
      </font>
      <fill>
        <patternFill>
          <bgColor rgb="FFE8C55A"/>
        </patternFill>
      </fill>
    </dxf>
    <dxf>
      <font>
        <b/>
        <sz val="10"/>
        <color rgb="FFFFFFFF"/>
        <name val="Calibri"/>
        <charset val="1"/>
      </font>
      <fill>
        <patternFill>
          <bgColor rgb="FFDE8B4A"/>
        </patternFill>
      </fill>
    </dxf>
    <dxf>
      <font>
        <b/>
        <sz val="10"/>
        <color rgb="FFFFFFFF"/>
        <name val="Calibri"/>
        <charset val="1"/>
      </font>
      <fill>
        <patternFill>
          <bgColor rgb="FFB94A48"/>
        </patternFill>
      </fill>
    </dxf>
    <dxf>
      <font>
        <b/>
        <sz val="12"/>
        <color rgb="FF1F6B4F"/>
        <name val="Calibri"/>
        <charset val="1"/>
      </font>
      <fill>
        <patternFill>
          <bgColor rgb="FFDDEEE5"/>
        </patternFill>
      </fill>
    </dxf>
    <dxf>
      <font>
        <b/>
        <sz val="12"/>
        <color rgb="FF6B5514"/>
        <name val="Calibri"/>
        <charset val="1"/>
      </font>
      <fill>
        <patternFill>
          <bgColor rgb="FFFBF0D2"/>
        </patternFill>
      </fill>
    </dxf>
    <dxf>
      <font>
        <b/>
        <sz val="12"/>
        <color rgb="FF8A4A1E"/>
        <name val="Calibri"/>
        <charset val="1"/>
      </font>
      <fill>
        <patternFill>
          <bgColor rgb="FFFAE3CE"/>
        </patternFill>
      </fill>
    </dxf>
    <dxf>
      <font>
        <b/>
        <sz val="12"/>
        <color rgb="FFB94A48"/>
        <name val="Calibri"/>
        <charset val="1"/>
      </font>
      <fill>
        <patternFill>
          <bgColor rgb="FFF5DAD9"/>
        </patternFill>
      </fill>
    </dxf>
    <dxf>
      <font>
        <b/>
        <sz val="10"/>
        <color rgb="FF2C5566"/>
        <name val="Calibri"/>
        <charset val="1"/>
      </font>
      <fill>
        <patternFill>
          <bgColor rgb="FFE3ECF1"/>
        </patternFill>
      </fill>
    </dxf>
    <dxf>
      <font>
        <b/>
        <sz val="10"/>
        <color rgb="FF1F6B4F"/>
        <name val="Calibri"/>
        <charset val="1"/>
      </font>
      <fill>
        <patternFill>
          <bgColor rgb="FFDDEEE5"/>
        </patternFill>
      </fill>
    </dxf>
    <dxf>
      <font>
        <b/>
        <sz val="10"/>
        <color rgb="FF7A5E12"/>
        <name val="Calibri"/>
        <charset val="1"/>
      </font>
      <fill>
        <patternFill>
          <bgColor rgb="FFFBF0D2"/>
        </patternFill>
      </fill>
    </dxf>
    <dxf>
      <font>
        <b/>
        <sz val="10"/>
        <color rgb="FF8E2F2D"/>
        <name val="Calibri"/>
        <charset val="1"/>
      </font>
      <fill>
        <patternFill>
          <bgColor rgb="FFF5DAD9"/>
        </patternFill>
      </fill>
    </dxf>
    <dxf>
      <font>
        <b/>
        <sz val="10"/>
        <color rgb="FFFFFFFF"/>
        <name val="Calibri"/>
        <charset val="1"/>
      </font>
      <fill>
        <patternFill>
          <bgColor rgb="FF3E8C6E"/>
        </patternFill>
      </fill>
    </dxf>
    <dxf>
      <font>
        <b/>
        <sz val="10"/>
        <color rgb="FF3A3120"/>
        <name val="Calibri"/>
        <charset val="1"/>
      </font>
      <fill>
        <patternFill>
          <bgColor rgb="FFE8C55A"/>
        </patternFill>
      </fill>
    </dxf>
    <dxf>
      <font>
        <b/>
        <sz val="10"/>
        <color rgb="FFFFFFFF"/>
        <name val="Calibri"/>
        <charset val="1"/>
      </font>
      <fill>
        <patternFill>
          <bgColor rgb="FFDE8B4A"/>
        </patternFill>
      </fill>
    </dxf>
    <dxf>
      <font>
        <b/>
        <sz val="10"/>
        <color rgb="FFFFFFFF"/>
        <name val="Calibri"/>
        <charset val="1"/>
      </font>
      <fill>
        <patternFill>
          <bgColor rgb="FFB94A48"/>
        </patternFill>
      </fill>
    </dxf>
    <dxf>
      <font>
        <b/>
        <sz val="12"/>
        <color rgb="FF1F6B4F"/>
        <name val="Calibri"/>
        <charset val="1"/>
      </font>
      <fill>
        <patternFill>
          <bgColor rgb="FFDDEEE5"/>
        </patternFill>
      </fill>
    </dxf>
    <dxf>
      <font>
        <b/>
        <sz val="12"/>
        <color rgb="FF6B5514"/>
        <name val="Calibri"/>
        <charset val="1"/>
      </font>
      <fill>
        <patternFill>
          <bgColor rgb="FFFBF0D2"/>
        </patternFill>
      </fill>
    </dxf>
    <dxf>
      <font>
        <b/>
        <sz val="12"/>
        <color rgb="FF8A4A1E"/>
        <name val="Calibri"/>
        <charset val="1"/>
      </font>
      <fill>
        <patternFill>
          <bgColor rgb="FFFAE3CE"/>
        </patternFill>
      </fill>
    </dxf>
    <dxf>
      <font>
        <b/>
        <sz val="12"/>
        <color rgb="FFB94A48"/>
        <name val="Calibri"/>
        <charset val="1"/>
      </font>
      <fill>
        <patternFill>
          <bgColor rgb="FFF5DAD9"/>
        </patternFill>
      </fill>
    </dxf>
  </dxfs>
  <tableStyles count="0" defaultTableStyle="TableStyleMedium2" defaultPivotStyle="PivotStyleLight16"/>
  <colors>
    <indexedColors>
      <rgbColor rgb="FF000000"/>
      <rgbColor rgb="FFFFFFFF"/>
      <rgbColor rgb="FFFF0000"/>
      <rgbColor rgb="FF00FF00"/>
      <rgbColor rgb="FF0000FF"/>
      <rgbColor rgb="FFEDF3F5"/>
      <rgbColor rgb="FFFF00FF"/>
      <rgbColor rgb="FF00FFFF"/>
      <rgbColor rgb="FF6B5514"/>
      <rgbColor rgb="FF1F6B4F"/>
      <rgbColor rgb="FF000080"/>
      <rgbColor rgb="FF7A5E12"/>
      <rgbColor rgb="FFB05B45"/>
      <rgbColor rgb="FF1E7A8C"/>
      <rgbColor rgb="FFD6E7EC"/>
      <rgbColor rgb="FF6B7F88"/>
      <rgbColor rgb="FF9999FF"/>
      <rgbColor rgb="FFB94A48"/>
      <rgbColor rgb="FFFBF2DE"/>
      <rgbColor rgb="FFE7F3EE"/>
      <rgbColor rgb="FF660066"/>
      <rgbColor rgb="FFDE8B4A"/>
      <rgbColor rgb="FF14556B"/>
      <rgbColor rgb="FFC3D2D8"/>
      <rgbColor rgb="FF000080"/>
      <rgbColor rgb="FFFF00FF"/>
      <rgbColor rgb="FFF5F9FA"/>
      <rgbColor rgb="FF00FFFF"/>
      <rgbColor rgb="FF800080"/>
      <rgbColor rgb="FF800000"/>
      <rgbColor rgb="FF1E6478"/>
      <rgbColor rgb="FF0000FF"/>
      <rgbColor rgb="FF00CCFF"/>
      <rgbColor rgb="FFE8F0F3"/>
      <rgbColor rgb="FFDDEEE5"/>
      <rgbColor rgb="FFFBF0D2"/>
      <rgbColor rgb="FFE3ECF1"/>
      <rgbColor rgb="FFFAE3CE"/>
      <rgbColor rgb="FFF8EBE6"/>
      <rgbColor rgb="FFF5DAD9"/>
      <rgbColor rgb="FF3366FF"/>
      <rgbColor rgb="FF33CCCC"/>
      <rgbColor rgb="FF99CC00"/>
      <rgbColor rgb="FFE8C55A"/>
      <rgbColor rgb="FFE0A93B"/>
      <rgbColor rgb="FFC08A2E"/>
      <rgbColor rgb="FF5A6E77"/>
      <rgbColor rgb="FF8FA9B3"/>
      <rgbColor rgb="FF24404C"/>
      <rgbColor rgb="FF3E8C6E"/>
      <rgbColor rgb="FF3C5560"/>
      <rgbColor rgb="FF1F2A30"/>
      <rgbColor rgb="FF8E2F2D"/>
      <rgbColor rgb="FF8A4A1E"/>
      <rgbColor rgb="FF2C5566"/>
      <rgbColor rgb="FF3A312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4556B"/>
    <pageSetUpPr fitToPage="1"/>
  </sheetPr>
  <dimension ref="A1:L44"/>
  <sheetViews>
    <sheetView showGridLines="0" tabSelected="1" zoomScaleNormal="100" workbookViewId="0">
      <selection activeCell="A2" sqref="A2:L2"/>
    </sheetView>
  </sheetViews>
  <sheetFormatPr baseColWidth="10" defaultColWidth="8.7109375" defaultRowHeight="15" x14ac:dyDescent="0.25"/>
  <cols>
    <col min="1" max="1" width="2.42578125" customWidth="1"/>
    <col min="2" max="11" width="14" customWidth="1"/>
    <col min="12" max="12" width="2.42578125" customWidth="1"/>
  </cols>
  <sheetData>
    <row r="1" spans="1:12" ht="33.75" customHeight="1" x14ac:dyDescent="0.25">
      <c r="A1" s="14" t="s">
        <v>301</v>
      </c>
      <c r="B1" s="14"/>
      <c r="C1" s="14"/>
      <c r="D1" s="14"/>
      <c r="E1" s="14"/>
      <c r="F1" s="14"/>
      <c r="G1" s="14"/>
      <c r="H1" s="14"/>
      <c r="I1" s="14"/>
      <c r="J1" s="14"/>
      <c r="K1" s="14"/>
      <c r="L1" s="14"/>
    </row>
    <row r="2" spans="1:12" ht="18" customHeight="1" x14ac:dyDescent="0.25">
      <c r="A2" s="13" t="s">
        <v>0</v>
      </c>
      <c r="B2" s="13"/>
      <c r="C2" s="13"/>
      <c r="D2" s="13"/>
      <c r="E2" s="13"/>
      <c r="F2" s="13"/>
      <c r="G2" s="13"/>
      <c r="H2" s="13"/>
      <c r="I2" s="13"/>
      <c r="J2" s="13"/>
      <c r="K2" s="13"/>
      <c r="L2" s="13"/>
    </row>
    <row r="3" spans="1:12" ht="4.5" customHeight="1" x14ac:dyDescent="0.25">
      <c r="A3" s="12"/>
      <c r="B3" s="12"/>
      <c r="C3" s="12"/>
      <c r="D3" s="12"/>
      <c r="E3" s="12"/>
      <c r="F3" s="12"/>
      <c r="G3" s="12"/>
      <c r="H3" s="12"/>
      <c r="I3" s="12"/>
      <c r="J3" s="12"/>
      <c r="K3" s="12"/>
      <c r="L3" s="12"/>
    </row>
    <row r="5" spans="1:12" ht="18.75" customHeight="1" x14ac:dyDescent="0.25">
      <c r="B5" s="11" t="s">
        <v>1</v>
      </c>
      <c r="C5" s="11"/>
      <c r="D5" s="10" t="s">
        <v>2</v>
      </c>
      <c r="E5" s="10"/>
      <c r="F5" s="10"/>
      <c r="H5" s="11" t="s">
        <v>3</v>
      </c>
      <c r="I5" s="11"/>
      <c r="J5" s="9">
        <f ca="1">TODAY()</f>
        <v>46239</v>
      </c>
      <c r="K5" s="9"/>
    </row>
    <row r="6" spans="1:12" ht="18.75" customHeight="1" x14ac:dyDescent="0.25">
      <c r="B6" s="11" t="s">
        <v>4</v>
      </c>
      <c r="C6" s="11"/>
      <c r="D6" s="10" t="s">
        <v>5</v>
      </c>
      <c r="E6" s="10"/>
      <c r="F6" s="10"/>
      <c r="H6" s="11" t="s">
        <v>6</v>
      </c>
      <c r="I6" s="11"/>
      <c r="J6" s="9">
        <f>IFERROR(MIN(Risikoregister!$V$8:$V$37),"")</f>
        <v>46295</v>
      </c>
      <c r="K6" s="9"/>
    </row>
    <row r="7" spans="1:12" ht="18.75" customHeight="1" x14ac:dyDescent="0.25">
      <c r="B7" s="11" t="s">
        <v>7</v>
      </c>
      <c r="C7" s="11"/>
      <c r="D7" s="10" t="s">
        <v>8</v>
      </c>
      <c r="E7" s="10"/>
      <c r="F7" s="10"/>
      <c r="H7" s="11" t="s">
        <v>9</v>
      </c>
      <c r="I7" s="11"/>
      <c r="J7" s="8" t="s">
        <v>10</v>
      </c>
      <c r="K7" s="8"/>
    </row>
    <row r="9" spans="1:12" ht="24" customHeight="1" x14ac:dyDescent="0.25">
      <c r="B9" s="15" t="s">
        <v>11</v>
      </c>
    </row>
    <row r="11" spans="1:12" ht="25.5" customHeight="1" x14ac:dyDescent="0.25">
      <c r="B11" s="7" t="s">
        <v>12</v>
      </c>
      <c r="C11" s="7"/>
      <c r="D11" s="6" t="s">
        <v>13</v>
      </c>
      <c r="E11" s="6"/>
      <c r="F11" s="5" t="s">
        <v>14</v>
      </c>
      <c r="G11" s="5"/>
      <c r="H11" s="4" t="s">
        <v>15</v>
      </c>
      <c r="I11" s="4"/>
      <c r="J11" s="5" t="s">
        <v>16</v>
      </c>
      <c r="K11" s="5"/>
    </row>
    <row r="12" spans="1:12" ht="36" customHeight="1" x14ac:dyDescent="0.25">
      <c r="B12" s="3">
        <f>COUNTA(Risikoregister!$C$8:$C$37)</f>
        <v>20</v>
      </c>
      <c r="C12" s="3"/>
      <c r="D12" s="2">
        <f>COUNTIF(Risikoregister!$J$8:$J$37,"Kritisch")</f>
        <v>1</v>
      </c>
      <c r="E12" s="2"/>
      <c r="F12" s="1">
        <f>COUNTIF(Risikoregister!$T$8:$T$37,"Kritisch")</f>
        <v>0</v>
      </c>
      <c r="G12" s="1"/>
      <c r="H12" s="96">
        <f>IFERROR(ROUND(AVERAGE(Risikoregister!$I$8:$I$37),1),0)</f>
        <v>10</v>
      </c>
      <c r="I12" s="96"/>
      <c r="J12" s="97">
        <f>IFERROR(ROUND(AVERAGE(Risikoregister!$S$8:$S$37),1),0)</f>
        <v>6.1</v>
      </c>
      <c r="K12" s="97"/>
    </row>
    <row r="13" spans="1:12" ht="15.75" customHeight="1" x14ac:dyDescent="0.25">
      <c r="B13" s="98" t="s">
        <v>17</v>
      </c>
      <c r="C13" s="98"/>
      <c r="D13" s="99" t="s">
        <v>18</v>
      </c>
      <c r="E13" s="99"/>
      <c r="F13" s="100" t="s">
        <v>19</v>
      </c>
      <c r="G13" s="100"/>
      <c r="H13" s="101" t="s">
        <v>20</v>
      </c>
      <c r="I13" s="101"/>
      <c r="J13" s="100" t="s">
        <v>20</v>
      </c>
      <c r="K13" s="100"/>
    </row>
    <row r="16" spans="1:12" ht="25.5" customHeight="1" x14ac:dyDescent="0.25">
      <c r="B16" s="5" t="s">
        <v>21</v>
      </c>
      <c r="C16" s="5"/>
      <c r="D16" s="4" t="s">
        <v>22</v>
      </c>
      <c r="E16" s="4"/>
      <c r="F16" s="102" t="s">
        <v>23</v>
      </c>
      <c r="G16" s="102"/>
      <c r="H16" s="103" t="s">
        <v>24</v>
      </c>
      <c r="I16" s="103"/>
      <c r="J16" s="6" t="s">
        <v>25</v>
      </c>
      <c r="K16" s="6"/>
    </row>
    <row r="17" spans="2:11" ht="36" customHeight="1" x14ac:dyDescent="0.25">
      <c r="B17" s="104">
        <f>IFERROR(1-SUM(Risikoregister!$S$8:$S$37)/SUM(Risikoregister!$I$8:$I$37),0)</f>
        <v>0.39</v>
      </c>
      <c r="C17" s="104"/>
      <c r="D17" s="105">
        <f>SUM(Risikoregister!$L$8:$L$37)</f>
        <v>1461900</v>
      </c>
      <c r="E17" s="105"/>
      <c r="F17" s="106">
        <f>COUNTIF(Risikoregister!$P$8:$P$37,"Offen")</f>
        <v>8</v>
      </c>
      <c r="G17" s="106"/>
      <c r="H17" s="107">
        <f>COUNTIF(Risikoregister!$P$8:$P$37,"In Umsetzung")</f>
        <v>8</v>
      </c>
      <c r="I17" s="107"/>
      <c r="J17" s="2">
        <f ca="1">COUNTIFS(Risikoregister!$O$8:$O$37,"&lt;"&amp;TODAY(),Risikoregister!$O$8:$O$37,"&gt;0",Risikoregister!$P$8:$P$37,"Offen")+COUNTIFS(Risikoregister!$O$8:$O$37,"&lt;"&amp;TODAY(),Risikoregister!$O$8:$O$37,"&gt;0",Risikoregister!$P$8:$P$37,"In Umsetzung")</f>
        <v>2</v>
      </c>
      <c r="K17" s="2"/>
    </row>
    <row r="18" spans="2:11" ht="15.75" customHeight="1" x14ac:dyDescent="0.25">
      <c r="B18" s="100" t="s">
        <v>26</v>
      </c>
      <c r="C18" s="100"/>
      <c r="D18" s="101" t="s">
        <v>27</v>
      </c>
      <c r="E18" s="101"/>
      <c r="F18" s="108" t="s">
        <v>28</v>
      </c>
      <c r="G18" s="108"/>
      <c r="H18" s="109" t="s">
        <v>29</v>
      </c>
      <c r="I18" s="109"/>
      <c r="J18" s="99" t="s">
        <v>30</v>
      </c>
      <c r="K18" s="99"/>
    </row>
    <row r="22" spans="2:11" ht="24" customHeight="1" x14ac:dyDescent="0.25">
      <c r="B22" s="16" t="s">
        <v>31</v>
      </c>
      <c r="G22" s="17" t="s">
        <v>32</v>
      </c>
    </row>
    <row r="23" spans="2:11" x14ac:dyDescent="0.25">
      <c r="B23" s="110" t="s">
        <v>33</v>
      </c>
      <c r="C23" s="110"/>
      <c r="D23" s="18" t="s">
        <v>34</v>
      </c>
      <c r="E23" s="18" t="s">
        <v>35</v>
      </c>
      <c r="F23" s="18" t="s">
        <v>36</v>
      </c>
      <c r="G23" s="111" t="s">
        <v>37</v>
      </c>
      <c r="H23" s="111"/>
      <c r="I23" s="19" t="s">
        <v>38</v>
      </c>
      <c r="J23" s="19" t="s">
        <v>39</v>
      </c>
      <c r="K23" s="19" t="s">
        <v>40</v>
      </c>
    </row>
    <row r="24" spans="2:11" ht="21.75" customHeight="1" x14ac:dyDescent="0.25">
      <c r="B24" s="112" t="str">
        <f>Bewertungsskalen!$G$7</f>
        <v>Markt &amp; Wettbewerb</v>
      </c>
      <c r="C24" s="112"/>
      <c r="D24" s="20">
        <f>COUNTIF(Risikoregister!$B$8:$B$37,$B24)</f>
        <v>3</v>
      </c>
      <c r="E24" s="21">
        <f>IFERROR(ROUND(AVERAGEIF(Risikoregister!$B$8:$B$37,$B24,Risikoregister!$S$8:$S$37),1),0)</f>
        <v>8.3000000000000007</v>
      </c>
      <c r="F24" s="22">
        <f>SUMIF(Risikoregister!$B$8:$B$37,$B24,Risikoregister!$L$8:$L$37)</f>
        <v>374500</v>
      </c>
      <c r="G24" s="113" t="s">
        <v>41</v>
      </c>
      <c r="H24" s="113"/>
      <c r="I24" s="20">
        <f>COUNTIF(Risikoregister!$J$8:$J$37,$G24)</f>
        <v>1</v>
      </c>
      <c r="J24" s="20">
        <f>COUNTIF(Risikoregister!$T$8:$T$37,$G24)</f>
        <v>0</v>
      </c>
      <c r="K24" s="23">
        <f>IFERROR($J24/COUNTA(Risikoregister!$C$8:$C$37),0)</f>
        <v>0</v>
      </c>
    </row>
    <row r="25" spans="2:11" ht="21.75" customHeight="1" x14ac:dyDescent="0.25">
      <c r="B25" s="112" t="str">
        <f>Bewertungsskalen!$G$8</f>
        <v>Finanzen &amp; Liquidität</v>
      </c>
      <c r="C25" s="112"/>
      <c r="D25" s="20">
        <f>COUNTIF(Risikoregister!$B$8:$B$37,$B25)</f>
        <v>3</v>
      </c>
      <c r="E25" s="21">
        <f>IFERROR(ROUND(AVERAGEIF(Risikoregister!$B$8:$B$37,$B25,Risikoregister!$S$8:$S$37),1),0)</f>
        <v>6.7</v>
      </c>
      <c r="F25" s="22">
        <f>SUMIF(Risikoregister!$B$8:$B$37,$B25,Risikoregister!$L$8:$L$37)</f>
        <v>267500</v>
      </c>
      <c r="G25" s="114" t="s">
        <v>42</v>
      </c>
      <c r="H25" s="114"/>
      <c r="I25" s="20">
        <f>COUNTIF(Risikoregister!$J$8:$J$37,$G25)</f>
        <v>9</v>
      </c>
      <c r="J25" s="20">
        <f>COUNTIF(Risikoregister!$T$8:$T$37,$G25)</f>
        <v>0</v>
      </c>
      <c r="K25" s="23">
        <f>IFERROR($J25/COUNTA(Risikoregister!$C$8:$C$37),0)</f>
        <v>0</v>
      </c>
    </row>
    <row r="26" spans="2:11" ht="21.75" customHeight="1" x14ac:dyDescent="0.25">
      <c r="B26" s="112" t="str">
        <f>Bewertungsskalen!$G$9</f>
        <v>Prozesse &amp; Abläufe</v>
      </c>
      <c r="C26" s="112"/>
      <c r="D26" s="20">
        <f>COUNTIF(Risikoregister!$B$8:$B$37,$B26)</f>
        <v>3</v>
      </c>
      <c r="E26" s="21">
        <f>IFERROR(ROUND(AVERAGEIF(Risikoregister!$B$8:$B$37,$B26,Risikoregister!$S$8:$S$37),1),0)</f>
        <v>4.7</v>
      </c>
      <c r="F26" s="22">
        <f>SUMIF(Risikoregister!$B$8:$B$37,$B26,Risikoregister!$L$8:$L$37)</f>
        <v>72900</v>
      </c>
      <c r="G26" s="115" t="s">
        <v>43</v>
      </c>
      <c r="H26" s="115"/>
      <c r="I26" s="20">
        <f>COUNTIF(Risikoregister!$J$8:$J$37,$G26)</f>
        <v>10</v>
      </c>
      <c r="J26" s="20">
        <f>COUNTIF(Risikoregister!$T$8:$T$37,$G26)</f>
        <v>14</v>
      </c>
      <c r="K26" s="23">
        <f>IFERROR($J26/COUNTA(Risikoregister!$C$8:$C$37),0)</f>
        <v>0.7</v>
      </c>
    </row>
    <row r="27" spans="2:11" ht="21.75" customHeight="1" x14ac:dyDescent="0.25">
      <c r="B27" s="112" t="str">
        <f>Bewertungsskalen!$G$10</f>
        <v>Technik &amp; IT-Systeme</v>
      </c>
      <c r="C27" s="112"/>
      <c r="D27" s="20">
        <f>COUNTIF(Risikoregister!$B$8:$B$37,$B27)</f>
        <v>3</v>
      </c>
      <c r="E27" s="21">
        <f>IFERROR(ROUND(AVERAGEIF(Risikoregister!$B$8:$B$37,$B27,Risikoregister!$S$8:$S$37),1),0)</f>
        <v>6</v>
      </c>
      <c r="F27" s="22">
        <f>SUMIF(Risikoregister!$B$8:$B$37,$B27,Risikoregister!$L$8:$L$37)</f>
        <v>367500</v>
      </c>
      <c r="G27" s="116" t="s">
        <v>44</v>
      </c>
      <c r="H27" s="116"/>
      <c r="I27" s="20">
        <f>COUNTIF(Risikoregister!$J$8:$J$37,$G27)</f>
        <v>0</v>
      </c>
      <c r="J27" s="20">
        <f>COUNTIF(Risikoregister!$T$8:$T$37,$G27)</f>
        <v>6</v>
      </c>
      <c r="K27" s="23">
        <f>IFERROR($J27/COUNTA(Risikoregister!$C$8:$C$37),0)</f>
        <v>0.3</v>
      </c>
    </row>
    <row r="28" spans="2:11" ht="19.5" customHeight="1" x14ac:dyDescent="0.25">
      <c r="B28" s="112" t="str">
        <f>Bewertungsskalen!$G$11</f>
        <v>Personal &amp; Know-how</v>
      </c>
      <c r="C28" s="112"/>
      <c r="D28" s="20">
        <f>COUNTIF(Risikoregister!$B$8:$B$37,$B28)</f>
        <v>2</v>
      </c>
      <c r="E28" s="21">
        <f>IFERROR(ROUND(AVERAGEIF(Risikoregister!$B$8:$B$37,$B28,Risikoregister!$S$8:$S$37),1),0)</f>
        <v>7.5</v>
      </c>
      <c r="F28" s="22">
        <f>SUMIF(Risikoregister!$B$8:$B$37,$B28,Risikoregister!$L$8:$L$37)</f>
        <v>130500</v>
      </c>
    </row>
    <row r="29" spans="2:11" ht="19.5" customHeight="1" x14ac:dyDescent="0.25">
      <c r="B29" s="112" t="str">
        <f>Bewertungsskalen!$G$12</f>
        <v>Recht &amp; Regulatorik</v>
      </c>
      <c r="C29" s="112"/>
      <c r="D29" s="20">
        <f>COUNTIF(Risikoregister!$B$8:$B$37,$B29)</f>
        <v>2</v>
      </c>
      <c r="E29" s="21">
        <f>IFERROR(ROUND(AVERAGEIF(Risikoregister!$B$8:$B$37,$B29,Risikoregister!$S$8:$S$37),1),0)</f>
        <v>5</v>
      </c>
      <c r="F29" s="22">
        <f>SUMIF(Risikoregister!$B$8:$B$37,$B29,Risikoregister!$L$8:$L$37)</f>
        <v>64000</v>
      </c>
      <c r="G29" s="117" t="s">
        <v>45</v>
      </c>
      <c r="H29" s="117"/>
      <c r="I29" s="117"/>
      <c r="J29" s="117"/>
      <c r="K29" s="117"/>
    </row>
    <row r="30" spans="2:11" ht="19.5" customHeight="1" x14ac:dyDescent="0.25">
      <c r="B30" s="112" t="str">
        <f>Bewertungsskalen!$G$13</f>
        <v>Lieferkette &amp; Partner</v>
      </c>
      <c r="C30" s="112"/>
      <c r="D30" s="20">
        <f>COUNTIF(Risikoregister!$B$8:$B$37,$B30)</f>
        <v>2</v>
      </c>
      <c r="E30" s="21">
        <f>IFERROR(ROUND(AVERAGEIF(Risikoregister!$B$8:$B$37,$B30,Risikoregister!$S$8:$S$37),1),0)</f>
        <v>5</v>
      </c>
      <c r="F30" s="22">
        <f>SUMIF(Risikoregister!$B$8:$B$37,$B30,Risikoregister!$L$8:$L$37)</f>
        <v>112000</v>
      </c>
      <c r="G30" s="118" t="s">
        <v>46</v>
      </c>
      <c r="H30" s="118"/>
      <c r="I30" s="119">
        <f>COUNTIF(Risikoregister!$P$8:$P$37,$G30)</f>
        <v>8</v>
      </c>
      <c r="J30" s="119"/>
      <c r="K30" s="24">
        <f>IFERROR($I30/COUNTA(Risikoregister!$C$8:$C$37),0)</f>
        <v>0.4</v>
      </c>
    </row>
    <row r="31" spans="2:11" ht="19.5" customHeight="1" x14ac:dyDescent="0.25">
      <c r="B31" s="112" t="str">
        <f>Bewertungsskalen!$G$14</f>
        <v>Reputation &amp; Kommunikation</v>
      </c>
      <c r="C31" s="112"/>
      <c r="D31" s="20">
        <f>COUNTIF(Risikoregister!$B$8:$B$37,$B31)</f>
        <v>2</v>
      </c>
      <c r="E31" s="21">
        <f>IFERROR(ROUND(AVERAGEIF(Risikoregister!$B$8:$B$37,$B31,Risikoregister!$S$8:$S$37),1),0)</f>
        <v>5</v>
      </c>
      <c r="F31" s="22">
        <f>SUMIF(Risikoregister!$B$8:$B$37,$B31,Risikoregister!$L$8:$L$37)</f>
        <v>73000</v>
      </c>
      <c r="G31" s="118" t="s">
        <v>47</v>
      </c>
      <c r="H31" s="118"/>
      <c r="I31" s="119">
        <f>COUNTIF(Risikoregister!$P$8:$P$37,$G31)</f>
        <v>8</v>
      </c>
      <c r="J31" s="119"/>
      <c r="K31" s="24">
        <f>IFERROR($I31/COUNTA(Risikoregister!$C$8:$C$37),0)</f>
        <v>0.4</v>
      </c>
    </row>
    <row r="32" spans="2:11" ht="19.5" customHeight="1" x14ac:dyDescent="0.25">
      <c r="G32" s="118" t="s">
        <v>48</v>
      </c>
      <c r="H32" s="118"/>
      <c r="I32" s="119">
        <f>COUNTIF(Risikoregister!$P$8:$P$37,$G32)</f>
        <v>2</v>
      </c>
      <c r="J32" s="119"/>
      <c r="K32" s="24">
        <f>IFERROR($I32/COUNTA(Risikoregister!$C$8:$C$37),0)</f>
        <v>0.1</v>
      </c>
    </row>
    <row r="33" spans="2:11" ht="19.5" customHeight="1" x14ac:dyDescent="0.25">
      <c r="G33" s="118" t="s">
        <v>49</v>
      </c>
      <c r="H33" s="118"/>
      <c r="I33" s="119">
        <f>COUNTIF(Risikoregister!$P$8:$P$37,$G33)</f>
        <v>2</v>
      </c>
      <c r="J33" s="119"/>
      <c r="K33" s="24">
        <f>IFERROR($I33/COUNTA(Risikoregister!$C$8:$C$37),0)</f>
        <v>0.1</v>
      </c>
    </row>
    <row r="35" spans="2:11" ht="25.5" customHeight="1" x14ac:dyDescent="0.25">
      <c r="B35" s="25" t="s">
        <v>50</v>
      </c>
    </row>
    <row r="36" spans="2:11" ht="15" customHeight="1" x14ac:dyDescent="0.25">
      <c r="B36" s="26" t="s">
        <v>51</v>
      </c>
      <c r="C36" s="120" t="s">
        <v>52</v>
      </c>
      <c r="D36" s="120"/>
      <c r="E36" s="120"/>
      <c r="F36" s="26" t="s">
        <v>53</v>
      </c>
      <c r="G36" s="120" t="s">
        <v>54</v>
      </c>
      <c r="H36" s="120"/>
      <c r="I36" s="120"/>
      <c r="J36" s="26" t="s">
        <v>55</v>
      </c>
      <c r="K36" s="26" t="s">
        <v>56</v>
      </c>
    </row>
    <row r="37" spans="2:11" ht="21.75" customHeight="1" x14ac:dyDescent="0.25">
      <c r="B37" s="27" t="str">
        <f>IFERROR(INDEX(Risikoregister!$A$8:$A$37,MATCH(LARGE(Risikoregister!$X$8:$X$37,1),Risikoregister!$X$8:$X$37,0)),"")</f>
        <v>R-14</v>
      </c>
      <c r="C37" s="121" t="str">
        <f>IFERROR(INDEX(Risikoregister!$C$8:$C$37,MATCH(LARGE(Risikoregister!$X$8:$X$37,1),Risikoregister!$X$8:$X$37,0)),"")</f>
        <v>Engpass bei qualifizierten Fachkräften</v>
      </c>
      <c r="D37" s="121"/>
      <c r="E37" s="121"/>
      <c r="F37" s="28">
        <f>IFERROR(INDEX(Risikoregister!$S$8:$S$37,MATCH(LARGE(Risikoregister!$X$8:$X$37,1),Risikoregister!$X$8:$X$37,0)),"")</f>
        <v>9</v>
      </c>
      <c r="G37" s="122" t="str">
        <f>IFERROR(INDEX(Risikoregister!$B$8:$B$37,MATCH(LARGE(Risikoregister!$X$8:$X$37,1),Risikoregister!$X$8:$X$37,0))&amp;"  ·  "&amp;INDEX(Risikoregister!$F$8:$F$37,MATCH(LARGE(Risikoregister!$X$8:$X$37,1),Risikoregister!$X$8:$X$37,0)),"")</f>
        <v>Personal &amp; Know-how  ·  Personalleitung</v>
      </c>
      <c r="H37" s="122"/>
      <c r="I37" s="122"/>
      <c r="J37" s="29" t="str">
        <f>IFERROR(INDEX(Risikoregister!$T$8:$T$37,MATCH(LARGE(Risikoregister!$X$8:$X$37,1),Risikoregister!$X$8:$X$37,0)),"")</f>
        <v>Spürbar</v>
      </c>
      <c r="K37" s="30" t="str">
        <f>IFERROR(INDEX(Risikoregister!$P$8:$P$37,MATCH(LARGE(Risikoregister!$X$8:$X$37,1),Risikoregister!$X$8:$X$37,0)),"")</f>
        <v>Offen</v>
      </c>
    </row>
    <row r="38" spans="2:11" ht="21.75" customHeight="1" x14ac:dyDescent="0.25">
      <c r="B38" s="27" t="str">
        <f>IFERROR(INDEX(Risikoregister!$A$8:$A$37,MATCH(LARGE(Risikoregister!$X$8:$X$37,2),Risikoregister!$X$8:$X$37,0)),"")</f>
        <v>R-02</v>
      </c>
      <c r="C38" s="121" t="str">
        <f>IFERROR(INDEX(Risikoregister!$C$8:$C$37,MATCH(LARGE(Risikoregister!$X$8:$X$37,2),Risikoregister!$X$8:$X$37,0)),"")</f>
        <v>Anhaltender Preisdruck</v>
      </c>
      <c r="D38" s="121"/>
      <c r="E38" s="121"/>
      <c r="F38" s="28">
        <f>IFERROR(INDEX(Risikoregister!$S$8:$S$37,MATCH(LARGE(Risikoregister!$X$8:$X$37,2),Risikoregister!$X$8:$X$37,0)),"")</f>
        <v>9</v>
      </c>
      <c r="G38" s="122" t="str">
        <f>IFERROR(INDEX(Risikoregister!$B$8:$B$37,MATCH(LARGE(Risikoregister!$X$8:$X$37,2),Risikoregister!$X$8:$X$37,0))&amp;"  ·  "&amp;INDEX(Risikoregister!$F$8:$F$37,MATCH(LARGE(Risikoregister!$X$8:$X$37,2),Risikoregister!$X$8:$X$37,0)),"")</f>
        <v>Markt &amp; Wettbewerb  ·  Produktmanagement</v>
      </c>
      <c r="H38" s="122"/>
      <c r="I38" s="122"/>
      <c r="J38" s="29" t="str">
        <f>IFERROR(INDEX(Risikoregister!$T$8:$T$37,MATCH(LARGE(Risikoregister!$X$8:$X$37,2),Risikoregister!$X$8:$X$37,0)),"")</f>
        <v>Spürbar</v>
      </c>
      <c r="K38" s="30" t="str">
        <f>IFERROR(INDEX(Risikoregister!$P$8:$P$37,MATCH(LARGE(Risikoregister!$X$8:$X$37,2),Risikoregister!$X$8:$X$37,0)),"")</f>
        <v>Offen</v>
      </c>
    </row>
    <row r="39" spans="2:11" ht="21.75" customHeight="1" x14ac:dyDescent="0.25">
      <c r="B39" s="27" t="str">
        <f>IFERROR(INDEX(Risikoregister!$A$8:$A$37,MATCH(LARGE(Risikoregister!$X$8:$X$37,3),Risikoregister!$X$8:$X$37,0)),"")</f>
        <v>R-10</v>
      </c>
      <c r="C39" s="121" t="str">
        <f>IFERROR(INDEX(Risikoregister!$C$8:$C$37,MATCH(LARGE(Risikoregister!$X$8:$X$37,3),Risikoregister!$X$8:$X$37,0)),"")</f>
        <v>Cyberangriff mit Datenverschlüsselung</v>
      </c>
      <c r="D39" s="121"/>
      <c r="E39" s="121"/>
      <c r="F39" s="28">
        <f>IFERROR(INDEX(Risikoregister!$S$8:$S$37,MATCH(LARGE(Risikoregister!$X$8:$X$37,3),Risikoregister!$X$8:$X$37,0)),"")</f>
        <v>8</v>
      </c>
      <c r="G39" s="122" t="str">
        <f>IFERROR(INDEX(Risikoregister!$B$8:$B$37,MATCH(LARGE(Risikoregister!$X$8:$X$37,3),Risikoregister!$X$8:$X$37,0))&amp;"  ·  "&amp;INDEX(Risikoregister!$F$8:$F$37,MATCH(LARGE(Risikoregister!$X$8:$X$37,3),Risikoregister!$X$8:$X$37,0)),"")</f>
        <v>Technik &amp; IT-Systeme  ·  IT-Leitung</v>
      </c>
      <c r="H39" s="122"/>
      <c r="I39" s="122"/>
      <c r="J39" s="29" t="str">
        <f>IFERROR(INDEX(Risikoregister!$T$8:$T$37,MATCH(LARGE(Risikoregister!$X$8:$X$37,3),Risikoregister!$X$8:$X$37,0)),"")</f>
        <v>Spürbar</v>
      </c>
      <c r="K39" s="30" t="str">
        <f>IFERROR(INDEX(Risikoregister!$P$8:$P$37,MATCH(LARGE(Risikoregister!$X$8:$X$37,3),Risikoregister!$X$8:$X$37,0)),"")</f>
        <v>In Umsetzung</v>
      </c>
    </row>
    <row r="40" spans="2:11" ht="21.75" customHeight="1" x14ac:dyDescent="0.25">
      <c r="B40" s="27" t="str">
        <f>IFERROR(INDEX(Risikoregister!$A$8:$A$37,MATCH(LARGE(Risikoregister!$X$8:$X$37,4),Risikoregister!$X$8:$X$37,0)),"")</f>
        <v>R-06</v>
      </c>
      <c r="C40" s="121" t="str">
        <f>IFERROR(INDEX(Risikoregister!$C$8:$C$37,MATCH(LARGE(Risikoregister!$X$8:$X$37,4),Risikoregister!$X$8:$X$37,0)),"")</f>
        <v>Wechselkursschwankungen im Auslandsgeschäft</v>
      </c>
      <c r="D40" s="121"/>
      <c r="E40" s="121"/>
      <c r="F40" s="28">
        <f>IFERROR(INDEX(Risikoregister!$S$8:$S$37,MATCH(LARGE(Risikoregister!$X$8:$X$37,4),Risikoregister!$X$8:$X$37,0)),"")</f>
        <v>8</v>
      </c>
      <c r="G40" s="122" t="str">
        <f>IFERROR(INDEX(Risikoregister!$B$8:$B$37,MATCH(LARGE(Risikoregister!$X$8:$X$37,4),Risikoregister!$X$8:$X$37,0))&amp;"  ·  "&amp;INDEX(Risikoregister!$F$8:$F$37,MATCH(LARGE(Risikoregister!$X$8:$X$37,4),Risikoregister!$X$8:$X$37,0)),"")</f>
        <v>Finanzen &amp; Liquidität  ·  Treasury</v>
      </c>
      <c r="H40" s="122"/>
      <c r="I40" s="122"/>
      <c r="J40" s="29" t="str">
        <f>IFERROR(INDEX(Risikoregister!$T$8:$T$37,MATCH(LARGE(Risikoregister!$X$8:$X$37,4),Risikoregister!$X$8:$X$37,0)),"")</f>
        <v>Spürbar</v>
      </c>
      <c r="K40" s="30" t="str">
        <f>IFERROR(INDEX(Risikoregister!$P$8:$P$37,MATCH(LARGE(Risikoregister!$X$8:$X$37,4),Risikoregister!$X$8:$X$37,0)),"")</f>
        <v>Beobachtung</v>
      </c>
    </row>
    <row r="41" spans="2:11" ht="21.75" customHeight="1" x14ac:dyDescent="0.25">
      <c r="B41" s="27" t="str">
        <f>IFERROR(INDEX(Risikoregister!$A$8:$A$37,MATCH(LARGE(Risikoregister!$X$8:$X$37,5),Risikoregister!$X$8:$X$37,0)),"")</f>
        <v>R-03</v>
      </c>
      <c r="C41" s="121" t="str">
        <f>IFERROR(INDEX(Risikoregister!$C$8:$C$37,MATCH(LARGE(Risikoregister!$X$8:$X$37,5),Risikoregister!$X$8:$X$37,0)),"")</f>
        <v>Abhängigkeit von wenigen Großkunden</v>
      </c>
      <c r="D41" s="121"/>
      <c r="E41" s="121"/>
      <c r="F41" s="28">
        <f>IFERROR(INDEX(Risikoregister!$S$8:$S$37,MATCH(LARGE(Risikoregister!$X$8:$X$37,5),Risikoregister!$X$8:$X$37,0)),"")</f>
        <v>8</v>
      </c>
      <c r="G41" s="122" t="str">
        <f>IFERROR(INDEX(Risikoregister!$B$8:$B$37,MATCH(LARGE(Risikoregister!$X$8:$X$37,5),Risikoregister!$X$8:$X$37,0))&amp;"  ·  "&amp;INDEX(Risikoregister!$F$8:$F$37,MATCH(LARGE(Risikoregister!$X$8:$X$37,5),Risikoregister!$X$8:$X$37,0)),"")</f>
        <v>Markt &amp; Wettbewerb  ·  Vertriebsleitung</v>
      </c>
      <c r="H41" s="122"/>
      <c r="I41" s="122"/>
      <c r="J41" s="29" t="str">
        <f>IFERROR(INDEX(Risikoregister!$T$8:$T$37,MATCH(LARGE(Risikoregister!$X$8:$X$37,5),Risikoregister!$X$8:$X$37,0)),"")</f>
        <v>Spürbar</v>
      </c>
      <c r="K41" s="30" t="str">
        <f>IFERROR(INDEX(Risikoregister!$P$8:$P$37,MATCH(LARGE(Risikoregister!$X$8:$X$37,5),Risikoregister!$X$8:$X$37,0)),"")</f>
        <v>In Umsetzung</v>
      </c>
    </row>
    <row r="43" spans="2:11" ht="15" customHeight="1" x14ac:dyDescent="0.25">
      <c r="B43" s="123" t="s">
        <v>57</v>
      </c>
      <c r="C43" s="123"/>
      <c r="D43" s="123"/>
      <c r="E43" s="123"/>
      <c r="F43" s="123"/>
      <c r="G43" s="123"/>
      <c r="H43" s="123"/>
      <c r="I43" s="123"/>
      <c r="J43" s="123"/>
      <c r="K43" s="123"/>
    </row>
    <row r="44" spans="2:11" x14ac:dyDescent="0.25">
      <c r="B44" s="123"/>
      <c r="C44" s="123"/>
      <c r="D44" s="123"/>
      <c r="E44" s="123"/>
      <c r="F44" s="123"/>
      <c r="G44" s="123"/>
      <c r="H44" s="123"/>
      <c r="I44" s="123"/>
      <c r="J44" s="123"/>
      <c r="K44" s="123"/>
    </row>
  </sheetData>
  <mergeCells count="81">
    <mergeCell ref="C41:E41"/>
    <mergeCell ref="G41:I41"/>
    <mergeCell ref="B43:K44"/>
    <mergeCell ref="C38:E38"/>
    <mergeCell ref="G38:I38"/>
    <mergeCell ref="C39:E39"/>
    <mergeCell ref="G39:I39"/>
    <mergeCell ref="C40:E40"/>
    <mergeCell ref="G40:I40"/>
    <mergeCell ref="G33:H33"/>
    <mergeCell ref="I33:J33"/>
    <mergeCell ref="C36:E36"/>
    <mergeCell ref="G36:I36"/>
    <mergeCell ref="C37:E37"/>
    <mergeCell ref="G37:I37"/>
    <mergeCell ref="B31:C31"/>
    <mergeCell ref="G31:H31"/>
    <mergeCell ref="I31:J31"/>
    <mergeCell ref="G32:H32"/>
    <mergeCell ref="I32:J32"/>
    <mergeCell ref="B29:C29"/>
    <mergeCell ref="G29:K29"/>
    <mergeCell ref="B30:C30"/>
    <mergeCell ref="G30:H30"/>
    <mergeCell ref="I30:J30"/>
    <mergeCell ref="B26:C26"/>
    <mergeCell ref="G26:H26"/>
    <mergeCell ref="B27:C27"/>
    <mergeCell ref="G27:H27"/>
    <mergeCell ref="B28:C28"/>
    <mergeCell ref="B23:C23"/>
    <mergeCell ref="G23:H23"/>
    <mergeCell ref="B24:C24"/>
    <mergeCell ref="G24:H24"/>
    <mergeCell ref="B25:C25"/>
    <mergeCell ref="G25:H25"/>
    <mergeCell ref="B18:C18"/>
    <mergeCell ref="D18:E18"/>
    <mergeCell ref="F18:G18"/>
    <mergeCell ref="H18:I18"/>
    <mergeCell ref="J18:K18"/>
    <mergeCell ref="B17:C17"/>
    <mergeCell ref="D17:E17"/>
    <mergeCell ref="F17:G17"/>
    <mergeCell ref="H17:I17"/>
    <mergeCell ref="J17:K17"/>
    <mergeCell ref="B16:C16"/>
    <mergeCell ref="D16:E16"/>
    <mergeCell ref="F16:G16"/>
    <mergeCell ref="H16:I16"/>
    <mergeCell ref="J16:K16"/>
    <mergeCell ref="B13:C13"/>
    <mergeCell ref="D13:E13"/>
    <mergeCell ref="F13:G13"/>
    <mergeCell ref="H13:I13"/>
    <mergeCell ref="J13:K13"/>
    <mergeCell ref="B12:C12"/>
    <mergeCell ref="D12:E12"/>
    <mergeCell ref="F12:G12"/>
    <mergeCell ref="H12:I12"/>
    <mergeCell ref="J12:K12"/>
    <mergeCell ref="B11:C11"/>
    <mergeCell ref="D11:E11"/>
    <mergeCell ref="F11:G11"/>
    <mergeCell ref="H11:I11"/>
    <mergeCell ref="J11:K11"/>
    <mergeCell ref="B6:C6"/>
    <mergeCell ref="D6:F6"/>
    <mergeCell ref="H6:I6"/>
    <mergeCell ref="J6:K6"/>
    <mergeCell ref="B7:C7"/>
    <mergeCell ref="D7:F7"/>
    <mergeCell ref="H7:I7"/>
    <mergeCell ref="J7:K7"/>
    <mergeCell ref="A1:L1"/>
    <mergeCell ref="A2:L2"/>
    <mergeCell ref="A3:L3"/>
    <mergeCell ref="B5:C5"/>
    <mergeCell ref="D5:F5"/>
    <mergeCell ref="H5:I5"/>
    <mergeCell ref="J5:K5"/>
  </mergeCells>
  <conditionalFormatting sqref="D24:D31">
    <cfRule type="dataBar" priority="2">
      <dataBar>
        <cfvo type="num" val="0"/>
        <cfvo type="max"/>
        <color rgb="FFA9CFD9"/>
      </dataBar>
      <extLst>
        <ext xmlns:x14="http://schemas.microsoft.com/office/spreadsheetml/2009/9/main" uri="{B025F937-C7B1-47D3-B67F-A62EFF666E3E}">
          <x14:id>{4D902026-59C0-4894-97F5-CB5C38C0E2E1}</x14:id>
        </ext>
      </extLst>
    </cfRule>
  </conditionalFormatting>
  <conditionalFormatting sqref="F24:F31">
    <cfRule type="dataBar" priority="3">
      <dataBar>
        <cfvo type="num" val="0"/>
        <cfvo type="max"/>
        <color rgb="FFEBC3B6"/>
      </dataBar>
      <extLst>
        <ext xmlns:x14="http://schemas.microsoft.com/office/spreadsheetml/2009/9/main" uri="{B025F937-C7B1-47D3-B67F-A62EFF666E3E}">
          <x14:id>{1DEBFA8B-2B7D-4855-9022-CCE070FC6117}</x14:id>
        </ext>
      </extLst>
    </cfRule>
  </conditionalFormatting>
  <conditionalFormatting sqref="F37:F41">
    <cfRule type="cellIs" dxfId="34" priority="5" operator="greaterThanOrEqual">
      <formula>15</formula>
    </cfRule>
    <cfRule type="cellIs" dxfId="33" priority="6" operator="greaterThanOrEqual">
      <formula>10</formula>
    </cfRule>
    <cfRule type="cellIs" dxfId="32" priority="7" operator="greaterThanOrEqual">
      <formula>5</formula>
    </cfRule>
    <cfRule type="cellIs" dxfId="31" priority="8" operator="greaterThanOrEqual">
      <formula>0</formula>
    </cfRule>
  </conditionalFormatting>
  <conditionalFormatting sqref="I30:J33">
    <cfRule type="dataBar" priority="4">
      <dataBar>
        <cfvo type="num" val="0"/>
        <cfvo type="max"/>
        <color rgb="FFEFD8A2"/>
      </dataBar>
      <extLst>
        <ext xmlns:x14="http://schemas.microsoft.com/office/spreadsheetml/2009/9/main" uri="{B025F937-C7B1-47D3-B67F-A62EFF666E3E}">
          <x14:id>{7EEFEE41-CE9D-44C6-933A-C774202E402F}</x14:id>
        </ext>
      </extLst>
    </cfRule>
  </conditionalFormatting>
  <conditionalFormatting sqref="J37:J41">
    <cfRule type="cellIs" dxfId="30" priority="9" operator="equal">
      <formula>"Kritisch"</formula>
    </cfRule>
    <cfRule type="cellIs" dxfId="29" priority="10" operator="equal">
      <formula>"Erheblich"</formula>
    </cfRule>
    <cfRule type="cellIs" dxfId="28" priority="11" operator="equal">
      <formula>"Spürbar"</formula>
    </cfRule>
    <cfRule type="cellIs" dxfId="27" priority="12" operator="equal">
      <formula>"Gering"</formula>
    </cfRule>
  </conditionalFormatting>
  <conditionalFormatting sqref="K37:K41">
    <cfRule type="cellIs" dxfId="26" priority="13" operator="equal">
      <formula>"Offen"</formula>
    </cfRule>
    <cfRule type="cellIs" dxfId="25" priority="14" operator="equal">
      <formula>"In Umsetzung"</formula>
    </cfRule>
    <cfRule type="cellIs" dxfId="24" priority="15" operator="equal">
      <formula>"Umgesetzt"</formula>
    </cfRule>
    <cfRule type="cellIs" dxfId="23" priority="16" operator="equal">
      <formula>"Beobachtung"</formula>
    </cfRule>
  </conditionalFormatting>
  <pageMargins left="0.75" right="0.75" top="1" bottom="1" header="0.511811023622047" footer="0.511811023622047"/>
  <pageSetup orientation="landscape" horizontalDpi="300" verticalDpi="300"/>
  <extLst>
    <ext xmlns:x14="http://schemas.microsoft.com/office/spreadsheetml/2009/9/main" uri="{78C0D931-6437-407d-A8EE-F0AAD7539E65}">
      <x14:conditionalFormattings>
        <x14:conditionalFormatting xmlns:xm="http://schemas.microsoft.com/office/excel/2006/main">
          <x14:cfRule type="dataBar" id="{4D902026-59C0-4894-97F5-CB5C38C0E2E1}">
            <x14:dataBar axisPosition="none">
              <x14:cfvo type="num">
                <xm:f>0</xm:f>
              </x14:cfvo>
              <x14:cfvo type="max"/>
              <x14:negativeFillColor rgb="FFA9CFD9"/>
            </x14:dataBar>
          </x14:cfRule>
          <xm:sqref>D24:D31</xm:sqref>
        </x14:conditionalFormatting>
        <x14:conditionalFormatting xmlns:xm="http://schemas.microsoft.com/office/excel/2006/main">
          <x14:cfRule type="dataBar" id="{1DEBFA8B-2B7D-4855-9022-CCE070FC6117}">
            <x14:dataBar axisPosition="none">
              <x14:cfvo type="num">
                <xm:f>0</xm:f>
              </x14:cfvo>
              <x14:cfvo type="max"/>
              <x14:negativeFillColor rgb="FFEBC3B6"/>
            </x14:dataBar>
          </x14:cfRule>
          <xm:sqref>F24:F31</xm:sqref>
        </x14:conditionalFormatting>
        <x14:conditionalFormatting xmlns:xm="http://schemas.microsoft.com/office/excel/2006/main">
          <x14:cfRule type="dataBar" id="{7EEFEE41-CE9D-44C6-933A-C774202E402F}">
            <x14:dataBar axisPosition="none">
              <x14:cfvo type="num">
                <xm:f>0</xm:f>
              </x14:cfvo>
              <x14:cfvo type="max"/>
              <x14:negativeFillColor rgb="FFEFD8A2"/>
            </x14:dataBar>
          </x14:cfRule>
          <xm:sqref>I30:J33</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E6478"/>
    <pageSetUpPr fitToPage="1"/>
  </sheetPr>
  <dimension ref="A1:X39"/>
  <sheetViews>
    <sheetView showGridLines="0" zoomScaleNormal="100" workbookViewId="0">
      <pane xSplit="3" ySplit="7" topLeftCell="D8" activePane="bottomRight" state="frozen"/>
      <selection pane="topRight" activeCell="D1" sqref="D1"/>
      <selection pane="bottomLeft" activeCell="A8" sqref="A8"/>
      <selection pane="bottomRight" sqref="A1:V1"/>
    </sheetView>
  </sheetViews>
  <sheetFormatPr baseColWidth="10" defaultColWidth="8.7109375" defaultRowHeight="15" x14ac:dyDescent="0.25"/>
  <cols>
    <col min="1" max="1" width="8" customWidth="1"/>
    <col min="2" max="2" width="22" customWidth="1"/>
    <col min="3" max="4" width="34" customWidth="1"/>
    <col min="5" max="5" width="32" customWidth="1"/>
    <col min="6" max="6" width="21" customWidth="1"/>
    <col min="7" max="8" width="6.5703125" customWidth="1"/>
    <col min="9" max="9" width="9.5703125" customWidth="1"/>
    <col min="10" max="10" width="13" customWidth="1"/>
    <col min="11" max="12" width="15" customWidth="1"/>
    <col min="13" max="13" width="14" customWidth="1"/>
    <col min="14" max="14" width="42" customWidth="1"/>
    <col min="15" max="15" width="12" customWidth="1"/>
    <col min="16" max="16" width="14" customWidth="1"/>
    <col min="17" max="18" width="6.5703125" customWidth="1"/>
    <col min="19" max="19" width="9.5703125" customWidth="1"/>
    <col min="20" max="20" width="13" customWidth="1"/>
    <col min="21" max="21" width="11" customWidth="1"/>
    <col min="22" max="22" width="13" customWidth="1"/>
    <col min="24" max="24" width="11" hidden="1" customWidth="1"/>
  </cols>
  <sheetData>
    <row r="1" spans="1:24" ht="33.75" customHeight="1" x14ac:dyDescent="0.25">
      <c r="A1" s="14" t="s">
        <v>58</v>
      </c>
      <c r="B1" s="14"/>
      <c r="C1" s="14"/>
      <c r="D1" s="14"/>
      <c r="E1" s="14"/>
      <c r="F1" s="14"/>
      <c r="G1" s="14"/>
      <c r="H1" s="14"/>
      <c r="I1" s="14"/>
      <c r="J1" s="14"/>
      <c r="K1" s="14"/>
      <c r="L1" s="14"/>
      <c r="M1" s="14"/>
      <c r="N1" s="14"/>
      <c r="O1" s="14"/>
      <c r="P1" s="14"/>
      <c r="Q1" s="14"/>
      <c r="R1" s="14"/>
      <c r="S1" s="14"/>
      <c r="T1" s="14"/>
      <c r="U1" s="14"/>
      <c r="V1" s="14"/>
    </row>
    <row r="2" spans="1:24" ht="18" customHeight="1" x14ac:dyDescent="0.25">
      <c r="A2" s="13" t="s">
        <v>59</v>
      </c>
      <c r="B2" s="13"/>
      <c r="C2" s="13"/>
      <c r="D2" s="13"/>
      <c r="E2" s="13"/>
      <c r="F2" s="13"/>
      <c r="G2" s="13"/>
      <c r="H2" s="13"/>
      <c r="I2" s="13"/>
      <c r="J2" s="13"/>
      <c r="K2" s="13"/>
      <c r="L2" s="13"/>
      <c r="M2" s="13"/>
      <c r="N2" s="13"/>
      <c r="O2" s="13"/>
      <c r="P2" s="13"/>
      <c r="Q2" s="13"/>
      <c r="R2" s="13"/>
      <c r="S2" s="13"/>
      <c r="T2" s="13"/>
      <c r="U2" s="13"/>
      <c r="V2" s="13"/>
    </row>
    <row r="3" spans="1:24" ht="4.5" customHeight="1" x14ac:dyDescent="0.25">
      <c r="A3" s="12"/>
      <c r="B3" s="12"/>
      <c r="C3" s="12"/>
      <c r="D3" s="12"/>
      <c r="E3" s="12"/>
      <c r="F3" s="12"/>
      <c r="G3" s="12"/>
      <c r="H3" s="12"/>
      <c r="I3" s="12"/>
      <c r="J3" s="12"/>
      <c r="K3" s="12"/>
      <c r="L3" s="12"/>
      <c r="M3" s="12"/>
      <c r="N3" s="12"/>
      <c r="O3" s="12"/>
      <c r="P3" s="12"/>
      <c r="Q3" s="12"/>
      <c r="R3" s="12"/>
      <c r="S3" s="12"/>
      <c r="T3" s="12"/>
      <c r="U3" s="12"/>
      <c r="V3" s="12"/>
    </row>
    <row r="5" spans="1:24" ht="19.5" customHeight="1" x14ac:dyDescent="0.25">
      <c r="A5" s="31" t="s">
        <v>60</v>
      </c>
      <c r="B5" s="32" t="s">
        <v>61</v>
      </c>
      <c r="C5" s="33" t="s">
        <v>62</v>
      </c>
      <c r="D5" s="34" t="s">
        <v>63</v>
      </c>
      <c r="E5" s="35" t="s">
        <v>64</v>
      </c>
    </row>
    <row r="6" spans="1:24" ht="24" customHeight="1" x14ac:dyDescent="0.25">
      <c r="A6" s="124" t="s">
        <v>65</v>
      </c>
      <c r="B6" s="124"/>
      <c r="C6" s="124"/>
      <c r="D6" s="124"/>
      <c r="E6" s="124"/>
      <c r="F6" s="124"/>
      <c r="G6" s="125" t="s">
        <v>66</v>
      </c>
      <c r="H6" s="125"/>
      <c r="I6" s="125"/>
      <c r="J6" s="125"/>
      <c r="K6" s="125"/>
      <c r="L6" s="125"/>
      <c r="M6" s="126" t="s">
        <v>67</v>
      </c>
      <c r="N6" s="126"/>
      <c r="O6" s="126"/>
      <c r="P6" s="126"/>
      <c r="Q6" s="127" t="s">
        <v>68</v>
      </c>
      <c r="R6" s="127"/>
      <c r="S6" s="127"/>
      <c r="T6" s="127"/>
      <c r="U6" s="127"/>
      <c r="V6" s="127"/>
    </row>
    <row r="7" spans="1:24" ht="39.75" customHeight="1" x14ac:dyDescent="0.25">
      <c r="A7" s="36" t="s">
        <v>51</v>
      </c>
      <c r="B7" s="36" t="s">
        <v>33</v>
      </c>
      <c r="C7" s="36" t="s">
        <v>52</v>
      </c>
      <c r="D7" s="36" t="s">
        <v>69</v>
      </c>
      <c r="E7" s="36" t="s">
        <v>70</v>
      </c>
      <c r="F7" s="36" t="s">
        <v>71</v>
      </c>
      <c r="G7" s="37" t="s">
        <v>72</v>
      </c>
      <c r="H7" s="37" t="s">
        <v>73</v>
      </c>
      <c r="I7" s="37" t="s">
        <v>74</v>
      </c>
      <c r="J7" s="37" t="s">
        <v>37</v>
      </c>
      <c r="K7" s="37" t="s">
        <v>75</v>
      </c>
      <c r="L7" s="37" t="s">
        <v>76</v>
      </c>
      <c r="M7" s="38" t="s">
        <v>77</v>
      </c>
      <c r="N7" s="38" t="s">
        <v>78</v>
      </c>
      <c r="O7" s="38" t="s">
        <v>79</v>
      </c>
      <c r="P7" s="38" t="s">
        <v>56</v>
      </c>
      <c r="Q7" s="39" t="s">
        <v>72</v>
      </c>
      <c r="R7" s="39" t="s">
        <v>73</v>
      </c>
      <c r="S7" s="39" t="s">
        <v>74</v>
      </c>
      <c r="T7" s="39" t="s">
        <v>37</v>
      </c>
      <c r="U7" s="39" t="s">
        <v>80</v>
      </c>
      <c r="V7" s="39" t="s">
        <v>81</v>
      </c>
    </row>
    <row r="8" spans="1:24" ht="42" customHeight="1" x14ac:dyDescent="0.25">
      <c r="A8" s="27" t="s">
        <v>82</v>
      </c>
      <c r="B8" s="40" t="s">
        <v>83</v>
      </c>
      <c r="C8" s="41" t="s">
        <v>84</v>
      </c>
      <c r="D8" s="42" t="s">
        <v>85</v>
      </c>
      <c r="E8" s="42" t="s">
        <v>86</v>
      </c>
      <c r="F8" s="42" t="s">
        <v>87</v>
      </c>
      <c r="G8" s="43">
        <v>3</v>
      </c>
      <c r="H8" s="43">
        <v>4</v>
      </c>
      <c r="I8" s="44">
        <f t="shared" ref="I8:I37" si="0">IF(OR($G8="",$H8=""),"",$G8*$H8)</f>
        <v>12</v>
      </c>
      <c r="J8" s="29" t="str">
        <f>IF($I8="","",INDEX(Bewertungsskalen!$C$23:$C$26,MATCH($I8,Bewertungsskalen!$A$23:$A$26,1)))</f>
        <v>Erheblich</v>
      </c>
      <c r="K8" s="45">
        <v>400000</v>
      </c>
      <c r="L8" s="46">
        <f>IF(OR($G8="",$K8=""),"",$K8*INDEX(Bewertungsskalen!$E$7:$E$11,MATCH($G8,Bewertungsskalen!$A$7:$A$11,0)))</f>
        <v>140000</v>
      </c>
      <c r="M8" s="47" t="s">
        <v>88</v>
      </c>
      <c r="N8" s="42" t="s">
        <v>89</v>
      </c>
      <c r="O8" s="48">
        <v>46295</v>
      </c>
      <c r="P8" s="30" t="s">
        <v>47</v>
      </c>
      <c r="Q8" s="49">
        <v>2</v>
      </c>
      <c r="R8" s="49">
        <v>4</v>
      </c>
      <c r="S8" s="44">
        <f t="shared" ref="S8:S37" si="1">IF(OR($Q8="",$R8=""),"",$Q8*$R8)</f>
        <v>8</v>
      </c>
      <c r="T8" s="29" t="str">
        <f>IF($S8="","",INDEX(Bewertungsskalen!$C$23:$C$26,MATCH($S8,Bewertungsskalen!$A$23:$A$26,1)))</f>
        <v>Spürbar</v>
      </c>
      <c r="U8" s="50">
        <f t="shared" ref="U8:U37" si="2">IF(OR($I8="",$S8=""),"",($I8-$S8)/$I8)</f>
        <v>0.33333333333333331</v>
      </c>
      <c r="V8" s="48">
        <v>46387</v>
      </c>
      <c r="X8">
        <f t="shared" ref="X8:X37" si="3">IF($S8="","",$S8+ROW()/100000)</f>
        <v>8.0000800000000005</v>
      </c>
    </row>
    <row r="9" spans="1:24" ht="42" customHeight="1" x14ac:dyDescent="0.25">
      <c r="A9" s="27" t="s">
        <v>90</v>
      </c>
      <c r="B9" s="40" t="s">
        <v>83</v>
      </c>
      <c r="C9" s="41" t="s">
        <v>91</v>
      </c>
      <c r="D9" s="42" t="s">
        <v>92</v>
      </c>
      <c r="E9" s="42" t="s">
        <v>93</v>
      </c>
      <c r="F9" s="42" t="s">
        <v>94</v>
      </c>
      <c r="G9" s="43">
        <v>4</v>
      </c>
      <c r="H9" s="43">
        <v>3</v>
      </c>
      <c r="I9" s="44">
        <f t="shared" si="0"/>
        <v>12</v>
      </c>
      <c r="J9" s="29" t="str">
        <f>IF($I9="","",INDEX(Bewertungsskalen!$C$23:$C$26,MATCH($I9,Bewertungsskalen!$A$23:$A$26,1)))</f>
        <v>Erheblich</v>
      </c>
      <c r="K9" s="45">
        <v>250000</v>
      </c>
      <c r="L9" s="46">
        <f>IF(OR($G9="",$K9=""),"",$K9*INDEX(Bewertungsskalen!$E$7:$E$11,MATCH($G9,Bewertungsskalen!$A$7:$A$11,0)))</f>
        <v>162500</v>
      </c>
      <c r="M9" s="47" t="s">
        <v>88</v>
      </c>
      <c r="N9" s="42" t="s">
        <v>95</v>
      </c>
      <c r="O9" s="48">
        <v>46295</v>
      </c>
      <c r="P9" s="30" t="s">
        <v>46</v>
      </c>
      <c r="Q9" s="49">
        <v>3</v>
      </c>
      <c r="R9" s="49">
        <v>3</v>
      </c>
      <c r="S9" s="44">
        <f t="shared" si="1"/>
        <v>9</v>
      </c>
      <c r="T9" s="29" t="str">
        <f>IF($S9="","",INDEX(Bewertungsskalen!$C$23:$C$26,MATCH($S9,Bewertungsskalen!$A$23:$A$26,1)))</f>
        <v>Spürbar</v>
      </c>
      <c r="U9" s="50">
        <f t="shared" si="2"/>
        <v>0.25</v>
      </c>
      <c r="V9" s="48">
        <v>46387</v>
      </c>
      <c r="X9">
        <f t="shared" si="3"/>
        <v>9.0000900000000001</v>
      </c>
    </row>
    <row r="10" spans="1:24" ht="42" customHeight="1" x14ac:dyDescent="0.25">
      <c r="A10" s="27" t="s">
        <v>96</v>
      </c>
      <c r="B10" s="40" t="s">
        <v>83</v>
      </c>
      <c r="C10" s="41" t="s">
        <v>97</v>
      </c>
      <c r="D10" s="42" t="s">
        <v>98</v>
      </c>
      <c r="E10" s="42" t="s">
        <v>99</v>
      </c>
      <c r="F10" s="42" t="s">
        <v>87</v>
      </c>
      <c r="G10" s="43">
        <v>2</v>
      </c>
      <c r="H10" s="43">
        <v>5</v>
      </c>
      <c r="I10" s="44">
        <f t="shared" si="0"/>
        <v>10</v>
      </c>
      <c r="J10" s="29" t="str">
        <f>IF($I10="","",INDEX(Bewertungsskalen!$C$23:$C$26,MATCH($I10,Bewertungsskalen!$A$23:$A$26,1)))</f>
        <v>Erheblich</v>
      </c>
      <c r="K10" s="45">
        <v>600000</v>
      </c>
      <c r="L10" s="46">
        <f>IF(OR($G10="",$K10=""),"",$K10*INDEX(Bewertungsskalen!$E$7:$E$11,MATCH($G10,Bewertungsskalen!$A$7:$A$11,0)))</f>
        <v>72000</v>
      </c>
      <c r="M10" s="47" t="s">
        <v>88</v>
      </c>
      <c r="N10" s="42" t="s">
        <v>100</v>
      </c>
      <c r="O10" s="48">
        <v>46387</v>
      </c>
      <c r="P10" s="30" t="s">
        <v>47</v>
      </c>
      <c r="Q10" s="49">
        <v>2</v>
      </c>
      <c r="R10" s="49">
        <v>4</v>
      </c>
      <c r="S10" s="44">
        <f t="shared" si="1"/>
        <v>8</v>
      </c>
      <c r="T10" s="29" t="str">
        <f>IF($S10="","",INDEX(Bewertungsskalen!$C$23:$C$26,MATCH($S10,Bewertungsskalen!$A$23:$A$26,1)))</f>
        <v>Spürbar</v>
      </c>
      <c r="U10" s="50">
        <f t="shared" si="2"/>
        <v>0.2</v>
      </c>
      <c r="V10" s="48">
        <v>46295</v>
      </c>
      <c r="X10">
        <f t="shared" si="3"/>
        <v>8.0000999999999998</v>
      </c>
    </row>
    <row r="11" spans="1:24" ht="42" customHeight="1" x14ac:dyDescent="0.25">
      <c r="A11" s="27" t="s">
        <v>101</v>
      </c>
      <c r="B11" s="40" t="s">
        <v>102</v>
      </c>
      <c r="C11" s="41" t="s">
        <v>103</v>
      </c>
      <c r="D11" s="42" t="s">
        <v>104</v>
      </c>
      <c r="E11" s="42" t="s">
        <v>105</v>
      </c>
      <c r="F11" s="42" t="s">
        <v>106</v>
      </c>
      <c r="G11" s="43">
        <v>3</v>
      </c>
      <c r="H11" s="43">
        <v>4</v>
      </c>
      <c r="I11" s="44">
        <f t="shared" si="0"/>
        <v>12</v>
      </c>
      <c r="J11" s="29" t="str">
        <f>IF($I11="","",INDEX(Bewertungsskalen!$C$23:$C$26,MATCH($I11,Bewertungsskalen!$A$23:$A$26,1)))</f>
        <v>Erheblich</v>
      </c>
      <c r="K11" s="45">
        <v>300000</v>
      </c>
      <c r="L11" s="46">
        <f>IF(OR($G11="",$K11=""),"",$K11*INDEX(Bewertungsskalen!$E$7:$E$11,MATCH($G11,Bewertungsskalen!$A$7:$A$11,0)))</f>
        <v>105000</v>
      </c>
      <c r="M11" s="47" t="s">
        <v>88</v>
      </c>
      <c r="N11" s="42" t="s">
        <v>107</v>
      </c>
      <c r="O11" s="48">
        <v>46112</v>
      </c>
      <c r="P11" s="30" t="s">
        <v>48</v>
      </c>
      <c r="Q11" s="49">
        <v>2</v>
      </c>
      <c r="R11" s="49">
        <v>3</v>
      </c>
      <c r="S11" s="44">
        <f t="shared" si="1"/>
        <v>6</v>
      </c>
      <c r="T11" s="29" t="str">
        <f>IF($S11="","",INDEX(Bewertungsskalen!$C$23:$C$26,MATCH($S11,Bewertungsskalen!$A$23:$A$26,1)))</f>
        <v>Spürbar</v>
      </c>
      <c r="U11" s="50">
        <f t="shared" si="2"/>
        <v>0.5</v>
      </c>
      <c r="V11" s="48">
        <v>46387</v>
      </c>
      <c r="X11">
        <f t="shared" si="3"/>
        <v>6.0001100000000003</v>
      </c>
    </row>
    <row r="12" spans="1:24" ht="42" customHeight="1" x14ac:dyDescent="0.25">
      <c r="A12" s="27" t="s">
        <v>108</v>
      </c>
      <c r="B12" s="40" t="s">
        <v>102</v>
      </c>
      <c r="C12" s="41" t="s">
        <v>109</v>
      </c>
      <c r="D12" s="42" t="s">
        <v>110</v>
      </c>
      <c r="E12" s="42" t="s">
        <v>111</v>
      </c>
      <c r="F12" s="42" t="s">
        <v>112</v>
      </c>
      <c r="G12" s="43">
        <v>4</v>
      </c>
      <c r="H12" s="43">
        <v>3</v>
      </c>
      <c r="I12" s="44">
        <f t="shared" si="0"/>
        <v>12</v>
      </c>
      <c r="J12" s="29" t="str">
        <f>IF($I12="","",INDEX(Bewertungsskalen!$C$23:$C$26,MATCH($I12,Bewertungsskalen!$A$23:$A$26,1)))</f>
        <v>Erheblich</v>
      </c>
      <c r="K12" s="45">
        <v>180000</v>
      </c>
      <c r="L12" s="46">
        <f>IF(OR($G12="",$K12=""),"",$K12*INDEX(Bewertungsskalen!$E$7:$E$11,MATCH($G12,Bewertungsskalen!$A$7:$A$11,0)))</f>
        <v>117000</v>
      </c>
      <c r="M12" s="47" t="s">
        <v>113</v>
      </c>
      <c r="N12" s="42" t="s">
        <v>114</v>
      </c>
      <c r="O12" s="48">
        <v>46142</v>
      </c>
      <c r="P12" s="30" t="s">
        <v>47</v>
      </c>
      <c r="Q12" s="49">
        <v>3</v>
      </c>
      <c r="R12" s="49">
        <v>2</v>
      </c>
      <c r="S12" s="44">
        <f t="shared" si="1"/>
        <v>6</v>
      </c>
      <c r="T12" s="29" t="str">
        <f>IF($S12="","",INDEX(Bewertungsskalen!$C$23:$C$26,MATCH($S12,Bewertungsskalen!$A$23:$A$26,1)))</f>
        <v>Spürbar</v>
      </c>
      <c r="U12" s="50">
        <f t="shared" si="2"/>
        <v>0.5</v>
      </c>
      <c r="V12" s="48">
        <v>46387</v>
      </c>
      <c r="X12">
        <f t="shared" si="3"/>
        <v>6.0001199999999999</v>
      </c>
    </row>
    <row r="13" spans="1:24" ht="42" customHeight="1" x14ac:dyDescent="0.25">
      <c r="A13" s="27" t="s">
        <v>115</v>
      </c>
      <c r="B13" s="40" t="s">
        <v>102</v>
      </c>
      <c r="C13" s="41" t="s">
        <v>116</v>
      </c>
      <c r="D13" s="42" t="s">
        <v>117</v>
      </c>
      <c r="E13" s="42" t="s">
        <v>118</v>
      </c>
      <c r="F13" s="42" t="s">
        <v>119</v>
      </c>
      <c r="G13" s="43">
        <v>4</v>
      </c>
      <c r="H13" s="43">
        <v>2</v>
      </c>
      <c r="I13" s="44">
        <f t="shared" si="0"/>
        <v>8</v>
      </c>
      <c r="J13" s="29" t="str">
        <f>IF($I13="","",INDEX(Bewertungsskalen!$C$23:$C$26,MATCH($I13,Bewertungsskalen!$A$23:$A$26,1)))</f>
        <v>Spürbar</v>
      </c>
      <c r="K13" s="45">
        <v>70000</v>
      </c>
      <c r="L13" s="46">
        <f>IF(OR($G13="",$K13=""),"",$K13*INDEX(Bewertungsskalen!$E$7:$E$11,MATCH($G13,Bewertungsskalen!$A$7:$A$11,0)))</f>
        <v>45500</v>
      </c>
      <c r="M13" s="47" t="s">
        <v>120</v>
      </c>
      <c r="N13" s="42" t="s">
        <v>121</v>
      </c>
      <c r="O13" s="48">
        <v>46387</v>
      </c>
      <c r="P13" s="30" t="s">
        <v>49</v>
      </c>
      <c r="Q13" s="49">
        <v>4</v>
      </c>
      <c r="R13" s="49">
        <v>2</v>
      </c>
      <c r="S13" s="44">
        <f t="shared" si="1"/>
        <v>8</v>
      </c>
      <c r="T13" s="29" t="str">
        <f>IF($S13="","",INDEX(Bewertungsskalen!$C$23:$C$26,MATCH($S13,Bewertungsskalen!$A$23:$A$26,1)))</f>
        <v>Spürbar</v>
      </c>
      <c r="U13" s="50">
        <f t="shared" si="2"/>
        <v>0</v>
      </c>
      <c r="V13" s="48">
        <v>46387</v>
      </c>
      <c r="X13">
        <f t="shared" si="3"/>
        <v>8.0001300000000004</v>
      </c>
    </row>
    <row r="14" spans="1:24" ht="42" customHeight="1" x14ac:dyDescent="0.25">
      <c r="A14" s="27" t="s">
        <v>122</v>
      </c>
      <c r="B14" s="40" t="s">
        <v>123</v>
      </c>
      <c r="C14" s="41" t="s">
        <v>124</v>
      </c>
      <c r="D14" s="42" t="s">
        <v>125</v>
      </c>
      <c r="E14" s="42" t="s">
        <v>126</v>
      </c>
      <c r="F14" s="42" t="s">
        <v>127</v>
      </c>
      <c r="G14" s="43">
        <v>3</v>
      </c>
      <c r="H14" s="43">
        <v>3</v>
      </c>
      <c r="I14" s="44">
        <f t="shared" si="0"/>
        <v>9</v>
      </c>
      <c r="J14" s="29" t="str">
        <f>IF($I14="","",INDEX(Bewertungsskalen!$C$23:$C$26,MATCH($I14,Bewertungsskalen!$A$23:$A$26,1)))</f>
        <v>Spürbar</v>
      </c>
      <c r="K14" s="45">
        <v>90000</v>
      </c>
      <c r="L14" s="46">
        <f>IF(OR($G14="",$K14=""),"",$K14*INDEX(Bewertungsskalen!$E$7:$E$11,MATCH($G14,Bewertungsskalen!$A$7:$A$11,0)))</f>
        <v>31499.999999999996</v>
      </c>
      <c r="M14" s="47" t="s">
        <v>88</v>
      </c>
      <c r="N14" s="42" t="s">
        <v>128</v>
      </c>
      <c r="O14" s="48">
        <v>46295</v>
      </c>
      <c r="P14" s="30" t="s">
        <v>47</v>
      </c>
      <c r="Q14" s="49">
        <v>2</v>
      </c>
      <c r="R14" s="49">
        <v>2</v>
      </c>
      <c r="S14" s="44">
        <f t="shared" si="1"/>
        <v>4</v>
      </c>
      <c r="T14" s="29" t="str">
        <f>IF($S14="","",INDEX(Bewertungsskalen!$C$23:$C$26,MATCH($S14,Bewertungsskalen!$A$23:$A$26,1)))</f>
        <v>Gering</v>
      </c>
      <c r="U14" s="50">
        <f t="shared" si="2"/>
        <v>0.55555555555555558</v>
      </c>
      <c r="V14" s="48">
        <v>46387</v>
      </c>
      <c r="X14">
        <f t="shared" si="3"/>
        <v>4.00014</v>
      </c>
    </row>
    <row r="15" spans="1:24" ht="42" customHeight="1" x14ac:dyDescent="0.25">
      <c r="A15" s="27" t="s">
        <v>129</v>
      </c>
      <c r="B15" s="40" t="s">
        <v>123</v>
      </c>
      <c r="C15" s="41" t="s">
        <v>130</v>
      </c>
      <c r="D15" s="42" t="s">
        <v>131</v>
      </c>
      <c r="E15" s="42" t="s">
        <v>132</v>
      </c>
      <c r="F15" s="42" t="s">
        <v>133</v>
      </c>
      <c r="G15" s="43">
        <v>2</v>
      </c>
      <c r="H15" s="43">
        <v>4</v>
      </c>
      <c r="I15" s="44">
        <f t="shared" si="0"/>
        <v>8</v>
      </c>
      <c r="J15" s="29" t="str">
        <f>IF($I15="","",INDEX(Bewertungsskalen!$C$23:$C$26,MATCH($I15,Bewertungsskalen!$A$23:$A$26,1)))</f>
        <v>Spürbar</v>
      </c>
      <c r="K15" s="45">
        <v>220000</v>
      </c>
      <c r="L15" s="46">
        <f>IF(OR($G15="",$K15=""),"",$K15*INDEX(Bewertungsskalen!$E$7:$E$11,MATCH($G15,Bewertungsskalen!$A$7:$A$11,0)))</f>
        <v>26400</v>
      </c>
      <c r="M15" s="47" t="s">
        <v>88</v>
      </c>
      <c r="N15" s="42" t="s">
        <v>134</v>
      </c>
      <c r="O15" s="48">
        <v>46234</v>
      </c>
      <c r="P15" s="30" t="s">
        <v>46</v>
      </c>
      <c r="Q15" s="49">
        <v>2</v>
      </c>
      <c r="R15" s="49">
        <v>3</v>
      </c>
      <c r="S15" s="44">
        <f t="shared" si="1"/>
        <v>6</v>
      </c>
      <c r="T15" s="29" t="str">
        <f>IF($S15="","",INDEX(Bewertungsskalen!$C$23:$C$26,MATCH($S15,Bewertungsskalen!$A$23:$A$26,1)))</f>
        <v>Spürbar</v>
      </c>
      <c r="U15" s="50">
        <f t="shared" si="2"/>
        <v>0.25</v>
      </c>
      <c r="V15" s="48">
        <v>46295</v>
      </c>
      <c r="X15">
        <f t="shared" si="3"/>
        <v>6.0001499999999997</v>
      </c>
    </row>
    <row r="16" spans="1:24" ht="42" customHeight="1" x14ac:dyDescent="0.25">
      <c r="A16" s="27" t="s">
        <v>135</v>
      </c>
      <c r="B16" s="40" t="s">
        <v>123</v>
      </c>
      <c r="C16" s="41" t="s">
        <v>136</v>
      </c>
      <c r="D16" s="42" t="s">
        <v>137</v>
      </c>
      <c r="E16" s="42" t="s">
        <v>138</v>
      </c>
      <c r="F16" s="42" t="s">
        <v>133</v>
      </c>
      <c r="G16" s="43">
        <v>1</v>
      </c>
      <c r="H16" s="43">
        <v>5</v>
      </c>
      <c r="I16" s="44">
        <f t="shared" si="0"/>
        <v>5</v>
      </c>
      <c r="J16" s="29" t="str">
        <f>IF($I16="","",INDEX(Bewertungsskalen!$C$23:$C$26,MATCH($I16,Bewertungsskalen!$A$23:$A$26,1)))</f>
        <v>Spürbar</v>
      </c>
      <c r="K16" s="45">
        <v>500000</v>
      </c>
      <c r="L16" s="46">
        <f>IF(OR($G16="",$K16=""),"",$K16*INDEX(Bewertungsskalen!$E$7:$E$11,MATCH($G16,Bewertungsskalen!$A$7:$A$11,0)))</f>
        <v>15000</v>
      </c>
      <c r="M16" s="47" t="s">
        <v>113</v>
      </c>
      <c r="N16" s="42" t="s">
        <v>139</v>
      </c>
      <c r="O16" s="48">
        <v>46356</v>
      </c>
      <c r="P16" s="30" t="s">
        <v>46</v>
      </c>
      <c r="Q16" s="49">
        <v>1</v>
      </c>
      <c r="R16" s="49">
        <v>4</v>
      </c>
      <c r="S16" s="44">
        <f t="shared" si="1"/>
        <v>4</v>
      </c>
      <c r="T16" s="29" t="str">
        <f>IF($S16="","",INDEX(Bewertungsskalen!$C$23:$C$26,MATCH($S16,Bewertungsskalen!$A$23:$A$26,1)))</f>
        <v>Gering</v>
      </c>
      <c r="U16" s="50">
        <f t="shared" si="2"/>
        <v>0.2</v>
      </c>
      <c r="V16" s="48">
        <v>46387</v>
      </c>
      <c r="X16">
        <f t="shared" si="3"/>
        <v>4.0001600000000002</v>
      </c>
    </row>
    <row r="17" spans="1:24" ht="42" customHeight="1" x14ac:dyDescent="0.25">
      <c r="A17" s="27" t="s">
        <v>140</v>
      </c>
      <c r="B17" s="40" t="s">
        <v>141</v>
      </c>
      <c r="C17" s="41" t="s">
        <v>142</v>
      </c>
      <c r="D17" s="42" t="s">
        <v>143</v>
      </c>
      <c r="E17" s="42" t="s">
        <v>144</v>
      </c>
      <c r="F17" s="42" t="s">
        <v>145</v>
      </c>
      <c r="G17" s="43">
        <v>3</v>
      </c>
      <c r="H17" s="43">
        <v>5</v>
      </c>
      <c r="I17" s="44">
        <f t="shared" si="0"/>
        <v>15</v>
      </c>
      <c r="J17" s="29" t="str">
        <f>IF($I17="","",INDEX(Bewertungsskalen!$C$23:$C$26,MATCH($I17,Bewertungsskalen!$A$23:$A$26,1)))</f>
        <v>Kritisch</v>
      </c>
      <c r="K17" s="45">
        <v>750000</v>
      </c>
      <c r="L17" s="46">
        <f>IF(OR($G17="",$K17=""),"",$K17*INDEX(Bewertungsskalen!$E$7:$E$11,MATCH($G17,Bewertungsskalen!$A$7:$A$11,0)))</f>
        <v>262500</v>
      </c>
      <c r="M17" s="47" t="s">
        <v>88</v>
      </c>
      <c r="N17" s="42" t="s">
        <v>146</v>
      </c>
      <c r="O17" s="48">
        <v>46265</v>
      </c>
      <c r="P17" s="30" t="s">
        <v>47</v>
      </c>
      <c r="Q17" s="49">
        <v>2</v>
      </c>
      <c r="R17" s="49">
        <v>4</v>
      </c>
      <c r="S17" s="44">
        <f t="shared" si="1"/>
        <v>8</v>
      </c>
      <c r="T17" s="29" t="str">
        <f>IF($S17="","",INDEX(Bewertungsskalen!$C$23:$C$26,MATCH($S17,Bewertungsskalen!$A$23:$A$26,1)))</f>
        <v>Spürbar</v>
      </c>
      <c r="U17" s="50">
        <f t="shared" si="2"/>
        <v>0.46666666666666667</v>
      </c>
      <c r="V17" s="48">
        <v>46295</v>
      </c>
      <c r="X17">
        <f t="shared" si="3"/>
        <v>8.0001700000000007</v>
      </c>
    </row>
    <row r="18" spans="1:24" ht="42" customHeight="1" x14ac:dyDescent="0.25">
      <c r="A18" s="27" t="s">
        <v>147</v>
      </c>
      <c r="B18" s="40" t="s">
        <v>141</v>
      </c>
      <c r="C18" s="41" t="s">
        <v>148</v>
      </c>
      <c r="D18" s="42" t="s">
        <v>149</v>
      </c>
      <c r="E18" s="42" t="s">
        <v>150</v>
      </c>
      <c r="F18" s="42" t="s">
        <v>145</v>
      </c>
      <c r="G18" s="43">
        <v>3</v>
      </c>
      <c r="H18" s="43">
        <v>4</v>
      </c>
      <c r="I18" s="44">
        <f t="shared" si="0"/>
        <v>12</v>
      </c>
      <c r="J18" s="29" t="str">
        <f>IF($I18="","",INDEX(Bewertungsskalen!$C$23:$C$26,MATCH($I18,Bewertungsskalen!$A$23:$A$26,1)))</f>
        <v>Erheblich</v>
      </c>
      <c r="K18" s="45">
        <v>200000</v>
      </c>
      <c r="L18" s="46">
        <f>IF(OR($G18="",$K18=""),"",$K18*INDEX(Bewertungsskalen!$E$7:$E$11,MATCH($G18,Bewertungsskalen!$A$7:$A$11,0)))</f>
        <v>70000</v>
      </c>
      <c r="M18" s="47" t="s">
        <v>88</v>
      </c>
      <c r="N18" s="42" t="s">
        <v>151</v>
      </c>
      <c r="O18" s="48">
        <v>46356</v>
      </c>
      <c r="P18" s="30" t="s">
        <v>46</v>
      </c>
      <c r="Q18" s="49">
        <v>2</v>
      </c>
      <c r="R18" s="49">
        <v>3</v>
      </c>
      <c r="S18" s="44">
        <f t="shared" si="1"/>
        <v>6</v>
      </c>
      <c r="T18" s="29" t="str">
        <f>IF($S18="","",INDEX(Bewertungsskalen!$C$23:$C$26,MATCH($S18,Bewertungsskalen!$A$23:$A$26,1)))</f>
        <v>Spürbar</v>
      </c>
      <c r="U18" s="50">
        <f t="shared" si="2"/>
        <v>0.5</v>
      </c>
      <c r="V18" s="48">
        <v>46387</v>
      </c>
      <c r="X18">
        <f t="shared" si="3"/>
        <v>6.0001800000000003</v>
      </c>
    </row>
    <row r="19" spans="1:24" ht="42" customHeight="1" x14ac:dyDescent="0.25">
      <c r="A19" s="27" t="s">
        <v>152</v>
      </c>
      <c r="B19" s="40" t="s">
        <v>141</v>
      </c>
      <c r="C19" s="41" t="s">
        <v>153</v>
      </c>
      <c r="D19" s="42" t="s">
        <v>154</v>
      </c>
      <c r="E19" s="42" t="s">
        <v>155</v>
      </c>
      <c r="F19" s="42" t="s">
        <v>145</v>
      </c>
      <c r="G19" s="43">
        <v>3</v>
      </c>
      <c r="H19" s="43">
        <v>3</v>
      </c>
      <c r="I19" s="44">
        <f t="shared" si="0"/>
        <v>9</v>
      </c>
      <c r="J19" s="29" t="str">
        <f>IF($I19="","",INDEX(Bewertungsskalen!$C$23:$C$26,MATCH($I19,Bewertungsskalen!$A$23:$A$26,1)))</f>
        <v>Spürbar</v>
      </c>
      <c r="K19" s="45">
        <v>100000</v>
      </c>
      <c r="L19" s="46">
        <f>IF(OR($G19="",$K19=""),"",$K19*INDEX(Bewertungsskalen!$E$7:$E$11,MATCH($G19,Bewertungsskalen!$A$7:$A$11,0)))</f>
        <v>35000</v>
      </c>
      <c r="M19" s="47" t="s">
        <v>88</v>
      </c>
      <c r="N19" s="42" t="s">
        <v>156</v>
      </c>
      <c r="O19" s="48">
        <v>46295</v>
      </c>
      <c r="P19" s="30" t="s">
        <v>46</v>
      </c>
      <c r="Q19" s="49">
        <v>2</v>
      </c>
      <c r="R19" s="49">
        <v>2</v>
      </c>
      <c r="S19" s="44">
        <f t="shared" si="1"/>
        <v>4</v>
      </c>
      <c r="T19" s="29" t="str">
        <f>IF($S19="","",INDEX(Bewertungsskalen!$C$23:$C$26,MATCH($S19,Bewertungsskalen!$A$23:$A$26,1)))</f>
        <v>Gering</v>
      </c>
      <c r="U19" s="50">
        <f t="shared" si="2"/>
        <v>0.55555555555555558</v>
      </c>
      <c r="V19" s="48">
        <v>46387</v>
      </c>
      <c r="X19">
        <f t="shared" si="3"/>
        <v>4.0001899999999999</v>
      </c>
    </row>
    <row r="20" spans="1:24" ht="42" customHeight="1" x14ac:dyDescent="0.25">
      <c r="A20" s="27" t="s">
        <v>157</v>
      </c>
      <c r="B20" s="40" t="s">
        <v>158</v>
      </c>
      <c r="C20" s="41" t="s">
        <v>159</v>
      </c>
      <c r="D20" s="42" t="s">
        <v>160</v>
      </c>
      <c r="E20" s="42" t="s">
        <v>161</v>
      </c>
      <c r="F20" s="42" t="s">
        <v>162</v>
      </c>
      <c r="G20" s="43">
        <v>3</v>
      </c>
      <c r="H20" s="43">
        <v>4</v>
      </c>
      <c r="I20" s="44">
        <f t="shared" si="0"/>
        <v>12</v>
      </c>
      <c r="J20" s="29" t="str">
        <f>IF($I20="","",INDEX(Bewertungsskalen!$C$23:$C$26,MATCH($I20,Bewertungsskalen!$A$23:$A$26,1)))</f>
        <v>Erheblich</v>
      </c>
      <c r="K20" s="45">
        <v>150000</v>
      </c>
      <c r="L20" s="46">
        <f>IF(OR($G20="",$K20=""),"",$K20*INDEX(Bewertungsskalen!$E$7:$E$11,MATCH($G20,Bewertungsskalen!$A$7:$A$11,0)))</f>
        <v>52500</v>
      </c>
      <c r="M20" s="47" t="s">
        <v>88</v>
      </c>
      <c r="N20" s="42" t="s">
        <v>163</v>
      </c>
      <c r="O20" s="48">
        <v>46265</v>
      </c>
      <c r="P20" s="30" t="s">
        <v>47</v>
      </c>
      <c r="Q20" s="49">
        <v>2</v>
      </c>
      <c r="R20" s="49">
        <v>3</v>
      </c>
      <c r="S20" s="44">
        <f t="shared" si="1"/>
        <v>6</v>
      </c>
      <c r="T20" s="29" t="str">
        <f>IF($S20="","",INDEX(Bewertungsskalen!$C$23:$C$26,MATCH($S20,Bewertungsskalen!$A$23:$A$26,1)))</f>
        <v>Spürbar</v>
      </c>
      <c r="U20" s="50">
        <f t="shared" si="2"/>
        <v>0.5</v>
      </c>
      <c r="V20" s="48">
        <v>46387</v>
      </c>
      <c r="X20">
        <f t="shared" si="3"/>
        <v>6.0002000000000004</v>
      </c>
    </row>
    <row r="21" spans="1:24" ht="42" customHeight="1" x14ac:dyDescent="0.25">
      <c r="A21" s="27" t="s">
        <v>164</v>
      </c>
      <c r="B21" s="40" t="s">
        <v>158</v>
      </c>
      <c r="C21" s="41" t="s">
        <v>165</v>
      </c>
      <c r="D21" s="42" t="s">
        <v>166</v>
      </c>
      <c r="E21" s="42" t="s">
        <v>167</v>
      </c>
      <c r="F21" s="42" t="s">
        <v>162</v>
      </c>
      <c r="G21" s="43">
        <v>4</v>
      </c>
      <c r="H21" s="43">
        <v>3</v>
      </c>
      <c r="I21" s="44">
        <f t="shared" si="0"/>
        <v>12</v>
      </c>
      <c r="J21" s="29" t="str">
        <f>IF($I21="","",INDEX(Bewertungsskalen!$C$23:$C$26,MATCH($I21,Bewertungsskalen!$A$23:$A$26,1)))</f>
        <v>Erheblich</v>
      </c>
      <c r="K21" s="45">
        <v>120000</v>
      </c>
      <c r="L21" s="46">
        <f>IF(OR($G21="",$K21=""),"",$K21*INDEX(Bewertungsskalen!$E$7:$E$11,MATCH($G21,Bewertungsskalen!$A$7:$A$11,0)))</f>
        <v>78000</v>
      </c>
      <c r="M21" s="47" t="s">
        <v>88</v>
      </c>
      <c r="N21" s="42" t="s">
        <v>168</v>
      </c>
      <c r="O21" s="48">
        <v>46387</v>
      </c>
      <c r="P21" s="30" t="s">
        <v>46</v>
      </c>
      <c r="Q21" s="49">
        <v>3</v>
      </c>
      <c r="R21" s="49">
        <v>3</v>
      </c>
      <c r="S21" s="44">
        <f t="shared" si="1"/>
        <v>9</v>
      </c>
      <c r="T21" s="29" t="str">
        <f>IF($S21="","",INDEX(Bewertungsskalen!$C$23:$C$26,MATCH($S21,Bewertungsskalen!$A$23:$A$26,1)))</f>
        <v>Spürbar</v>
      </c>
      <c r="U21" s="50">
        <f t="shared" si="2"/>
        <v>0.25</v>
      </c>
      <c r="V21" s="48">
        <v>46387</v>
      </c>
      <c r="X21">
        <f t="shared" si="3"/>
        <v>9.0002099999999992</v>
      </c>
    </row>
    <row r="22" spans="1:24" ht="42" customHeight="1" x14ac:dyDescent="0.25">
      <c r="A22" s="27" t="s">
        <v>169</v>
      </c>
      <c r="B22" s="40" t="s">
        <v>170</v>
      </c>
      <c r="C22" s="41" t="s">
        <v>171</v>
      </c>
      <c r="D22" s="42" t="s">
        <v>172</v>
      </c>
      <c r="E22" s="42" t="s">
        <v>173</v>
      </c>
      <c r="F22" s="42" t="s">
        <v>174</v>
      </c>
      <c r="G22" s="43">
        <v>2</v>
      </c>
      <c r="H22" s="43">
        <v>4</v>
      </c>
      <c r="I22" s="44">
        <f t="shared" si="0"/>
        <v>8</v>
      </c>
      <c r="J22" s="29" t="str">
        <f>IF($I22="","",INDEX(Bewertungsskalen!$C$23:$C$26,MATCH($I22,Bewertungsskalen!$A$23:$A$26,1)))</f>
        <v>Spürbar</v>
      </c>
      <c r="K22" s="45">
        <v>300000</v>
      </c>
      <c r="L22" s="46">
        <f>IF(OR($G22="",$K22=""),"",$K22*INDEX(Bewertungsskalen!$E$7:$E$11,MATCH($G22,Bewertungsskalen!$A$7:$A$11,0)))</f>
        <v>36000</v>
      </c>
      <c r="M22" s="47" t="s">
        <v>88</v>
      </c>
      <c r="N22" s="42" t="s">
        <v>175</v>
      </c>
      <c r="O22" s="48">
        <v>46295</v>
      </c>
      <c r="P22" s="30" t="s">
        <v>47</v>
      </c>
      <c r="Q22" s="49">
        <v>1</v>
      </c>
      <c r="R22" s="49">
        <v>4</v>
      </c>
      <c r="S22" s="44">
        <f t="shared" si="1"/>
        <v>4</v>
      </c>
      <c r="T22" s="29" t="str">
        <f>IF($S22="","",INDEX(Bewertungsskalen!$C$23:$C$26,MATCH($S22,Bewertungsskalen!$A$23:$A$26,1)))</f>
        <v>Gering</v>
      </c>
      <c r="U22" s="50">
        <f t="shared" si="2"/>
        <v>0.5</v>
      </c>
      <c r="V22" s="48">
        <v>46387</v>
      </c>
      <c r="X22">
        <f t="shared" si="3"/>
        <v>4.0002199999999997</v>
      </c>
    </row>
    <row r="23" spans="1:24" ht="42" customHeight="1" x14ac:dyDescent="0.25">
      <c r="A23" s="27" t="s">
        <v>176</v>
      </c>
      <c r="B23" s="40" t="s">
        <v>170</v>
      </c>
      <c r="C23" s="41" t="s">
        <v>177</v>
      </c>
      <c r="D23" s="42" t="s">
        <v>178</v>
      </c>
      <c r="E23" s="42" t="s">
        <v>179</v>
      </c>
      <c r="F23" s="42" t="s">
        <v>180</v>
      </c>
      <c r="G23" s="43">
        <v>3</v>
      </c>
      <c r="H23" s="43">
        <v>3</v>
      </c>
      <c r="I23" s="44">
        <f t="shared" si="0"/>
        <v>9</v>
      </c>
      <c r="J23" s="29" t="str">
        <f>IF($I23="","",INDEX(Bewertungsskalen!$C$23:$C$26,MATCH($I23,Bewertungsskalen!$A$23:$A$26,1)))</f>
        <v>Spürbar</v>
      </c>
      <c r="K23" s="45">
        <v>80000</v>
      </c>
      <c r="L23" s="46">
        <f>IF(OR($G23="",$K23=""),"",$K23*INDEX(Bewertungsskalen!$E$7:$E$11,MATCH($G23,Bewertungsskalen!$A$7:$A$11,0)))</f>
        <v>28000</v>
      </c>
      <c r="M23" s="47" t="s">
        <v>88</v>
      </c>
      <c r="N23" s="42" t="s">
        <v>181</v>
      </c>
      <c r="O23" s="48">
        <v>46326</v>
      </c>
      <c r="P23" s="30" t="s">
        <v>46</v>
      </c>
      <c r="Q23" s="49">
        <v>2</v>
      </c>
      <c r="R23" s="49">
        <v>3</v>
      </c>
      <c r="S23" s="44">
        <f t="shared" si="1"/>
        <v>6</v>
      </c>
      <c r="T23" s="29" t="str">
        <f>IF($S23="","",INDEX(Bewertungsskalen!$C$23:$C$26,MATCH($S23,Bewertungsskalen!$A$23:$A$26,1)))</f>
        <v>Spürbar</v>
      </c>
      <c r="U23" s="50">
        <f t="shared" si="2"/>
        <v>0.33333333333333331</v>
      </c>
      <c r="V23" s="48">
        <v>46387</v>
      </c>
      <c r="X23">
        <f t="shared" si="3"/>
        <v>6.0002300000000002</v>
      </c>
    </row>
    <row r="24" spans="1:24" ht="42" customHeight="1" x14ac:dyDescent="0.25">
      <c r="A24" s="27" t="s">
        <v>182</v>
      </c>
      <c r="B24" s="40" t="s">
        <v>183</v>
      </c>
      <c r="C24" s="41" t="s">
        <v>184</v>
      </c>
      <c r="D24" s="42" t="s">
        <v>185</v>
      </c>
      <c r="E24" s="42" t="s">
        <v>186</v>
      </c>
      <c r="F24" s="42" t="s">
        <v>112</v>
      </c>
      <c r="G24" s="43">
        <v>3</v>
      </c>
      <c r="H24" s="43">
        <v>4</v>
      </c>
      <c r="I24" s="44">
        <f t="shared" si="0"/>
        <v>12</v>
      </c>
      <c r="J24" s="29" t="str">
        <f>IF($I24="","",INDEX(Bewertungsskalen!$C$23:$C$26,MATCH($I24,Bewertungsskalen!$A$23:$A$26,1)))</f>
        <v>Erheblich</v>
      </c>
      <c r="K24" s="45">
        <v>260000</v>
      </c>
      <c r="L24" s="46">
        <f>IF(OR($G24="",$K24=""),"",$K24*INDEX(Bewertungsskalen!$E$7:$E$11,MATCH($G24,Bewertungsskalen!$A$7:$A$11,0)))</f>
        <v>91000</v>
      </c>
      <c r="M24" s="47" t="s">
        <v>187</v>
      </c>
      <c r="N24" s="42" t="s">
        <v>188</v>
      </c>
      <c r="O24" s="48">
        <v>46326</v>
      </c>
      <c r="P24" s="30" t="s">
        <v>47</v>
      </c>
      <c r="Q24" s="49">
        <v>2</v>
      </c>
      <c r="R24" s="49">
        <v>3</v>
      </c>
      <c r="S24" s="44">
        <f t="shared" si="1"/>
        <v>6</v>
      </c>
      <c r="T24" s="29" t="str">
        <f>IF($S24="","",INDEX(Bewertungsskalen!$C$23:$C$26,MATCH($S24,Bewertungsskalen!$A$23:$A$26,1)))</f>
        <v>Spürbar</v>
      </c>
      <c r="U24" s="50">
        <f t="shared" si="2"/>
        <v>0.5</v>
      </c>
      <c r="V24" s="48">
        <v>46387</v>
      </c>
      <c r="X24">
        <f t="shared" si="3"/>
        <v>6.0002399999999998</v>
      </c>
    </row>
    <row r="25" spans="1:24" ht="42" customHeight="1" x14ac:dyDescent="0.25">
      <c r="A25" s="27" t="s">
        <v>189</v>
      </c>
      <c r="B25" s="40" t="s">
        <v>183</v>
      </c>
      <c r="C25" s="41" t="s">
        <v>190</v>
      </c>
      <c r="D25" s="42" t="s">
        <v>191</v>
      </c>
      <c r="E25" s="42" t="s">
        <v>192</v>
      </c>
      <c r="F25" s="42" t="s">
        <v>112</v>
      </c>
      <c r="G25" s="43">
        <v>3</v>
      </c>
      <c r="H25" s="43">
        <v>2</v>
      </c>
      <c r="I25" s="44">
        <f t="shared" si="0"/>
        <v>6</v>
      </c>
      <c r="J25" s="29" t="str">
        <f>IF($I25="","",INDEX(Bewertungsskalen!$C$23:$C$26,MATCH($I25,Bewertungsskalen!$A$23:$A$26,1)))</f>
        <v>Spürbar</v>
      </c>
      <c r="K25" s="45">
        <v>60000</v>
      </c>
      <c r="L25" s="46">
        <f>IF(OR($G25="",$K25=""),"",$K25*INDEX(Bewertungsskalen!$E$7:$E$11,MATCH($G25,Bewertungsskalen!$A$7:$A$11,0)))</f>
        <v>21000</v>
      </c>
      <c r="M25" s="47" t="s">
        <v>88</v>
      </c>
      <c r="N25" s="42" t="s">
        <v>193</v>
      </c>
      <c r="O25" s="48">
        <v>46295</v>
      </c>
      <c r="P25" s="30" t="s">
        <v>49</v>
      </c>
      <c r="Q25" s="49">
        <v>2</v>
      </c>
      <c r="R25" s="49">
        <v>2</v>
      </c>
      <c r="S25" s="44">
        <f t="shared" si="1"/>
        <v>4</v>
      </c>
      <c r="T25" s="29" t="str">
        <f>IF($S25="","",INDEX(Bewertungsskalen!$C$23:$C$26,MATCH($S25,Bewertungsskalen!$A$23:$A$26,1)))</f>
        <v>Gering</v>
      </c>
      <c r="U25" s="50">
        <f t="shared" si="2"/>
        <v>0.33333333333333331</v>
      </c>
      <c r="V25" s="48">
        <v>46387</v>
      </c>
      <c r="X25">
        <f t="shared" si="3"/>
        <v>4.0002500000000003</v>
      </c>
    </row>
    <row r="26" spans="1:24" ht="42" customHeight="1" x14ac:dyDescent="0.25">
      <c r="A26" s="27" t="s">
        <v>194</v>
      </c>
      <c r="B26" s="40" t="s">
        <v>195</v>
      </c>
      <c r="C26" s="41" t="s">
        <v>196</v>
      </c>
      <c r="D26" s="42" t="s">
        <v>197</v>
      </c>
      <c r="E26" s="42" t="s">
        <v>198</v>
      </c>
      <c r="F26" s="42" t="s">
        <v>199</v>
      </c>
      <c r="G26" s="43">
        <v>2</v>
      </c>
      <c r="H26" s="43">
        <v>4</v>
      </c>
      <c r="I26" s="44">
        <f t="shared" si="0"/>
        <v>8</v>
      </c>
      <c r="J26" s="29" t="str">
        <f>IF($I26="","",INDEX(Bewertungsskalen!$C$23:$C$26,MATCH($I26,Bewertungsskalen!$A$23:$A$26,1)))</f>
        <v>Spürbar</v>
      </c>
      <c r="K26" s="45">
        <v>200000</v>
      </c>
      <c r="L26" s="46">
        <f>IF(OR($G26="",$K26=""),"",$K26*INDEX(Bewertungsskalen!$E$7:$E$11,MATCH($G26,Bewertungsskalen!$A$7:$A$11,0)))</f>
        <v>24000</v>
      </c>
      <c r="M26" s="47" t="s">
        <v>88</v>
      </c>
      <c r="N26" s="42" t="s">
        <v>200</v>
      </c>
      <c r="O26" s="48">
        <v>46295</v>
      </c>
      <c r="P26" s="30" t="s">
        <v>46</v>
      </c>
      <c r="Q26" s="49">
        <v>2</v>
      </c>
      <c r="R26" s="49">
        <v>3</v>
      </c>
      <c r="S26" s="44">
        <f t="shared" si="1"/>
        <v>6</v>
      </c>
      <c r="T26" s="29" t="str">
        <f>IF($S26="","",INDEX(Bewertungsskalen!$C$23:$C$26,MATCH($S26,Bewertungsskalen!$A$23:$A$26,1)))</f>
        <v>Spürbar</v>
      </c>
      <c r="U26" s="50">
        <f t="shared" si="2"/>
        <v>0.25</v>
      </c>
      <c r="V26" s="48">
        <v>46387</v>
      </c>
      <c r="X26">
        <f t="shared" si="3"/>
        <v>6.0002599999999999</v>
      </c>
    </row>
    <row r="27" spans="1:24" ht="42" customHeight="1" x14ac:dyDescent="0.25">
      <c r="A27" s="27" t="s">
        <v>201</v>
      </c>
      <c r="B27" s="40" t="s">
        <v>195</v>
      </c>
      <c r="C27" s="41" t="s">
        <v>202</v>
      </c>
      <c r="D27" s="42" t="s">
        <v>203</v>
      </c>
      <c r="E27" s="42" t="s">
        <v>204</v>
      </c>
      <c r="F27" s="42" t="s">
        <v>205</v>
      </c>
      <c r="G27" s="43">
        <v>3</v>
      </c>
      <c r="H27" s="43">
        <v>3</v>
      </c>
      <c r="I27" s="44">
        <f t="shared" si="0"/>
        <v>9</v>
      </c>
      <c r="J27" s="29" t="str">
        <f>IF($I27="","",INDEX(Bewertungsskalen!$C$23:$C$26,MATCH($I27,Bewertungsskalen!$A$23:$A$26,1)))</f>
        <v>Spürbar</v>
      </c>
      <c r="K27" s="45">
        <v>140000</v>
      </c>
      <c r="L27" s="46">
        <f>IF(OR($G27="",$K27=""),"",$K27*INDEX(Bewertungsskalen!$E$7:$E$11,MATCH($G27,Bewertungsskalen!$A$7:$A$11,0)))</f>
        <v>49000</v>
      </c>
      <c r="M27" s="47" t="s">
        <v>88</v>
      </c>
      <c r="N27" s="42" t="s">
        <v>206</v>
      </c>
      <c r="O27" s="48">
        <v>46173</v>
      </c>
      <c r="P27" s="30" t="s">
        <v>48</v>
      </c>
      <c r="Q27" s="49">
        <v>2</v>
      </c>
      <c r="R27" s="49">
        <v>2</v>
      </c>
      <c r="S27" s="44">
        <f t="shared" si="1"/>
        <v>4</v>
      </c>
      <c r="T27" s="29" t="str">
        <f>IF($S27="","",INDEX(Bewertungsskalen!$C$23:$C$26,MATCH($S27,Bewertungsskalen!$A$23:$A$26,1)))</f>
        <v>Gering</v>
      </c>
      <c r="U27" s="50">
        <f t="shared" si="2"/>
        <v>0.55555555555555558</v>
      </c>
      <c r="V27" s="48">
        <v>46387</v>
      </c>
      <c r="X27">
        <f t="shared" si="3"/>
        <v>4.0002700000000004</v>
      </c>
    </row>
    <row r="28" spans="1:24" ht="42" customHeight="1" x14ac:dyDescent="0.25">
      <c r="A28" s="27"/>
      <c r="B28" s="40"/>
      <c r="C28" s="41"/>
      <c r="D28" s="42"/>
      <c r="E28" s="42"/>
      <c r="F28" s="42"/>
      <c r="G28" s="43"/>
      <c r="H28" s="43"/>
      <c r="I28" s="44" t="str">
        <f t="shared" si="0"/>
        <v/>
      </c>
      <c r="J28" s="29" t="str">
        <f>IF($I28="","",INDEX(Bewertungsskalen!$C$23:$C$26,MATCH($I28,Bewertungsskalen!$A$23:$A$26,1)))</f>
        <v/>
      </c>
      <c r="K28" s="45"/>
      <c r="L28" s="46" t="str">
        <f>IF(OR($G28="",$K28=""),"",$K28*INDEX(Bewertungsskalen!$E$7:$E$11,MATCH($G28,Bewertungsskalen!$A$7:$A$11,0)))</f>
        <v/>
      </c>
      <c r="M28" s="47"/>
      <c r="N28" s="42"/>
      <c r="O28" s="48"/>
      <c r="P28" s="30"/>
      <c r="Q28" s="49"/>
      <c r="R28" s="49"/>
      <c r="S28" s="44" t="str">
        <f t="shared" si="1"/>
        <v/>
      </c>
      <c r="T28" s="29" t="str">
        <f>IF($S28="","",INDEX(Bewertungsskalen!$C$23:$C$26,MATCH($S28,Bewertungsskalen!$A$23:$A$26,1)))</f>
        <v/>
      </c>
      <c r="U28" s="50" t="str">
        <f t="shared" si="2"/>
        <v/>
      </c>
      <c r="V28" s="48"/>
      <c r="X28" t="str">
        <f t="shared" si="3"/>
        <v/>
      </c>
    </row>
    <row r="29" spans="1:24" ht="42" customHeight="1" x14ac:dyDescent="0.25">
      <c r="A29" s="27"/>
      <c r="B29" s="40"/>
      <c r="C29" s="41"/>
      <c r="D29" s="42"/>
      <c r="E29" s="42"/>
      <c r="F29" s="42"/>
      <c r="G29" s="43"/>
      <c r="H29" s="43"/>
      <c r="I29" s="44" t="str">
        <f t="shared" si="0"/>
        <v/>
      </c>
      <c r="J29" s="29" t="str">
        <f>IF($I29="","",INDEX(Bewertungsskalen!$C$23:$C$26,MATCH($I29,Bewertungsskalen!$A$23:$A$26,1)))</f>
        <v/>
      </c>
      <c r="K29" s="45"/>
      <c r="L29" s="46" t="str">
        <f>IF(OR($G29="",$K29=""),"",$K29*INDEX(Bewertungsskalen!$E$7:$E$11,MATCH($G29,Bewertungsskalen!$A$7:$A$11,0)))</f>
        <v/>
      </c>
      <c r="M29" s="47"/>
      <c r="N29" s="42"/>
      <c r="O29" s="48"/>
      <c r="P29" s="30"/>
      <c r="Q29" s="49"/>
      <c r="R29" s="49"/>
      <c r="S29" s="44" t="str">
        <f t="shared" si="1"/>
        <v/>
      </c>
      <c r="T29" s="29" t="str">
        <f>IF($S29="","",INDEX(Bewertungsskalen!$C$23:$C$26,MATCH($S29,Bewertungsskalen!$A$23:$A$26,1)))</f>
        <v/>
      </c>
      <c r="U29" s="50" t="str">
        <f t="shared" si="2"/>
        <v/>
      </c>
      <c r="V29" s="48"/>
      <c r="X29" t="str">
        <f t="shared" si="3"/>
        <v/>
      </c>
    </row>
    <row r="30" spans="1:24" ht="42" customHeight="1" x14ac:dyDescent="0.25">
      <c r="A30" s="27"/>
      <c r="B30" s="40"/>
      <c r="C30" s="41"/>
      <c r="D30" s="42"/>
      <c r="E30" s="42"/>
      <c r="F30" s="42"/>
      <c r="G30" s="43"/>
      <c r="H30" s="43"/>
      <c r="I30" s="44" t="str">
        <f t="shared" si="0"/>
        <v/>
      </c>
      <c r="J30" s="29" t="str">
        <f>IF($I30="","",INDEX(Bewertungsskalen!$C$23:$C$26,MATCH($I30,Bewertungsskalen!$A$23:$A$26,1)))</f>
        <v/>
      </c>
      <c r="K30" s="45"/>
      <c r="L30" s="46" t="str">
        <f>IF(OR($G30="",$K30=""),"",$K30*INDEX(Bewertungsskalen!$E$7:$E$11,MATCH($G30,Bewertungsskalen!$A$7:$A$11,0)))</f>
        <v/>
      </c>
      <c r="M30" s="47"/>
      <c r="N30" s="42"/>
      <c r="O30" s="48"/>
      <c r="P30" s="30"/>
      <c r="Q30" s="49"/>
      <c r="R30" s="49"/>
      <c r="S30" s="44" t="str">
        <f t="shared" si="1"/>
        <v/>
      </c>
      <c r="T30" s="29" t="str">
        <f>IF($S30="","",INDEX(Bewertungsskalen!$C$23:$C$26,MATCH($S30,Bewertungsskalen!$A$23:$A$26,1)))</f>
        <v/>
      </c>
      <c r="U30" s="50" t="str">
        <f t="shared" si="2"/>
        <v/>
      </c>
      <c r="V30" s="48"/>
      <c r="X30" t="str">
        <f t="shared" si="3"/>
        <v/>
      </c>
    </row>
    <row r="31" spans="1:24" ht="42" customHeight="1" x14ac:dyDescent="0.25">
      <c r="A31" s="27"/>
      <c r="B31" s="40"/>
      <c r="C31" s="41"/>
      <c r="D31" s="42"/>
      <c r="E31" s="42"/>
      <c r="F31" s="42"/>
      <c r="G31" s="43"/>
      <c r="H31" s="43"/>
      <c r="I31" s="44" t="str">
        <f t="shared" si="0"/>
        <v/>
      </c>
      <c r="J31" s="29" t="str">
        <f>IF($I31="","",INDEX(Bewertungsskalen!$C$23:$C$26,MATCH($I31,Bewertungsskalen!$A$23:$A$26,1)))</f>
        <v/>
      </c>
      <c r="K31" s="45"/>
      <c r="L31" s="46" t="str">
        <f>IF(OR($G31="",$K31=""),"",$K31*INDEX(Bewertungsskalen!$E$7:$E$11,MATCH($G31,Bewertungsskalen!$A$7:$A$11,0)))</f>
        <v/>
      </c>
      <c r="M31" s="47"/>
      <c r="N31" s="42"/>
      <c r="O31" s="48"/>
      <c r="P31" s="30"/>
      <c r="Q31" s="49"/>
      <c r="R31" s="49"/>
      <c r="S31" s="44" t="str">
        <f t="shared" si="1"/>
        <v/>
      </c>
      <c r="T31" s="29" t="str">
        <f>IF($S31="","",INDEX(Bewertungsskalen!$C$23:$C$26,MATCH($S31,Bewertungsskalen!$A$23:$A$26,1)))</f>
        <v/>
      </c>
      <c r="U31" s="50" t="str">
        <f t="shared" si="2"/>
        <v/>
      </c>
      <c r="V31" s="48"/>
      <c r="X31" t="str">
        <f t="shared" si="3"/>
        <v/>
      </c>
    </row>
    <row r="32" spans="1:24" ht="42" customHeight="1" x14ac:dyDescent="0.25">
      <c r="A32" s="27"/>
      <c r="B32" s="40"/>
      <c r="C32" s="41"/>
      <c r="D32" s="42"/>
      <c r="E32" s="42"/>
      <c r="F32" s="42"/>
      <c r="G32" s="43"/>
      <c r="H32" s="43"/>
      <c r="I32" s="44" t="str">
        <f t="shared" si="0"/>
        <v/>
      </c>
      <c r="J32" s="29" t="str">
        <f>IF($I32="","",INDEX(Bewertungsskalen!$C$23:$C$26,MATCH($I32,Bewertungsskalen!$A$23:$A$26,1)))</f>
        <v/>
      </c>
      <c r="K32" s="45"/>
      <c r="L32" s="46" t="str">
        <f>IF(OR($G32="",$K32=""),"",$K32*INDEX(Bewertungsskalen!$E$7:$E$11,MATCH($G32,Bewertungsskalen!$A$7:$A$11,0)))</f>
        <v/>
      </c>
      <c r="M32" s="47"/>
      <c r="N32" s="42"/>
      <c r="O32" s="48"/>
      <c r="P32" s="30"/>
      <c r="Q32" s="49"/>
      <c r="R32" s="49"/>
      <c r="S32" s="44" t="str">
        <f t="shared" si="1"/>
        <v/>
      </c>
      <c r="T32" s="29" t="str">
        <f>IF($S32="","",INDEX(Bewertungsskalen!$C$23:$C$26,MATCH($S32,Bewertungsskalen!$A$23:$A$26,1)))</f>
        <v/>
      </c>
      <c r="U32" s="50" t="str">
        <f t="shared" si="2"/>
        <v/>
      </c>
      <c r="V32" s="48"/>
      <c r="X32" t="str">
        <f t="shared" si="3"/>
        <v/>
      </c>
    </row>
    <row r="33" spans="1:24" ht="42" customHeight="1" x14ac:dyDescent="0.25">
      <c r="A33" s="27"/>
      <c r="B33" s="40"/>
      <c r="C33" s="41"/>
      <c r="D33" s="42"/>
      <c r="E33" s="42"/>
      <c r="F33" s="42"/>
      <c r="G33" s="43"/>
      <c r="H33" s="43"/>
      <c r="I33" s="44" t="str">
        <f t="shared" si="0"/>
        <v/>
      </c>
      <c r="J33" s="29" t="str">
        <f>IF($I33="","",INDEX(Bewertungsskalen!$C$23:$C$26,MATCH($I33,Bewertungsskalen!$A$23:$A$26,1)))</f>
        <v/>
      </c>
      <c r="K33" s="45"/>
      <c r="L33" s="46" t="str">
        <f>IF(OR($G33="",$K33=""),"",$K33*INDEX(Bewertungsskalen!$E$7:$E$11,MATCH($G33,Bewertungsskalen!$A$7:$A$11,0)))</f>
        <v/>
      </c>
      <c r="M33" s="47"/>
      <c r="N33" s="42"/>
      <c r="O33" s="48"/>
      <c r="P33" s="30"/>
      <c r="Q33" s="49"/>
      <c r="R33" s="49"/>
      <c r="S33" s="44" t="str">
        <f t="shared" si="1"/>
        <v/>
      </c>
      <c r="T33" s="29" t="str">
        <f>IF($S33="","",INDEX(Bewertungsskalen!$C$23:$C$26,MATCH($S33,Bewertungsskalen!$A$23:$A$26,1)))</f>
        <v/>
      </c>
      <c r="U33" s="50" t="str">
        <f t="shared" si="2"/>
        <v/>
      </c>
      <c r="V33" s="48"/>
      <c r="X33" t="str">
        <f t="shared" si="3"/>
        <v/>
      </c>
    </row>
    <row r="34" spans="1:24" ht="42" customHeight="1" x14ac:dyDescent="0.25">
      <c r="A34" s="27"/>
      <c r="B34" s="40"/>
      <c r="C34" s="41"/>
      <c r="D34" s="42"/>
      <c r="E34" s="42"/>
      <c r="F34" s="42"/>
      <c r="G34" s="43"/>
      <c r="H34" s="43"/>
      <c r="I34" s="44" t="str">
        <f t="shared" si="0"/>
        <v/>
      </c>
      <c r="J34" s="29" t="str">
        <f>IF($I34="","",INDEX(Bewertungsskalen!$C$23:$C$26,MATCH($I34,Bewertungsskalen!$A$23:$A$26,1)))</f>
        <v/>
      </c>
      <c r="K34" s="45"/>
      <c r="L34" s="46" t="str">
        <f>IF(OR($G34="",$K34=""),"",$K34*INDEX(Bewertungsskalen!$E$7:$E$11,MATCH($G34,Bewertungsskalen!$A$7:$A$11,0)))</f>
        <v/>
      </c>
      <c r="M34" s="47"/>
      <c r="N34" s="42"/>
      <c r="O34" s="48"/>
      <c r="P34" s="30"/>
      <c r="Q34" s="49"/>
      <c r="R34" s="49"/>
      <c r="S34" s="44" t="str">
        <f t="shared" si="1"/>
        <v/>
      </c>
      <c r="T34" s="29" t="str">
        <f>IF($S34="","",INDEX(Bewertungsskalen!$C$23:$C$26,MATCH($S34,Bewertungsskalen!$A$23:$A$26,1)))</f>
        <v/>
      </c>
      <c r="U34" s="50" t="str">
        <f t="shared" si="2"/>
        <v/>
      </c>
      <c r="V34" s="48"/>
      <c r="X34" t="str">
        <f t="shared" si="3"/>
        <v/>
      </c>
    </row>
    <row r="35" spans="1:24" ht="42" customHeight="1" x14ac:dyDescent="0.25">
      <c r="A35" s="27"/>
      <c r="B35" s="40"/>
      <c r="C35" s="41"/>
      <c r="D35" s="42"/>
      <c r="E35" s="42"/>
      <c r="F35" s="42"/>
      <c r="G35" s="43"/>
      <c r="H35" s="43"/>
      <c r="I35" s="44" t="str">
        <f t="shared" si="0"/>
        <v/>
      </c>
      <c r="J35" s="29" t="str">
        <f>IF($I35="","",INDEX(Bewertungsskalen!$C$23:$C$26,MATCH($I35,Bewertungsskalen!$A$23:$A$26,1)))</f>
        <v/>
      </c>
      <c r="K35" s="45"/>
      <c r="L35" s="46" t="str">
        <f>IF(OR($G35="",$K35=""),"",$K35*INDEX(Bewertungsskalen!$E$7:$E$11,MATCH($G35,Bewertungsskalen!$A$7:$A$11,0)))</f>
        <v/>
      </c>
      <c r="M35" s="47"/>
      <c r="N35" s="42"/>
      <c r="O35" s="48"/>
      <c r="P35" s="30"/>
      <c r="Q35" s="49"/>
      <c r="R35" s="49"/>
      <c r="S35" s="44" t="str">
        <f t="shared" si="1"/>
        <v/>
      </c>
      <c r="T35" s="29" t="str">
        <f>IF($S35="","",INDEX(Bewertungsskalen!$C$23:$C$26,MATCH($S35,Bewertungsskalen!$A$23:$A$26,1)))</f>
        <v/>
      </c>
      <c r="U35" s="50" t="str">
        <f t="shared" si="2"/>
        <v/>
      </c>
      <c r="V35" s="48"/>
      <c r="X35" t="str">
        <f t="shared" si="3"/>
        <v/>
      </c>
    </row>
    <row r="36" spans="1:24" ht="42" customHeight="1" x14ac:dyDescent="0.25">
      <c r="A36" s="27"/>
      <c r="B36" s="40"/>
      <c r="C36" s="41"/>
      <c r="D36" s="42"/>
      <c r="E36" s="42"/>
      <c r="F36" s="42"/>
      <c r="G36" s="43"/>
      <c r="H36" s="43"/>
      <c r="I36" s="44" t="str">
        <f t="shared" si="0"/>
        <v/>
      </c>
      <c r="J36" s="29" t="str">
        <f>IF($I36="","",INDEX(Bewertungsskalen!$C$23:$C$26,MATCH($I36,Bewertungsskalen!$A$23:$A$26,1)))</f>
        <v/>
      </c>
      <c r="K36" s="45"/>
      <c r="L36" s="46" t="str">
        <f>IF(OR($G36="",$K36=""),"",$K36*INDEX(Bewertungsskalen!$E$7:$E$11,MATCH($G36,Bewertungsskalen!$A$7:$A$11,0)))</f>
        <v/>
      </c>
      <c r="M36" s="47"/>
      <c r="N36" s="42"/>
      <c r="O36" s="48"/>
      <c r="P36" s="30"/>
      <c r="Q36" s="49"/>
      <c r="R36" s="49"/>
      <c r="S36" s="44" t="str">
        <f t="shared" si="1"/>
        <v/>
      </c>
      <c r="T36" s="29" t="str">
        <f>IF($S36="","",INDEX(Bewertungsskalen!$C$23:$C$26,MATCH($S36,Bewertungsskalen!$A$23:$A$26,1)))</f>
        <v/>
      </c>
      <c r="U36" s="50" t="str">
        <f t="shared" si="2"/>
        <v/>
      </c>
      <c r="V36" s="48"/>
      <c r="X36" t="str">
        <f t="shared" si="3"/>
        <v/>
      </c>
    </row>
    <row r="37" spans="1:24" ht="42" customHeight="1" x14ac:dyDescent="0.25">
      <c r="A37" s="27"/>
      <c r="B37" s="40"/>
      <c r="C37" s="41"/>
      <c r="D37" s="42"/>
      <c r="E37" s="42"/>
      <c r="F37" s="42"/>
      <c r="G37" s="43"/>
      <c r="H37" s="43"/>
      <c r="I37" s="44" t="str">
        <f t="shared" si="0"/>
        <v/>
      </c>
      <c r="J37" s="29" t="str">
        <f>IF($I37="","",INDEX(Bewertungsskalen!$C$23:$C$26,MATCH($I37,Bewertungsskalen!$A$23:$A$26,1)))</f>
        <v/>
      </c>
      <c r="K37" s="45"/>
      <c r="L37" s="46" t="str">
        <f>IF(OR($G37="",$K37=""),"",$K37*INDEX(Bewertungsskalen!$E$7:$E$11,MATCH($G37,Bewertungsskalen!$A$7:$A$11,0)))</f>
        <v/>
      </c>
      <c r="M37" s="47"/>
      <c r="N37" s="42"/>
      <c r="O37" s="48"/>
      <c r="P37" s="30"/>
      <c r="Q37" s="49"/>
      <c r="R37" s="49"/>
      <c r="S37" s="44" t="str">
        <f t="shared" si="1"/>
        <v/>
      </c>
      <c r="T37" s="29" t="str">
        <f>IF($S37="","",INDEX(Bewertungsskalen!$C$23:$C$26,MATCH($S37,Bewertungsskalen!$A$23:$A$26,1)))</f>
        <v/>
      </c>
      <c r="U37" s="50" t="str">
        <f t="shared" si="2"/>
        <v/>
      </c>
      <c r="V37" s="48"/>
      <c r="X37" t="str">
        <f t="shared" si="3"/>
        <v/>
      </c>
    </row>
    <row r="39" spans="1:24" ht="25.5" customHeight="1" x14ac:dyDescent="0.25">
      <c r="A39" s="128" t="s">
        <v>207</v>
      </c>
      <c r="B39" s="128"/>
      <c r="C39" s="128"/>
      <c r="D39" s="128"/>
      <c r="E39" s="128"/>
      <c r="F39" s="128"/>
      <c r="G39" s="51">
        <f>IFERROR(ROUND(AVERAGE(G8:G37),1),"")</f>
        <v>2.9</v>
      </c>
      <c r="H39" s="51">
        <f>IFERROR(ROUND(AVERAGE(H8:H37),1),"")</f>
        <v>3.6</v>
      </c>
      <c r="I39" s="51">
        <f>IFERROR(ROUND(AVERAGE(I8:I37),1),"")</f>
        <v>10</v>
      </c>
      <c r="J39" s="52"/>
      <c r="K39" s="53">
        <f>SUM(K8:K37)</f>
        <v>4970000</v>
      </c>
      <c r="L39" s="53">
        <f>SUM(L8:L37)</f>
        <v>1461900</v>
      </c>
      <c r="M39" s="52"/>
      <c r="N39" s="52" t="str">
        <f>COUNTA(C8:C37)&amp;" Risiken erfasst"</f>
        <v>20 Risiken erfasst</v>
      </c>
      <c r="O39" s="52"/>
      <c r="P39" s="52"/>
      <c r="Q39" s="51">
        <f>IFERROR(ROUND(AVERAGE(Q8:Q37),1),"")</f>
        <v>2.2000000000000002</v>
      </c>
      <c r="R39" s="51">
        <f>IFERROR(ROUND(AVERAGE(R8:R37),1),"")</f>
        <v>3</v>
      </c>
      <c r="S39" s="51">
        <f>IFERROR(ROUND(AVERAGE(S8:S37),1),"")</f>
        <v>6.1</v>
      </c>
      <c r="T39" s="52"/>
      <c r="U39" s="54">
        <f>IFERROR(1-SUM(S8:S37)/SUM(I8:I37),"")</f>
        <v>0.39</v>
      </c>
      <c r="V39" s="52"/>
    </row>
  </sheetData>
  <autoFilter ref="A7:V37" xr:uid="{00000000-0009-0000-0000-000001000000}"/>
  <mergeCells count="8">
    <mergeCell ref="A39:F39"/>
    <mergeCell ref="A1:V1"/>
    <mergeCell ref="A2:V2"/>
    <mergeCell ref="A3:V3"/>
    <mergeCell ref="A6:F6"/>
    <mergeCell ref="G6:L6"/>
    <mergeCell ref="M6:P6"/>
    <mergeCell ref="Q6:V6"/>
  </mergeCells>
  <conditionalFormatting sqref="I8:I37">
    <cfRule type="cellIs" dxfId="22" priority="10" operator="greaterThanOrEqual">
      <formula>15</formula>
    </cfRule>
    <cfRule type="cellIs" dxfId="21" priority="11" operator="greaterThanOrEqual">
      <formula>10</formula>
    </cfRule>
    <cfRule type="cellIs" dxfId="20" priority="12" operator="greaterThanOrEqual">
      <formula>5</formula>
    </cfRule>
    <cfRule type="cellIs" dxfId="19" priority="13" operator="greaterThanOrEqual">
      <formula>0</formula>
    </cfRule>
  </conditionalFormatting>
  <conditionalFormatting sqref="J8:J37">
    <cfRule type="cellIs" dxfId="18" priority="2" operator="equal">
      <formula>"Kritisch"</formula>
    </cfRule>
    <cfRule type="cellIs" dxfId="17" priority="3" operator="equal">
      <formula>"Erheblich"</formula>
    </cfRule>
    <cfRule type="cellIs" dxfId="16" priority="4" operator="equal">
      <formula>"Spürbar"</formula>
    </cfRule>
    <cfRule type="cellIs" dxfId="15" priority="5" operator="equal">
      <formula>"Gering"</formula>
    </cfRule>
  </conditionalFormatting>
  <conditionalFormatting sqref="O8:O37">
    <cfRule type="expression" dxfId="14" priority="22">
      <formula>AND($O8&lt;&gt;"",$O8&lt;TODAY(),OR($P8="Offen",$P8="In Umsetzung"))</formula>
    </cfRule>
  </conditionalFormatting>
  <conditionalFormatting sqref="P8:P37">
    <cfRule type="cellIs" dxfId="13" priority="18" operator="equal">
      <formula>"Offen"</formula>
    </cfRule>
    <cfRule type="cellIs" dxfId="12" priority="19" operator="equal">
      <formula>"In Umsetzung"</formula>
    </cfRule>
    <cfRule type="cellIs" dxfId="11" priority="20" operator="equal">
      <formula>"Umgesetzt"</formula>
    </cfRule>
    <cfRule type="cellIs" dxfId="10" priority="21" operator="equal">
      <formula>"Beobachtung"</formula>
    </cfRule>
  </conditionalFormatting>
  <conditionalFormatting sqref="S8:S37">
    <cfRule type="cellIs" dxfId="9" priority="14" operator="greaterThanOrEqual">
      <formula>15</formula>
    </cfRule>
    <cfRule type="cellIs" dxfId="8" priority="15" operator="greaterThanOrEqual">
      <formula>10</formula>
    </cfRule>
    <cfRule type="cellIs" dxfId="7" priority="16" operator="greaterThanOrEqual">
      <formula>5</formula>
    </cfRule>
    <cfRule type="cellIs" dxfId="6" priority="17" operator="greaterThanOrEqual">
      <formula>0</formula>
    </cfRule>
  </conditionalFormatting>
  <conditionalFormatting sqref="T8:T37">
    <cfRule type="cellIs" dxfId="5" priority="6" operator="equal">
      <formula>"Kritisch"</formula>
    </cfRule>
    <cfRule type="cellIs" dxfId="4" priority="7" operator="equal">
      <formula>"Erheblich"</formula>
    </cfRule>
    <cfRule type="cellIs" dxfId="3" priority="8" operator="equal">
      <formula>"Spürbar"</formula>
    </cfRule>
    <cfRule type="cellIs" dxfId="2" priority="9" operator="equal">
      <formula>"Gering"</formula>
    </cfRule>
  </conditionalFormatting>
  <conditionalFormatting sqref="U8:U37">
    <cfRule type="dataBar" priority="23">
      <dataBar>
        <cfvo type="num" val="0"/>
        <cfvo type="num" val="1"/>
        <color rgb="FFA9D6C2"/>
      </dataBar>
      <extLst>
        <ext xmlns:x14="http://schemas.microsoft.com/office/spreadsheetml/2009/9/main" uri="{B025F937-C7B1-47D3-B67F-A62EFF666E3E}">
          <x14:id>{F0414128-F8DA-4DA7-84D2-BB1C884F1886}</x14:id>
        </ext>
      </extLst>
    </cfRule>
  </conditionalFormatting>
  <pageMargins left="0.75" right="0.75" top="1" bottom="1" header="0.511811023622047" footer="0.511811023622047"/>
  <pageSetup orientation="landscape" horizontalDpi="300" verticalDpi="300"/>
  <legacyDrawing r:id="rId1"/>
  <extLst>
    <ext xmlns:x14="http://schemas.microsoft.com/office/spreadsheetml/2009/9/main" uri="{78C0D931-6437-407d-A8EE-F0AAD7539E65}">
      <x14:conditionalFormattings>
        <x14:conditionalFormatting xmlns:xm="http://schemas.microsoft.com/office/excel/2006/main">
          <x14:cfRule type="dataBar" id="{F0414128-F8DA-4DA7-84D2-BB1C884F1886}">
            <x14:dataBar axisPosition="none">
              <x14:cfvo type="num">
                <xm:f>0</xm:f>
              </x14:cfvo>
              <x14:cfvo type="num">
                <xm:f>1</xm:f>
              </x14:cfvo>
              <x14:negativeFillColor rgb="FFA9D6C2"/>
            </x14:dataBar>
          </x14:cfRule>
          <xm:sqref>U8:U37</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errorTitle="Ungültiger Wert" error="Bitte einen Eintrag aus der Auswahlliste verwenden." promptTitle="Risikokategorie" prompt="Bitte eine Kategorie aus der Liste wählen." xr:uid="{00000000-0002-0000-0100-000000000000}">
          <x14:formula1>
            <xm:f>Bewertungsskalen!$G$7:$G$14</xm:f>
          </x14:formula1>
          <x14:formula2>
            <xm:f>0</xm:f>
          </x14:formula2>
          <xm:sqref>B8:B37</xm:sqref>
        </x14:dataValidation>
        <x14:dataValidation type="list" allowBlank="1" showInputMessage="1" showErrorMessage="1" errorTitle="Ungültiger Wert" error="Bitte einen Eintrag aus der Auswahlliste verwenden." promptTitle="Eintrittswahrscheinlichkeit" prompt="Stufe 1 bis 5 gemäß Blatt »Bewertungsskalen«." xr:uid="{00000000-0002-0000-0100-000001000000}">
          <x14:formula1>
            <xm:f>Bewertungsskalen!$A$7:$A$11</xm:f>
          </x14:formula1>
          <x14:formula2>
            <xm:f>0</xm:f>
          </x14:formula2>
          <xm:sqref>G8:G37</xm:sqref>
        </x14:dataValidation>
        <x14:dataValidation type="list" allowBlank="1" showInputMessage="1" showErrorMessage="1" errorTitle="Ungültiger Wert" error="Bitte einen Eintrag aus der Auswahlliste verwenden." promptTitle="Schadensausmaß" prompt="Stufe 1 bis 5 gemäß Blatt »Bewertungsskalen«." xr:uid="{00000000-0002-0000-0100-000002000000}">
          <x14:formula1>
            <xm:f>Bewertungsskalen!$A$15:$A$19</xm:f>
          </x14:formula1>
          <x14:formula2>
            <xm:f>0</xm:f>
          </x14:formula2>
          <xm:sqref>H8:H37</xm:sqref>
        </x14:dataValidation>
        <x14:dataValidation type="list" allowBlank="1" showInputMessage="1" showErrorMessage="1" errorTitle="Ungültiger Wert" error="Bitte einen Eintrag aus der Auswahlliste verwenden." promptTitle="Risikostrategie" prompt="Vermeiden, Reduzieren, Übertragen oder Akzeptieren." xr:uid="{00000000-0002-0000-0100-000003000000}">
          <x14:formula1>
            <xm:f>Bewertungsskalen!$I$7:$I$10</xm:f>
          </x14:formula1>
          <x14:formula2>
            <xm:f>0</xm:f>
          </x14:formula2>
          <xm:sqref>M8:M37</xm:sqref>
        </x14:dataValidation>
        <x14:dataValidation type="list" allowBlank="1" showInputMessage="1" showErrorMessage="1" errorTitle="Ungültiger Wert" error="Bitte einen Eintrag aus der Auswahlliste verwenden." promptTitle="Bearbeitungsstatus" prompt="Aktuellen Stand der Maßnahme wählen." xr:uid="{00000000-0002-0000-0100-000004000000}">
          <x14:formula1>
            <xm:f>Bewertungsskalen!$K$7:$K$10</xm:f>
          </x14:formula1>
          <x14:formula2>
            <xm:f>0</xm:f>
          </x14:formula2>
          <xm:sqref>P8:P37</xm:sqref>
        </x14:dataValidation>
        <x14:dataValidation type="list" allowBlank="1" showInputMessage="1" showErrorMessage="1" errorTitle="Ungültiger Wert" error="Bitte einen Eintrag aus der Auswahlliste verwenden." promptTitle="Eintrittswahrscheinlichkeit (netto)" prompt="Erwartete Stufe nach Umsetzung der Maßnahme." xr:uid="{00000000-0002-0000-0100-000005000000}">
          <x14:formula1>
            <xm:f>Bewertungsskalen!$A$7:$A$11</xm:f>
          </x14:formula1>
          <x14:formula2>
            <xm:f>0</xm:f>
          </x14:formula2>
          <xm:sqref>Q8:Q37</xm:sqref>
        </x14:dataValidation>
        <x14:dataValidation type="list" allowBlank="1" showInputMessage="1" showErrorMessage="1" errorTitle="Ungültiger Wert" error="Bitte einen Eintrag aus der Auswahlliste verwenden." promptTitle="Schadensausmaß (netto)" prompt="Erwartete Stufe nach Umsetzung der Maßnahme." xr:uid="{00000000-0002-0000-0100-000006000000}">
          <x14:formula1>
            <xm:f>Bewertungsskalen!$A$15:$A$19</xm:f>
          </x14:formula1>
          <x14:formula2>
            <xm:f>0</xm:f>
          </x14:formula2>
          <xm:sqref>R8:R37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05B45"/>
    <pageSetUpPr fitToPage="1"/>
  </sheetPr>
  <dimension ref="A1:H33"/>
  <sheetViews>
    <sheetView showGridLines="0" zoomScaleNormal="100" workbookViewId="0">
      <selection sqref="A1:H1"/>
    </sheetView>
  </sheetViews>
  <sheetFormatPr baseColWidth="10" defaultColWidth="8.7109375" defaultRowHeight="15" x14ac:dyDescent="0.25"/>
  <cols>
    <col min="1" max="1" width="2.42578125" customWidth="1"/>
    <col min="2" max="2" width="4.42578125" customWidth="1"/>
    <col min="3" max="3" width="28" customWidth="1"/>
    <col min="4" max="8" width="17" customWidth="1"/>
  </cols>
  <sheetData>
    <row r="1" spans="1:8" ht="33.75" customHeight="1" x14ac:dyDescent="0.25">
      <c r="A1" s="14" t="s">
        <v>208</v>
      </c>
      <c r="B1" s="14"/>
      <c r="C1" s="14"/>
      <c r="D1" s="14"/>
      <c r="E1" s="14"/>
      <c r="F1" s="14"/>
      <c r="G1" s="14"/>
      <c r="H1" s="14"/>
    </row>
    <row r="2" spans="1:8" ht="18" customHeight="1" x14ac:dyDescent="0.25">
      <c r="A2" s="13" t="s">
        <v>209</v>
      </c>
      <c r="B2" s="13"/>
      <c r="C2" s="13"/>
      <c r="D2" s="13"/>
      <c r="E2" s="13"/>
      <c r="F2" s="13"/>
      <c r="G2" s="13"/>
      <c r="H2" s="13"/>
    </row>
    <row r="3" spans="1:8" ht="4.5" customHeight="1" x14ac:dyDescent="0.25">
      <c r="A3" s="12"/>
      <c r="B3" s="12"/>
      <c r="C3" s="12"/>
      <c r="D3" s="12"/>
      <c r="E3" s="12"/>
      <c r="F3" s="12"/>
      <c r="G3" s="12"/>
      <c r="H3" s="12"/>
    </row>
    <row r="5" spans="1:8" ht="25.5" customHeight="1" x14ac:dyDescent="0.25">
      <c r="B5" s="55" t="s">
        <v>210</v>
      </c>
    </row>
    <row r="6" spans="1:8" ht="33.75" customHeight="1" x14ac:dyDescent="0.25">
      <c r="C6" s="56" t="s">
        <v>211</v>
      </c>
      <c r="D6" s="57">
        <v>1</v>
      </c>
      <c r="E6" s="58">
        <v>2</v>
      </c>
      <c r="F6" s="59">
        <v>3</v>
      </c>
      <c r="G6" s="60">
        <v>4</v>
      </c>
      <c r="H6" s="61">
        <v>5</v>
      </c>
    </row>
    <row r="7" spans="1:8" ht="33.75" customHeight="1" x14ac:dyDescent="0.25">
      <c r="B7" s="129" t="s">
        <v>212</v>
      </c>
      <c r="C7" s="62">
        <v>5</v>
      </c>
      <c r="D7" s="63">
        <f>COUNTIFS(Risikoregister!$G$8:$G$37,$C7,Risikoregister!$H$8:$H$37,D$6)</f>
        <v>0</v>
      </c>
      <c r="E7" s="64">
        <f>COUNTIFS(Risikoregister!$G$8:$G$37,$C7,Risikoregister!$H$8:$H$37,E$6)</f>
        <v>0</v>
      </c>
      <c r="F7" s="65">
        <f>COUNTIFS(Risikoregister!$G$8:$G$37,$C7,Risikoregister!$H$8:$H$37,F$6)</f>
        <v>0</v>
      </c>
      <c r="G7" s="65">
        <f>COUNTIFS(Risikoregister!$G$8:$G$37,$C7,Risikoregister!$H$8:$H$37,G$6)</f>
        <v>0</v>
      </c>
      <c r="H7" s="65">
        <f>COUNTIFS(Risikoregister!$G$8:$G$37,$C7,Risikoregister!$H$8:$H$37,H$6)</f>
        <v>0</v>
      </c>
    </row>
    <row r="8" spans="1:8" ht="33.75" customHeight="1" x14ac:dyDescent="0.25">
      <c r="B8" s="129"/>
      <c r="C8" s="66">
        <v>4</v>
      </c>
      <c r="D8" s="67">
        <f>COUNTIFS(Risikoregister!$G$8:$G$37,$C8,Risikoregister!$H$8:$H$37,D$6)</f>
        <v>0</v>
      </c>
      <c r="E8" s="63">
        <f>COUNTIFS(Risikoregister!$G$8:$G$37,$C8,Risikoregister!$H$8:$H$37,E$6)</f>
        <v>1</v>
      </c>
      <c r="F8" s="64">
        <f>COUNTIFS(Risikoregister!$G$8:$G$37,$C8,Risikoregister!$H$8:$H$37,F$6)</f>
        <v>3</v>
      </c>
      <c r="G8" s="65">
        <f>COUNTIFS(Risikoregister!$G$8:$G$37,$C8,Risikoregister!$H$8:$H$37,G$6)</f>
        <v>0</v>
      </c>
      <c r="H8" s="65">
        <f>COUNTIFS(Risikoregister!$G$8:$G$37,$C8,Risikoregister!$H$8:$H$37,H$6)</f>
        <v>0</v>
      </c>
    </row>
    <row r="9" spans="1:8" ht="33.75" customHeight="1" x14ac:dyDescent="0.25">
      <c r="B9" s="129"/>
      <c r="C9" s="68">
        <v>3</v>
      </c>
      <c r="D9" s="67">
        <f>COUNTIFS(Risikoregister!$G$8:$G$37,$C9,Risikoregister!$H$8:$H$37,D$6)</f>
        <v>0</v>
      </c>
      <c r="E9" s="63">
        <f>COUNTIFS(Risikoregister!$G$8:$G$37,$C9,Risikoregister!$H$8:$H$37,E$6)</f>
        <v>1</v>
      </c>
      <c r="F9" s="63">
        <f>COUNTIFS(Risikoregister!$G$8:$G$37,$C9,Risikoregister!$H$8:$H$37,F$6)</f>
        <v>4</v>
      </c>
      <c r="G9" s="64">
        <f>COUNTIFS(Risikoregister!$G$8:$G$37,$C9,Risikoregister!$H$8:$H$37,G$6)</f>
        <v>5</v>
      </c>
      <c r="H9" s="65">
        <f>COUNTIFS(Risikoregister!$G$8:$G$37,$C9,Risikoregister!$H$8:$H$37,H$6)</f>
        <v>1</v>
      </c>
    </row>
    <row r="10" spans="1:8" ht="33.75" customHeight="1" x14ac:dyDescent="0.25">
      <c r="B10" s="129"/>
      <c r="C10" s="69">
        <v>2</v>
      </c>
      <c r="D10" s="67">
        <f>COUNTIFS(Risikoregister!$G$8:$G$37,$C10,Risikoregister!$H$8:$H$37,D$6)</f>
        <v>0</v>
      </c>
      <c r="E10" s="67">
        <f>COUNTIFS(Risikoregister!$G$8:$G$37,$C10,Risikoregister!$H$8:$H$37,E$6)</f>
        <v>0</v>
      </c>
      <c r="F10" s="63">
        <f>COUNTIFS(Risikoregister!$G$8:$G$37,$C10,Risikoregister!$H$8:$H$37,F$6)</f>
        <v>0</v>
      </c>
      <c r="G10" s="63">
        <f>COUNTIFS(Risikoregister!$G$8:$G$37,$C10,Risikoregister!$H$8:$H$37,G$6)</f>
        <v>3</v>
      </c>
      <c r="H10" s="64">
        <f>COUNTIFS(Risikoregister!$G$8:$G$37,$C10,Risikoregister!$H$8:$H$37,H$6)</f>
        <v>1</v>
      </c>
    </row>
    <row r="11" spans="1:8" ht="33.75" customHeight="1" x14ac:dyDescent="0.25">
      <c r="B11" s="129"/>
      <c r="C11" s="70">
        <v>1</v>
      </c>
      <c r="D11" s="67">
        <f>COUNTIFS(Risikoregister!$G$8:$G$37,$C11,Risikoregister!$H$8:$H$37,D$6)</f>
        <v>0</v>
      </c>
      <c r="E11" s="67">
        <f>COUNTIFS(Risikoregister!$G$8:$G$37,$C11,Risikoregister!$H$8:$H$37,E$6)</f>
        <v>0</v>
      </c>
      <c r="F11" s="67">
        <f>COUNTIFS(Risikoregister!$G$8:$G$37,$C11,Risikoregister!$H$8:$H$37,F$6)</f>
        <v>0</v>
      </c>
      <c r="G11" s="67">
        <f>COUNTIFS(Risikoregister!$G$8:$G$37,$C11,Risikoregister!$H$8:$H$37,G$6)</f>
        <v>0</v>
      </c>
      <c r="H11" s="63">
        <f>COUNTIFS(Risikoregister!$G$8:$G$37,$C11,Risikoregister!$H$8:$H$37,H$6)</f>
        <v>1</v>
      </c>
    </row>
    <row r="12" spans="1:8" ht="18" customHeight="1" x14ac:dyDescent="0.25">
      <c r="D12" s="130" t="s">
        <v>213</v>
      </c>
      <c r="E12" s="130"/>
      <c r="F12" s="130"/>
      <c r="G12" s="130"/>
      <c r="H12" s="130"/>
    </row>
    <row r="15" spans="1:8" ht="25.5" customHeight="1" x14ac:dyDescent="0.25">
      <c r="B15" s="17" t="s">
        <v>214</v>
      </c>
    </row>
    <row r="16" spans="1:8" ht="33.75" customHeight="1" x14ac:dyDescent="0.25">
      <c r="C16" s="56" t="s">
        <v>211</v>
      </c>
      <c r="D16" s="57">
        <v>1</v>
      </c>
      <c r="E16" s="58">
        <v>2</v>
      </c>
      <c r="F16" s="59">
        <v>3</v>
      </c>
      <c r="G16" s="60">
        <v>4</v>
      </c>
      <c r="H16" s="61">
        <v>5</v>
      </c>
    </row>
    <row r="17" spans="2:8" ht="33.75" customHeight="1" x14ac:dyDescent="0.25">
      <c r="B17" s="131" t="s">
        <v>212</v>
      </c>
      <c r="C17" s="62">
        <v>5</v>
      </c>
      <c r="D17" s="63">
        <f>COUNTIFS(Risikoregister!$Q$8:$Q$37,$C17,Risikoregister!$R$8:$R$37,D$16)</f>
        <v>0</v>
      </c>
      <c r="E17" s="64">
        <f>COUNTIFS(Risikoregister!$Q$8:$Q$37,$C17,Risikoregister!$R$8:$R$37,E$16)</f>
        <v>0</v>
      </c>
      <c r="F17" s="65">
        <f>COUNTIFS(Risikoregister!$Q$8:$Q$37,$C17,Risikoregister!$R$8:$R$37,F$16)</f>
        <v>0</v>
      </c>
      <c r="G17" s="65">
        <f>COUNTIFS(Risikoregister!$Q$8:$Q$37,$C17,Risikoregister!$R$8:$R$37,G$16)</f>
        <v>0</v>
      </c>
      <c r="H17" s="65">
        <f>COUNTIFS(Risikoregister!$Q$8:$Q$37,$C17,Risikoregister!$R$8:$R$37,H$16)</f>
        <v>0</v>
      </c>
    </row>
    <row r="18" spans="2:8" ht="33.75" customHeight="1" x14ac:dyDescent="0.25">
      <c r="B18" s="131"/>
      <c r="C18" s="66">
        <v>4</v>
      </c>
      <c r="D18" s="67">
        <f>COUNTIFS(Risikoregister!$Q$8:$Q$37,$C18,Risikoregister!$R$8:$R$37,D$16)</f>
        <v>0</v>
      </c>
      <c r="E18" s="63">
        <f>COUNTIFS(Risikoregister!$Q$8:$Q$37,$C18,Risikoregister!$R$8:$R$37,E$16)</f>
        <v>1</v>
      </c>
      <c r="F18" s="64">
        <f>COUNTIFS(Risikoregister!$Q$8:$Q$37,$C18,Risikoregister!$R$8:$R$37,F$16)</f>
        <v>0</v>
      </c>
      <c r="G18" s="65">
        <f>COUNTIFS(Risikoregister!$Q$8:$Q$37,$C18,Risikoregister!$R$8:$R$37,G$16)</f>
        <v>0</v>
      </c>
      <c r="H18" s="65">
        <f>COUNTIFS(Risikoregister!$Q$8:$Q$37,$C18,Risikoregister!$R$8:$R$37,H$16)</f>
        <v>0</v>
      </c>
    </row>
    <row r="19" spans="2:8" ht="33.75" customHeight="1" x14ac:dyDescent="0.25">
      <c r="B19" s="131"/>
      <c r="C19" s="68">
        <v>3</v>
      </c>
      <c r="D19" s="67">
        <f>COUNTIFS(Risikoregister!$Q$8:$Q$37,$C19,Risikoregister!$R$8:$R$37,D$16)</f>
        <v>0</v>
      </c>
      <c r="E19" s="63">
        <f>COUNTIFS(Risikoregister!$Q$8:$Q$37,$C19,Risikoregister!$R$8:$R$37,E$16)</f>
        <v>1</v>
      </c>
      <c r="F19" s="63">
        <f>COUNTIFS(Risikoregister!$Q$8:$Q$37,$C19,Risikoregister!$R$8:$R$37,F$16)</f>
        <v>2</v>
      </c>
      <c r="G19" s="64">
        <f>COUNTIFS(Risikoregister!$Q$8:$Q$37,$C19,Risikoregister!$R$8:$R$37,G$16)</f>
        <v>0</v>
      </c>
      <c r="H19" s="65">
        <f>COUNTIFS(Risikoregister!$Q$8:$Q$37,$C19,Risikoregister!$R$8:$R$37,H$16)</f>
        <v>0</v>
      </c>
    </row>
    <row r="20" spans="2:8" ht="33.75" customHeight="1" x14ac:dyDescent="0.25">
      <c r="B20" s="131"/>
      <c r="C20" s="69">
        <v>2</v>
      </c>
      <c r="D20" s="67">
        <f>COUNTIFS(Risikoregister!$Q$8:$Q$37,$C20,Risikoregister!$R$8:$R$37,D$16)</f>
        <v>0</v>
      </c>
      <c r="E20" s="67">
        <f>COUNTIFS(Risikoregister!$Q$8:$Q$37,$C20,Risikoregister!$R$8:$R$37,E$16)</f>
        <v>4</v>
      </c>
      <c r="F20" s="63">
        <f>COUNTIFS(Risikoregister!$Q$8:$Q$37,$C20,Risikoregister!$R$8:$R$37,F$16)</f>
        <v>7</v>
      </c>
      <c r="G20" s="63">
        <f>COUNTIFS(Risikoregister!$Q$8:$Q$37,$C20,Risikoregister!$R$8:$R$37,G$16)</f>
        <v>3</v>
      </c>
      <c r="H20" s="64">
        <f>COUNTIFS(Risikoregister!$Q$8:$Q$37,$C20,Risikoregister!$R$8:$R$37,H$16)</f>
        <v>0</v>
      </c>
    </row>
    <row r="21" spans="2:8" ht="33.75" customHeight="1" x14ac:dyDescent="0.25">
      <c r="B21" s="131"/>
      <c r="C21" s="70">
        <v>1</v>
      </c>
      <c r="D21" s="67">
        <f>COUNTIFS(Risikoregister!$Q$8:$Q$37,$C21,Risikoregister!$R$8:$R$37,D$16)</f>
        <v>0</v>
      </c>
      <c r="E21" s="67">
        <f>COUNTIFS(Risikoregister!$Q$8:$Q$37,$C21,Risikoregister!$R$8:$R$37,E$16)</f>
        <v>0</v>
      </c>
      <c r="F21" s="67">
        <f>COUNTIFS(Risikoregister!$Q$8:$Q$37,$C21,Risikoregister!$R$8:$R$37,F$16)</f>
        <v>0</v>
      </c>
      <c r="G21" s="67">
        <f>COUNTIFS(Risikoregister!$Q$8:$Q$37,$C21,Risikoregister!$R$8:$R$37,G$16)</f>
        <v>2</v>
      </c>
      <c r="H21" s="63">
        <f>COUNTIFS(Risikoregister!$Q$8:$Q$37,$C21,Risikoregister!$R$8:$R$37,H$16)</f>
        <v>0</v>
      </c>
    </row>
    <row r="22" spans="2:8" ht="18" customHeight="1" x14ac:dyDescent="0.25">
      <c r="D22" s="132" t="s">
        <v>213</v>
      </c>
      <c r="E22" s="132"/>
      <c r="F22" s="132"/>
      <c r="G22" s="132"/>
      <c r="H22" s="132"/>
    </row>
    <row r="25" spans="2:8" ht="25.5" customHeight="1" x14ac:dyDescent="0.25">
      <c r="B25" s="15" t="s">
        <v>215</v>
      </c>
    </row>
    <row r="26" spans="2:8" ht="24" customHeight="1" x14ac:dyDescent="0.25">
      <c r="B26" s="133" t="s">
        <v>37</v>
      </c>
      <c r="C26" s="133"/>
      <c r="D26" s="71" t="s">
        <v>216</v>
      </c>
      <c r="E26" s="71" t="s">
        <v>217</v>
      </c>
      <c r="F26" s="71" t="s">
        <v>218</v>
      </c>
      <c r="G26" s="133" t="s">
        <v>219</v>
      </c>
      <c r="H26" s="133"/>
    </row>
    <row r="27" spans="2:8" ht="31.5" customHeight="1" x14ac:dyDescent="0.25">
      <c r="B27" s="134" t="s">
        <v>41</v>
      </c>
      <c r="C27" s="134"/>
      <c r="D27" s="72" t="s">
        <v>220</v>
      </c>
      <c r="E27" s="73">
        <f>COUNTIF(Risikoregister!$J$8:$J$37,$B27)</f>
        <v>1</v>
      </c>
      <c r="F27" s="73">
        <f>COUNTIF(Risikoregister!$T$8:$T$37,$B27)</f>
        <v>0</v>
      </c>
      <c r="G27" s="135" t="s">
        <v>221</v>
      </c>
      <c r="H27" s="135"/>
    </row>
    <row r="28" spans="2:8" ht="31.5" customHeight="1" x14ac:dyDescent="0.25">
      <c r="B28" s="136" t="s">
        <v>42</v>
      </c>
      <c r="C28" s="136"/>
      <c r="D28" s="74" t="s">
        <v>222</v>
      </c>
      <c r="E28" s="73">
        <f>COUNTIF(Risikoregister!$J$8:$J$37,$B28)</f>
        <v>9</v>
      </c>
      <c r="F28" s="73">
        <f>COUNTIF(Risikoregister!$T$8:$T$37,$B28)</f>
        <v>0</v>
      </c>
      <c r="G28" s="135" t="s">
        <v>223</v>
      </c>
      <c r="H28" s="135"/>
    </row>
    <row r="29" spans="2:8" ht="31.5" customHeight="1" x14ac:dyDescent="0.25">
      <c r="B29" s="137" t="s">
        <v>43</v>
      </c>
      <c r="C29" s="137"/>
      <c r="D29" s="75" t="s">
        <v>224</v>
      </c>
      <c r="E29" s="73">
        <f>COUNTIF(Risikoregister!$J$8:$J$37,$B29)</f>
        <v>10</v>
      </c>
      <c r="F29" s="73">
        <f>COUNTIF(Risikoregister!$T$8:$T$37,$B29)</f>
        <v>14</v>
      </c>
      <c r="G29" s="135" t="s">
        <v>225</v>
      </c>
      <c r="H29" s="135"/>
    </row>
    <row r="30" spans="2:8" ht="31.5" customHeight="1" x14ac:dyDescent="0.25">
      <c r="B30" s="138" t="s">
        <v>44</v>
      </c>
      <c r="C30" s="138"/>
      <c r="D30" s="76" t="s">
        <v>226</v>
      </c>
      <c r="E30" s="73">
        <f>COUNTIF(Risikoregister!$J$8:$J$37,$B30)</f>
        <v>0</v>
      </c>
      <c r="F30" s="73">
        <f>COUNTIF(Risikoregister!$T$8:$T$37,$B30)</f>
        <v>6</v>
      </c>
      <c r="G30" s="135" t="s">
        <v>227</v>
      </c>
      <c r="H30" s="135"/>
    </row>
    <row r="32" spans="2:8" ht="15" customHeight="1" x14ac:dyDescent="0.25">
      <c r="B32" s="123" t="s">
        <v>228</v>
      </c>
      <c r="C32" s="123"/>
      <c r="D32" s="123"/>
      <c r="E32" s="123"/>
      <c r="F32" s="123"/>
      <c r="G32" s="123"/>
      <c r="H32" s="123"/>
    </row>
    <row r="33" spans="2:8" x14ac:dyDescent="0.25">
      <c r="B33" s="123"/>
      <c r="C33" s="123"/>
      <c r="D33" s="123"/>
      <c r="E33" s="123"/>
      <c r="F33" s="123"/>
      <c r="G33" s="123"/>
      <c r="H33" s="123"/>
    </row>
  </sheetData>
  <mergeCells count="18">
    <mergeCell ref="B32:H33"/>
    <mergeCell ref="B28:C28"/>
    <mergeCell ref="G28:H28"/>
    <mergeCell ref="B29:C29"/>
    <mergeCell ref="G29:H29"/>
    <mergeCell ref="B30:C30"/>
    <mergeCell ref="G30:H30"/>
    <mergeCell ref="B17:B21"/>
    <mergeCell ref="D22:H22"/>
    <mergeCell ref="B26:C26"/>
    <mergeCell ref="G26:H26"/>
    <mergeCell ref="B27:C27"/>
    <mergeCell ref="G27:H27"/>
    <mergeCell ref="A1:H1"/>
    <mergeCell ref="A2:H2"/>
    <mergeCell ref="A3:H3"/>
    <mergeCell ref="B7:B11"/>
    <mergeCell ref="D12:H12"/>
  </mergeCells>
  <conditionalFormatting sqref="D7:H11">
    <cfRule type="cellIs" dxfId="1" priority="2" operator="equal">
      <formula>0</formula>
    </cfRule>
  </conditionalFormatting>
  <conditionalFormatting sqref="D17:H21">
    <cfRule type="cellIs" dxfId="0" priority="3" operator="equal">
      <formula>0</formula>
    </cfRule>
  </conditionalFormatting>
  <pageMargins left="0.75" right="0.75" top="1" bottom="1" header="0.511811023622047" footer="0.511811023622047"/>
  <pageSetup fitToHeight="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4404C"/>
    <pageSetUpPr fitToPage="1"/>
  </sheetPr>
  <dimension ref="A1:K31"/>
  <sheetViews>
    <sheetView showGridLines="0" zoomScaleNormal="100" workbookViewId="0">
      <selection sqref="A1:K1"/>
    </sheetView>
  </sheetViews>
  <sheetFormatPr baseColWidth="10" defaultColWidth="8.7109375" defaultRowHeight="15" x14ac:dyDescent="0.25"/>
  <cols>
    <col min="1" max="1" width="8" customWidth="1"/>
    <col min="2" max="2" width="24" customWidth="1"/>
    <col min="3" max="3" width="52" customWidth="1"/>
    <col min="4" max="4" width="28" customWidth="1"/>
    <col min="5" max="5" width="19" customWidth="1"/>
    <col min="6" max="6" width="3" customWidth="1"/>
    <col min="7" max="7" width="26" customWidth="1"/>
    <col min="8" max="8" width="3" customWidth="1"/>
    <col min="9" max="9" width="22" customWidth="1"/>
    <col min="10" max="10" width="3" customWidth="1"/>
    <col min="11" max="11" width="24" customWidth="1"/>
  </cols>
  <sheetData>
    <row r="1" spans="1:11" ht="33.75" customHeight="1" x14ac:dyDescent="0.25">
      <c r="A1" s="14" t="s">
        <v>229</v>
      </c>
      <c r="B1" s="14"/>
      <c r="C1" s="14"/>
      <c r="D1" s="14"/>
      <c r="E1" s="14"/>
      <c r="F1" s="14"/>
      <c r="G1" s="14"/>
      <c r="H1" s="14"/>
      <c r="I1" s="14"/>
      <c r="J1" s="14"/>
      <c r="K1" s="14"/>
    </row>
    <row r="2" spans="1:11" ht="18" customHeight="1" x14ac:dyDescent="0.25">
      <c r="A2" s="13" t="s">
        <v>230</v>
      </c>
      <c r="B2" s="13"/>
      <c r="C2" s="13"/>
      <c r="D2" s="13"/>
      <c r="E2" s="13"/>
      <c r="F2" s="13"/>
      <c r="G2" s="13"/>
      <c r="H2" s="13"/>
      <c r="I2" s="13"/>
      <c r="J2" s="13"/>
      <c r="K2" s="13"/>
    </row>
    <row r="3" spans="1:11" ht="4.5" customHeight="1" x14ac:dyDescent="0.25">
      <c r="A3" s="12"/>
      <c r="B3" s="12"/>
      <c r="C3" s="12"/>
      <c r="D3" s="12"/>
      <c r="E3" s="12"/>
      <c r="F3" s="12"/>
      <c r="G3" s="12"/>
      <c r="H3" s="12"/>
      <c r="I3" s="12"/>
      <c r="J3" s="12"/>
      <c r="K3" s="12"/>
    </row>
    <row r="5" spans="1:11" ht="24" customHeight="1" x14ac:dyDescent="0.25">
      <c r="A5" s="16" t="s">
        <v>231</v>
      </c>
      <c r="G5" s="77" t="s">
        <v>232</v>
      </c>
    </row>
    <row r="6" spans="1:11" x14ac:dyDescent="0.25">
      <c r="A6" s="18" t="s">
        <v>233</v>
      </c>
      <c r="B6" s="18" t="s">
        <v>234</v>
      </c>
      <c r="C6" s="18" t="s">
        <v>235</v>
      </c>
      <c r="D6" s="18" t="s">
        <v>236</v>
      </c>
      <c r="E6" s="18" t="s">
        <v>237</v>
      </c>
      <c r="G6" s="78" t="s">
        <v>33</v>
      </c>
      <c r="I6" s="78" t="s">
        <v>77</v>
      </c>
      <c r="K6" s="78" t="s">
        <v>238</v>
      </c>
    </row>
    <row r="7" spans="1:11" ht="30" customHeight="1" x14ac:dyDescent="0.25">
      <c r="A7" s="79">
        <v>1</v>
      </c>
      <c r="B7" s="80" t="s">
        <v>239</v>
      </c>
      <c r="C7" s="81" t="s">
        <v>240</v>
      </c>
      <c r="D7" s="82" t="s">
        <v>241</v>
      </c>
      <c r="E7" s="83">
        <v>0.03</v>
      </c>
      <c r="G7" s="84" t="s">
        <v>83</v>
      </c>
      <c r="I7" s="84" t="s">
        <v>187</v>
      </c>
      <c r="K7" s="84" t="s">
        <v>46</v>
      </c>
    </row>
    <row r="8" spans="1:11" ht="30" customHeight="1" x14ac:dyDescent="0.25">
      <c r="A8" s="79">
        <v>2</v>
      </c>
      <c r="B8" s="80" t="s">
        <v>242</v>
      </c>
      <c r="C8" s="81" t="s">
        <v>243</v>
      </c>
      <c r="D8" s="82" t="s">
        <v>244</v>
      </c>
      <c r="E8" s="83">
        <v>0.12</v>
      </c>
      <c r="G8" s="84" t="s">
        <v>102</v>
      </c>
      <c r="I8" s="84" t="s">
        <v>88</v>
      </c>
      <c r="K8" s="84" t="s">
        <v>47</v>
      </c>
    </row>
    <row r="9" spans="1:11" ht="30" customHeight="1" x14ac:dyDescent="0.25">
      <c r="A9" s="79">
        <v>3</v>
      </c>
      <c r="B9" s="80" t="s">
        <v>245</v>
      </c>
      <c r="C9" s="81" t="s">
        <v>246</v>
      </c>
      <c r="D9" s="82" t="s">
        <v>247</v>
      </c>
      <c r="E9" s="83">
        <v>0.35</v>
      </c>
      <c r="G9" s="84" t="s">
        <v>123</v>
      </c>
      <c r="I9" s="84" t="s">
        <v>113</v>
      </c>
      <c r="K9" s="84" t="s">
        <v>48</v>
      </c>
    </row>
    <row r="10" spans="1:11" ht="30" customHeight="1" x14ac:dyDescent="0.25">
      <c r="A10" s="79">
        <v>4</v>
      </c>
      <c r="B10" s="80" t="s">
        <v>248</v>
      </c>
      <c r="C10" s="81" t="s">
        <v>249</v>
      </c>
      <c r="D10" s="82" t="s">
        <v>250</v>
      </c>
      <c r="E10" s="83">
        <v>0.65</v>
      </c>
      <c r="G10" s="84" t="s">
        <v>141</v>
      </c>
      <c r="I10" s="84" t="s">
        <v>120</v>
      </c>
      <c r="K10" s="84" t="s">
        <v>49</v>
      </c>
    </row>
    <row r="11" spans="1:11" ht="30" customHeight="1" x14ac:dyDescent="0.25">
      <c r="A11" s="79">
        <v>5</v>
      </c>
      <c r="B11" s="80" t="s">
        <v>251</v>
      </c>
      <c r="C11" s="81" t="s">
        <v>252</v>
      </c>
      <c r="D11" s="82" t="s">
        <v>253</v>
      </c>
      <c r="E11" s="83">
        <v>0.9</v>
      </c>
      <c r="G11" s="84" t="s">
        <v>158</v>
      </c>
    </row>
    <row r="12" spans="1:11" x14ac:dyDescent="0.25">
      <c r="G12" s="84" t="s">
        <v>170</v>
      </c>
    </row>
    <row r="13" spans="1:11" ht="24" customHeight="1" x14ac:dyDescent="0.25">
      <c r="A13" s="55" t="s">
        <v>254</v>
      </c>
      <c r="G13" s="84" t="s">
        <v>183</v>
      </c>
    </row>
    <row r="14" spans="1:11" x14ac:dyDescent="0.25">
      <c r="A14" s="85" t="s">
        <v>233</v>
      </c>
      <c r="B14" s="85" t="s">
        <v>234</v>
      </c>
      <c r="C14" s="85" t="s">
        <v>235</v>
      </c>
      <c r="D14" s="85" t="s">
        <v>255</v>
      </c>
      <c r="E14" s="85" t="s">
        <v>256</v>
      </c>
      <c r="G14" s="84" t="s">
        <v>195</v>
      </c>
    </row>
    <row r="15" spans="1:11" ht="30" customHeight="1" x14ac:dyDescent="0.25">
      <c r="A15" s="86">
        <v>1</v>
      </c>
      <c r="B15" s="80" t="s">
        <v>257</v>
      </c>
      <c r="C15" s="81" t="s">
        <v>258</v>
      </c>
      <c r="D15" s="82" t="s">
        <v>259</v>
      </c>
      <c r="E15" s="82" t="s">
        <v>260</v>
      </c>
    </row>
    <row r="16" spans="1:11" ht="30" customHeight="1" x14ac:dyDescent="0.25">
      <c r="A16" s="86">
        <v>2</v>
      </c>
      <c r="B16" s="80" t="s">
        <v>44</v>
      </c>
      <c r="C16" s="81" t="s">
        <v>261</v>
      </c>
      <c r="D16" s="82" t="s">
        <v>262</v>
      </c>
      <c r="E16" s="82" t="s">
        <v>263</v>
      </c>
      <c r="G16" s="139" t="s">
        <v>264</v>
      </c>
      <c r="H16" s="139"/>
      <c r="I16" s="139"/>
      <c r="J16" s="139"/>
      <c r="K16" s="139"/>
    </row>
    <row r="17" spans="1:11" ht="30" customHeight="1" x14ac:dyDescent="0.25">
      <c r="A17" s="86">
        <v>3</v>
      </c>
      <c r="B17" s="80" t="s">
        <v>43</v>
      </c>
      <c r="C17" s="81" t="s">
        <v>265</v>
      </c>
      <c r="D17" s="82" t="s">
        <v>266</v>
      </c>
      <c r="E17" s="82" t="s">
        <v>267</v>
      </c>
      <c r="G17" s="139"/>
      <c r="H17" s="139"/>
      <c r="I17" s="139"/>
      <c r="J17" s="139"/>
      <c r="K17" s="139"/>
    </row>
    <row r="18" spans="1:11" ht="30" customHeight="1" x14ac:dyDescent="0.25">
      <c r="A18" s="86">
        <v>4</v>
      </c>
      <c r="B18" s="80" t="s">
        <v>268</v>
      </c>
      <c r="C18" s="81" t="s">
        <v>269</v>
      </c>
      <c r="D18" s="82" t="s">
        <v>270</v>
      </c>
      <c r="E18" s="82" t="s">
        <v>271</v>
      </c>
    </row>
    <row r="19" spans="1:11" ht="30" customHeight="1" x14ac:dyDescent="0.25">
      <c r="A19" s="86">
        <v>5</v>
      </c>
      <c r="B19" s="80" t="s">
        <v>272</v>
      </c>
      <c r="C19" s="81" t="s">
        <v>273</v>
      </c>
      <c r="D19" s="82" t="s">
        <v>274</v>
      </c>
      <c r="E19" s="82" t="s">
        <v>275</v>
      </c>
    </row>
    <row r="20" spans="1:11" ht="24" customHeight="1" x14ac:dyDescent="0.25">
      <c r="G20" s="15" t="s">
        <v>276</v>
      </c>
    </row>
    <row r="21" spans="1:11" ht="24" customHeight="1" x14ac:dyDescent="0.25">
      <c r="A21" s="17" t="s">
        <v>277</v>
      </c>
      <c r="G21" s="87" t="s">
        <v>278</v>
      </c>
      <c r="H21" s="140" t="s">
        <v>279</v>
      </c>
      <c r="I21" s="140"/>
      <c r="J21" s="140"/>
      <c r="K21" s="140"/>
    </row>
    <row r="22" spans="1:11" ht="30" customHeight="1" x14ac:dyDescent="0.25">
      <c r="A22" s="71" t="s">
        <v>280</v>
      </c>
      <c r="B22" s="71" t="s">
        <v>281</v>
      </c>
      <c r="C22" s="71" t="s">
        <v>37</v>
      </c>
      <c r="D22" s="71" t="s">
        <v>219</v>
      </c>
      <c r="E22" s="71" t="s">
        <v>282</v>
      </c>
      <c r="G22" s="87" t="s">
        <v>283</v>
      </c>
      <c r="H22" s="140" t="s">
        <v>284</v>
      </c>
      <c r="I22" s="140"/>
      <c r="J22" s="140"/>
      <c r="K22" s="140"/>
    </row>
    <row r="23" spans="1:11" ht="30" customHeight="1" x14ac:dyDescent="0.25">
      <c r="A23" s="88">
        <v>1</v>
      </c>
      <c r="B23" s="88">
        <v>4</v>
      </c>
      <c r="C23" s="89" t="s">
        <v>44</v>
      </c>
      <c r="D23" s="81" t="s">
        <v>227</v>
      </c>
      <c r="E23" s="82" t="s">
        <v>285</v>
      </c>
      <c r="G23" s="87" t="s">
        <v>286</v>
      </c>
      <c r="H23" s="140" t="s">
        <v>287</v>
      </c>
      <c r="I23" s="140"/>
      <c r="J23" s="140"/>
      <c r="K23" s="140"/>
    </row>
    <row r="24" spans="1:11" ht="30" customHeight="1" x14ac:dyDescent="0.25">
      <c r="A24" s="88">
        <v>5</v>
      </c>
      <c r="B24" s="88">
        <v>9</v>
      </c>
      <c r="C24" s="90" t="s">
        <v>43</v>
      </c>
      <c r="D24" s="81" t="s">
        <v>225</v>
      </c>
      <c r="E24" s="82" t="s">
        <v>288</v>
      </c>
      <c r="G24" s="87" t="s">
        <v>289</v>
      </c>
      <c r="H24" s="140" t="s">
        <v>290</v>
      </c>
      <c r="I24" s="140"/>
      <c r="J24" s="140"/>
      <c r="K24" s="140"/>
    </row>
    <row r="25" spans="1:11" ht="30" customHeight="1" x14ac:dyDescent="0.25">
      <c r="A25" s="88">
        <v>10</v>
      </c>
      <c r="B25" s="88">
        <v>14</v>
      </c>
      <c r="C25" s="91" t="s">
        <v>42</v>
      </c>
      <c r="D25" s="81" t="s">
        <v>223</v>
      </c>
      <c r="E25" s="82" t="s">
        <v>291</v>
      </c>
      <c r="G25" s="87" t="s">
        <v>292</v>
      </c>
      <c r="H25" s="140" t="s">
        <v>293</v>
      </c>
      <c r="I25" s="140"/>
      <c r="J25" s="140"/>
      <c r="K25" s="140"/>
    </row>
    <row r="26" spans="1:11" ht="30" customHeight="1" x14ac:dyDescent="0.25">
      <c r="A26" s="88">
        <v>15</v>
      </c>
      <c r="B26" s="88">
        <v>25</v>
      </c>
      <c r="C26" s="92" t="s">
        <v>41</v>
      </c>
      <c r="D26" s="81" t="s">
        <v>221</v>
      </c>
      <c r="E26" s="82" t="s">
        <v>294</v>
      </c>
    </row>
    <row r="28" spans="1:11" ht="24" customHeight="1" x14ac:dyDescent="0.25">
      <c r="G28" s="15" t="s">
        <v>295</v>
      </c>
    </row>
    <row r="29" spans="1:11" ht="21.75" customHeight="1" x14ac:dyDescent="0.25">
      <c r="G29" s="93" t="s">
        <v>296</v>
      </c>
      <c r="H29" s="141" t="s">
        <v>297</v>
      </c>
      <c r="I29" s="141"/>
      <c r="J29" s="141"/>
      <c r="K29" s="141"/>
    </row>
    <row r="30" spans="1:11" ht="21.75" customHeight="1" x14ac:dyDescent="0.25">
      <c r="G30" s="94" t="s">
        <v>298</v>
      </c>
      <c r="H30" s="141" t="s">
        <v>299</v>
      </c>
      <c r="I30" s="141"/>
      <c r="J30" s="141"/>
      <c r="K30" s="141"/>
    </row>
    <row r="31" spans="1:11" ht="21.75" customHeight="1" x14ac:dyDescent="0.25">
      <c r="G31" s="95" t="s">
        <v>63</v>
      </c>
      <c r="H31" s="141" t="s">
        <v>300</v>
      </c>
      <c r="I31" s="141"/>
      <c r="J31" s="141"/>
      <c r="K31" s="141"/>
    </row>
  </sheetData>
  <mergeCells count="12">
    <mergeCell ref="H30:K30"/>
    <mergeCell ref="H31:K31"/>
    <mergeCell ref="H22:K22"/>
    <mergeCell ref="H23:K23"/>
    <mergeCell ref="H24:K24"/>
    <mergeCell ref="H25:K25"/>
    <mergeCell ref="H29:K29"/>
    <mergeCell ref="A1:K1"/>
    <mergeCell ref="A2:K2"/>
    <mergeCell ref="A3:K3"/>
    <mergeCell ref="G16:K17"/>
    <mergeCell ref="H21:K21"/>
  </mergeCells>
  <pageMargins left="0.75" right="0.75" top="1" bottom="1" header="0.511811023622047" footer="0.511811023622047"/>
  <pageSetup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9</vt:i4>
      </vt:variant>
    </vt:vector>
  </HeadingPairs>
  <TitlesOfParts>
    <vt:vector size="13" baseType="lpstr">
      <vt:lpstr>Cockpit</vt:lpstr>
      <vt:lpstr>Risikoregister</vt:lpstr>
      <vt:lpstr>Risikomatrix</vt:lpstr>
      <vt:lpstr>Bewertungsskalen</vt:lpstr>
      <vt:lpstr>Bearbeitungsstatus</vt:lpstr>
      <vt:lpstr>Bewertungsstufen</vt:lpstr>
      <vt:lpstr>Bewertungsskalen!Druckbereich</vt:lpstr>
      <vt:lpstr>Cockpit!Druckbereich</vt:lpstr>
      <vt:lpstr>Risikomatrix!Druckbereich</vt:lpstr>
      <vt:lpstr>Risikoregister!Druckbereich</vt:lpstr>
      <vt:lpstr>Risikoregister!Drucktitel</vt:lpstr>
      <vt:lpstr>Risikokategorien</vt:lpstr>
      <vt:lpstr>Risikostrategien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Risikoanalyse Vorlage 2026</dc:title>
  <dc:subject/>
  <dc:creator>Risikomanagement</dc:creator>
  <dc:description>Generische Vorlage zur Risikoanalyse mit Risikoregister, Risikomatrix und Cockpit.</dc:description>
  <cp:lastModifiedBy>Sergio Jiménez Canales</cp:lastModifiedBy>
  <cp:revision>0</cp:revision>
  <dcterms:created xsi:type="dcterms:W3CDTF">2026-08-04T05:30:26Z</dcterms:created>
  <dcterms:modified xsi:type="dcterms:W3CDTF">2026-08-05T08:05:49Z</dcterms:modified>
  <dc:language>en-US</dc:language>
</cp:coreProperties>
</file>